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ERDkE6WYL7/JoYEhX0rYR3QQO2g=="/>
    </ext>
  </extLst>
</workbook>
</file>

<file path=xl/sharedStrings.xml><?xml version="1.0" encoding="utf-8"?>
<sst xmlns="http://schemas.openxmlformats.org/spreadsheetml/2006/main" count="2906" uniqueCount="2906">
  <si>
    <t>text_review</t>
  </si>
  <si>
    <t>text_review_english</t>
  </si>
  <si>
    <t>score</t>
  </si>
  <si>
    <t>['tolong', 'simpati', 'sinyal', 'benerin', 'paketan', 'mahal', 'sinyal', 'jaringan', 'buruk', 'menghambat', 'kerja', 'bangkrut', 'kali', 'sinyalnya', 'jelek']</t>
  </si>
  <si>
    <t>['yth', 'telkomsel', 'tlg', 'jaringan', 'perbaiki', 'aplikasi', 'menyendot', 'pulsa', 'blm', 'mhn', 'lancar', 'berkah', 'kasi', 'bintang']</t>
  </si>
  <si>
    <t>['download', 'aplikasi', 'beli', 'unlimited', 'harganya', 'rupiah', 'eehhh', 'gitu', 'kecewa', 'udh', 'semangat', 'banget', 'download', 'aplikasinya', 'ehhh', 'kekecewaan', 'yahh', '']</t>
  </si>
  <si>
    <t>['paket', 'suka', 'aplikasi', 'mytelkomsel', 'paket', 'wajib', 'bulanan', 'combo', 'sakti', 'unlimited', 'paketnya', 'komplit', 'banget', 'internetan', 'doang', 'dapet', 'menit', 'sms', 'telkomsel', 'pas', 'aktif', 'paketnya', 'abis', 'kuota', 'telepon', 'sms', 'kuota', 'internet', 'mah', 'udah', 'habis', 'duluan', 'aktif', 'paketnya', 'but', 'anyway', 'aplikasi', 'mytelkomsel', 'terbaik', 'thanks']</t>
  </si>
  <si>
    <t>['duh', 'bener', 'bener', 'deh', 'ancur', 'jaringannya', 'bener', 'bener', 'deh', 'gb', 'jaringan', 'lancar', 'jaya', 'mbps', 'beda', 'main', 'game', 'always', 'lagging', 'belajar', 'buffering', 'daerah', 'pasar', 'rawa', 'gabus', 'gimana', 'janji', 'perbaiki', 'kelar', 'kelar', 'perbaikannya', 'jaringan', 'luas', 'seindonesia', 'gini', 'udahlah', 'komen', 'tolong', 'perbaiki', 'cepat', 'makasih', '']</t>
  </si>
  <si>
    <t>['ribet', 'aplikasi', 'buka', 'aplikasi', 'verifikasi', 'nomor', 'klik', 'link', 'sms', 'dikirim', '']</t>
  </si>
  <si>
    <t>['mohon', 'maaf', 'ratingmu', 'bintang', 'jaringanmu', 'jelek', 'sungguh', 'memalukan', 'perusahaan', 'memperhatikan', 'rusak', 'diperbaikilah', 'sebentar', 'berubah', 'kadang', 'bagus', 'hilang', 'angin', 'hujan', 'beli', 'kuota', 'dipakai', 'habis', 'jaringan', 'mohon', 'maaf', 'sekedar', 'masukan', 'terima', 'kasih']</t>
  </si>
  <si>
    <t>['knpa', 'aplikasi', 'duel', 'sim', 'pergunakan', 'salah', 'bertanggung', 'mengontrol', 'aplikasi', 'menghecker', 'akun', 'aplikasi', 'kontrol', 'mohon', 'bantuan', 'alasan', 'mengumpulkan', 'data', 'sya', 'curi']</t>
  </si>
  <si>
    <t>['', 'jam', 'buruk', 'telkomsel', 'game', 'indihome', 'sabtu', 'minggu', 'auto', 'hancur', 'sinyal', '']</t>
  </si>
  <si>
    <t>['plis', 'harga', 'paket', 'udh', 'mahal', 'tolong', 'jaringan', 'pelit', 'dirilah', 'harga', 'kualitas', 'kualitasnya', 'burik', 'dikasih', 'kritik', 'kaya', 'gini', 'jadiin', 'motivasi', 'perbaiki', 'nganggap', 'kritikan', 'sbg', 'perbuatan', 'menyenangkan', 'disanksi', 'ite', 'jual', 'beli', 'jualan', 'becus', 'pembeli', 'patut', 'marah', 'robot', 'baca', 'balesin', 'komentar', 'customer', 'woy', '']</t>
  </si>
  <si>
    <t>['telkomsel', 'jaringan', 'parah', 'kayak', 'bekicot', 'jalan', 'kuota', 'cepet', 'abis', 'jaringan', 'sesuai', 'parah', 'separah', 'parahnya', 'nyari', 'untung', 'buka', 'web', 'lemot', 'woi', 'telkomsel', 'elu', 'terkenal', 'mahal', 'harga', 'paket', 'data', 'karna', 'jaringan', 'bagus', 'woi', 'orang', 'bela', 'in', 'beli', 'paket', 'datalu', 'mahal', 'karna', 'jaringan', 'bagus', 'jaringan', 'lemot', 'gini', 'elu', 'tetep', 'jual', 'paket', 'data', 'mahal', 'mending', 'pensiun', 'profider', 'indonesia', 'masak', 'kalah', 'profider', 'paket', 'datanya', 'murah', 'murah', '']</t>
  </si>
  <si>
    <t>['sinyal', 'koneksi', 'internet', 'diwilayah', 'vila', 'gading', 'harapan', 'kebalen', 'babelan', 'bekasi', 'utara', 'internetan', 'rumah', 'bawa', 'bawa', 'laptop', 'mohon', 'perbaikannya', 'beli', 'paket', 'lumayan', 'harganya']</t>
  </si>
  <si>
    <t>['kolom', 'unlimitid', 'beli', 'gue', 'indosat', 'buka', 'data', 'telkomsel', 'tingal', 'udah', 'terpotong', 'pulsanya']</t>
  </si>
  <si>
    <t>['telkomsel', 'ribet', 'aplikasinya', 'lemot', 'daftar', 'paketnya', 'menipu', 'banget', 'ceria', 'daftar', 'paket', 'ngisi', 'pulsa', 'beli', 'provoder', 'sibuk', 'kecewa', '']</t>
  </si>
  <si>
    <t>['buka', 'app', 'telkomsel', 'susah', 'aneh', 'buka', 'app', 'butuh', 'kuota', 'mbps', 'cek', 'kuota', 'nyedot', 'kuota', 'hujan', 'mendung', 'sinyal', 'langsung', '']</t>
  </si>
  <si>
    <t>['keren', 'banget', 'membantu', 'cek', 'pulsa', 'cek', 'kuota', 'beli', 'paket', 'mudah', 'ngga', 'ribet', '']</t>
  </si>
  <si>
    <t>['kuota', 'internet', 'lokal', 'llemot', 'dibanting', 'kuota', 'internet', 'utama', 'telkomsel', 'daerah', 'muara', 'enim', 'sumsel', 'sinyalnya', 'sekencang']</t>
  </si>
  <si>
    <t>['', 'telkomsel', 'telkomsel', 'mahal', 'susah', 'jaringan', 'ketahui', 'telkomsel', 'orang', 'pakai', 'telkomsel', 'telkomsel', 'citra', 'negatif', 'kalangan', 'masyarakat', 'tolong', 'perusahaan', 'telkomsel', 'bertanggung', 'menjalankan', 'usaha', 'rakyat', 'kepercayaan', 'janhan', 'kecewakan', '']</t>
  </si>
  <si>
    <t>['komplain', 'jaringan', 'internet', 'daerah', 'cicurug', 'sukabumi', 'simpati', 'lemot', 'pengguna', 'simpati', 'kecewa', 'kesini', 'jaringan', 'internet', 'stabil', 'coba', 'game', 'online', 'lag']</t>
  </si>
  <si>
    <t>['sengaja', 'pindah', 'tsel', 'dapet', 'sinyal', 'bagus', 'lancar', 'sinyalnya', 'parah', 'ngerti', 'sebanding', 'harga', 'paket', 'kuota', 'mahal']</t>
  </si>
  <si>
    <t>['membantu', 'pengecekan', 'kuota', 'data', 'seluler', 'bonus', 'diperoleh', 'panggilan', 'disayangkan', 'membuka', 'aplikasi', 'kadang', 'kadang', 'reload', 'berulang', 'ulang']</t>
  </si>
  <si>
    <t>['jelek', 'tata', 'informasinya', 'melelahkan', 'mudah', 'kebingungan', 'capek', 'disodorkan', 'rating', 'penilaian', 'polling', 'puanjangnyaa', 'tutup', 'aplikasi', 'dihadang', '']</t>
  </si>
  <si>
    <t>['beli', 'promo', 'udah', 'pulsa', 'habis', 'paketan', 'masuk', 'kecewa', 'gue', 'udah', 'brapa', 'pakai', 'telkomsel', 'gini', 'gimana', 'paketan', 'masuk', 'udah', 'habis', 'pulsaku']</t>
  </si>
  <si>
    <t>['allahuakbar', 'telkomsel', 'knpa', 'lemot', 'login', 'susahnya', 'ampun', 'pdhl', 'sinyal', 'full', 'gkada', 'kendala', 'pas', 'udah', 'masuk', 'cek', 'apapun', 'loading', 'lemot', 'banget', 'sumpah', 'coba', 'developer', 'telkomsel', 'lihat', 'instal', 'apk', 'kartu', 'sya', 'download', 'apk', 'axis', 'download', 'apk', 'myim', 'cepet', 'loading', 'lemot', 'telkomsel', 'kalah', 'blog', 'landing', 'page', 'sbgai', 'pengguna', 'kartu', 'telkomsel', 'mrasa', 'kecewa', 'apk', 'update', 'lemot', 'loading', '']</t>
  </si>
  <si>
    <t>['perbaharui', 'mytelkomsel', 'versi', 'andorid', 'masukin', 'telepon', 'ngetik', 'force', 'close', 'aplikasi', 'clear', 'cache', 'instal', 'ulang', 'app', 'hasil', 'langsung', 'force', 'close', 'lapor', 'twitter', 'telkomsel', 'tetep', 'perubahan', 'coba', 'cari', 'aplikasi', 'mytelkomsel', 'versi', 'login', 'dooonggggg', 'berminggu', 'login', 'parah', 'parah', 'tolong', 'perbaiki', 'beli', 'paket', '']</t>
  </si>
  <si>
    <t>['aplikasi', 'mytelkom', 'mudah', 'membeli', 'kuota', 'internet', 'harga', 'kuota', 'khusus', 'kampus', 'harganya', 'murah', 'fitur', 'suka', 'undian', 'pelanggan', 'mytelkomsel', 'berharap', 'undian']</t>
  </si>
  <si>
    <t>['bagus', 'fitur', 'mantep', 'daily', 'check', 'pembayaran', 'link', 'shopeepay', 'cashback', 'pertahankan', 'sistem', 'keamanan', 'loginnya', 'mantep', 'buka', 'link', 'browser', 'alihkan', 'aplikasi', 'sms', 'klik', 'link', 'langsung', 'masuk', 'aplikasi', 'keren', 'simpel', 'tetep', 'aman']</t>
  </si>
  <si>
    <t>['telkomsel', 'telkomsel', 'promo', 'pelanggan', 'pikirin', 'pelanggan', 'konsisten', 'pelayanan', 'memuaskan', 'konsumen', 'mempermainkan', 'konsumen', 'tarif', 'good']</t>
  </si>
  <si>
    <t>['keren', 'aplikasi', 'telkomsel', 'beli', 'nomor', 'memilih', 'nomor', 'pilihan', 'diajukan', 'telkomsel', 'membeli', 'nomor', 'random', 'telkomsel', 'semoga', 'kedepannya', 'sesuai', 'harapan', 'pelanggan', 'setia', 'telkomsel', 'terima', 'kasih']</t>
  </si>
  <si>
    <t>['puas', 'sinyal', 'stabil', 'kalah', 'axis', 'paketan', 'mahal', 'mahal', 'sinyal', 'jaringan', 'bagus', 'sesuai', 'harga', '']</t>
  </si>
  <si>
    <t>['pacar', 'simpati', 'main', 'game', 'pdhal', 'lbh', 'canggih', 'drpd', 'kentang', 'aneh', 'lancar', 'lag', 'kaya', 'knp', '']</t>
  </si>
  <si>
    <t>['mytelkomsel', 'abis', 'update', 'tolo', 'udah', 'login', 'nomer', 'tutup', 'aplikasi', 'masuk', 'disuruh', 'login', 'ulang', 'ngentodd']</t>
  </si>
  <si>
    <t>['parah', 'reedem', 'susah', 'pulsa', 'kemaren', 'pulsa', 'kepotong', 'dihidupin', 'datanya', 'diperbaiki', 'karna', 'pengguna', 'mengeluh', 'kayak']</t>
  </si>
  <si>
    <t>['jaringannya', 'kaya', 'orang', 'boker', 'aneh', 'sinyal', 'buruk', 'telpon', 'alesannya', 'nol', 'area', 'gmana', 'layanan', 'pelosok', 'desa', '']</t>
  </si>
  <si>
    <t>['gue', 'udah', 'thn', 'pke', 'telkomsel', 'smkin', 'jelek', 'jaringan', 'paketan', 'mahal', 'kualitas', 'jaringan', 'mengecewakan', 'bgni', 'bnyak', 'berhenti', 'kartu', 'telkomsel', 'gue', 'makasih', '']</t>
  </si>
  <si>
    <t>['bermanfaat', 'aplikasinya', 'ringan', 'mudah', 'suka', 'beli', 'kuota', 'combo', 'sakti', 'ketengan', 'youtube', 'fitur', 'belanja', 'aplikasi', 'mytelkomsel', '']</t>
  </si>
  <si>
    <t>['provider', 'tpi', 'majunya', 'era', 'global', 'smakin', 'lancar', 'mlh', 'hilang', 'signal', 'lemot', 'jatim', 'mohon', 'cek', 'zona', 'jatim', 'kdpnya', 'lancar', 'sllu', 'lancar', 'trima', 'kasih']</t>
  </si>
  <si>
    <t>['lokasi', 'terditeksinya', 'disemarang', 'lokasi', 'aktivasi', 'disamarinda', 'alhasil', 'kuota', 'gb', 'melayang', 'ambyarr', 'refund', 'kompensasi', 'apapun', 'telkomsel', 'ikhlass', 'melawan']</t>
  </si>
  <si>
    <t>['puas', 'banget', 'pakai', 'mytelkomsel', 'mudah', 'cek', 'kuota', 'beli', 'paket', 'tukar', 'poin', 'promo', 'menarik', 'mytelkomsel', 'suka', 'mytelkomsel', 'manual', 'terkadang', 'promo', 'menariknya', 'mytelkomsel', 'tampilan', 'aplikasi', 'mytelkomsel', 'elegan', 'fitur', 'menarik', 'memudahkan', 'mengirimkan', 'gift', 'pulsa', 'kuota', 'orang', 'tersayang', 'poin', 'ditukarkan', 'promo', 'hadiah', 'menarik', 'dabest', 'emang', 'mytelkomsel', '']</t>
  </si>
  <si>
    <t>['suka', 'fitur', 'tukar', 'point', 'hadiah', 'giveaway', 'kayak', 'desember', 'sebulan', 'penuh', 'ngadain', 'hadiah', 'puluhan', 'juta', 'rupiah', 'harinya', '']</t>
  </si>
  <si>
    <t>['fitur', 'suka', 'telkomsel', 'isi', 'pulsa', 'metode', 'pembayaran', 'linkaja', 'ovo', 'gopay', 'dana', 'virtual', 'account', 'kartu', 'kredit', 'shopeepay', 'kredivo', 'bener', 'bener', 'kenyamanan', 'banget', 'pengguna', 'aktif', 'linkaja', 'beli', 'pulsa', 'bayar', 'tagihan', 'telkomsel', 'simple', 'praktis', 'harga', 'promo', 'skrg', 'login', 'simple', 'praktis', 'udah', 'google', 'apple', 'bener', 'ribet', 'ttp', 'aman', 'mantap', 'deh', '']</t>
  </si>
  <si>
    <t>['suka', 'banget', 'mytelkomsel', 'fitur', 'suka', 'fitur', 'daily', 'check', 'dapet', 'poin', 'kuota', 'internet', 'gratis', 'suka', 'paket', 'surprise', 'deal', 'paket', 'harganya', 'murah', 'kuota', 'berlimpah', 'ruah', 'habisin', 'kuota', 'internet', 'mantap', 'bener', 'mytelkomsel', '']</t>
  </si>
  <si>
    <t>['kasih', 'bintang', 'pas', 'beli', 'paket', 'kebeli', 'udah', 'coba', 'kali', 'kebeli', 'jaringan', 'lancar', 'matiin', 'daya', 'hidupin', 'buka', 'aplikasi', 'telkomsel', 'beli', 'paketnya', 'pulsa', 'tinggal', 'rupiah', 'pakai', 'hospot', 'adek', 'beli', 'paket', 'karna', 'aplikasi', 'dibuka', 'data', 'seluler', 'mati', 'tolong', 'perbaiki', 'apk']</t>
  </si>
  <si>
    <t>['udah', 'seneng', 'dapet', 'promo', 'gb', 'rb', 'lemotnya', 'emosi', 'game', 'ngelag', 'thetring', 'muter', 'mulu', 'sinyal', 'udah', 'rumah', 'kota', 'antah', 'berantah', 'sumpah', 'kesini', 'males', 'telkomsel']</t>
  </si>
  <si>
    <t>['beli', 'paket', 'masuk', 'voucher', 'telkomsel', 'domisili', 'kota', 'bogor', 'kecewa', 'sistemnya', 'coba', 'sistem', 'sibuk', '']</t>
  </si>
  <si>
    <t>['', 'mohon', 'dibantu', 'aplikasi', 'notif', 'pesan', 'pas', 'dbuka', 'pesan', 'mhon', 'bantuan', 'karenan', 'menggangu', 'uninstal', 'tetep', 'gtu', 'email', 'tpi', 'email', 'valid']</t>
  </si>
  <si>
    <t>['maaf', 'cuman', 'pulsa', 'tinggal', 'sedot', 'seribu', 'seribu', 'lumayan', 'keseringan', 'kadang', 'sedot', 'data', 'matiin', 'nelpon', 'orang', 'engga', 'ngotak', 'ngatik', 'engga', 'jaringan', 'lumayan', 'cuman', 'kendala', 'situ', 'doang', 'suka', 'kesedot', 'tolong', 'perjelas', 'perbaiki', 'secepatnya', '']</t>
  </si>
  <si>
    <t>['jaringan', 'telkomsel', 'skrang', 'kaya', 'siput', 'banget', 'sinyal', 'suka', 'stabil', 'kadang', 'sinyal', 'penuh', 'ping', 'gede', 'enak', 'banget', 'main', 'game', 'ngelag', '']</t>
  </si>
  <si>
    <t>['warga', 'indonesia', 'aplikasi', 'mytelkomsel', 'apliksi', 'diprogram', 'konsumennya', 'mudah', 'membeli', 'mengecek', 'mengontrol', 'pemakian', 'data', 'pulsa', 'suka', 'tukar', 'tukar', 'point', 'motor', 'mobil', 'telkomsel', 'provider', 'juara', 'jaya', '']</t>
  </si>
  <si>
    <t>['bintang', 'mytelkomsel', 'juara', 'dihati', 'penikmatnya', 'terbaik', 'teruss', 'suka', 'aplikasi', 'kirim', 'hadiah', 'teman', 'aplikasi', 'daily', 'check', 'mudah', 'promo', 'telkomsel', '']</t>
  </si>
  <si>
    <t>['bagus', 'aplikasi', 'bagus', 'sinyal', 'jga', 'oke', 'keren', 'deh', 'pokok', 'coba', 'boong']</t>
  </si>
  <si>
    <t>['suka', 'fitur', 'tukar', 'poin', 'penawaran', 'belanja', 'link', 'dll', 'paket', 'suka', 'gb', 'combo', 'sakti', 'rb', 'kuotanya', 'awet', 'mnt', 'tsel', 'sms', 'tsel', 'paket', 'berlangganan', 'maxstream', 'gb', 'aplikasi', 'mudah', 'fitur', 'lengkap', 'banget', 'cepat', '']</t>
  </si>
  <si>
    <t>['berulangkali', 'buka', 'aplikasi', 'buka', 'game', 'berat', 'cepetan', 'buka', 'game', 'ganti', 'provider', 'nda', 'perubaha', '']</t>
  </si>
  <si>
    <t>['tolong', 'donk', 'klu', 'janji', 'mendownload', 'mytelkomsel', 'hadiah', 'pulsa', 'kenyataannya', 'nol', 'smoga', 'apk', 'kedepannya', '']</t>
  </si>
  <si>
    <t>['maaf', 'apk', 'mengganti', 'akun', 'dana', 'terikat', 'berkali', 'kali', 'mencoba', 'log', 'out', 'akun', 'dana', 'log', 'out', 'maaf', 'kesalahan', 'sistem', 'mohon', 'cek', 'jaringan', 'ulangi', 'transaksi', 'log', 'out', 'hapus', 'ulasan', 'mohon', 'kerja', 'samanya', 'admim', '']</t>
  </si>
  <si>
    <t>['suka', 'banget', 'telkomsel', 'memudahkanku', 'beli', 'paket', 'internet', 'pas', 'butuhin', 'ditambah', 'fitur', 'tukar', 'poin', 'tukar', 'voucher', 'suka', 'beli', 'paket', 'internet', 'telkomsel', 'kedepannya', 'ditingkatkan', 'kak', 'susah', 'diakses', 'terima', 'kasih']</t>
  </si>
  <si>
    <t>['suka', 'fitur', 'beli', 'paket', 'gamemaxsilver', 'daily', 'cek', 'livestream', 'game', 'beli', 'paket', 'saldo', 'link', 'undi', 'undi', 'hepi', 'poin', 'tukar', 'saldo', 'linkaja', 'ribu', 'heheh', 'pokok', 'seru', 'min', 'semoga', 'telkomsel', 'fitur', 'fitur', 'menarik', 'semangat', 'min', '']</t>
  </si>
  <si>
    <t>['suka', 'aplikasi', 'disamping', 'memudahkan', 'pengecekan', 'sisa', 'kuota', 'pulsa', 'mudah', 'membeli', 'paket', 'harga', 'promo', 'suka', 'daily', 'check', 'check', 'kuota', 'data', 'gb', '']</t>
  </si>
  <si>
    <t>['aplikasi', 'setan', 'daftar', 'paket', 'data', 'sinyal', 'berubah', 'pulsa', 'sedot', 'merugikan', 'penipuan', 'dimana', 'sinyal', 'telkomsel', 'stabil', 'pulsa', 'terkuras', 'merugikan', '']</t>
  </si>
  <si>
    <t>['fitur', 'paket', 'sukai', 'fitur', 'fitur', 'fitur', 'poin', 'bener', 'suka', 'login', 'stamp', 'tukar', 'koin', 'kuota', 'hemat', 'pandemi', 'paket', 'paket', 'promo', 'promo', 'udah', 'sms', 'langsung', 'daftarin', 'hemat', 'pulsa', 'isi', 'dompet', 'hihii']</t>
  </si>
  <si>
    <t>['aplikasinya', 'bagus', 'mudah', 'hang', 'promo', 'menarik', 'tingkatkan', 'kestabilan', 'fungsinya', 'terima', 'kasih', '']</t>
  </si>
  <si>
    <t>['enak', 'telkomsel', 'narik', 'pulsa', 'mulu', 'isi', 'pulsa', 'cek', 'pulsa', 'sisa', 'mantap', 'telkomsel', 'gembangkan', 'penipuan', '']</t>
  </si>
  <si>
    <t>['jaringan', 'blm', 'stabil', 'putus', 'harga', 'paketan', 'terkenal', 'mahaalll', 'coooyyyy', 'paraaaaaahhhhh', 'developer', 'solusi', 'alias', 'ribet']</t>
  </si>
  <si>
    <t>['dahlah', 'telkomsel', 'bener', 'operator', 'telkomsel', 'burik', 'peningkatan', 'jaringan', 'gitu', 'mulu', 'ilang', 'tpi', 'males']</t>
  </si>
  <si>
    <t>['aplikasi', 'mytelkomsel', 'membantu', 'memudahkan', 'mengecek', 'pulsa', 'memudahkan', 'pembelian', 'paket', 'internet', 'fitur', 'suka', 'fitur', 'poin', 'kasih', 'penukaran', 'menarik', 'bermanfaat', 'terimakasih', 'telkomsel', 'telkomsel', 'the', 'best', '']</t>
  </si>
  <si>
    <t>['terimakasih', 'telkomsel', 'kedepannya', 'telkomsel', 'menjangkau', 'daerah', 'terpencil', 'kemajuan', 'teknologi', 'rasakan', 'saudara', 'disana', 'terimakasih']</t>
  </si>
  <si>
    <t>['dear', 'telkomsel', 'bbrp', 'telp', 'nomor', 'pelanggan', 'promo', 'migrasi', 'karto', 'halo', 'iming', 'jaringan', 'special', 'terbaik', 'program', 'migrasi', 'jaringan', 'telkomsel', 'buruk', 'perbaiki', 'prioritas', 'migrasi', 'kartu', 'berjalan', 'fine', 'blm', 'smpe', 'nyatatanya', 'farah', 'konfirm', 'keluhan', 'trs', 'perbaikijaringannya', 'mengecewakan', '']</t>
  </si>
  <si>
    <t>['aplikasi', 'telkomsel', 'login', 'cek', 'pulsa', 'kuotanya', 'cek', 'fitur', 'daily', 'check', 'dapet', 'poin', 'kouta', 'gratis', 'keren', 'fitur', 'belanja', 'pilihan', 'paket', 'internet', 'telpon', 'promonya', 'sukses', 'jaya', 'telkomsel']</t>
  </si>
  <si>
    <t>['seandai', 'signal', 'beralih', 'udah', 'ngisih', 'pulsa', 'ndk', 'abis', 'kelang', 'hri', 'makan', 'plsa', 'gtu', 'seterus', 'pulsa', 'biadap', 'nma', 'pdhal', 'ngk', 'pke', 'nsp', 'berlangganan', 'paket', 'mahal', '']</t>
  </si>
  <si>
    <t>['masuknya', 'susah', 'tingkatkan', 'kualitas', 'sinyal', 'akses', 'internet', 'berilah', 'reward', 'hadiah', 'langsung', 'pelanggan', 'setia', 'program', 'daily', 'check', 'pelit', 'ngasih', 'hadiahnya', 'trus', 'layanan', 'pelanggan', 'veronika', 'serius']</t>
  </si>
  <si>
    <t>['biarpun', 'kinerja', 'apk', 'lumayan', 'berat', 'apk', 'kepuasan', 'pelayanan', 'promo', 'henti', 'henti', 'apk', 'kelebihan', 'kekurangan', 'apk', 'menutupi', 'kekurangannya', 'kelibihannya', 'josssss', 'menjilat', 'mujinya', 'gitu', 'kasi', 'apk', 'diriku', 'telkomsel', 'the', 'best', '']</t>
  </si>
  <si>
    <t>['payah', 'mimin', 'telkomsel', 'ngga', 'belajar', 'kesalahan', 'kesalahannya', 'keluhkan', 'customer', 'ngga', 'penyelesaiannya', 'gimana', 'ratingnya', '']</t>
  </si>
  <si>
    <t>['timbang', 'sibuk', 'ngurusin', 'mending', 'benerin', 'jaringan', 'nggak', 'telpon', 'operator', 'berkali', 'kali', 'jawabannya', 'persero', 'indonesia', 'memperbaiki', 'sinyalnya', 'fokus', '']</t>
  </si>
  <si>
    <t>['kesini', 'parah', 'lemot', 'banget', 'gimana', 'perbaikan', 'bela', 'pindah', 'operator', 'hasilnya', 'ajah', 'operator', 'pakai', 'beli', 'kuota', 'mahal', 'hasil', 'memuaskan', 'terserah', 'mendengarkan', 'keluhan', 'perbaikan', 'mohon', 'maaf', 'terpaksa', 'pindah', 'operator', '']</t>
  </si>
  <si>
    <t>['transaksi', 'apapun', 'pulsa', 'berkurang', 'coba', 'aplikasi', 'smart', 'lock', 'kayak', 'provider', 'sebelah', 'pulsa', 'abis', 'banget', 'udah', 'mah', 'jaringan', 'koneksi', 'andalkan', 'terpaksa', 'khusus', 'darurat', 'doang']</t>
  </si>
  <si>
    <t>['aduh', 'menghentikan', 'paket', 'dngan', 'sms', 'dngan', 'dial', 'sampe', 'disuruh', 'applikasi', 'ngga', 'berhenti', 'ngerepotin', 'ampun', 'meres', 'persulit', 'donk', 'kasih', 'arahan', 'mudah', 'hubungi', 'repot']</t>
  </si>
  <si>
    <t>['kecewa', 'beratt', 'telkomsel', 'bli', 'paket', 'ketengan', 'youtube', 'beli', 'jam', 'jam', 'udh', 'abis', 'emang', 'jam', 'jam', 'jam', 'udh', 'abis', 'pdhl', 'youtube', 'udh', 'abis', 'aktif', 'paket', 'ketengannya', 'buang', 'telkomselnya', 'rekomen', 'sistemnya', 'pelit']</t>
  </si>
  <si>
    <t>['suka', 'banget', 'fitur', 'apo', 'mutelkomsel', 'memudahkan', 'cek', 'dlm', 'kali', 'klik', 'fitur', 'suka', 'daily', 'check', 'seneng', 'krna', 'udh', 'terkumpul', 'stamp', 'tuker', 'kuota', 'data', 'mantapsss', 'pokoknya', 'mytelkomselk', 'app', '']</t>
  </si>
  <si>
    <t>['tolong', 'sinyal', 'telkomsel', 'kawasan', 'kalbar', 'kab', 'ketapang', 'kec', 'tumbang', 'titi', 'perbaiki', 'thn', 'merasakan', 'lancaran', 'sinyal', 'telkomsel', '']</t>
  </si>
  <si>
    <t>['fiture', 'aplikasi', 'mudah', 'membeli', 'keterangan', 'paket', 'paham', 'membeli', 'paket', 'internet', 'malam', 'slalu', 'andalan', 'murah', 'jaringan', 'slalu', 'mantap', 'sayang', 'banget', 'aplikasi', 'didownload', 'versi', 'kasian', 'jga', 'standart', 'bsa', 'menikmati', 'aplikasi', 'masukan', 'aplikasi', 'versi', 'fiture', 'kalah', 'berbeda', 'baiknya', '']</t>
  </si>
  <si>
    <t>['dengerin', 'saranku', 'bos', 'promo', 'unlimited', 'max', 'jadikan', 'menu', 'utama', 'pengguna', 'happy', 'and', 'boros', 'cuan', 'min', 'aplikasi', 'bagus', 'memudahkan', 'pengguna', 'isi', 'pulsa', 'data', 'teruskan', 'bos', 'realisasikan', 'saran', 'gua', 'bravo', 'sukses', '']</t>
  </si>
  <si>
    <t>['suka', 'banget', 'fitur', 'kuota', 'ketengan', 'utama', 'telkomsel', 'harganya', 'murah', 'koneksinya', 'ngebut', 'cocok', 'ngezoom', 'dirumah', 'sukses', 'telkomsel', 'penggemar', 'beratmu']</t>
  </si>
  <si>
    <t>['engga', 'udah', 'pengguna', 'telkomsel', 'setia', 'kartu', 'facebook', 'puas', 'facebook', 'gratis', 'sampe', 'kartu', 'upgrade', 'kartu', 'telkomsel', 'dihati']</t>
  </si>
  <si>
    <t>['beli', 'paket', 'unlimited', 'ribu', 'udah', 'isi', 'pulsa', 'ribu', 'udah', 'transaksi', 'telkomsel', 'permainan', 'proses', 'gagal', 'udah', 'coba', 'kali', 'mlh', 'pulsa', 'berkurang', 'gimana', 'apk', 'telkomsel', 'bukanya', 'buruk', 'kebeli', 'paket', 'gamemax', 'nyesel']</t>
  </si>
  <si>
    <t>['signal', 'buruk', 'harga', 'sebanding', 'jaringan', 'stabil', 'ganti', 'provider', 'parah', 'signal', 'nonton', 'youtube', 'main', 'game', 'signal', 'astagaaa', '']</t>
  </si>
  <si>
    <t>['telkomsel', 'the', 'best', 'kualitas', 'sinyalnya', 'diragukan', 'nomor', 'dapet', 'promo', 'kuota', 'murah', 'suka', 'sel', 'beli', 'kuota', 'mumpung', 'murah', 'pokoknya', 'mantap', '']</t>
  </si>
  <si>
    <t>['intinya', 'aplikasi', 'super', 'lemot', 'sya', 'pkai', 'aplikasi', 'enak', 'enak', 'masuk', 'background', 'walpaper', 'bagus', 'super', 'lemot']</t>
  </si>
  <si>
    <t>['suka', 'paket', 'combo', 'sakti', 'unlimited', 'internetan', 'sepuasnya', 'harga', 'terjangkau', 'kantong', 'aman', 'kualitas', 'bagus', 'terpenting', 'internetan', 'sepuasnya', 'menyedot', 'pulsa', 'kuota', 'habis', '']</t>
  </si>
  <si>
    <t>['penipuu', 'pasang', 'iklan', 'redeem', 'poin', 'pas', 'redeem', 'redeem', 'berhasil', 'kerja', 'pimpinan', 'diem', 'najizzz', 'penipu', 'redeem', 'pasang', 'iklan', 'najizz', '']</t>
  </si>
  <si>
    <t>['gimana', 'beli', 'paket', 'beli', 'pakai', 'kode', 'paket', 'data', 'sekalinya', 'pakai', 'internet', 'lemot', 'ampun', 'pusla', 'maalh', 'ketarik', 'aje', 'bro', 'fungsi', 'paket', 'data', 'pulsa', 'sedot', 'ngotak', 'pandemi', 'kayak', 'gini', 'nyusahin', 'nipu', 'rakyat', '']</t>
  </si>
  <si>
    <t>['ditempat', 'daerah', 'simpati', 'oke', 'sinyal', 'bintang', 'dirumah', 'sinyal', 'rumah', 'parah', 'sinyal', 'bener', 'buruk', 'bintang', 'dirumah', '']</t>
  </si>
  <si>
    <t>['telkomsel', 'poin', 'gunanya', 'undi', 'undi', 'berhadiah', 'pembohongan', 'publik', 'parah', 'seperi', 'mimpi', 'basah', 'pindah', 'kekartu', '']</t>
  </si>
  <si>
    <t>['komplain', 'telkomsel', 'merugikan', 'isi', 'pulsa', 'nomor', 'masuknya', 'nomor', 'komplain', 'ditanggapi', 'serius', 'bot', 'muncul', 'pulsa', 'daya', 'hilang', 'ganti', 'rugi', 'kebodohan', 'tidka', 'beli', 'kuota', '']</t>
  </si>
  <si>
    <t>['suka', 'banget', 'paket', 'combo', 'unlimited', 'telkomsel', 'ambil', 'combo', 'pribadi', 'pengen', 'browsing', 'mainin', 'sosmed', 'khawatir', 'habis', 'kuota', 'dapetin', 'paket', 'combo', 'unlimited', 'main', 'seharian', 'takut', 'habis', 'paket', 'work', 'kuota', 'utama', 'habis', 'unlimited', 'sosmed', 'gamemax', 'musicmax', 'bahagia', 'telkomsel', 'puas', 'banget', 'maju', 'kembangin', '']</t>
  </si>
  <si>
    <t>['jaringan', 'telkomsel', 'lelet', 'pakai', 'combo', 'sakti', 'gb', 'lambat', 'banget', 'jaringannya', 'tolong', 'perbaiki', 'kualitas', 'jaringannya', '']</t>
  </si>
  <si>
    <t>['berlangganan', 'telkomsel', 'sampe', 'member', 'gold', 'kuota', 'sinyal', 'tpi', 'maen', 'game', 'macet', 'mulu', 'memori', 'ram', 'hujan', 'lemot', 'harga', 'kuota', 'mahal', 'tpi', 'sinyal', 'buffer', 'tolong', 'perbaiki', '']</t>
  </si>
  <si>
    <t>['telkomsel', 'bes', 'dahhh', 'kota', 'desa', 'pelosok', 'nusantara', 'sinyalnya', 'tetep', 'kuat', 'cocok', 'banget', 'influencers', 'kyak', 'tinggalnya', 'kota', 'features', 'telkomsel', 'yabg', 'suka', 'daily', 'check', 'tuker', 'point', 'gaiisss', '']</t>
  </si>
  <si>
    <t>['knapa', 'yaa', 'kemarin', 'berlangganan', 'telkomsel', 'point', 'lumayan', 'memperhatikan', 'pengisian', 'pembelian', 'paket', 'berlanjut', 'lihat', 'point', 'nol', 'memiliki', 'sisa', 'pulsa', 'terkecil', 'lupakan', 'iklhasin', 'habis', 'kemana', 'haln', 'memakai', 'internet', 'menghidupkan']</t>
  </si>
  <si>
    <t>['banget', 'error', 'bug', 'suka', 'logout', 'loadingnya', 'banget', 'beli', 'paket', 'error', 'user', 'interface', 'simple', 'ribet', 'milih', 'paket', '']</t>
  </si>
  <si>
    <t>['fitur', 'suka', 'telkomsel', 'fitur', 'isi', 'pulsa', 'money', 'pusing', 'nyari', 'counter', 'tinggal', 'conect', 'beres', 'deh', 'trus', 'paket', 'combo', 'sakti', 'unlimited', 'kuota', 'udah', 'abis', 'sosmed', 'abis', 'abis', '']</t>
  </si>
  <si>
    <t>['mytelkomsel', 'yaa', 'buka', 'aplikasi', 'system', 'maksa', 'berhenti', 'tutup', 'aplikasi', 'samsung', 'android', 'mohon', 'solusinya']</t>
  </si>
  <si>
    <t>['mytelkomsel', 'kesini', 'berkembang', 'fitur', 'bertambah', 'tampilanya', 'suka', 'banget', 'fitur', 'send', 'gift', 'ngasih', 'hadiah', 'keluarga', 'temen', 'terdekat', 'pulsa', 'paket', 'data', 'the', 'best', 'pokoknya', '']</t>
  </si>
  <si>
    <t>['jelek', 'jelek', 'jelek', 'aplikasi', 'sinyal', 'koneksi', 'telkomsel', 'mengecewakan', 'pelanggan', 'setia', 'telkomsel', 'aktif', 'kartu', 'kali', 'kecewa', 'telkomsel', 'beli', 'pulsa', 'paket', 'telkomsel', 'telkomsel', 'normal', 'terimakasih', '']</t>
  </si>
  <si>
    <t>['kartu', 'sampe', 'guw', 'telkomsel', 'kartuas', 'jaringan', 'bagus', 'fitur', 'keren', 'aplikasi', 'mytelkomselnya', 'pokoknya', 'mantap', 'kendala', 'terkadang', 'sms', 'masuk', 'sich', 'nawarin', 'pinjaman', 'online', 'sich', 'buatku', 'bosen', 'ngeliatnya', 'moga', 'kedepannya', 'diperbaiki', 'kak', '']</t>
  </si>
  <si>
    <t>['kasih', 'bintang', 'karna', 'isi', 'pulsa', 'terpotong', 'isi', 'pulsa', 'rb', 'langsung', 'pulsa', 'perbaiki', 'gimana', 'merugikan', 'orang', '']</t>
  </si>
  <si>
    <t>['yth', 'develover', 'telkomsel', 'barusan', 'aneh', 'buka', 'app', 'telkomsel', 'data', 'internet', 'tersedot', 'app', 'update', 'update', 'playstore', 'aneh', 'refresh', 'app', 'telkomsel', 'kuota', 'tersedot', 'app', 'telkomsel', 'blm', 'berkurang', 'berkurang', 'memakai', 'app', 'berkurang', 'cek', 'dial', 'phone', 'app', 'telkomsel', '']</t>
  </si>
  <si>
    <t>['mohon', 'bantuan', 'membeli', 'produk', 'telkomsel', 'kuota', 'pulsa', 'terpotong', 'data', 'masuk', 'nomer', 'kecewa', 'kali', 'mohon', 'tanggapan']</t>
  </si>
  <si>
    <t>['suka', 'banget', 'telkomsel', 'event', 'daily', 'check', 'kuota', 'gratis', 'penawaran', 'promonya', 'mudahnya', 'membeli', 'paket', 'internet', 'sms', 'nelpon']</t>
  </si>
  <si>
    <t>['suka', 'banget', 'kartu', 'perdana', 'harga', 'paketan', 'mahal', 'problem', 'akir', 'akir', 'jaringan', 'buruk', 'whatapps', 'jam', 'game', 'reconek', 'google', 'lemot', 'mohon', 'telkomsel', 'benai', 'jaringan', 'konsumen', 'lari', 'kartu', 'perdana', 'rating', 'udah', 'normal', 'jaringan', 'kasih', '']</t>
  </si>
  <si>
    <t>['udah', 'banget', 'telkomsel', 'desa', 'telkomsel', 'juara', 'sinyalnya', 'the', 'best', 'deh', 'fitur', 'tukar', 'poin', 'berkesempatan', 'dpt', 'hadiah', 'keren', 'mobil', 'daily', 'chek', 'dpt', 'bonus', 'quota', 'iiih', 'cinta', 'telkomsel', 'semoga', 'program', 'menarik', 'pelanggan', 'pda', 'seneng', 'thanks', 'telkomsel', 'superhero']</t>
  </si>
  <si>
    <t>['suka', 'fitur', 'mytelkomsel', 'mudah', 'membeli', 'paket', 'data', 'sesuai', 'pilihanku', 'penawaran', 'menarik', 'pilihan', 'suka', 'paket', 'combo', 'sakti', 'langsung', 'paket', 'tlponnya', 'irit', 'beli', 'paket', 'tlpon', 'terkadang', 'app', 'log', 'out', 'login', 'kadang', 'susah', 'semoga', 'diperbaiki', '']</t>
  </si>
  <si>
    <t>['kartu', 'simpati', 'kartu', 'halo', 'jaringan', 'sinyal', 'stabil', 'berbeda', 'kartu', 'simpati', 'namanya', 'hoax', 'ditipu', 'kayak', 'gini', 'salah', 'korban', 'marketing', 'telkomsel']</t>
  </si>
  <si>
    <t>['kecewa', 'sinyal', 'telkomsel', 'sinyal', 'kuat', 'perkampungan', 'hutan', 'idup', 'data', 'sinyal', 'mending', 'em', 'oredoo', 'sinyal', 'suport', 'jaringan', 'lancar', 'murah', 'ulimitide', 'gb', 'sampe', 'terkadang', 'kuota', 'gua', 'sampek', 'habis', 'sakin', 'kuota', 'kayak', 'telkomsel', 'maaf', 'kuota', 'habis', 'isi', 'ulang', 'sakin', 'mahal', 'sinyal', 'lemot', 'suport', 'gua', 'udah', 'ganti', 'kartu', 'em', 'murah', 'sinyal', 'suport', 'gratis', '']</t>
  </si>
  <si>
    <t>['instal', 'date', 'date', 'aplikasi', 'memory', 'muat', 'maklum', 'aplikasi', 'pabrik', '']</t>
  </si>
  <si>
    <t>['mytelkomsel', 'mudah', 'cek', 'paket', 'data', 'beli', 'paket', 'penawaran', 'menarik', 'suka', 'ngisi', 'combo', 'sakti', 'lengkap', 'bonus', 'tlp', 'smsnya', 'unlimited', 'suka', 'sayangnya', 'desa', 'sinyal', 'mendukung', 'semoga', 'diperbaiki', '']</t>
  </si>
  <si>
    <t>['beli', 'pulsa', 'paket', 'data', 'telkomsel', 'murah', 'dapet', 'cashback', 'dapet', 'poin', 'poin', 'ditukerin', 'ikutan', 'program', 'undi', 'undi', 'berhadiah', 'fitur', 'suka', 'fitur', 'poin', 'dituker', 'saldo', 'link', 'tukar', 'poin', 'telkomsel', 'emang', 'terbaikk', 'dehhh', '']</t>
  </si>
  <si>
    <t>['kecewa', 'pelanggan', 'telkomsel', 'semenjak', 'jaringan', 'telkomsel', 'lemot', 'mengganggu', 'kuliah', 'online', 'terputus', 'zoom', 'meeting', 'kecewa', 'jaringan', 'telkomsel', 'jaringan', 'parah', 'ilang', 'merugikan', 'konsumen']</t>
  </si>
  <si>
    <t>['sgt', 'buruk', 'linknya', 'ribet', 'hrs', 'via', 'sms', 'udah', 'linknya', 'dibuka', 'kaya', 'tetangga', 'sebelah', 'isi', 'pulsa', 'paket', 'internet', 'lsg', 'applikasinya', 'udah', 'gitu', 'ngecek', 'pulsa', 'via', 'telp', 'kode', 'hrs', 'nunggu', 'sms', 'smsnya', 'beda', 'sebelah', 'langsung', 'kode', 'sms', '']</t>
  </si>
  <si>
    <t>['aplikasi', 'beneran', 'bantu', 'banget', 'pengguna', 'telkomsel', 'fitur', 'andalanku', 'diskon', 'pembelian', 'paket', 'pulsa', 'suka', 'bingung', 'beli', 'pulsa', 'mending', 'beli', 'app', 'ragu', 'mama', 'isiin', 'pulsa', 'pilih', 'klik', 'murah', 'hemat', 'konter', 'mayan', 'selisih', 'jajan', 'cireng', 'terimakasih', 'telkomsel', 'laff', 'banget']</t>
  </si>
  <si>
    <t>['terbantu', 'aplikasi', 'telkomsel', 'rekomendasi', 'paket', 'internernet', 'terjangkau', 'terbantu', 'pandemi', 'great', '']</t>
  </si>
  <si>
    <t>['aplikasi', 'bagus', 'suka', 'fitur', 'fitur', 'unggulannya', 'fitur', 'suka', 'diskon', 'pembelian', 'paket', 'sediakan', 'paket', 'dibeli', 'harga', 'murah', 'diskonnya', 'pokoknya', 'mantaplah', 'terimakasih', 'telkomsel', '']</t>
  </si>
  <si>
    <t>['tolong', 'developer', 'kemarin', 'habis', 'ngisi', 'pulsa', 'ribu', 'pulsa', 'langsung', 'habis', 'memakai', 'telepon', 'sms', 'tolong', 'telkomsel', 'kembalikan', 'pulsa', 'ribu', 'maaf', 'usaha', 'kirim', 'pulsa', 'beli', 'pulsa', 'pakai', 'uang', 'langsung', 'mengambil', 'pulsa', 'beli', 'pulsa', 'pakai', 'uang', 'geratis', 'mohon', 'dimaklumi', '']</t>
  </si>
  <si>
    <t>['aplikasi', 'telkomsel', 'the', 'best', 'fitur', 'disediakan', 'lengkap', 'cek', 'saldo', 'pulsa', 'kuota', 'pengisian', 'ulang', 'prosesnya', 'mudah', 'praktis', 'menarik', 'daily', 'check', 'stamp', 'ditukarin', 'poin', 'kuota', 'top', 'banget', 'deh', 'fitur', 'menarik', 'yuk', 'buruan', 'download', 'aplikasinya', '']</t>
  </si>
  <si>
    <t>['aplikasi', 'mytelkomsel', 'memudahkan', 'beli', 'paket', 'kuota', 'internet', 'telkomsel', 'promo', 'beli', 'paket', 'internet', 'bayar', 'saldo', 'pulsa', 'money', 'suka', 'daily', 'check', 'fitur', 'mytelkomsel', 'kuota', 'gratis', 'terima', 'kasih', 'mytelkomsel']</t>
  </si>
  <si>
    <t>['suka', 'banget', 'aplikasi', 'banget', 'manfaatnya', 'pelanggan', 'hemat', 'kerasa', 'banget', 'bonus', 'poinnya', 'belanja', 'bayar', 'tagihan', 'mudah', 'terimakasih', 'mytelkomsel']</t>
  </si>
  <si>
    <t>['kuota', 'habis', 'pulsa', 'terpotong', 'operator', 'dipotong', 'kuota', 'habis', 'internet', 'pakai', 'kuota', 'pulsa', 'pulsa', 'alat', 'metode', 'pembayaran', 'nyesel', 'beli', 'perdana', 'telkomsel', 'mending', 'pindah']</t>
  </si>
  <si>
    <t>['sinyalnya', 'jelek', 'banget', 'pakai', 'maen', 'game', 'online', 'nglag', 'ampun', 'download', 'speed', 'cma', 'nyampe', 'beli', 'paket', 'rb', 'perbulan', 'giliran', 'buka', 'aplikasi', 'speed', 'download', 'kb', 'kaya', 'download', 'coba', 'perhatikan', 'speed', 'download', 'aplikasi', 'aneh', 'gue', 'mah', 'kasih', 'bintang', '']</t>
  </si>
  <si>
    <t>['fitur', 'suka', 'aplikasi', 'mytelkomsel', 'daily', 'chekin', 'dapet', 'kuota', 'geratis', 'poin', 'telkomsel', 'aplikasi', 'telkomselnya', 'bagus', 'mempermudah', 'mengecek', 'kuota', 'pulsa', 'qlo', 'beli', 'pulsa', 'kuota', 'gampang', 'top', 'deh', 'buka', 'mytelkomsel', '']</t>
  </si>
  <si>
    <t>['kuota', 'unlimited', 'kuota', 'utama', 'udh', 'abis', 'internet', 'lemot', 'beli', 'deh', 'kuota', 'utama', 'ttp', 'lemot', 'telkomsel', 'knp', 'orang', 'ngerasa', 'rugi', 'gini', 'tolong', 'fix', 'bug', 'nyaa', '']</t>
  </si>
  <si>
    <t>['suka', 'telkomsel', 'mudahkan', 'membeli', 'paket', 'nelpon', 'mingguan', 'menit', 'kuota', 'ketengan', 'telkomsel', 'poin', 'memudahkan', 'terimaksih', 'telkomsel']</t>
  </si>
  <si>
    <t>['gini', 'paket', 'data', 'berlaku', 'paket', 'tanggal', 'berlakunya', 'berkurang', '']</t>
  </si>
  <si>
    <t>['ngasih', 'bintang', 'apk', 'bagus', 'kendalanya', 'promo', 'spesial', 'terjangkau', 'event', 'check', 'daily', 'harinya', 'error', 'claim']</t>
  </si>
  <si>
    <t>['mytelkomsel', 'provider', 'terbaik', 'terbagus', 'tercinta', 'tersayang', 'fitur', 'fitur', 'mytelkomsel', 'keren', 'keren', 'fitur', 'favorit', 'combo', 'sakti', 'unlimited', 'harga', 'paket', 'murah', 'cocok', 'banget', 'perkuliahan', 'online', 'sinyal', 'lancar', 'luncur', 'kuliah', 'online', 'mudah', 'kuota', 'utama', 'habis', 'buka', 'social', 'media', 'khawatir', 'nggk', 'buka', 'sosmed', 'kuota', 'utama', 'habis', 'jatuh', 'cinta', 'mytelkomsel']</t>
  </si>
  <si>
    <t>['review', 'sob', 'mytelkomsel', 'kasih', 'bintang', 'knpa', 'aplikasi', 'membantu', 'kehabiasan', 'pulsa', 'isi', 'paket', 'tukar', 'poin', 'lengkap', 'suka', 'fitur', 'kirim', 'hadiah', 'pandemi', 'gini', 'serba', 'online', 'sekolah', 'online', 'anakku', 'kehabisan', 'kuota', 'pulsa', 'mengganggu', 'aktifitas', 'sekolahnya', 'aplikasi', 'mytelkomsel', 'membantu', 'isi', 'pulsa', 'kuota', 'cepat', 'anakku', 'jaringan', 'internet', 'juara', 'deh', 'terbaik', '']</t>
  </si>
  <si>
    <t>['aplikasinya', 'bagus', 'membantu', 'terimakasih', 'promo', 'paket', 'spesial', 'gb', 'semoga', 'telkomsel', 'memperpanjang', 'promonya', '']</t>
  </si>
  <si>
    <t>['hey', 'reviewers', 'pengguna', 'setia', 'telkomsel', 'review', 'jujur', 'mytelkomsel', 'fitur', 'suka', 'banget', 'beli', 'paket', 'pilihannya', 'banget', 'combo', 'ketengan', 'harian', 'mingguan', 'bulanan', 'harga', 'bervariasi', 'sesuai', 'kantong', 'pilihan', 'pembayarannya', 'lengkap', 'linkaja', 'ovo', 'dana', 'gopay', 'dll', 'lengkap', 'banget', 'pastinya', 'diskon', 'cashbacknya', 'very', 'rekomended', '']</t>
  </si>
  <si>
    <t>['keluarga', 'telkomsel', 'daerah', 'kampung', 'halaman', 'sinyal', 'bagus', 'memudahkan', 'mengecek', 'kuota', 'tinggal', 'buka', 'aplikasi', 'telkomsel', 'apps', 'mudah', 'mudahan', 'kedepannya', 'aminnnn']</t>
  </si>
  <si>
    <t>['', 'maen', 'game', 'ancur', 'buka', 'youtube', 'ancur', 'harga', 'mahal', 'sinyal', 'lemot', 'butuh', 'maaf', 'maunya', 'benerin', 'jaringan', 'parahh']</t>
  </si>
  <si>
    <t>['mudah', 'metode', 'pembayaran', 'pilihannya', 'untung', 'cashback', 'pembayaran', 'pilih', 'paket', 'sesuai', 'budget', 'isi', 'kantong', '']</t>
  </si>
  <si>
    <t>['paket', 'ojol', 'murah', 'lemot', 'beli', 'paket', 'datanya', 'lemot', 'semalem', 'beli', 'paket', 'data', '']</t>
  </si>
  <si>
    <t>['seneng', 'banget', 'app', 'tekkomsel', 'banget', 'keuntungannya', 'telkomsel', 'mudah', 'beli', 'paket', 'data', 'hemat', 'poin', 'transaksi', 'tukarkan', 'hadiah', 'promo', 'hemat', 'banget', 'pokoknya', 'puas', 'banget', 'deh', 'telkomsel', '']</t>
  </si>
  <si>
    <t>['koneksi', 'buruk', 'aplikasinya', 'loading', 'worth', 'banget', 'kenceng', 'internetan', 'kadang', 'pending', 'terima', 'kasih', 'telkomsel', 'menurunkan', 'rank', 'bintang']</t>
  </si>
  <si>
    <t>['tolong', 'perbaiki', 'mytelkomselnya', 'karna', 'kecewa', 'motif', 'sms', 'suruh', 'beli', 'pulsa', 'karna', 'tenggang', 'pas', 'beli', 'masuk', 'pas', 'buka', 'apk', 'mytelkomsel', 'kalinya', 'mengalami', 'belikan', 'pulsa', 'langsung', 'blok', '']</t>
  </si>
  <si>
    <t>['tolong', 'telkomsel', 'harga', 'paket', 'data', 'kasih', 'discount', 'pengguna', 'paket', 'data', 'telkomsel', 'telkomsel', 'terima', 'kasih', 'sukses', 'telkomsel']</t>
  </si>
  <si>
    <t>['gini', 'kartu', 'telkomsel', 'skrng', 'sinyal', 'jaringan', 'susah', 'paket', 'msh', 'normal', 'mahal', 'pdhl', 'kec', 'kestabilan', 'diperbaiki', 'membeli', 'paket', 'sekedar', 'tlpn', 'harian', 'telkomsel', 'nomor', 'hape', 'dicetak', 'ulang', 'jarang', 'membeli', 'paket', '']</t>
  </si>
  <si>
    <t>['suka', 'banget', 'app', 'telkomsel', 'cek', 'sisa', 'pulsa', 'kuota', 'fitur', 'sukaa', 'sihh', 'fitur', 'live', 'streaming', 'jenuhh', 'buka', 'app', 'telkomsel', 'cari', 'hiburannn', 'dehh', 'nonton', 'vidio', 'menariknya', '']</t>
  </si>
  <si>
    <t>['suka', 'error', 'poin', 'redeem', 'telkomsel', 'poinnya', 'berkurang', 'coupon', 'vouchernya', 'gmn', 'penukarannya', 'rugi', 'poin', 'poin', 'pakai', '']</t>
  </si>
  <si>
    <t>['suka', 'aplikasi', 'mytelkomsel', 'fitur', 'tukar', 'poin', 'daily', 'check', 'paket', 'internet', 'telepon', 'suka', 'favorit', 'menarik', 'paket', 'murah', 'banget', 'pokok', 'uenak', 'poll', 'trima', 'ksih', 'telkomsel', '']</t>
  </si>
  <si>
    <t>['kecewa', 'telkomsel', 'pulsa', 'habis', 'diisi', 'ulang', 'menelpon', 'menghidupkan', 'data', 'seluler', 'kali', 'tolong', 'telkomsel', 'mengatasi', '']</t>
  </si>
  <si>
    <t>['mohon', 'telkomsel', 'perbaiki', 'signal', 'pembeli', 'membeli', 'paket', 'data', 'mahal', 'ehh', 'pas', 'signal', 'nggak', 'mohon', 'perbaiki', 'secepatnya', 'mending', 'ganti', 'kartu', 'beli', 'paket', 'mahal', 'mahal', 'nggak', 'kepake']</t>
  </si>
  <si>
    <t>['halo', 'telkomsel', 'lemot', 'pakai', 'jaringan', 'lemot', 'tolong', 'diperbaiki', 'sinyalnya', 'mengganggu', 'kegiatan', 'sehari', '']</t>
  </si>
  <si>
    <t>['efektif', 'disaat', 'kuota', 'habis', 'telkomsel', 'buka', 'tolong', 'fungsikan', 'aplikasinya', 'sbg', 'mobile', 'internet', 'mmbukanya', 'gini', 'gimana', 'cek', 'kuota', 'habis', 'gmna', 'beli', 'paket', 'buka', 'apk', 'krna', 'btuh', 'intrnet']</t>
  </si>
  <si>
    <t>['suka', 'paket', 'internet', 'omg', 'gb', 'hobi', 'nonton', 'youtube', 'buka', 'tiktok', 'nonton', 'film', 'pas', 'sebulan', 'ditambah', 'suka', 'reward', 'paket', 'data', 'internetan', 'tinggal', 'pilih', 'data', 'line', 'dll', '']</t>
  </si>
  <si>
    <t>['internet', 'lokal', 'berfungsi', 'habis', 'sia', 'sia', 'ktrangan', 'lokasi', 'internet', 'lokal', 'alangkah', 'bagusnya', 'telkomsel', 'keteranagan', 'berlaku', 'internet', 'lokal']</t>
  </si>
  <si>
    <t>['mytelkomsel', 'memudahkan', 'aktifitasku', 'sisa', 'kuota', 'sisa', 'pulsa', 'poin', 'rempong', 'cek', 'via', 'sms', 'suka', 'combosakti', 'gb', 'free', 'sms', 'free', 'telpon', 'sinyal', 'kenceng', 'semoga', 'maksyosss', 'trouble', '']</t>
  </si>
  <si>
    <t>['senang', 'mudah', 'memakai', 'aplikasi', 'telkomsel', 'promo', 'the', 'best', 'telkomsel', '']</t>
  </si>
  <si>
    <t>['pengguna', 'telkomsel', 'senang', 'aplikasi', 'telkomsel', 'app', 'aplikasi', 'harga', 'paket', 'internet', 'murah', 'memudahkan', 'bertransaksi', 'fitur', 'aplikasi', 'telkomsel', 'pokoknyo', 'the', 'best', 'semoga', 'telkomsel', 'maju', 'berkembang', 'aminn', '']</t>
  </si>
  <si>
    <t>['parah', 'paket', 'kuota', 'potong', 'pulsa', 'pribadi', 'kecewa', 'setting', 'lte', 'only', 'tetep', 'malak', 'pulsa', 'nyesel', 'beli', 'kuotanya', 'mohon', 'penjelasan', 'baca', 'ulasan', 'kecewa', 'mohon', 'penjelasan', 'suruh', 'laporan', 'email', 'telkomselnya', 'butuh', 'penjelasan', 'lempar', 'lempar', 'pengguna', 'telkomsel', 'setting', 'only', 'berubah', 'aneh', '']</t>
  </si>
  <si>
    <t>['fitur', 'chek', 'bis', 'dilkukan', 'mencapai', 'ketentuan', 'pengguna', 'telkomsel', 'gift', 'telkomsel', 'paket', 'data', 'fitur', 'poin', 'dimana', 'pengguna', 'telkomsel', 'menukarkan', 'point', 'diperoleh', 'kupon', 'undian', 'hadiah', 'menarik', 'undi', 'peeiode', '']</t>
  </si>
  <si>
    <t>['login', 'mytelkomsel', 'nggak', 'sihh', 'jaringannya', 'buka', 'ytb', 'bgus', 'kucoba', 'dihp', 'pulsa', 'kesedot', 'beli', 'pulsa', 'pas', 'cek', 'udah', 'tinggal', 'gimanasihhh']</t>
  </si>
  <si>
    <t>['aplikasi', 'bermanfaat', 'berguna', 'cek', 'pulsa', 'kuorta', 'beli', 'paket', 'tukar', 'poin', 'manfaat', 'lainya', 'sekses', 'telkomsel', 'berinovasi', 'produk', 'telekomonikasi', 'indonesia']</t>
  </si>
  <si>
    <t>['jaringannya', 'berubah', 'kadang', 'kuotanya', 'dipake', 'main', 'game', 'patah', 'patah', 'kalah', 'udah', 'pindah', 'tower', 'telkomsel', 'rumah', 'suka', 'telkomsel']</t>
  </si>
  <si>
    <t>['aplikasinya', 'dibuka', 'cek', 'saldo', 'berkurang', 'diapa', 'apakan', 'aturannya', 'skrg', 'emang', 'sabotage', 'nie', 'aplikasinya', 'trouma', 'isi', 'saldo', 'ilangnya', 'kemana', '']</t>
  </si>
  <si>
    <t>['alhamdulillah', 'aplikasi', 'mytelkomsel', 'mudah', 'membeli', 'paket', 'data', 'nelpon', 'sms', 'event', 'suka', 'lucky', 'draw', 'daily', 'check', 'pokoknya', 'the', 'best', '']</t>
  </si>
  <si>
    <t>['paket', 'favorit', 'mytsel', 'paket', 'combo', 'unlimited', 'ribu', 'dapetin', 'telfon', 'menit', 'sms', 'kali', 'kesesama', 'gb', 'internet', 'kuota', 'habis', 'dapet', 'sepuasnya', 'ngeakses', 'aplikasi', 'instagram', 'facebook', 'line', 'gamemax', 'dll', 'fitur', 'tuker', 'tuker', 'poin', 'mytsel', 'favorit', 'karna', 'dijadiin', 'saldo', 'link', 'kuota', 'gratis', 'check', 'daily', 'harian', 'nukerin', 'poin', '']</t>
  </si>
  <si>
    <t>['alhamdulillah', 'mytelkomsel', 'app', 'membantu', 'promo', 'paket', 'murah', 'gampang', 'mengecek', 'saldo', 'paket', 'data', 'poin', 'promo', 'menarik', 'telkomsel', 'app', 'puas', 'pokoknya', 'telkomsel', 'terima', 'kasih', 'semoga', 'jaya', 'sukses', '']</t>
  </si>
  <si>
    <t>['tolong', 'telkomsel', 'big', 'company', 'tolong', 'membeli', 'pulsa', 'sebulan', 'tolong', 'kuota', 'habis', 'pulsanya', 'disedot', 'pulsanya', 'buatlah', 'gitu', 'tolonglah', 'sekaya', 'orang', 'beli', 'pulsa', 'terimakasih']</t>
  </si>
  <si>
    <t>['beli', 'paket', 'internet', 'kuota', 'keluarga', 'paketnya', 'tersedia', 'aktifin', 'donk', 'min', 'paket', 'kuota', 'kelurganya', 'berbagi', 'kuota', 'ortu', 'kota', '']</t>
  </si>
  <si>
    <t>['sinyal', 'jelek', 'telkomsel', 'sumpah', 'nyessel', 'banget', 'beli', 'paket', 'data', 'telkomsel', 'sinyalnya', 'buruuukkkkkkkkk', 'diperkotaan', 'buruk', 'dipedesaann', 'mahal', 'beda', 'orprator', 'murah', 'cepat', 'internetnya', 'saran', 'beli', 'kuota', 'telkomsel', 'diperbarui', 'jaringan', 'internetnya', '']</t>
  </si>
  <si>
    <t>['telkomsel', 'terkenal', 'mahal', 'jaringan', 'luas', 'terkenal', 'mahal', 'internet', 'lemooot', 'benci', 'provider', 'byu', 'not', 'good', '']</t>
  </si>
  <si>
    <t>['hilang', 'pulsa', 'ribu', 'hitungan', 'menit', 'koq', 'kayak', 'dicopet', 'perusahaan', 'dinotif', 'dikasih', 'tanda', 'centang', 'hijau', 'transaksi', 'beli', 'paket', 'internet', 'ceria', 'berhasil', 'kacau', 'sistemnyaaa', '']</t>
  </si>
  <si>
    <t>['pribadi', 'pengguna', 'telkomsel', 'pedesaan', 'sinyal', 'stabil', 'aplikasi', 'telkomsel', 'puas', 'aplikasi', 'membantu', 'simple', 'penawaran', 'menarik', 'murah', 'bonus', 'mantul', 'pokok', 'ilove', 'telkomsel', '']</t>
  </si>
  <si>
    <t>['suka', 'banget', 'telkomsel', 'memudahkan', 'membeli', 'paket', 'fiturnya', 'mudah', 'dimengerti', 'sederhana', 'sekeluarga', 'langganan', 'package', 'combo', 'sakti', 'beli', 'paket', 'langsung', 'gratis', 'nelpon', 'sms', 'voucher', 'kuy', 'tunggu', 'download', 'xixi']</t>
  </si>
  <si>
    <t>['tolong', 'perhatikan', 'jaringan', 'telkomsel', 'kesini', 'jelek', 'harga', 'paketan', 'kuota', 'murah', 'kualitas', 'jelek', 'sesuai', 'harga', 'paketan', 'kuota', '']</t>
  </si>
  <si>
    <t>['fitur', 'membeli', 'paket', 'beli', 'pembelian', 'efektif', 'efisien', 'hars', 'berbelit', 'memencet', 'kode', 'panggilan', 'mengakses', 'menu', 'pembelian', 'terimakasih', '']</t>
  </si>
  <si>
    <t>['aplikasi', 'telkomsel', 'mempermudah', 'mengecek', 'saldo', 'pulsad', 'paket', 'internet', 'aplikasi', 'bermanfaat', 'membeli', 'paket', 'bulanan', 'combo', 'sakti', 'buka', 'aplikasi', 'klik', 'recent', 'purchase', 'kit', 'membeli', 'paket', 'efektif', 'efisien', 'terimakasih', '']</t>
  </si>
  <si>
    <t>['kecewa', 'aplikasinya', 'beli', 'kouta', 'pembayaran', 'aplikasi', 'dana', 'paket', 'kouta', 'masuk', 'saldo', 'dana', 'berkurang', '']</t>
  </si>
  <si>
    <t>['pindah', 'provider', 'gambar', 'matahari', 'telkomsel', 'harapan', 'sinyal', 'internet', 'bagus', 'didaerah', 'bandung', 'sinyal', 'parah', 'internet', 'lemot', 'mahal', 'hadeuuuhhh', 'tolong', 'presiden', 'jokowi', 'telkomsel', '']</t>
  </si>
  <si>
    <t>['paket', 'combo', 'sakti', 'unlimited', 'dipakek', 'yaa', 'ngadat', 'bnget', 'sinyal', 'kmaren', 'kmaren', 'unlimited', 'lancar', 'lancar', 'lok', 'kuota', 'utama', 'habis', 'unlimited', 'pakek']</t>
  </si>
  <si>
    <t>['fitur', 'suka', 'mytelkomsel', 'fitur', 'cek', 'sisa', 'pulsa', 'cek', 'sisa', 'kuota', 'mudah', 'mengontrol', 'sisa', 'pulsa', 'kuota', 'paket', 'combo', 'sakti', 'unlimitide', '']</t>
  </si>
  <si>
    <t>['suka', 'banget', 'aplikasi', 'fitur', 'buy', 'package', 'membantu', 'mempermudah', 'membeli', 'paket', 'data', 'love', 'telkomsel', '']</t>
  </si>
  <si>
    <t>['fitur', 'suka', 'suka', 'kuota', 'murah', 'murah', 'banget', 'ceria', 'gb', 'gb', 'all', 'net', 'gb', 'min', 'hr', 'rb', 'skrng', 'untungkan', 'kuota', 'murah', 'banget', 'telkomsel', 'udah', 'stay', 'ajah', 'kuota', 'murah', 'ilang', 'kaya', '']</t>
  </si>
  <si>
    <t>['jujur', 'dlu', 'suka', 'banget', 'app', 'mytelkomsel', 'apalg', 'karna', 'appnya', 'dipermudah', 'beli', 'pulsa', 'beli', 'paket', 'msih', 'byk', 'manfaat', 'app', 'mytelkomsel', 'ngadain', 'promo', 'paket', 'fitur', 'sukai', 'fitur', 'daily', 'check', 'karna', 'tukar', 'point', 'paket', 'fitur', 'surprise', 'deal', 'karna', 'momen', 'promo', 'paket', 'gila', 'gilaan', 'terbaik', 'deh', 'telkomsel', '']</t>
  </si>
  <si>
    <t>['tolong', 'sinyalllnya', 'perbaikii', 'telkomsel', 'sinyalnya', 'bagus', 'daerah', 'gua', 'gaada', 'sinyalnya', 'indonesia', 'telkom', 'bagus', '']</t>
  </si>
  <si>
    <t>['jariangan', 'telkomsel', 'enak', 'banget', 'main', 'game', 'server', 'gamenya', 'indo', 'tolong', 'masak', 'enak', 'kalah', 'joss', 'exis', 'main', 'game']</t>
  </si>
  <si>
    <t>['ngerti', 'kmn', 'ilangnya', 'pulsa', 'dlm', 'bbrapa', 'jam', 'ilang', 'rb', 'beli', 'paket', 'data', 'pdhal', 'aktif', 'knp', 'ilang', 'ngerti', 'pngn', 'nangis', 'pdhal', 'paket', 'internet', 'msh', 'gb', 'knp', 'knp', 'kecewa', 'sulit', 'keuangan', 'gini', 'coba', '']</t>
  </si>
  <si>
    <t>['mantap', 'beli', 'paket', 'tukar', 'poin', 'mudah', 'aplikasi', 'suka', 'fitur', 'tukar', 'poin', 'poin', 'ditukar', 'saldo', 'linkaja', 'kasih', 'promosi', 'ginian', '']</t>
  </si>
  <si>
    <t>['pengguna', 'telkomsel', 'telkomsel', 'memudahkan', 'pembelian', 'paket', 'paket', 'menu', 'aplikasi', 'suka', 'sukai', 'pembelian', 'paket', 'belanja', 'tukar', 'poin', 'jelajah', 'rutin', 'menu', 'tersedia', 'telkomsel', 'telkomsel', 'life', '']</t>
  </si>
  <si>
    <t>['paket', 'sukai', 'telkomsel', 'paket', 'combo', 'sakti', 'karna', 'cocok', 'kalangan', 'mahasiswa', 'revisian', 'skripsi', 'melalaui', 'daring', 'semoga', 'paket', 'sukses', 'telkomsel', '']</t>
  </si>
  <si>
    <t>['smp', 'skrng', 'udah', 'pakai', 'provider', 'diaa', 'mengerti', 'suka', 'ganti', 'kartu', 'internetan', 'jatuh', 'cinta', 'provider', 'inii', 'ajahhh', 'internetan', 'nelpon', 'dll', 'bisaa', 'karna', 'skrng', 'pakett', 'udahh', 'internetan', 'nelpon', 'sms', 'dll', 'unlimited', 'jdinya', 'ndak', 'lagii', 'beliii', 'kuota', 'mingguan', 'fix', 'debat', 'syukaaaaa', '']</t>
  </si>
  <si>
    <t>['keuntungan', 'aplikasi', 'telkomsel', 'semoga', 'aplikasi', 'telkomsel', 'layanan', 'terbaik', 'memuaskan', 'kedepannya', 'menjadikan', 'produk', 'nomor', 'dikenal', 'dicintai', 'masyarakat', 'sukses', 'maju', 'telkomsel', '']</t>
  </si>
  <si>
    <t>['suka', 'cinta', 'deh', 'mytelkomsel', 'memudahkanku', 'membeli', 'paket', 'internet', 'fitur', 'keren', 'keren', 'salah', 'satunya', 'telkomsel', 'poin', 'hadiah', 'kece', 'dapatkan', 'menukar', 'poin', 'telkomsel', 'pokoknya', 'telkomsel', 'recommended', 'banget', '']</t>
  </si>
  <si>
    <t>['suka', 'fitur', 'shop', 'aplikasi', 'mytelkomsel', 'simple', 'pakai', 'ribet', 'beli', 'paket', 'data', 'telp', 'sms', 'paket', 'suka', 'combo', 'sakti', 'dlm', 'paket', 'dpt', 'data', 'bonus', 'telp', 'sms', 'love', 'you', 'mytelkomsel', '']</t>
  </si>
  <si>
    <t>['telkomsel', 'kartu', 'mahal', 'signal', 'gagak', 'nyesel', 'beli', 'paket', 'mahal', 'jaringannya', 'lemot', 'parah', 'telkomsel', 'hah', 'gini', 'fiks', 'pindah', 'kartu', 'baiki', 'signalnya', 'pengguna', 'setia', 'kecewa', 'mohon', 'perbaiki', '']</t>
  </si>
  <si>
    <t>['setia', 'pelanggan', 'telkomsel', 'suka', 'aplikasi', 'mytelkomsel', 'mudah', 'cek', 'kuota', 'pulsa', 'beli', 'paket', 'data', 'pembayarannya', 'wallet', 'tukar', 'poin', 'mytelkomsel', 'pokoknya', 'the', 'best', 'banget', 'deh', 'bermanfaat', 'fitur', 'suka', 'banget', 'tukar', 'poin', 'daily', 'chek', '']</t>
  </si>
  <si>
    <t>['suka', 'daily', 'check', 'poin', 'paket', 'data', 'mpe', 'kuota', 'gratis', 'promo', 'paket', 'superdeal', 'mantap', 'deh', 'telkomsel', '']</t>
  </si>
  <si>
    <t>['fitur', 'poin', 'beli', 'paket', 'disukai', 'aplikasi', 'paket', 'bulannya', 'beli', 'combo', 'sakti', 'paket', 'lengkap', 'internet', 'telepon', 'aplikasi', 'terkadang', 'down', 'stabil', 'telkomsel', 'pilihan', 'belasan', 'tingkatkan', 'fitur', 'fitur', 'aplikasi', 'modern', 'mudah', 'kalangan', 'kecepatan', 'internet', '']</t>
  </si>
  <si>
    <t>['mohon', 'maaf', 'jaringan', 'stabil', 'pindah', 'main', 'game', 'lemot', 'mengganggu', '']</t>
  </si>
  <si>
    <t>['pelayanan', 'memuaskan', 'ujung', 'timur', 'indonesia', 'tepatnya', 'papua', 'segi', 'harga', 'terjangkau', 'promisi', 'segi', 'sinyal', 'setabil', 'menghubungi', 'keluarga', 'jawa', 'kegunung', 'nyari', 'sinyal', 'terimaksih', 'telkomsel', '']</t>
  </si>
  <si>
    <t>['paket', 'promo', 'unlimited', 'paket', 'gb', 'mantap', 'fitur', 'daily', 'check', 'keren', 'bonus', 'fitur', 'pembayaran', 'wallet', 'transaksi', 'untung', 'cashback']</t>
  </si>
  <si>
    <t>['puas', 'fitur', 'apps', 'salah', 'satunya', 'berlangganan', 'paket', 'combo', 'sakti', 'bulanan', 'nyaman', 'paket', 'lengkapnya', 'paket', 'internet', 'multimedia', 'unlimited', 'telepon', 'sms', 'puaslah', 'pokoknya', 'jaya', 'telkomsel', '']</t>
  </si>
  <si>
    <t>['desember', 'januari', 'knapa', 'jaringan', 'telkomsel', 'buruk', 'telkomsel', 'terparah', 'kayanya', 'desember', 'jaringan', 'ilang', 'main', 'game', 'online', 'mobile', 'pakai', 'telkomsel', 'main', 'game', 'online', 'gangguan', 'pemberitahuan', 'terkait', 'gngguan', 'skarang', 'sma', 'mohon', 'penjelasannya', 'kaya', 'gini', 'pindah', 'provider', 'utama', 'jaringan', 'internet']</t>
  </si>
  <si>
    <t>['pakai', 'telkomsel', 'praktis', 'kehabisan', 'pulsa', 'kuota', 'capek', 'rumah', 'tinggal', 'klik', 'klik', 'rebahan', 'beli', 'kuota', 'hemat', 'langsung', 'tukar', 'poin', 'sesuka', 'hati', 'cuss', 'dwnld', 'dijamin', 'nyesel', 'deh', '']</t>
  </si>
  <si>
    <t>['tolong', 'telkomsel', 'perbaiki', 'jaringannya', 'pindah', 'server', 'jujur', 'kecewa', 'banget', 'telkomsel', 'beli', 'kuota', 'mahal', 'pakei', 'coba', '']</t>
  </si>
  <si>
    <t>['pakai', 'telkomsel', 'jaringanya', 'buruk', 'kecepatan', 'internetnya', 'berkurang', 'drastis', 'ganti', 'jaringan', 'dapet', 'akses', 'internet', 'telkomsel', 'menjaga', 'kualitasnya', 'dibiarkan', 'ganti', 'provider']</t>
  </si>
  <si>
    <t>['aplikasi', 'wuww', 'cape', 'cek', 'kuota', 'kehabisan', 'kuota', 'tinggal', 'pilih', 'sesuai', 'selara', 'tencu', 'bingit', 'telkomsel', 'wuhhhu', '']</t>
  </si>
  <si>
    <t>['suka', 'aplikasi', 'memudahkan', 'cek', 'kuota', 'cek', 'pulsa', 'milih', 'macem', 'kuota', 'sesuai', 'kebutuhan', 'program', 'daily', 'check', 'oke', 'dapet', 'kuota', 'bayar', 'kadang', 'dpt', 'reward', 'instagram', 'youtube', 'whatsapp', 'gb', 'seharga', 'semoga', 'promo', 'mytelkomsel']</t>
  </si>
  <si>
    <t>['telkomsel', 'membantu', 'gamer', 'mudah', 'beli', 'kuota', 'pitur', 'membantu', 'transaksi', 'gampang', 'plus', 'promo', 'enak', 'banget', 'top', 'diamond', 'link', 'jaringannya', 'stabil', 'intinya', 'telkomsel', 'the', 'beast', 'puas', 'telkomsel', 'murah', '']</t>
  </si>
  <si>
    <t>['perbaiki', 'kualitas', 'sinyal', 'telkom', 'kayak', 'main', 'game', 'lemot', 'banget', 'game', 'isinya', 'curhatan', 'kebencian', 'keluh', 'kesah', 'player', 'telkomsel', 'lemot', 'sinyal', 'ancur', 'download', 'nonton', 'parah', 'buffering', 'banget', 'mahal', 'doang', 'kualitas', 'mah']</t>
  </si>
  <si>
    <t>['fitur', 'beli', 'paket', 'pergi', 'konter', 'tukang', 'jual', 'pulsa', 'beli', 'paket', 'data', 'paket', 'internet', 'telepon', 'sms', 'mantap']</t>
  </si>
  <si>
    <t>['halo', 'telkomsel', 'bersyukur', 'banget', 'telkomsel', 'udah', 'dri', 'jaman', 'skolah', 'udh', 'telkomsel', 'sekarangpun', 'udh', 'nikah', 'anak', 'telkomsel', 'sllu', 'mnjadi', 'terbaik', 'hati', 'jaringannya', 'bagus', 'harga', 'hemat', 'banget', 'fiturnya', 'aplikasi', 'telkomsel', 'telkomsel', 'emang', 'the', 'best', '']</t>
  </si>
  <si>
    <t>['suka', 'banget', 'aplikasi', 'mytelkomsel', 'fiturnya', 'banget', 'tuker', 'poin', 'hadiahnya', 'main', 'main', 'promonya', 'banget', 'top', 'markotop', 'deh', 'telkomsel', 'pengguna', 'telkomsel', 'seneng', 'banget', 'aplikasi', 'mytelkomsel', 'favorit', 'mytelkomsel', 'banget', 'ngasih', 'diskon', 'pengguna', 'telkomsel', 'beli', 'hemattt', 'sisanya', 'deh', 'love', 'telkomsel']</t>
  </si>
  <si>
    <t>['sinyal', 'telkomsel', 'jelek', 'banget', 'mencerminkan', 'semboyan', 'indonesia', 'maju', 'telkomsel', 'pemerintah', 'maju', 'maju', 'pemerintah', 'maju', 'duluan']</t>
  </si>
  <si>
    <t>['salah', 'suka', 'aplikasi', 'telkomsel', 'beli', 'paket', 'kuota', 'muda', 'simple', 'berlangganan', 'kartu', 'berlangganan', 'paket', 'kuota', 'combo', 'sakti', 'unlimited', 'ribet', 'pergi', 'counter', 'love', 'telkomsel']</t>
  </si>
  <si>
    <t>['terimakasih', 'telkomsel', 'aplikasinya', 'mudah', 'pembelian', 'paket', 'mudah', 'murah', 'aplikasinya', 'kuota', 'gratis', 'daily', 'ceki', 'aplikasi', 'undi', 'undi', 'hepi', 'berhadiah', 'tinggal', 'klik', 'aplikasi', 'semoga', 'biaa', 'berkesempatan', 'menang', 'undi', 'poin', 'sukses', 'mytelkomsel', '']</t>
  </si>
  <si>
    <t>['promo', 'msih', 'beli', 'bbrpa', 'knpa', 'beli', 'pdahal', 'msih', 'tertera', 'tulisan', 'menu', 'beli', 'paket', 'tolong', 'perbaiki', 'sayangkan', 'php', 'kya', 'gini']</t>
  </si>
  <si>
    <t>['suka', 'apk', 'mudah', 'pembelian', 'paket', 'bonus', 'telfon', 'keluarga', 'dikampung', 'telkomsel', 'sinyal', 'disana', 'lancar', 'rekomended', 'banget', 'menurutku', 'tukar', 'poin', 'haduuuhh', 'seneng', 'banget', 'tukar', 'poin', 'kebetuhan', 'ditukar', 'potongan', 'harga', 'apk', 'linkaja', 'semoga', 'kedepannya', 'bonus', '']</t>
  </si>
  <si>
    <t>['kecewa', 'kesal', 'sinyal', 'parah', 'lelet', 'ngga', 'sinyal', 'wifi', 'pakai', 'data', 'internet', 'mati', 'mewakili', 'pengguna', 'telkomsel', 'kecewa', 'udah', 'paket', 'mahallll', 'kualitas', 'sinyal', 'parah', 'mohon', 'perbaiki', 'orang', 'berpindah', 'operator', 'jaringan', 'tks', '']</t>
  </si>
  <si>
    <t>['', 'fave', 'aplikasi', 'aps', 'cek', 'pulsa', 'cek', 'kuota', 'beli', 'paket', 'tukar', 'poin', 'bayar', 'shopeepay', 'skrg', 'cashback', 'pokoknya', 'setia', 'deh', 'mytelkomsel', 'the', 'one', 'and', 'only', '']</t>
  </si>
  <si>
    <t>['terserah', 'orang', 'aplikasi', 'mytelkomsel', 'membantu', 'cek', 'pulsa', 'kuota', 'harapan', 'mudah', 'mudahan', 'sinyal', 'jaringan', 'telkomsel', 'thanks', 'telkomsel', 'indonesia']</t>
  </si>
  <si>
    <t>['telkomsel', 'jaringan', 'buruk', 'nyesal', 'bangat', 'telkomsel', 'sayang', 'kartunya', 'dibuang', 'udah', 'nomor', 'saran', 'beli', 'kartu', 'mikir', 'beli', 'kartu', 'telkomsel']</t>
  </si>
  <si>
    <t>['mytelkomsel', 'ngebantu', 'banget', 'ngecek', 'kuota', 'pas', 'pembelian', 'kuotajadi', 'praktis', 'promo', 'promo', 'kuota', 'app', 'jdi', 'hemat', 'fitur', 'telkomsel', 'poinnya', 'banget', 'hadiahnya', '']</t>
  </si>
  <si>
    <t>['pakai', 'aplikasi', 'menyenangkan', 'beli', 'pilih', 'paket', 'internet', 'ribet', 'reward', 'lho', 'recommend', 'deh', 'pokoknya']</t>
  </si>
  <si>
    <t>['suka', 'aplikasi', 'mytelkomsel', 'daily', 'checkin', 'penukaran', 'poin', 'aplikasi', 'mudah', 'semoga', 'kedepannya', 'tampilannya', 'perbarui', 'keren']</t>
  </si>
  <si>
    <t>['jaringannya', 'astagfirullah', 'jelek', 'bangettttt', 'gerimis', 'sinyal', 'jaringan', 'hilang', 'pdhl', 'harga', 'paketanny', 'murah', 'jaringanny', 'jelek', '']</t>
  </si>
  <si>
    <t>['kuota', 'aplikasi', 'unlimited', 'otomatis', 'terpakai', 'top', 'paket', 'gunanya', 'unlimited', '']</t>
  </si>
  <si>
    <t>['pengguna', 'telkomsel', 'zaman', 'smp', 'sampe', 'kuliah', 'the', 'best', 'tinggal', 'daerah', 'pelosok', 'signalnya', 'baguss', 'fitur', 'chek', 'hadiahnya', 'dapt', 'bonus', 'kuota', 'internet', 'telkomsel', 'poin', 'tukar', 'voucher', 'voucher', 'rekomendasi', '']</t>
  </si>
  <si>
    <t>['fitur', 'suka', 'mytelkomsel', 'fitur', 'reward', 'extra', 'kuota', 'fitur', 'kerren', 'menarik', 'bangettt', 'aktif', 'check', 'aplikasi', 'mytelkomsel', 'reward', 'ekstra', 'kuota', 'wahh', 'seneng', 'bangettt', 'lupa', 'mytelkomsel', 'aktivitasku', '']</t>
  </si>
  <si>
    <t>['app', 'membantu', 'beli', 'paket', 'data', 'murah', 'belinya', 'simpel', 'banget', 'fitur', 'suka', 'beli', 'paket', 'data', 'fitur', 'tukar', 'poin', 'semoga', 'kedepannya', 'ditingkatkan', 'fitur', 'promo', 'good', 'luck', 'team', 'developer', 'telkomsel', 'app', '']</t>
  </si>
  <si>
    <t>['paket', 'suka', 'telkomsel', 'combo', 'sakti', 'unlimeted', 'why', 'harga', 'murah', 'banget', 'kuota', 'low', 'kuota', 'internet', 'utama', 'mengakses', 'konten', 'kuota', 'nelpon', 'telkomsel', 'kuota', 'sms', 'telkomsel', 'full', 'jam', 'loe', 'paket', 'jaringan', 'telkomsel', 'emang', 'top', 'deh', '']</t>
  </si>
  <si>
    <t>['aplikasi', 'kemudahan', 'promonya', 'berlimpah', 'suka', 'fitur', 'tukar', 'poin', 'bener', 'bener', 'bermanfaat', 'banget', 'aplikasi', '']</t>
  </si>
  <si>
    <t>['suka', 'telkomsel', 'memudahkan', 'pembelian', 'paket', 'data', 'promo', 'menarik', 'pinjam', 'kouta', 'darurat', 'suka', 'fitur', 'tukar', 'poin', 'daily', 'check', 'aplikasi', 'membantu', 'kemudahan', 'terbaik', 'pokok']</t>
  </si>
  <si>
    <t>['', 'recommend', 'jaringan', 'telkomsel', 'parah', 'lemot', 'kayak', 'hujan', 'lemot', 'udah', 'mahal', 'harganya', 'mah', 'harga', 'mahal', 'kecepatan', 'jaringannya', 'bagus', '']</t>
  </si>
  <si>
    <t>['gmn', 'beli', 'paket', 'data', 'pdhal', 'udh', 'update', 'restar', 'udh', 'pindah', 'udah', 'sinyal', 'bagus', 'knpa', 'beli', 'paket', 'data', '']</t>
  </si>
  <si>
    <t>['telkomsel', 'jaringann', 'internetnya', 'lelet', 'bangat', 'ngisi', 'combo', 'kayak', 'kayak', 'gini', 'mending', 'pindah', 'provider', '']</t>
  </si>
  <si>
    <t>['apk', 'sya', 'suka', 'manfaat', 'poin', 'daily', 'check', 'menukarkan', 'poin', 'program', 'undian', 'hepi', 'terima', 'kasih', 'telkomsel']</t>
  </si>
  <si>
    <t>['aplikasi', 'peluang', 'manfaat', 'penggunanya', 'suka', 'aplikasi', 'telkomsel', 'daily', 'check', 'situ', 'manfaat', 'contoh', 'poin', 'diskon', 'allshop', 'kuota', 'kalah', 'hebatnya', '']</t>
  </si>
  <si>
    <t>['jaringannya', 'ngga', 'stabil', 'kadang', 'kadang', 'bagus', 'kadang', 'buruk', 'kemaren', 'jaringannya', 'bagus', 'jaringannya', 'rusak', 'mohon', 'jaringannya', 'cepet', 'perbaiki', 'karenasaya', 'pengguna', 'kartu', 'telkomsel', 'puas', 'jaringannya']</t>
  </si>
  <si>
    <t>['pinjam', 'pulsa', 'combo', 'rb', 'stlh', 'isi', 'pls', 'rb', 'udah', 'kepotong', 'ribu', 'sisa', 'ribu', 'bilg', 'blm', 'byr', 'giliran', 'beli', 'pls', 'rb', 'kepotong', 'rb', 'tolong', 'telkomsel', 'perbaikin', 'udah', 'langganan', 'kesini', 'jelek', '']</t>
  </si>
  <si>
    <t>['buruk', 'beralih', 'kartu', 'halo', 'peoritas', 'buruk', 'sinyal', 'internet', 'lelet', 'padah', 'ganti', 'kentang', '']</t>
  </si>
  <si>
    <t>['aplikasi', 'kece', 'promo', 'kemudahan', 'ditawarkan', 'suka', 'daily', 'checkin', 'dapatkan', 'poin', 'kuota', 'membantu', 'banget', 'deh', 'pokoknya']</t>
  </si>
  <si>
    <t>['aplikasi', 'rekomendasi', 'banget', 'knp', 'rekomendasi', 'cek', 'pulsa', 'cek', 'kuota', 'beli', 'kuota', 'aplikasi', 'mytelkomsel', 'sukai', 'fiturnya', 'poinnya', 'guys', 'knp', 'poin', 'tukarkan', 'hadiah', 'guys', 'kyk', 'saldo', 'linkaja', 'dll', 'guys', 'guys', 'yuk', 'buruan', 'download', 'mytelkomsel', 'guys']</t>
  </si>
  <si>
    <t>['satunya', 'alasan', 'pakai', 'provider', 'gara', 'nomornya', 'udah', 'dipake', 'bertahun', 'mah', 'gaenak', 'banget', 'ngeclaim', 'kouta', 'lokal', 'masuk', 'akal', 'dlu', 'dipake', 'tempa', 'aktivasi', 'kouta', 'engga', 'kesel', 'isi', 'ulang', 'kouta', 'pulsa', 'berulang', 'gara', 'paket', 'kosong', 'tbtb', 'pulsa', 'kepake', 'notif', 'kepake', 'abis', 'pulsa', 'aneh']</t>
  </si>
  <si>
    <t>['pakai', 'kartu', 'telkomsel', 'banget', 'aplikasi', 'mytelkomsel', 'kaena', 'penawaran', 'paket', 'seru', 'promo', 'menarik', 'tukar', 'poin', 'hasil', 'isi', 'ulang', 'pulsa', 'suka', 'beli', 'paket', 'combo', 'sakti', 'unlimited', 'harga', 'sesuai', 'saku', 'kebutuhan', 'kuotanya', 'pilih', 'puas', 'banget', 'nonton', 'youtube', 'main', 'tiktok', 'instagram', 'facebook', 'whatsapp', 'line', 'beli', 'paketnya', 'gampang', 'pakai', 'pulsa', 'pakai', 'gopay', 'linkaja', '']</t>
  </si>
  <si>
    <t>['promo', 'suka', 'kouta', 'ketenangan', 'utama', 'kouta', 'ketenangan', 'instagram', 'super', 'duperr', 'wowww', 'bangett', 'dibawah', 'rb', 'udah', 'dapet', 'kouta', 'ketenangan', 'unlimited', 'ituu', 'butuhin', 'sehari', 'harinya', 'suka', 'promo', 'unlimited', 'rbu', 'puas', 'bersosmed', 'batas', 'daily', 'check', 'dapet', 'kouta', 'gb', 'looohhh', 'wowww', 'asikk', 'pokoknya', 'jiwaku', 'jiwa', 'telkomsel', 'love', 'you', 'telkomsel', 'jaya', 'teruss', '']</t>
  </si>
  <si>
    <t>['jelek', 'telkomsel', 'lemot', 'admin', 'menyalah', 'pelanggan', 'coba', 'perbaiki', 'cek', 'benrlemot', 'peforma', 'jelek', 'internetan']</t>
  </si>
  <si>
    <t>['pakai', 'telkomsel', 'mudah', 'dimana', 'klau', 'fitur', 'suka', 'tukar', 'point', 'ditukar', 'jgan', 'lupa', 'beli', 'combo', 'bonus', 'nelp', 'sms', 'kuota', 'mantap']</t>
  </si>
  <si>
    <t>['login', 'gimana', 'make', 'aplikasinya', 'coba', 'some', 'thing', 'went', 'wrong', 'udah', 'kali', 'coba', 'login', 'ampas']</t>
  </si>
  <si>
    <t>['memakai', 'telkomsel', 'nomor', 'ganti', 'kuliah', 'anak', 'hehehe', 'bawa', 'kemana', 'sinyalnya', 'mantap', 'kekuatan', 'sinyal', 'ragukan', 'kampung', 'pedalaman', 'sumatra', 'kagum', 'telkomsel', 'udah', 'gitu', 'paketan', 'unlimitednya', 'josss', 'pokoknya', '']</t>
  </si>
  <si>
    <t>['log', 'mytelkomsel', 'dapatkan', 'informasi', 'promo', 'promo', 'terbaru', 'telkomsel', 'pembelian', 'paket', 'internet', 'mudah', 'sisa', 'pulsa', 'kuota', 'sentuh', 'pokok', 'mytelkomsel', 'membantu', 'pelangganya', 'layanan', 'telkomsel']</t>
  </si>
  <si>
    <t>['suka', 'banget', 'fitur', 'cek', 'kuota', 'pulsa', 'beli', 'paket', 'data', 'fitur', 'cek', 'kuota', 'pulsa', 'telat', 'isi', 'pulsa', 'beli', 'paket', 'data', '']</t>
  </si>
  <si>
    <t>['terimakasih', 'yaa', 'mytelkomsel', 'membersamai', 'rakyat', 'indonesia', 'bnyak', 'fitur', 'mytelkomsel', 'suka', 'veronica', 'kendala', 'ribet', 'tinggal', 'hubungin', 'veronica', 'beres', 'daily', 'check', 'dpt', 'poin', 'kuota', 'plg', 'suka', 'paket', 'combo', 'unlimeted', 'aahh', 'mantaps', 'pkonya', 'mytelkomsel', '']</t>
  </si>
  <si>
    <t>['pulsa', 'berkurang', 'memakai', 'tolong', 'bngt', 'perbaiki', 'bug', 'dirugikan', '']</t>
  </si>
  <si>
    <t>['aplikasi', 'membantu', 'merepotkan', 'ram', 'lemot', 'telkomsel', 'terkenal', 'kecanggihan', 'unggulannya', 'kecewa', 'pelanggan', 'aplikasi', 'lemotnya', 'pakai', 'gagal', 'loading', 'dsb', 'recommended', 'pokoknya', 'file', 'pokoknya', 'gile', 'kagak', 'neh', 'aplikasi', 'pencet', 'langsung', 'tampil', 'aplikasi', 'provider', 'sebelah', '']</t>
  </si>
  <si>
    <t>['', 'telkomsel', 'prioritasku', 'fitur', 'fitur', 'menarik', 'ketinggalan', 'promo', 'promo', 'menariknya', 'kumpulkan', 'poinnya', 'tukar', 'terimakasih', 'mytelkomsel', '']</t>
  </si>
  <si>
    <t>['jaringan', 'bagus', 'knpa', 'leg', 'mulu', 'main', 'game', 'aneh', 'mah', 'perbaiki', 'rugi', 'jadinyaa', 'main', 'game', 'kalah', 'kara', 'leg', 'trys', 'kecewa', 'pkonyaa', 'mah']</t>
  </si>
  <si>
    <t>['udah', 'kerasa', 'udh', 'aplikasi', 'mytelkomsel', 'udh', 'bagus', 'banget', 'aplikasinya', 'ringan', 'mudah', 'mengerti', 'fitur', 'lengkap', 'salah', 'fitur', 'suka', 'banget', 'beli', 'paket', 'yes', 'beli', 'paket', 'untungnya', 'cashback', 'diskonnya', 'transaksinya', 'super', 'lengkap', 'linkaja', 'ovo', 'gopay', 'dana', 'dll', 'nyesel', 'mytelkomsel', 'udh', 'mudah', 'untungnya', 'thks', 'mytelkomsel', '']</t>
  </si>
  <si>
    <t>['mytelkomsel', 'aplikasi', 'self', 'service', 'user', 'experience', 'mudah', 'pelanggan', 'telkomsel', 'isi', 'pulsa', 'bayar', 'tagihan', 'mencari', 'aktivasi', 'paket', 'cek', 'tukar', 'poin', 'langkah', 'mudah', 'mytelkomsel', 'penggunaan', 'data', 'pulsa', 'paket', 'internet', 'telkomsel', 'pokoknya', 'cepat', 'praktis', '']</t>
  </si>
  <si>
    <t>['kecepatan', 'internet', 'bagus', 'lokasi', 'pas', 'jaringan', 'telkomsel', 'bagus', 'barnya', 'penuh', 'perkembangan', 'menurun', 'bar', 'dapet', 'pedahal', 'provider', 'favorit', 'kerena', 'jaringan', 'bagus', 'banget', 'mbps', '']</t>
  </si>
  <si>
    <t>['fitur', 'suka', 'fitur', 'dayli', 'chek', 'and', 'fitur', 'combo', 'sakti', 'telkomsel', 'juarak', 'kabupaten', 'kota', 'jaringannya', 'dipakai', 'diperbaiki', 'layanannya', 'telkomsel', 'lambat', 'ganggu', 'maju', 'menjulang', 'telkomsel', 'peminat', '']</t>
  </si>
  <si>
    <t>['suka', 'aplikasi', 'penggunaan', 'mudah', 'promo', 'menarik', 'merchant', 'pilihan', 'promo', 'paket', 'internet', 'pembelian', 'pulsa', 'merchant', 'contohnya', 'link', 'cash', 'back', 'menarik', 'setia', 'telkomsel', '']</t>
  </si>
  <si>
    <t>['nyesel', 'dowload', 'apk', 'truss', 'ngambil', 'pket', 'game', 'mlh', 'ngc', 'bsa', 'gunainn', 'ngerasa', 'tipu', 'apk', 'uang', 'ngc', 'tpi', 'kecewa', 'karna', 'pket', 'bsa', 'gnainn', 'kecewa', 'bnget', 'sumpahh', 'jngann', 'dowload', 'apk', '']</t>
  </si>
  <si>
    <t>['senang', 'puas', 'aplikasi', 'telkomsel', 'paket', 'kuota', 'data', 'ketengan', 'instagram', 'youtube', 'murah', 'irit', 'biaya', 'lancar', 'koneksinya', 'boros', 'pemakaian', 'data', 'aplikasi', 'telkomsel', 'merekomendasikan', 'teman', 'teman', 'keluarga', 'memakai', 'aplikasi', 'telkomsel', 'sekeluarga', 'pakai', 'telkomsel', 'mantap', '']</t>
  </si>
  <si>
    <t>['alhamdulillah', 'memakai', 'aplikasi', 'mytelkomsel', 'serba', 'mudah', 'isi', 'pulsa', 'daftar', 'paket', 'telpon', 'sms', 'internet', 'mudah', 'promo', 'ikuti', '']</t>
  </si>
  <si>
    <t>['saran', 'kuota', 'habis', 'buka', 'aplikasi', 'telkomsel', 'aplikasi', 'sebelah', 'terlanjur', 'suka', 'paket', 'data', 'telkomsel', 'diperbaiki', 'dibuka', 'aplikasinya', 'kuota', 'habis', 'diakses', 'mempaketkan', 'data', 'terimakasih']</t>
  </si>
  <si>
    <t>['suka', 'banget', 'pakai', 'apl', 'prosesenya', 'mudah', 'cepat', 'ribet', 'pilihannya', 'promo', 'khawatir', 'beli', 'paket', 'data', 'mytelkomsel', 'super', 'hemat', '']</t>
  </si>
  <si>
    <t>['pelanggan', 'setia', 'combo', 'sakti', 'unlimited', 'menurutku', 'sakti', 'banget', 'paket', 'internet', 'multimedia', 'telpon', 'sms', 'surprise', 'deal', 'ketinggalan', 'gercep', 'beli', 'fitur', 'kesukaan', 'send', 'gift', 'dimana', 'kirim', 'pulsa', 'paket', 'internet', 'keluarga', 'telkomsel', 'nyaman', 'kemudahan', 'love', 'mytelkomsel']</t>
  </si>
  <si>
    <t>['kaget', 'fitur', 'layanan', 'telepon', 'unik', 'sengaja', 'coba', 'seru', 'gitu', 'telepon', 'keren', 'fitur', 'udah', 'mantap', 'jenis', 'pembayaran', 'udah', 'makasih', 'mytelkomsel']</t>
  </si>
  <si>
    <t>['paket', 'suka', 'mytelkomsel', 'paket', 'darurat', 'aplikasi', 'mytelkomsel', 'paket', 'darurat', 'dipinjamkan', 'bayarkan', 'pulsa', 'terisi', 'paket', 'darurat', 'bermanfaat', 'diperjalanan', 'ditempat', 'meminjam', 'paket', 'darurat', 'mytelkomsel', 'paket', 'berlaku', 'gb', 'menit', 'nelpon', 'sms', '']</t>
  </si>
  <si>
    <t>['pakai', 'telkomsel', 'internetan', 'kuota', 'gb', 'unlimited', 'puas', 'bener', 'makainya', 'jaringan', 'terbaek', 'aplikasi', 'mytelkomselnya', 'membantu', 'mengecek', 'sisa', 'kuota', 'pulsa', 'pemilihan', 'paket', 'data', 'semoga', 'mytelkomsel', 'dikenal', 'dikalangan', 'masyarakat', 'penggunanya', 'sukses', 'telkomsel', '']</t>
  </si>
  <si>
    <t>['ayolah', 'perbaiki', 'sinyal', 'bug', 'ngerasa', 'kecewa', 'kualitas', 'telkomsel', 'konsumen', 'setia', 'pakai', 'provider', 'bertahan', 'skrg', 'pengembangan', 'hadeuhhh', 'auto', 'pindah', 'tetangga', 'sebelah', '']</t>
  </si>
  <si>
    <t>['aplikasi', 'telkomsel', 'mempermudah', 'membeli', 'kuota', 'paket', 'murah', 'praktis', 'paket', 'kuota', 'favoritku', 'ribu', 'udah', 'puas', 'internetan', 'ketengan', 'kantong', 'krisis', 'promonya', 'daily', 'check', 'ditukar', 'hadiah', 'rajin', 'absen', 'doang', 'telkomsel', 'app', 'keren', '']</t>
  </si>
  <si>
    <t>['suka', 'banget', 'aplikasi', 'mytelkomsel', 'promo', 'beragam', 'pilihan', 'pembayaran', 'transaksi', 'aplikasi', 'fitur', 'daily', 'chek', 'suka', 'paket', 'internet', 'combo', 'sakti', 'pilihan', '']</t>
  </si>
  <si>
    <t>['paket', 'suka', 'paket', 'ketenangan', 'instagram', 'hobi', 'banget', 'nonton', 'live', 'livenya', 'telkomsel', 'suka', 'pantengin', 'untung', 'paket', 'unlimitednya', 'ngga', 'pusing', 'pusing', 'deh', 'nonton', 'live', 'seharian', 'harganya', 'murah', 'pilihan', 'paket', 'unlimited', 'gb', 'gb', 'gb', 'gb', 'gb', 'eitss', 'dapet', 'promo', 'beli', 'shopeepay', 'cashback', 'udah', 'murah', 'murah', 'thank', '']</t>
  </si>
  <si>
    <t>['', 'pelayanan', 'telkomsel', 'buruk', 'minggu', 'beli', 'paket', 'harga', 'habis', 'beli', 'paketnya', 'paket', 'dinaikkan', 'dipaket', 'mingguan', 'tipuan', '']</t>
  </si>
  <si>
    <t>['telkomsel', 'provider', 'sinyal', 'paket', 'data', 'sinyal', 'kadang', 'ilang']</t>
  </si>
  <si>
    <t>['suka', 'aplikasi', 'beli', 'paket', 'internet', 'sesuai', 'pilihan', 'pembayaran', 'asyik', 'pilihan', 'bayar', 'pulsa', 'linkaja', 'gopay', 'ovo', 'shopeepay', 'dana', 'pokoknya', 'rekomended', 'banget', 'deh', 'fitur', 'suka', 'daily', 'chek', 'paket', 'suka', 'paket', 'internet', 'omg', 'promo', 'beli', 'aplikasi', 'mytelkomsel', '']</t>
  </si>
  <si>
    <t>['cobak', 'telkomsel', 'kasih', 'kemudahan', 'banget', 'hidup', 'cuan', 'tiada', 'henti', 'kuota', 'luber', 'sinyal', 'oke', 'nysel', 'udah', 'download', 'telkomsel']</t>
  </si>
  <si>
    <t>['semenjak', 'aplikasi', 'hpku', 'ribet', 'cek', 'sisa', 'pulsa', 'sisa', 'kuota', 'tinggal', 'buka', 'langsung', 'keliatan', 'aplikasi', 'mytelkomsel', 'memudahkan', 'mendalami', 'dunia', 'maya', 'beli', 'pulsa', 'kuota', 'internet', 'sesuai', 'butuhkan', 'pembayaran', 'beragam', 'pilihan', 'gampang', 'deh', 'aplikasi', 'mytelkomsel', 'fitur', 'daily', 'chek', 'fitur', 'suka', 'hadiah', 'kuota', 'internet', '']</t>
  </si>
  <si>
    <t>['terima', 'kasih', 'telkomsel', 'aplikasi', 'sekeren', 'suka', 'fitur', 'daily', 'chek', 'mengumpulkan', 'stamp', 'hadiah', 'kuota', 'internet', 'paket', 'suka', 'paket', 'combo', 'sakti', '']</t>
  </si>
  <si>
    <t>['suka', 'aplikasi', 'beli', 'paket', 'internet', 'sesuai', 'pilihan', 'pembayaran', 'asyik', 'pilihan', 'bayar', 'pulsa', 'linkaja', 'gopay', 'ovo', 'dana', 'pokoknya', 'rekomended', 'banget', 'deh', 'fitur', 'suka', 'daily', 'chek', '']</t>
  </si>
  <si>
    <t>['kecewa', 'berat', 'aplikasi', 'hri', 'bsa', 'dibuka', 'uda', 'coba', 'berkali', 'kali', 'sinyalnya', 'jlek', 'skrg', 'pdhl', 'krtu', 'mahal', 'sesuai', 'kualitas', 'mohon', 'diperbaiki', 'servernya', 'smkin', 'parah', 'telkomsel', 'pdhl', 'mkek', 'lma', '']</t>
  </si>
  <si>
    <t>['aplikasi', 'berfaedah', 'mempermudah', 'pengguna', 'telkomsel', 'fitur', 'daily', 'check', 'hadiah', 'fitur', 'poin', 'menukar', 'poin', 'telkomsel', 'voucher', 'makanan', 'hiburan', 'kesehatan', 'olahraga', 'udian', 'jalan', 'jalan', 'donasi', 'dll', 'fitur', 'isi', 'pulsa', 'beli', 'paket', 'mudah', 'cepat', '']</t>
  </si>
  <si>
    <t>['aplikasi', 'mytelkomsel', 'informatif', 'fasilitasnya', 'bagus', 'kecepatannya', 'merespon', 'cepet', 'suka', 'fitur', 'daily', 'chek', 'paket', 'internet', 'veronica', 'cepet', 'balesnya', 'ribet', 'menghubungi', '']</t>
  </si>
  <si>
    <t>['', 'terimakasih', 'mytelkomsel', 'fitur', 'fitur', 'menarik', 'manfaatkan', 'beli', 'kirim', 'pulsa', 'paket', 'data', 'voucher', 'voucher', 'menarik', 'dapatkan', 'lupa', 'kumpulkan', 'poinnya', 'ketinggalan', 'promo', 'promo', 'wowww', 'dapatkan', 'ayooooooo', 'kawan', 'download', 'aplikasi', 'mytelkomsel', 'tap', 'tap', 'tap', 'tap', 'cepat', 'download', 'nyesel', 'aplikasi', 'mytelkomsel', '']</t>
  </si>
  <si>
    <t>['assalamualaikum', 'yuk', 'download', 'aplikasi', 'mytelkomsel', 'bermanfaat', 'bagus', 'banget', 'menurutku', 'fitur', 'suka', 'mytelkomsel', 'fitur', 'poin', 'hadiah', 'fitur', 'poin', 'hadiah', 'total', 'poin', 'miliki', 'ditukar', 'hadiah', 'menarik', 'paket', 'sukai', 'combo', 'sakti', 'unlimited', 'ribu', 'paketnya', 'unlimited', 'kualitas', 'sinyal', 'bagus', 'puas', 'memakai', 'mytelkomsel', '']</t>
  </si>
  <si>
    <t>['pakai', 'telkomsel', 'operator', 'terburuk', 'berhenti', 'pakai', 'telkomsel', 'pakai', 'kota', 'tri', 'pakai', 'indosat', 'pakai', 'telkomsel', 'sinyal', 'lemah', 'buang', 'buang', 'uang', 'beli', 'kota', 'telkomsel', 'buang', 'buang', 'menunggu', 'sinyal', 'terkomsel', 'sinyal', 'operator', 'lancar', 'kuat', 'selamat', 'tinggal', 'telkomsel', 'selamat', '']</t>
  </si>
  <si>
    <t>['lengkap', 'provider', 'telkomsel', 'donlod', 'aplikasi', 'telkomsel', 'mahal', 'menurutku', 'tuhhh', 'dngan', 'aplikasi', 'mudah', 'dapetin', 'bonusnya', 'fitur', 'ciamik', 'kusuka', 'daily', 'chek', 'kuota', 'gratis', 'genting', 'jga', 'suka', 'fitur', 'send', 'gift', 'jadiga', 'ribet', 'transfer', 'pulsa', '']</t>
  </si>
  <si>
    <t>['bingung', 'kak', 'hehehe', 'sebenernya', 'fitur', 'bagus', 'aplikasi', 'telkomsel', 'daily', 'cek', 'fitur', 'membantu', 'orang', 'orang', 'kuotanya', 'tinggal', 'habis', 'kendalanya', 'pulsa', 'poin', 'telkomsel', 'kartunya', 'claim', 'reward', 'menerima', 'rewardnya', 'kak', 'kemarin', 'isi', 'pulsa', 'poin', 'kasih', 'rate', 'bintang', 'kak', 'kecewa', 'fitur']</t>
  </si>
  <si>
    <t>['aplikasi', 'bagus', 'cek', 'pulsa', 'cek', 'kuota', 'internet', 'beli', 'pulsa', 'beli', 'paket', 'internet', 'harga', 'murah', 'pembayaran', 'beragam', 'fitur', 'suka', 'daily', 'chek', 'paket', 'suka', 'combo', 'sakti']</t>
  </si>
  <si>
    <t>['paket', 'suka', 'pakai', 'combo', 'sakti', 'nelpon', 'sms', 'tambahan', 'kuota', 'gb', 'recomended', 'banget', 'gaees', 'suka', 'berhemat', 'yuk', 'instal', 'telkomsel', 'app', '']</t>
  </si>
  <si>
    <t>['suka', 'fitur', 'tukar', 'poin', 'asyik', 'banget', 'nukerin', 'hadiah', 'gratisan', 'saldo', 'linkaja', 'gratis', 'dikasih', 'promo', 'kuota', 'murah', 'abis', 'makasih', 'banget', 'telkomsel', '']</t>
  </si>
  <si>
    <t>['paket', 'telkomsel', 'suka', 'paket', 'combo', 'sakti', 'pasang', 'paket', 'plus', 'telfon', 'sms', 'praktis', 'combo', 'sakti', 'udah', 'unlimited', 'pokoknya', 'bagusss', '']</t>
  </si>
  <si>
    <t>['hay', 'telkomsel', 'sukai', 'fitur', 'fitur', 'telkomsel', 'isi', 'ulang', 'pulsa', 'linkaja', 'gopay', 'shopeepay', 'dana', 'ovo', 'kemudahan', 'bertransaksi', 'isi', 'ulang', 'pulsa', 'telkomsel', 'sukai', 'telkomsel', 'transfer', 'pulsa', 'penukaran', 'poin', 'berfaedah', 'menarik', 'bulannya', 'hadiah', 'menarik', 'pulsa', 'handphone', 'motor', 'mobil', 'love', 'you', 'telkomsel']</t>
  </si>
  <si>
    <t>['', 'aplikasi', 'telkomsel', 'mempermudah', 'cek', 'pulsa', 'kuota', 'poin', 'miliki', 'membuka', 'aplikasinya', 'fitur', 'aplikasi', 'suka', 'aplikasi', 'telkomsel', 'layanan', 'daily', 'check', 'dimana', 'dapet', 'kuota', 'internet', 'mengumpulkan', 'stempel', 'check', 'harinyaa', '']</t>
  </si>
  <si>
    <t>['aplikasi', 'membantu', 'cek', 'pulsa', 'kuota', 'data', 'pembelian', 'paket', 'internet', 'interaksi', 'promo', 'terbaik', 'telkomsel', 'berdonasi', 'daily', 'check', 'bermanfaat', 'point', 'ditukar', 'promo', 'paket', 'data', 'terbaiklah', 'pakai', 'aplikasi']</t>
  </si>
  <si>
    <t>['udah', 'pakai', 'aplikasi', 'mytelkomsel', 'menurutku', 'menguntungkan', 'banget', 'pakai', 'aplikasi', 'irit', 'mudah', 'fiturnya', 'beli', 'kuota', 'internet', 'lebjh', 'murah', 'promonya', 'tuker', 'poin', 'dapet', 'hadiah', 'semoga', 'mytelkomsel', 'aplikasi', 'terbaik']</t>
  </si>
  <si>
    <t>['aplikasi', 'mytelkomsel', 'mudah', 'tinggal', 'pilah', 'pilih', 'beli', 'kuota', 'kuota', 'ketengan', 'kuota', 'unlimited', 'harian', 'omg', 'murah', 'combo', 'sakti', 'andalan', 'gue', 'terimakasih', 'telkomsel']</t>
  </si>
  <si>
    <t>['tolong', 'perbaiki', 'pembelian', 'paket', 'internet', 'kali', 'aplikasi', 'bicara', 'karna', 'mengalami', 'kerugian', 'pas', 'pembelian', 'paket', 'internet', 'saldo', 'beli', 'paket', 'internet', 'berhasil', 'ketarik', 'biaya', 'normal', '']</t>
  </si>
  <si>
    <t>['membantu', 'pengecekan', 'paket', 'kuota', 'pembelian', 'paket', 'data', 'harga', 'spesial', 'paket', 'promo', '']</t>
  </si>
  <si>
    <t>['jaringan', 'telkomsel', 'ngelek', 'kuota', 'isi', 'main', 'game', 'ngelek', 'recommended', 'sarankan', 'download', 'apk']</t>
  </si>
  <si>
    <t>['suka', 'provider', 'telkomsel', 'signalnya', 'kuat', 'provider', 'mati', 'lampu', 'ikutan', 'hilang', 'signalnya', 'signal', 'telkomsel', 'jam', 'full', 'suka', 'paket', 'combo', 'saktinya', 'lengkap', 'isi', 'sms', 'kuota', 'telp', 'sebulan', 'terimakasih', 'telkomsel', 'tingkatkan', 'signalnya', 'yaa', '']</t>
  </si>
  <si>
    <t>['terima', 'kasih', 'apk', 'mytelkomsel', 'mudah', 'cek', 'kuota', 'pulsa', 'mudah', 'promo', 'menarik', 'telkomsel', 'ketinggalan', 'mengikuti', 'undian', 'telkomsel', 'bagusnya', 'mudah', 'transaksi', 'jenis', 'pembayaran', 'kasih', 'bintang', '']</t>
  </si>
  <si>
    <t>['hallo', 'review', 'jujur', 'fitur', 'suka', 'mytelkomsel', 'kirim', 'hadiah', 'suka', 'banget', 'fitur', 'mudahin', 'krm', 'pulsa', 'trus', 'isi', 'kuota', 'internet', 'bulannya', 'maklum', 'ibuku', 'rada', 'gaptek', 'fitur', 'mudahin', 'banget', 'orang', 'orang', 'tua', 'berasa', 'berjauhan', 'videocall', 'deh', 'harinya', 'jaringan', 'internet', 'super', 'cepat', 'putus', 'putus', 'juaraaa', 'bangetttt', '']</t>
  </si>
  <si>
    <t>['aplikasi', 'cuman', 'terkadang', 'bug', 'diperbaiki', 'selebihnya', 'bagus', 'mudah', 'fitur', 'fitur', 'kekinian', 'enak', 'pandang', 'varian', 'kuota', 'tampilkan', 'fitur', 'daily', 'check', 'menguntungkan', 'pecinta', 'gratis', 'tinggal', 'check', 'gb', 'gratis', 'terimakasih', 'mytelkomsel']</t>
  </si>
  <si>
    <t>['mytelkomsel', 'banget', 'kelemahan', 'konsumen', 'promo', 'kuota', 'murah', 'yyyeay', 'seneng', 'banget', 'kuota', 'berlimpah', 'kecepatan', 'selancar', 'level', 'maksimal', 'harga', 'minimal', 'interface', 'menarik', 'mudah', 'dioperasikan', 'pokoknya', 'kebutuhan', 'ringgal', 'pilih', 'klik', 'thanks', 'linkaja', 'promo', 'kuota', 'unlimited', 'for', 'days', '']</t>
  </si>
  <si>
    <t>['bagus', 'promo', 'paket', 'data', 'sisa', 'pulsa', 'sisa', 'data', 'poin', 'menariknya', 'cek', 'saldo', 'linkaja', 'lengkap', 'simpel', 'yuk', 'jng', 'lupa', 'aplikasi', 'dapatkan', 'keuntungan', '']</t>
  </si>
  <si>
    <t>['pelanggan', 'telkomsel', 'skli', 'keuntungan', 'dpt', 'mendownld', 'app', 'mytelkomsel', 'disana', 'saaya', 'menukarkan', 'poin', 'mliki', 'mudah', 'tukar', 'poin', 'bonus', 'link', 'tukar', 'poin', 'undian', 'slalu', '']</t>
  </si>
  <si>
    <t>['suka', 'banget', 'fitur', 'beli', 'paket', 'pilihan', 'pembayarannya', 'super', 'lengkap', 'kayaknya', 'aplikasi', 'operator', 'terlengkap', 'indonesia', 'pastinyan', 'terbaik', 'banget', 'pilihannya', 'cashbacknya', 'seneng', 'banget', 'deh', 'jaringan', 'mahh', 'indonesia', '']</t>
  </si>
  <si>
    <t>['fitur', 'beli', 'paket', 'isi', 'ulang', 'pulsa', 'fitur', 'membantu', 'kehabisan', 'pulsa', 'paket', 'internet', 'pokoknya', 'bermanfaat', 'banget', 'dech', 'inovasi', 'mytelkomsel', '']</t>
  </si>
  <si>
    <t>['suka', 'paket', 'combo', 'sakti', 'kuota', 'paket', 'sms', 'nelfon', 'kali', 'pembelian', 'semoga', 'fitur', 'menukar', 'pulsa', 'saldo', 'linkaja', 'akun', 'nada']</t>
  </si>
  <si>
    <t>['fitur', 'favorit', 'daily', 'check', 'fitur', 'reward', 'pelanggan', 'setia', 'telkomsel', 'fitur', 'setidka', 'pilihan', 'hadiah', 'pastinya', 'free', 'kuota', 'tambahan', 'ditunggu', 'semoga', 'kedepannya', 'bnyak', 'pilihan', 'reward', 'hadiahnya', 'bervariasi', 'pilihan', 'paket', 'internetnya', 'harga', 'terjangkau']</t>
  </si>
  <si>
    <t>['aplikasi', 'telkomsel', 'bermanfaat', 'pengguna', 'kartu', 'telkomsel', 'cek', 'promo', 'suka', 'daily', 'check', 'modal', 'absen', 'kaya', 'anak', 'sekolah', 'kuota', 'pokoknya', 'bermanfaat', 'banget', '']</t>
  </si>
  <si>
    <t>['aplikasi', 'mytelkomsel', 'fiturnya', 'lengkap', 'mudah', 'isi', 'ulang', 'pulsa', 'beli', 'kuota', 'paket', 'internet', 'pilihan', 'pembayaran', 'promonya', 'cuan', '']</t>
  </si>
  <si>
    <t>['suka', 'fitur', 'tukar', 'poin', 'poin', 'dapatkan', 'sehabis', 'isi', 'ulang', 'pulsa', 'transfer', 'pulsa', 'berbagi', 'pulsa', 'poin', 'poin', 'dapatkan', 'tukar', 'pulsa', 'isi', 'saldo', 'linkaja', 'nikmati', 'game', 'video', 'game', 'beli', 'makanan', 'belanja', 'minimarket', 'supermarket', 'shopping', 'poin', 'lho', 'poin', 'dikumpulkan', 'mgkn', 'dituker', 'hadiah', 'super', 'keren', 'tahunnya', 'mobil', 'motor', 'pulsa', 'dll', 'jka', 'beruntung']</t>
  </si>
  <si>
    <t>['terimakasih', 'telkomsel', 'menemaniku', 'berselancar', 'dunia', 'maya', 'rating', 'fine', 'kalu', 'hujan', 'trouble', 'jaringan', 'eror', 'paket', 'suka', 'paket', 'gb', 'gb', 'harganya', 'terjangkau', 'fadlanbatik']</t>
  </si>
  <si>
    <t>['pengguna', 'telkomsel', 'puluhan', 'aplikasi', 'telkomsel', 'udah', 'benerr', 'untung', 'krna', 'hrnya', 'sllu', 'check', 'daily', 'hadiahnya', 'brupa', 'poin', 'juha', 'paket', 'data', 'rekom', 'kekeluarga', 'pakai', 'telkomsel', 'jaringan', 'normal', 'menunjamh', 'komunikasi', 'semoga', 'telkomsel', 'penggunanya', 'sukses', 'sllu', 'berinovasi']</t>
  </si>
  <si>
    <t>['fitur', 'suka', 'fitur', 'paket', 'combo', 'sakti', 'gb', 'rb', 'rb', 'lengkap', 'paket', 'nelpon', 'sms', 'internetnya', 'full', 'disemua', 'jaringan', 'paket', 'suprisedeal', 'unlimited', 'telkomsel', 'udah', 'langganan', 'paket', 'combo', 'saktinya', 'app', 'telkomsel', 'mudah', 'membeli', 'mencari', 'paket', 'membeli', 'paket', '']</t>
  </si>
  <si>
    <t>['suka', 'banget', 'aplikasi', 'telkomsel', 'cek', 'kuota', 'cek', 'poin', 'daftar', 'paket', 'mudah', 'redeem', 'poin', 'paket', 'internetnya', 'combo', 'sakti', 'internet', 'omg', 'dll', 'wajib', 'bangey', 'donlod', 'app', '']</t>
  </si>
  <si>
    <t>['membantu', 'aktifitas', 'fitur', 'poin', 'isi', 'ulang', 'poin', 'tukar', 'hadiah', 'hadiah', 'seru', 'pokoknya', 'suka']</t>
  </si>
  <si>
    <t>['semenjak', 'memutuskan', 'kartu', 'telkomsel', 'alhamdulillah', 'banget', 'keuntungan', 'jaringannya', 'masuk', 'wilayah', 'dibilang', 'pedesaaan', 'mudahnya', 'isi', 'pulsa', 'transfer', 'pulsa', 'amazing', 'isi', 'ulang', 'dpet', 'poin', 'ditukar', 'undian', 'voucher', 'saldo', 'linkaja', 'terimakasih', 'telkomsel']</t>
  </si>
  <si>
    <t>['heran', 'deh', 'udah', 'masuk', 'aplikasi', 'verifikasi', 'sms', 'masuk', 'web', 'simpel', 'verifikasi', 'pin', 'password', 'udah', 'aplikasi', 'buka', 'kesini', 'kalah', 'provider', 'simpel', '']</t>
  </si>
  <si>
    <t>['mytelkomsel', 'aplikasi', 'ketagihan', 'ketagihan', 'beli', 'pulsanya', 'ketagihan', 'beli', 'kuotanya', 'ketagihan', 'promo', 'promo', 'mytelkomsel', 'ketagihan', 'kali', 'tukar', 'poin', 'ikutan', 'giveaway', 'mytelkomsel', 'keluarga', 'sahabat', 'teman', 'teman', 'pokoknya', 'mytelkomsel', 'terdepan', 'terpercaya', 'terbukti', 'kualitasnya', 'terima', 'kasih', 'mytelkomsel', '']</t>
  </si>
  <si>
    <t>['memuaskan', 'beli', 'pulsa', 'paketan', 'mudah', 'pembayaran', 'pilihan', 'praktis', 'khawatir', 'kehabisan', 'pulsa', 'urgent', 'promo', 'event', 'banget', 'suka', 'fitur', 'daily', 'chek', 'bayar', 'suka', 'package', 'combo', 'sakti', 'unlimited', 'telkomsel', 'harga', 'paket', 'internet', 'murah', 'dibanding', 'love', 'telkomsel', '']</t>
  </si>
  <si>
    <t>['puas', 'telkomsel', 'paket', 'internet', 'unlimited', 'gb', 'rp', 'hemat', 'thank', 'you', 'mytelkomsel']</t>
  </si>
  <si>
    <t>['aplikasi', 'mantap', 'hemat', 'ruang', 'penyimpanan', 'user', 'friendly', 'promo', 'giveaway', 'sediakan', 'aplikasi', 'kembangkan', 'mantap']</t>
  </si>
  <si>
    <t>['fitur', 'membantu', 'favorit', 'tukar', 'poin', 'saldo', 'link', 'penyelamat', 'pulsa', 'menipis', 'fitur', 'tukar', 'poin', 'shopback', 'pengguna', 'marketplace', 'cashback', 'shopback', 'tukar', 'poin', 'telkomsel', 'berguna', 'menghemat', 'pengeluaran', 'belanja', 'keren', 'mytelkomsel', 'lanjutkan', 'undi', 'hepi', 'penasaran', 'pengguna', 'telkomsel', 'rejekinya']</t>
  </si>
  <si>
    <t>['aplikasi', 'bagus', 'daftar', 'paket', 'lengkap', 'aplikasi', 'telkomsel', 'suka', 'banget', 'aplikasi', 'memudahkan', 'pembelian', 'paket', 'internet', '']</t>
  </si>
  <si>
    <t>['', 'telkomsel', 'mantull', 'abizzz', 'internet', 'banter', 'paketan', 'kanker', 'kantong', 'kering', 'gua', 'suka', 'paketan', 'combo', 'sakti', 'bonusnya', 'tambahan', 'kuota', 'gb', 'bonus', 'langganan', 'disney', 'hotstar', 'emang', 'telkomsel', 'the', 'best', '']</t>
  </si>
  <si>
    <t>['suka', 'banget', 'fitur', 'beli', 'paket', 'bayarnya', 'lho', 'pulsa', 'linkaja', 'gopay', 'dana', 'wallet', 'keren', 'nggak', 'emang', 'deh', 'aplikasi', 'mytelkomsel', '']</t>
  </si>
  <si>
    <t>['aplikasi', 'mytelkomsel', 'membantu', 'memudahkan', 'mengecek', 'pulsa', 'beli', 'kuota', 'top', 'money', 'paket', 'kuota', 'suka', 'kuota', 'ketengan', 'kuota', 'dipakai', 'sesuai', 'kebutuhan', 'pokoknya', 'mytelkomsel', 'terbaik']</t>
  </si>
  <si>
    <t>['', 'telkomsel', 'memiliki', 'tampilan', 'bagus', 'rapi', 'memudahkan', 'penggunanya', 'mengecek', 'nomor', 'telepon', 'sisa', 'pulsa', 'sisa', 'kuota', 'menukar', 'telkomsel', 'poin', 'miliki', 'telkomsel', 'memiliki', 'fitur', 'memudahkan', 'membeli', 'kebutuhan', 'digital', 'pembayaran', 'fitur', 'suka', 'daily', 'check', 'disitu', 'check', 'stamp', 'tukarkan', 'hadiah', '']</t>
  </si>
  <si>
    <t>['pakai', 'mytelkomsel', 'mudah', 'murah', 'suka', 'paket', 'combo', 'sakti', 'paket', 'ketengan', 'sesuai', 'kebutuhan', 'pokoknya', 'sukses', 'telkomsel', '']</t>
  </si>
  <si>
    <t>['suka', 'banget', 'aplikasi', 'mytelkomsel', 'harga', 'paket', 'data', 'terjangkau', 'combo', 'sakti', 'kuota', 'utama', 'habis', 'khawatir', 'main', 'sosmed', 'fitur', 'daily', 'check', 'dapetin', 'bonus', 'kuota', 'asyiik', 'banget', 'pokoknya', 'love', 'mytelkomsel', '']</t>
  </si>
  <si>
    <t>['bermanfaat', 'aplikatif', 'aplikasi', 'telkomsel', 'langsung', 'terhubung', 'link', 'mudah', 'mengisi', 'pulsa', 'paketan', 'data', '']</t>
  </si>
  <si>
    <t>['sukaa', 'banget', 'aplikasnya', 'praktis', 'komplit', 'top', 'pulsa', 'isi', 'paket', 'rewardnya', 'pertahanin', 'kualitasnya', 'min', 'langganan', 'paket', 'combo', 'sakti', 'benefitnya', 'internet', 'unlimited', 'bebas', 'telfon', 'sms', 'yeayyy', 'myfavorite', 'paket', '']</t>
  </si>
  <si>
    <t>['aplikasi', 'mytelkomsel', 'app', 'berguna', 'pengguna', 'kartu', 'telkomsel', 'informasi', 'tambahan', 'dapatkan', 'pengecekan', 'ussd', 'code', 'memudahkan', 'sisa', 'pulsa', 'sisa', 'paket', 'internet', 'aktif', 'aplikasi', 'memudahkan', 'mencari', 'paket', 'internet', 'penawaran', 'harga', 'terbaik', 'memudahkan', 'penukaran', 'poin', 'voucher', 'diskon', '']</t>
  </si>
  <si>
    <t>['suka', 'aplikasi', 'memudahkan', 'penggunanya', 'aplikasi', 'lihat', 'pulsa', 'beli', 'pulsa', 'beli', 'kuota', 'internet', 'cek', 'kuota', 'internet', 'cek', 'point', 'suka', 'daily', 'chek', 'rewardnya', 'banget']</t>
  </si>
  <si>
    <t>['membantu', 'transaksi', 'elektronik', 'susah', 'lgi', 'deh', 'beli', 'paket', 'pulsa', 'counter', 'terdekat', 'tinggal', 'buka', 'aplikasi', 'mytelkomsel', 'tinggal', 'langsung', 'beli', 'terima', 'kasih', 'mytelkomsel', '']</t>
  </si>
  <si>
    <t>['mohon', 'maaf', 'pesan', 'pesan', 'tertulis', 'blm', 'bayar', 'data', 'darurat', 'bayar', 'blm', 'paket', 'darurat', 'tolong', 'bantu', 'karna']</t>
  </si>
  <si>
    <t>['memuaskan', 'beli', 'pulsa', 'paketan', 'mudah', 'murah', 'cepat', 'pembayaran', 'pilihan', 'shop', 'pay', 'nggak', 'khawatir', 'keabisan', 'pulsa', 'diwaktu', 'urgent', 'promo', 'event', 'suka', 'fitur', 'daily', 'chek', 'bayar', 'dapet', 'macem', '']</t>
  </si>
  <si>
    <t>['aplikasi', 'bermanfaat', 'fitur', 'bagus', 'isi', 'pulsa', 'beli', 'paket', 'donasi', 'fitur', 'sukai', 'fitu', 'veronica', 'kendala', 'langsung', 'chat', 'dengen', 'cepat', 'terselesaikan', 'menelpon', 'call', 'center', 'telkomsel', 'terima', 'kasih', 'telkomsel', 'hadir', 'manfaat', 'indonesia', '']</t>
  </si>
  <si>
    <t>['mengunduh', 'aplikasi', 'mytelkomsel', 'ribet', 'cek', 'pulsa', 'cek', 'kuota', 'nelpon', 'sms', 'paket', 'data', 'cek', 'saldo', 'linkaja', 'membuka', 'aplikasinya', 'menurutku', 'membantu', 'dilengkapi', 'fitur', 'suka', 'tukar', 'poin', 'menukar', 'poin', 'telkomsel', 'aplikasi', 'mytelkomsel', 'saldo', 'linkaja', 'bertambah', 'rb', 'rupiah', 'lumayan', 'beli', 'jajan', 'nukar', 'poin', 'berkesempatan', 'menangkan', 'samsung', 'ultra', 'tks', 'mytelkomsel', '']</t>
  </si>
  <si>
    <t>['manteppp', 'banget', 'aplikasi', 'keuntungan', 'peroleh', 'pulsa', 'gratis', 'promo', 'undian', 'hadiah', 'good', 'job', 'semoga', 'sukses', '']</t>
  </si>
  <si>
    <t>['', 'telkomsel', 'aplikasi', 'memudahkan', 'pengguna', 'setia', 'telkomsel', 'interface', 'enak', 'dipandang', 'login', 'mudah', 'fitur', 'fitur', 'didalamnya', 'membantu', 'banget', 'salah', 'fitur', 'favoritku', 'cek', 'sisa', 'kuota', 'fitur', 'penggunaan', 'kuota', 'sisanya', 'hemat', 'kuota', 'internet', 'nabung', 'beli', 'kuota', 'internet', 'kuota', 'internet', 'habis', 'terima', 'kasih', '']</t>
  </si>
  <si>
    <t>['', 'aplikasi', 'mytelkomsel', 'suka', 'fitur', 'daily', 'check', 'telkomsel', 'poin', 'promo', 'maklumlah', 'wanita', 'mudah', 'tergiurr', 'berbau', 'promo', 'fitur', 'pilihan', 'paket', 'update', 'cek', 'sapatau', 'surprise', 'deal', 'pokoknya', 'mytelkomsel', 'membantu', 'pelanggan', 'pengguna', 'data', 'internet', 'telkomsel', '']</t>
  </si>
  <si>
    <t>['suka', 'fitur', 'daily', 'chek', 'package', 'combo', 'sakti', 'unlimited', 'karna', 'membeli', 'aplikasi', 'telkomsel', 'harga', 'paket', 'internet', 'unlimited', 'murah', 'banding', '']</t>
  </si>
  <si>
    <t>['aplikasi', 'mytelkomsel', 'mudah', 'mengecek', 'pulsa', 'kuota', 'internet', 'membeli', 'pulsa', 'kuota', 'internet', 'promo', 'menarik']</t>
  </si>
  <si>
    <t>['aplikasi', 'telkomsel', 'bermanfaat', 'penggunanaya', 'karenabmemudahkan', 'pembelian', 'paket', 'data', 'pulsa', 'tukar', 'poin', 'gunain', 'aplikasi', 'membeli', 'paket', 'data', 'murah', 'lho', 'drpd', 'diconter', 'pembayarannya', 'mudah', 'pakai', 'linkaja', 'apalgi', 'kuota', 'ketengannya', 'murah', 'banget', 'beli', 'kuota', 'ketengan', 'terimakasih', 'telkomsel', 'teruslah', 'perbanyak', 'fitur', 'unik', 'didalam', 'aplikasinya', 'happy', 'pakai', 'telkomsel', '']</t>
  </si>
  <si>
    <t>['terbantu', 'aplikasi', 'mytelkomsel', 'mudah', 'pembelian', 'paket', 'mudah', 'sisa', 'pulsa', 'kuota', 'fitur', 'suka', 'mytelkomsel', 'daily', 'checkin', 'reward', 'dpt', 'pengumpulan', 'stamp', 'hati']</t>
  </si>
  <si>
    <t>['aplikasi', 'favorit', 'cek', 'pulsa', 'cek', 'kuota', 'beli', 'paket', 'tukar', 'poin', 'pakai', 'aplikasi', 'mytelkomsel', 'aplikasi', 'kecewa', 'check', 'poin', 'cinta', 'deh']</t>
  </si>
  <si>
    <t>['udah', 'pakai', 'telkomsel', 'pas', 'kuliah', 'udah', 'rumah', 'tangga', 'anak', 'pakai', 'telkomsel', 'the', 'best', 'sinyal', 'paket', 'promo', 'nelponnya', 'kuotanya', 'wusss', 'wuss', 'wusss', 'lemot', 'provider', 'andalan', 'nomor', 'buatku', 'setia', 'susah', 'berpaling', '']</t>
  </si>
  <si>
    <t>['suka', 'aplikasi', 'telkomsel', 'karnabhamya', 'dengam', 'klik', 'udah', 'aksesbsemaunya', 'muai', 'cek', 'kouta', 'pulsa', 'aktifasi', 'kartu', 'pokoknya', 'bnayak', 'deh', 'bahas', 'koutabtuh', 'paing', 'suka', 'combo', 'sakti', 'karna', 'situ', 'udah', 'paket', 'data', 'paket', 'nelfon', 'sms', 'main', 'game', 'rice', 'newlen', 'pokoknya', 'telkomsel', 'terbaik', 'deh', 'udah', 'combo', 'sakti', 'setahuna', 'kaykanya', 'mantap', 'bangetttttt']</t>
  </si>
  <si>
    <t>['aplikasi', 'mytelkomsel', 'oke', 'banget', 'membantu', 'banget', 'cek', 'pulsa', 'saldo', 'linkaja', 'kuota', 'tukar', 'poin', 'promo', 'best', 'deal', 'suka', 'aplikasi', 'recommended']</t>
  </si>
  <si>
    <t>['suka', 'fitur', 'tukar', 'poin', 'penawaran', 'linkaja', 'belanja', 'produk', 'parcel', 'dll', 'paket', 'suka', 'hemat', 'paket', 'omg', 'gb', 'paket', 'berlangganan', 'maxstream', 'gb', 'lancar', 'hemat', 'keren', 'cinta', 'mytelkomsel', 'aplikasi', 'gampang', 'fiturnya', 'lengkap', 'banget', 'update', 'cepat', '']</t>
  </si>
  <si>
    <t>['aplikasi', 'mytelkomsel', 'membantu', 'beli', 'kouta', 'paket', 'perlukan', 'sesuai', 'dana', 'aplikasi', 'fitur', 'suka', 'belanja', 'pilihan', 'beli', 'paket', 'kouta', 'karna', 'promo', 'khusus', 'menarik', 'ketimbang', 'beli', 'dicounter', 'minimarket', '']</t>
  </si>
  <si>
    <t>['fitur', 'aplikasi', 'mytelkomsel', 'suka', 'isi', 'pulsa', 'beli', 'paket', 'favorit', 'tukar', 'poin', 'reward', 'ditawarkan', 'bervariasi', 'pastinya', 'hadiahnya', 'bermanfaat', 'banget', 'sukses', 'telkomsel']</t>
  </si>
  <si>
    <t>['semenjak', 'aktif', 'jualan', 'online', 'beli', 'ram', 'pilih', 'download', 'mytelkomsel', 'apps', 'beli', 'paket', 'internet', 'murah', 'pilih', 'paket', 'butuh', 'dapet', 'hadiah', 'kuota', 'daily', 'check', 'sisa', 'kuota', 'pulsa', 'takut', 'kuota', 'habis', 'ikutan', 'undian', 'berhadiah', 'poin', 'berfaedah', 'paket', 'favorit', 'combo', 'sakit', 'full', 'kuota', 'internet', 'plus', 'gratis', 'sms', 'telfon']</t>
  </si>
  <si>
    <t>['telkomsel', 'buruk', 'banget', 'jaringan', 'jelek', 'banget', 'banget', 'banget', 'harga', 'paket', 'data', 'mahal', 'jaringan', 'mengecewakan', 'muter', 'muter', 'sampe', 'pusing']</t>
  </si>
  <si>
    <t>['dahla', 'bener', 'bener', 'not', 'recomended', 'provider', 'raja', 'provider', 'sinyal', 'jelek', 'banget', 'gua', 'udah', 'kirim', 'email', 'berberapa', 'kali', 'tetep', 'perubahan', 'gimana', 'telkomsel', 'sinya', 'ancur', 'gua', 'kecewa', 'provider', 'dahlah', 'pindah', 'gua']</t>
  </si>
  <si>
    <t>['perusahaan', 'memikirkan', 'pelanggan', 'pulsa', 'dikunci', 'beli', 'paket', 'data', 'blm', 'beli', 'paket', 'data', 'pulsa', 'habis', 'kebuang', 'telkomsel', 'perusahaan', 'kalah', 'perusahaan', 'perusahaan', 'sebelah', 'memikirkan', 'pelanggan', 'perusahaan', 'miskin', 'informasi', 'perusahaan', 'kali', 'miskin', 'uang', 'perusahaan', 'tua', 'sombong', 'kaya', 'kecepatan', 'sombong', 'jaringan', 'terluas', 'kalah', 'pikir', 'pelanggan', 'setia']</t>
  </si>
  <si>
    <t>['assalamu', 'alaikum', 'muak', 'telkomsel', 'astagfirullah', 'sabar', 'beli', 'pulsa', 'ngga', 'kesedot', 'rugii', 'gua', 'ngga', 'tagihan', 'pulsa', 'utang', 'astaga', 'telkomsel', 'kelewatan', 'gimana', 'gajelass', 'onnn', 'pulsaa', 'paket', 'hangus', 'jam', 'udah', 'abis', 'busett', 'dahh', 'tuhh', 'nyaman', 'banget', 'tahunnn', 'gua', 'comenn', 'skrngg']</t>
  </si>
  <si>
    <t>['error', 'butuh', 'jaringan', 'kuat', 'skrng', 'jaringan', 'bagus', 'kuota', 'mahal', 'pelanggan', 'puas', 'tolong', 'perhatikan', 'kepuasan', 'pelanggan', 'minimal', 'jaringan', 'buruk', 'bgni', 'kuotanya', 'kasih', 'murah', 'anjinggg', 'promo', 'paket', 'paket', 'darurat', 'seharga', 'anjinggh']</t>
  </si>
  <si>
    <t>['kembalikan', 'sistem', 'pembayaran', 'linkaja', 'ribet', 'banget', 'internet', 'pembayaran', 'linkaja', 'berharap', 'sistem', 'pembayaran', 'linkaja', 'terimakasih']</t>
  </si>
  <si>
    <t>['murahnya', 'nyesal', 'instal', 'ksh', 'untung', 'provider', 'iklan', 'kirain', 'lbh', 'murah', 'taunya', 'kena', 'jebakan', 'batman', 'wisata', 'belanja', 'online', '']</t>
  </si>
  <si>
    <t>['recomended', 'kartu', 'gajelas', 'kuota', 'mahal', 'kualitas', 'jelek', 'jaringan', 'jelek', 'parah', 'kecewa', 'banget', 'sma', 'telkomsel', '']</t>
  </si>
  <si>
    <t>['habis', 'paket', 'berhenti', 'topup', 'pulsa', 'kartu', 'biarkan', 'habis', 'coba', 'bagus', 'jual', 'paket', 'malam', 'lancar', 'yaa', 'hujan', 'parah', 'medung', 'lemot', 'siang', 'bolong', 'lelet', 'banget', 'menyakitkan', 'pulsa', 'berkurang', 'ribuan', 'orang', 'uang', 'hilang', 'membeli', 'mecukupinya', 'paket', 'telkomsel', 'raja', 'lele', '']</t>
  </si>
  <si>
    <t>['pikirkan', 'kau', 'hilangkan', 'promo', 'kuota', 'murahmu', 'meninggalkan', 'telkomsel', 'kemarin', 'banggakan', 'solusi', 'menghubungi', 'via', 'email', 'monoton']</t>
  </si>
  <si>
    <t>['lari', 'dri', 'penilaian', 'aplikasi', 'tolong', 'telkomsel', 'jaringan', 'maksimalkan', 'mahal', 'tarif', 'naikkan', 'kwalitas', 'donk', 'tingkatkan', '']</t>
  </si>
  <si>
    <t>['beli', 'kuota', 'ketengan', 'ngga', 'kebaca', 'pdhl', 'uang', 'gopay', 'dana', 'terkuras', 'cepat', 'diatasi', 'bug', 'tpi', 'uang', 'hapus', 'aplikasinya']</t>
  </si>
  <si>
    <t>['tolong', 'telkomsel', 'membeli', 'paket', 'unlimited', 'ribu', 'masuk', 'diproses', 'menunggu']</t>
  </si>
  <si>
    <t>['kecewa', 'aplikasinya', 'kecewa', 'telkomselnya', 'pasang', 'paket', 'rb', 'salah', 'unlimited', 'youtube', 'pasang', 'nonton', 'youtube', 'kuota', 'berkurang', 'kali', 'pasang', 'paket', 'telkomsel', '']</t>
  </si>
  <si>
    <t>['apk', 'ngak', 'keluahan', 'jawabannya', 'coba', 'pindah', 'jaringan', 'dll', 'udah', 'dinamakan', 'cuman', 'cari', 'untung', 'melayani', 'penguna', '']</t>
  </si>
  <si>
    <t>['jaringan', 'telkom', 'putus', 'kaya', 'lancar', 'jaya', 'sekrang', 'mah', 'payah', 'pas', 'cuaca', 'mendung', 'jaringan', 'stabilll', '']</t>
  </si>
  <si>
    <t>['tolongla', 'sya', 'kemarin', 'top', 'game', 'pulsa', 'sya', 'kepotong', 'tpi', 'diamond', 'msuk', 'gmna', 'jaringan', 'knp', 'setabil', 'trus', 'gbsa', 'main', 'game', 'sekampung', 'dsini', 'emg', 'lemot', 'jringan', 'telkomsel', 'tolong', 'gnila', 'bru', 'beli', 'paket', 'msak', 'bsa', 'dgunai', 'trus', 'sehari', 'udah', 'sminggu', 'medan', 'sumatra', 'utara', 'pancur', 'batu', 'mohon', 'perhatiannya', 'kecewa', 'udh', 'ubah', 'pengaturan', 'jringan', 'otomatis', 'sma', 'mnual', 'uda', 'mode', 'pesawat', 'udh', 'kcwa', 'ajg']</t>
  </si>
  <si>
    <t>['beli', 'paket', 'paket', 'cek', 'masuk', 'pulsa', 'berkurang', 'pas', 'cek', 'pemakainan', 'pulsa', 'pulsa', 'berkurang', 'gara', 'pengunan', 'internet', 'paket', 'beli', '']</t>
  </si>
  <si>
    <t>['eror', 'mulu', 'app', 'udh', 'clear', 'cache', 'udh', 'force', 'stop', 'udh', 'install', 'ulang', 'lemot', 'parah', 'cek', 'aktif', 'pulsa', 'pas', 'cek', 'eror', 'gimana']</t>
  </si>
  <si>
    <t>['kesini', 'sinyal', 'simpati', 'parah', 'kecewa', 'tinggal', 'kota', 'jakarta', 'sinyal', 'bagus', 'tolong', 'perhatikan', 'petinggi', 'telkomsel', 'coba', 'kali', 'tolong', 'cek', 'lapangan', 'eksis', 'laporan', 'via', 'chat', 'veronika', 'mesin', 'menyelesaikan', 'cobalah', 'terjun', 'kelapangan', 'cek', 'siknal', 'petinggi', 'telkomsel', 'exis', 'kemana', 'logo', 'motomu', 'telkomsel', 'parah', '']</t>
  </si>
  <si>
    <t>['berat', 'aplikasi', 'loading', 'lambat', 'dlu', 'pakai', 'aplikasi', 'enteng', 'tolong', 'perbaiki', 'diperbaiki', 'kasih', 'bintang', 'deh']</t>
  </si>
  <si>
    <t>['program', 'sebar', 'hepy', 'bener', 'ratusan', 'poin', 'tukar', 'nihil', 'pengundian', 'umumkan', 'sosmed', 'televisi', 'sinyal', 'kayak', 'siput', 'harga', 'paketan', 'mahal', 'sinyal', 'internet', 'memuaskan', 'kecewa']</t>
  </si>
  <si>
    <t>['paketan', 'murah', 'nelpon', 'telkomsel', 'gratis', 'semoga', 'kedepannya', 'diskon', 'diskon', 'menakjubkan', 'telkomsel', 'emang', 'the', 'best', 'love', 'you']</t>
  </si>
  <si>
    <t>['jaringan', 'sabang', 'merauke', 'lelet', 'operator', 'malu', 'kartu', 'jaringannya', 'sabang', 'marauke', 'bagus', 'kayak', 'telkomsel', 'main', 'game', 'pingnya', 'lelet', 'dasar', 'telkomsel', 'lemah', 'kalah', '']</t>
  </si>
  <si>
    <t>['sinyal', 'buruk', 'kalah', 'pengguna', 'telkomsel', 'kecewa', 'hubungi', 'telegram', 'gada', 'perubahan', 'bot', 'pindah', 'provider', 'ajah', 'kecewa']</t>
  </si>
  <si>
    <t>['hape', 'provider', 'simpati', 'sinyalnya', 'bagus', 'buka', 'aplikasi', 'telkomsel', 'jaringan', 'eror', 'ngisi', 'kuota', 'eceran', 'yaa', 'peduli', 'katain', 'boros', 'menikmati', 'layanan', 'sinyal', 'bagus', 'indonesia', 'please', 'harga', 'kuota', 'murah', 'seenggaknya', 'kasih', 'feedback', 'pelanggan', '']</t>
  </si>
  <si>
    <t>['woi', 'balikain', 'pulsa', 'lenyap', 'beli', 'paket', 'data', 'masuk', 'lenyap', 'trus', 'cek', 'sisa', 'kuota', 'trus', 'cek', 'pulsa', 'gimana', 'nihh', 'ganti', 'rugi', 'ngak', '']</t>
  </si>
  <si>
    <t>['masuk', 'aplikasinya', 'susah', 'boz', 'butuh', 'konfirmasinya', 'ribet', 'kayak', 'indosat', 'kartu', 'link', 'masuk', 'apk', 'telkomsel', 'dipersulit', 'boz', 'kartu', 'telkomsel', 'kartu', 'boz', '']</t>
  </si>
  <si>
    <t>['halah', 'mending', 'tri', 'im', 'berbanding', 'terbalik', 'jargon', 'jangkauan', 'terluas', 'jaringan', 'tercepat', 'terbaik', 'lemot', 'sinyal', 'stabil', 'beli', 'paketan', 'ribu', 'jaringan', 'abal', 'abal', 'kualitas', '']</t>
  </si>
  <si>
    <t>['iya', 'min', 'telkomsel', 'terdepan', 'tolong', 'slogan', 'telkomsel', 'kembalikan', 'jaya', 'terdepan', 'signal', 'iya', 'gb', 'sesuai', 'harganya', 'alias', 'lemot', '']</t>
  </si>
  <si>
    <t>['asade', 'kontoll', 'pulsa', 'internet', 'beli', 'pulsa', 'dpet', 'gratis', 'data', 'internet', 'nggk', 'dpet', 'gb', 'toll', 'kontolll', 'juwancokk', 'emang', 'kasih', 'deskripsi', 'bener', 'todd', '']</t>
  </si>
  <si>
    <t>['', 'basa', 'basi', 'telkomsel', 'lihat', 'aplikasinya', 'bagus', 'coba', 'mama', 'mama', 'pokonya', 'download', 'telkomsel', 'okkkkkk', '']</t>
  </si>
  <si>
    <t>['sorry', 'admin', 'kasih', 'bintang', 'karna', 'jaringan', 'telkomsel', 'simpati', 'jelek', 'tinggal', 'kota', 'konsistensi', 'telkomsel', 'menurun', 'jaringan', 'terbaik', 'indonesia', 'mohon', 'perbaiki', 'pelanggan', 'kecewa', 'terimakasih']</t>
  </si>
  <si>
    <t>['kemarin', 'dibulan', 'desember', 'januari', 'bonus', 'dilayanan', 'telkomsel', 'semoga', 'layanan', 'meningkat', 'berguna', 'pelanggan', 'telkomsel']</t>
  </si>
  <si>
    <t>['telkomsel', 'paketan', 'mahal', 'sinyal', 'lemot', 'coba', 'emang', 'paketan', 'mahal', 'sinyal', 'perkuat', 'rugi', 'banget', 'gua', 'saranin', 'bro', 'paketan', 'murah', 'sinyal', 'setabil', 'aman', '']</t>
  </si>
  <si>
    <t>['kecewa', 'jartu', 'telkomsel', 'sya', 'beli', 'emang', 'wat', 'kuota', 'internet', 'bgtu', 'dbpke', 'bsa', 'udh', 'lapor', 'ktanya', 'bkl', 'bnerin', 'udh', 'nunggu', 'bsa', 'bgtu', 'tlpn', 'suruh', 'nunggu', 'ampe', 'kpn', 'nunggunya', 'rugi', 'sya', 'beli', 'kuota', 'gini', 'crax', '']</t>
  </si>
  <si>
    <t>['belasan', 'nomer', 'telkomsel', 'zaman', 'sim', 'card', 'chip', 'zaman', 'android', 'upgrade', 'nomer', 'hilang', 'cloning', 'grapari', 'telkomsel', 'setia', 'nomer', 'vip', 'paketan', 'internet', 'sms', 'telpon', 'murah', 'meriah', 'terimakasih', 'telkomsel', 'telkomsel', 'proveder', 'nomer', 'indonesia', 'semoga', 'terdepan', 'sukses', '']</t>
  </si>
  <si>
    <t>['', 'beli', 'pulsa', 'masuk', 'beli', 'paket', 'dibilang', 'saldo', 'tertera', 'saldo', 'cuy', 'beli', 'paket', 'menit', 'ngurangin', 'saldonya', 'kepaksa', 'beli', 'murah', '']</t>
  </si>
  <si>
    <t>['keluhan', 'dikit', 'min', 'knpa', 'promo', 'internet', 'beli', 'mohon', 'tunggu', 'tunggu', 'masuk', 'paket', 'coba', 'kali', 'ajja', 'gitu', '']</t>
  </si>
  <si>
    <t>['asik', 'banget', 'aplikasi', 'beli', 'paket', 'nelpon', 'sms', 'internet', 'tukar', 'poin', 'hadiah', 'keren', 'abis']</t>
  </si>
  <si>
    <t>['aplikasi', 'mwnyebalkan', 'mendaftar', 'pas', 'masuk', 'suruh', 'daftar', 'sial', 'andaikan', 'syarat', 'langganan', 'disney', 'hostar', 'pakai', 'aplikasi', 'males', 'download', '']</t>
  </si>
  <si>
    <t>['kecewa', 'promo', 'promo', 'tawarkan', 'nyata', 'promonya', 'beli', 'dasar', 'aplikas', 'nipu', 'hoax', 'jaringan', 'ngelag', 'harga', 'paket', 'mahal', 'menjamin', 'kelancaran', 'jaringan', 'sangan', 'kecewa']</t>
  </si>
  <si>
    <t>['aplikasi', 'telkomsel', 'mengumumkan', 'pemenang', 'door', 'prize', 'nyesel', 'simpati', 'udah', 'ganti']</t>
  </si>
  <si>
    <t>['kecewa', 'brp', 'kali', 'hubungin', 'veronica', 'via', 'chat', 'jaringan', 'lambat', 'pdhl', 'kuota', 'disambungin', 'langsung', 'langsung', 'ditunggu', 'jam', 'respon', 'besok', 'dicoba', 'komplain', '']</t>
  </si>
  <si>
    <t>['kecewa', 'telkomsel', 'jaringan', 'kesini', 'susah', 'auto', 'rotasi', 'layanan', 'mengecewakan', '']</t>
  </si>
  <si>
    <t>['sinyal', 'telkomsel', 'karuan', 'sinyal', 'didalam', 'rumah', 'kencang', 'stabil', 'boro', 'boro', 'ngeleg', 'jalan', 'sinyal', 'jelek', 'banget', 'turun', 'aplikasinya', 'beda', 'promo', 'harga', 'cuman', 'selisih', 'kuota', 'mahal', 'sinyal', 'kayak', 'siput', 'kepakai', 'kuota', 'kemendikbud', 'zoom', 'daerahku', '']</t>
  </si>
  <si>
    <t>['pengguna', 'telkomsel', 'bosan', 'komplain', 'parah', 'jaringan', 'internet', 'terpotongnya', 'pulsa', 'kuota', 'internet', 'berlaku', '']</t>
  </si>
  <si>
    <t>['mohon', 'perbaiki', 'jaringan', 'jaringan', 'pelangan', 'telkomsel', 'kartu', 'kartu', 'upgrade', 'sinyal', 'skrng', 'alamin', 'jaringan', 'isi', 'paket', 'harga', 'rb', 'rb', 'jaringan', 'langsung', 'berubah', 'unlimited', 'arti', 'unlimited', 'telkomsel', 'batas', 'batas']</t>
  </si>
  <si>
    <t>['proses', 'beli', 'paket', 'unlimited', 'gagal', 'pulsa', 'kesedottt', 'tolong', 'rating', 'balikin', 'pulsa', 'bercanda', 'peringatan', 'telkomsel']</t>
  </si>
  <si>
    <t>['tolong', 'urusin', 'sinyal', 'gausah', 'ngurusin', 'ilang', 'pelanggan', 'simpati', 'mahal', 'jabanin', 'sinyal', 'bagus', 'skrg', 'ancur', 'banget', 'gila', 'tolong', 'urusin', 'sinyal', 'ush', 'upgrade', '']</t>
  </si>
  <si>
    <t>['pengalaman', 'buruk', 'telkomsel', 'mohon', 'jaringan', 'diperbaiki', 'iya', 'harga', 'sesuai', 'sma', 'kinerja', 'mohon', 'maaf', 'sya', 'nyaman', 'karna', 'kecewa', 'jaringan', 'tolong', 'yaa', 'perluas', 'perkuat', 'jaringan', 'ceo', 'semahal', 'apapun', 'bgus', 'dibeli', 'kasih', 'rate', 'bintang', 'dlu', 'yaa', 'udh', 'dibenerin', 'bru', '']</t>
  </si>
  <si>
    <t>['kecewa', 'pelanggan', 'jaringan', 'telkomsel', 'udah', 'jelek', 'enngak', 'browsing', 'apapun', 'beli', 'paket', 'browsing', 'nonton', 'youtube', 'pelanggan', 'kecewa', 'telkomsel']</t>
  </si>
  <si>
    <t>['jaringan', 'telkomsel', 'stabil', 'lemotnya', 'terpaksa', 'pindah', 'operator', 'sebelah', 'mending', 'hapus', 'telkomsel', 'berguna', 'jaringan', 'internet', 'kaya', 'taii', 'beli', 'paket', 'mahal', 'hasil', '']</t>
  </si>
  <si>
    <t>['', 'tuhan', 'satupun', 'penilaian', 'aplikasi', 'membantu', 'riweh', 'promo', 'sms', 'plikasi', 'sinkron', 'suruh', 'email', 'min', 'kolom', 'komentar', 'memyampaikan', 'pendapat', 'email', 'perubahan', 'ngerti', 'aplikasi', 'gunanya', 'pelanggan', '']</t>
  </si>
  <si>
    <t>['tolong', 'perbaiki', 'sinyal', 'harga', 'doang', 'dimahalin', 'sinyal', 'burukk', 'ngesel', 'deh', 'telkomsel', 'bagusan', 'provider', 'sebelah', 'murah', 'sinyal', 'bagus', '']</t>
  </si>
  <si>
    <t>['maaf', 'kasih', 'bintang', 'pengguna', 'telkomsel', 'bagus', 'sinyal', 'skrng', 'sinyal', 'jelek', 'kota', 'tolong', 'perbaiki', 'penguna', 'telkomsel', 'pindah', 'proveder', 'udah', 'coba', 'pindah', 'mode', 'jaringan', 'otomatis', 'jelek', 'sinyalnya']</t>
  </si>
  <si>
    <t>['aplikasinya', 'knp', 'beli', 'paketnya', 'susah', 'lemot', 'kadang', 'kirain', 'paket', 'dipakai', 'stelah', 'pembelian', 'error', 'pemberitahuan', 'sbelumnya', 'error', 'habis', 'pulsa', 'tolong', 'bener', 'kebijakannya', 'php']</t>
  </si>
  <si>
    <t>['beli', 'pulsa', 'shopee', 'pay', 'cashback', 'trus', 'beli', 'paket', 'internet', 'kecewa', 'banget', '']</t>
  </si>
  <si>
    <t>['telkomsel', 'mengecewakan', 'puji', 'dihina', 'dimaki', 'dimana', 'jaringannya', 'lelet', 'kali', 'tolong', 'ditanggapi', 'komentar', 'mengeluh', 'jaringan', 'memprihatinkan', 'thanks']</t>
  </si>
  <si>
    <t>['paket', 'data', 'tertera', 'dilayar', 'berkali', 'kali', 'klik', 'beli', 'paketnya', 'gabisa', 'beli', 'riwayat', 'pembelian', 'ngapain', 'dijual', 'gabisa', 'dibeli', '']</t>
  </si>
  <si>
    <t>['sesiaii', 'aplikasi', 'aplikasi', 'mytelkomsel', 'tertulis', 'kuota', 'gb', 'dibeli', 'aslinya', 'gb', 'harga', 'dibelipun', 'sesuai', 'salah', 'mengecewakan', '']</t>
  </si>
  <si>
    <t>['bener', 'ancur', 'iya', 'apk', 'update', 'bagus', 'bener', 'mantap', 'berkali', 'kali', 'apk', 'update', 'ancur', 'jaringannya', 'ancur', 'provider', 'tukang', 'tipuuuuu', 'pulsa', 'berkurang', 'hidupkan', 'seluler', 'panggilan', 'telepon', 'penipuan', 'dipidanakan', '']</t>
  </si>
  <si>
    <t>['beli', 'kuota', 'dana', 'respon', 'tolong', 'lock', 'pulsa', 'kaya', 'axis', 'karna', 'detik', 'kuota', 'abis', 'pulsa', 'kesedot', 'jaringaan', 'suka', 'mati', 'mati', 'medan', 'main', 'game', 'mati', 'tolong', 'perbaiki', 'jaringan']</t>
  </si>
  <si>
    <t>['min', 'telkomsel', 'nggak', 'sistem', 'pembayaran', 'tersambung', 'linkaja', 'min', 'telkomsel', 'trouble', '']</t>
  </si>
  <si>
    <t>['', 'pelanggan', 'nomor', 'telkomsel', 'pakai', 'paket', 'combo', 'sakti', 'berharap', 'memakai', 'paket', 'unlimitedmax', 'kartu', 'ayolah', '']</t>
  </si>
  <si>
    <t>['woi', 'gua', 'beli', 'paket', 'promo', 'diproses', 'aktif', 'paketnya', 'edit', 'menit', 'beli', 'promonya', 'pulsa', 'berkurang', 'tamatt', 'kecewa', 'sekalii']</t>
  </si>
  <si>
    <t>['pulsa', 'kepotong', 'dpt', 'sms', 'paket', 'internet', 'kuota', 'bilangnya', 'pemeliharaan', 'system', 'pemeliharaan', 'system', 'namanya', 'merugikan', 'orang', 'tolong', 'diperbaiki', 'udah', 'sinyal', 'gaje', 'kesini', 'bobrok', 'pelayanannya', '']</t>
  </si>
  <si>
    <t>['gila', 'banget', 'telkomsel', 'beli', 'paket', 'youtube', 'trus', 'kupake', 'nonton', 'youtube', 'sekalinya', 'cek', 'pulsa', 'terpakai', 'habis', 'pulsa', 'ribu', 'aplikasinya', 'ditambahin', 'fitur', 'kunci', 'pulsa', 'kaya', 'operator', 'tepake', 'telkomsel', '']</t>
  </si>
  <si>
    <t>['update', 'nominal', 'saldo', 'linkaja', 'isi', 'saldo', 'link', 'lenyap', 'kabar', 'tolong', 'atasi', 'kesalahan', 'rating', 'menurun']</t>
  </si>
  <si>
    <t>['suka', 'kecepatan', 'internet', 'telkomsel', 'main', 'game', 'skrng', 'lemot', 'lemot', 'banget', 'ketiga', 'lemot', 'terimakasih', 'telkomsel', 'kalah', 'maen', 'game', '']</t>
  </si>
  <si>
    <t>['pelanggan', 'flash', 'otomatis', 'upgrade', 'sim', 'card', 'keluhan', 'sinyalnya', 'lemot', 'paket', 'non', 'aktif', 'jaringan', 'seluler', 'provider', 'pulsa', 'kesedot', 'dlm']</t>
  </si>
  <si>
    <t>['aplikasi', 'bagus', 'jaringan', 'dll', 'oke', 'lingkungan', 'mendukung', 'pas', 'log', 'durasi', 'detik', 'loading', 'tingkat', 'perbanyak', 'promo', 'perbanyak', 'bakti', 'sosial', '']</t>
  </si>
  <si>
    <t>['jaringan', 'internet', 'daerah', 'dusun', 'tlondan', 'kel', 'kec', 'selopampang', 'kab', 'temanggung', 'provinsi', 'jawa', 'jaringan', 'internet', 'mendukung', 'rumah', 'mohon', 'perluas', 'tower', 'telkomsel', 'masyarakat', 'menikmati', 'telkomsel', 'bener', 'bener', 'seluler', 'indonesia', 'mohon', 'management']</t>
  </si>
  <si>
    <t>['yth', 'telkomsel', 'mengutarakan', 'keluhan', 'dimana', 'kemarin', 'poin', 'telkomsel', 'sayang', 'mengalami', 'pengresetan', 'poin', 'wajar', 'mengisi', 'pulsa', 'pengisihan', 'pulsa', 'bisanya', 'poin', 'telkomsel', 'bertambah', 'pengisian', 'pulsa', 'poin', 'perubahan', 'terima', 'kasih', 'mohon', 'solusinya', '']</t>
  </si>
  <si>
    <t>['provider', 'lelet', 'jaringannya', 'provider', 'semenjak', 'rilis', 'paket', 'unlimited', 'mengajukan', 'keluhan', 'salesnya', 'perbaikan', 'jaringan', 'lokasiku', 'heran', 'mengambil', 'untungnya', 'menanggapi', 'keluhan', 'pelanggan', 'alhasil', 'berbondong', 'pindah', 'indosat', 'stabil', 'jaringannya', 'semoga', 'jaringan', 'telkomsel', 'sekarat', 'kedepannya', '']</t>
  </si>
  <si>
    <t>['min', 'paket', 'php', 'promo', 'gb', 'rb', 'pas', 'dibeli', 'diproses', 'trus', 'sampe', 'berhari', 'dicoba', 'tolong', 'dihapus', 'dibeli', '']</t>
  </si>
  <si>
    <t>['efisien', 'download', 'aplikasi', 'krna', 'promo', 'akurat', 'sesuai', 'lokasi', 'kalah', 'pembelian', 'konten', 'aplikasi', 'murah', 'vendor', 'counter', 'pulsa', 'top', '']</t>
  </si>
  <si>
    <t>['telkomsel', 'kouta', 'pulsa', 'disedot', 'kuota', 'kuota', 'jam', 'jaringan', 'kaya', 'gini', 'patahin', 'kartu', 'telkomsel', 'tarif', 'mahal', 'dibanding', 'operator', 'makai', 'telkomsel', '']</t>
  </si>
  <si>
    <t>['telkomsel', 'skrg', 'kayak', 'jaringan', 'lele', 'beli', 'paket', 'kuota', 'yng', 'tayangkan', 'telkomsel', 'nunggu', 'karna', 'transaksi']</t>
  </si>
  <si>
    <t>['', 'beli', 'kuto', 'sisa', 'kecepatannya', 'mbps', 'lambat', 'sinyal', 'full', 'dirugikan', 'otw', 'pindah', 'provider', '']</t>
  </si>
  <si>
    <t>['pindah', 'provider', 'donk', 'tuuu', 'telkomsel', 'kesini', 'kuota', 'tetep', 'mahal', 'jaringan', 'down', 'ratting', 'bintang', 'satunya', 'udah', 'looohh', 'bener', 'diperbaiki', '']</t>
  </si>
  <si>
    <t>['akun', 'starmaker', 'beli', 'vip', 'telkomsel', 'keterangannya', 'tersedia', 'mohon', 'infonya', 'terimakasih']</t>
  </si>
  <si>
    <t>['paketnya', 'mahal', 'paketnya', 'beda', 'gini', 'kawan', 'paket', 'combo', 'rbu', 'ituh', 'gb', 'pokonya', 'paketnya', 'beda', 'kawan', 'murah', 'paketnya']</t>
  </si>
  <si>
    <t>['tgl', 'jan', 'pkl', 'isi', 'pulsa', 'apl', 'link', 'saldo', 'link', 'sukses', 'berkurang', 'saldo', 'pulsanya', 'masuk', 'gmn', 'balikinnya', 'tlg', 'cek', 'kecewaa', 'jan', 'terima', 'kasih', 'hub', 'link', 'ditindaklanjuti', '']</t>
  </si>
  <si>
    <t>['maaf', 'koata', 'game', 'lengkapi', 'beli', 'koata', 'game', 'game', 'nama', 'game', 'art', 'war', 'mohon', 'masuk', 'paket', 'gamemax', '']</t>
  </si>
  <si>
    <t>['parah', 'masuk', 'telkomsel', 'nunggu', 'sms', 'perbaiki', 'kuota', 'murahin', 'mahal', 'covid', 'harga', 'kaya', '']</t>
  </si>
  <si>
    <t>['woyy', 'telkomsel', 'udah', 'kali', 'isi', 'pulsa', 'paket', 'internet', 'pas', 'isi', 'pulsa', 'pulsa', 'berkurang', 'tlong', 'lahh', 'telkomsel', 'udah', 'paket', 'mahal', 'mahal', 'pulsa', 'disedot']</t>
  </si>
  <si>
    <t>['ampun', 'sinyal', 'telkomsel', 'bolak', 'telp', 'telkomsel', 'perubahan', 'internet', 'susah', 'karna', 'tinggal', 'deket', 'gunung', 'sinyal', 'nyangkut', 'digunung', 'laporan', 'backend', 'hasil', 'coba', 'deh', 'tim', 'teksnisi', 'lokasi', 'truz', 'internet', 'dimari', 'kesel', 'promo', 'ajah', 'dibesarin', 'sinyal', 'dipeduliin', 'lanjutin', 'deh', 'telkomsel', 'perburuk', 'sinyal', 'wilayah', 'hebat', '']</t>
  </si>
  <si>
    <t>['telkomsel', 'buruk', 'mengecewakan', 'minggu', 'dipakai', 'pelanggan', 'pascabayar', 'quota', 'pakai', 'burrrruuuuukkkkkkk']</t>
  </si>
  <si>
    <t>['susah', 'beli', 'paket', 'aplikasi', 'aneh', 'gangguan', 'paket', 'abis', 'pulsa', 'udh', 'kesedot', 'mulu', 'pulsanya', 'sinyal', 'jaringangan', 'gangguan', 'payah']</t>
  </si>
  <si>
    <t>['nomer', 'promo', 'eehhh', 'dibeli', 'transaksi', 'sukses', 'paketan', 'masuk', 'udah', 'diulang', 'payah', 'provider', 'php', '']</t>
  </si>
  <si>
    <t>['paket', 'nggk', 'paket', 'beli', 'hilang', 'muncul', 'paket', 'nggk', 'mahal', 'sesuai', 'kebutuhan', 'paket', 'terbagi', '']</t>
  </si>
  <si>
    <t>['update', 'bug', 'daily', 'check', 'mengklaim', 'hadiah', 'situ', 'keterangan', 'pemotongan', 'pulsa', 'oke', 'muncul', 'keterangan', 'reedem', 'berhasil', 'poin', 'pulsa', 'poin', 'gara', 'update', 'terbaru', 'poin', 'hilang', 'maksutnya', 'gimana', 'tolong', 'perbaiki']</t>
  </si>
  <si>
    <t>['memuaskan', 'kuota', 'murah', 'bonus', 'check', 'pokonya', 'the', 'best', 'deh', 'saran', 'tolong', 'adakan', 'top', 'khusus', 'game', 'murah', 'disertai', 'kuota', 'internet']</t>
  </si>
  <si>
    <t>['jaringan', 'telkomsel', 'smakin', 'maen', 'game', 'online', 'suka', 'ngelag', 'game', 'pubg', 'promo', 'paket', 'internat', 'pemberithuanny', 'tolong', 'secepatnya', 'perbaiki', 'jaringanya', 'kecewa', 'semangat', 'memperbaiki', '']</t>
  </si>
  <si>
    <t>['telkomsel', 'error', 'beli', 'paket', 'gb', 'rb', 'berkali', 'masuk', 'paket', 'datanya', 'pulsa', 'ngga', 'berkurang', 'bingung', 'beli', 'paket', 'tsb', '']</t>
  </si>
  <si>
    <t>['malam', 'beli', 'paket', 'harian', 'gb', 'kepapa', 'habisnya', 'jam', 'doang', 'cuman', 'buka', 'kagak', 'jam', 'belinya', 'jam', 'malam', 'habisnya', 'jam', 'pagi', 'mohon', 'kagak', 'kayak', 'telkomselnya']</t>
  </si>
  <si>
    <t>['kesini', 'ngeluh', 'telkomsel', 'udah', 'sinyal', 'parah', 'koneksi', 'parah', 'harga', 'mah', 'mahal', 'sesuai', 'harga', 'kecewa']</t>
  </si>
  <si>
    <t>['pulsa', 'saia', 'suka', 'curi', 'curi', 'kemarin', 'isi', 'pulsa', 'ribu', 'pakek', 'taunya', 'pas', 'cek', 'pulsa', 'udah', 'berkurang', 'apain', 'kaish', 'kau', 'bintang']</t>
  </si>
  <si>
    <t>['jijik', 'ama', 'provider', 'parah', 'kecewa', 'parah', 'sinyal', 'udh', 'kaya', 'tinggal', 'laut', 'mahalnya', 'doang', 'intinya', 'kartu', 'layak', 'pakai', '']</t>
  </si>
  <si>
    <t>['kecewa', 'telkomsel', 'sms', 'promo', 'telkomsel', 'masuk', 'mencoba', 'pembelian', 'berbeda', 'sms', 'promo', 'telkomsel', 'kirim', 'tolong', 'perbaiki', 'kak']</t>
  </si>
  <si>
    <t>['aplikator', 'saran', 'klu', 'aplikasinya', 'tambahkan', 'menu', 'pulsa', 'lock', 'jaringan', 'internet', 'sel', 'kadang', 'konsumen', 'kouta', 'internetnya', 'habis', 'warning', 'kouta', 'habis', 'pulsa', 'terpakai', 'promo', 'menarik', 'fitur', 'selangkah', 'vendor', 'kompetitor', 'responnya']</t>
  </si>
  <si>
    <t>['admin', 'telkomsel', 'sehat', 'gajian', 'potong', 'jaringan', 'diperbaiki', 'diperbaiki', 'perbaiki', 'denger', 'min', 'jaman', 'susah', 'orang', 'susah', 'gue', 'bertahun', 'telkomsel', 'lemot', 'ngopi', 'min', 'males', '']</t>
  </si>
  <si>
    <t>['bintang', 'jelek', 'mah', 'kaga', 'dikasih', 'bintang', 'ancur', 'sinyal', 'kuota', 'doang', 'mahal', 'jelek', 'sinyal', 'pemakaian', 'kartu', 'perdana', 'emosi', 'doang', 'mending', 'ganti', 'kartu', 'ajelah', '']</t>
  </si>
  <si>
    <t>['kecewa', 'telkomsel', 'make', 'kartu', 'simpati', 'loop', 'main', 'game', 'bener', 'jaringan', 'iklan', 'telkomsel', 'menceritakan', 'jaringan', 'kuat', 'macem', 'hasil', 'kecewa', 'telkomsel', 'make', 'provider', 'tetangga', 'pas', 'main', 'game', 'jaringan', 'stabil', 'giliran', 'ganti', 'kartu', 'jaringan', 'ngawur', 'kecewa']</t>
  </si>
  <si>
    <t>['kak', 'gimana', 'jelek', 'sinyal', 'terang', 'pindah', 'kartu', 'orang', 'bojonegoro', 'hujan', 'orang', 'bojonegoro', 'twitter', 'ran', 'keluhan', 'suruh', 'twitter', 'ngelag', 'kak']</t>
  </si>
  <si>
    <t>['kouta', 'mahal', 'aplikasi', 'rusak', 'telkomsel', 'mendingan', 'murah', 'sebanding', 'kualitas', 'sinyalnya', 'mahal', 'kualitas', 'jaringan', 'kualitas', 'jaringan', 'murah', 'yuk', 'tinggalkan', 'telkomsel', 'bangkrut', 'amin']</t>
  </si>
  <si>
    <t>['makai', 'apk', 'telkom', 'bagus', 'bagus', 'jaringan', 'pembelian', 'paket', 'data', 'salahnya', 'pulsa', 'disedot', 'rupiah', 'ribu', 'rupiah', '']</t>
  </si>
  <si>
    <t>['pas', 'beli', 'paket', 'promosi', 'gb', 'nggak', 'udah', 'beli', 'nungguin', 'banget', 'error', 'nggak', 'pulsanya', 'kesedot', 'pas', 'beli', 'woy', 'rugi', 'gua', '']</t>
  </si>
  <si>
    <t>['jaringan', 'telkomsel', 'suka', 'ngilang', 'pas', 'main', 'game', 'tolong', 'perbaiki', 'lagii', 'optimalkan', 'konsumen', 'nyaman', 'udah', 'harga', 'paket', 'mahal', 'jaringan', 'hancur', 'bener', 'cuman', 'untung', 'doang', '']</t>
  </si>
  <si>
    <t>['halo', 'telkomsel', 'sehat', 'kuota', 'mahal', 'seimbang', 'sinyal', 'jaringan', 'kualitas', 'pelanggan', 'telkomsel', 'sinyal', 'kota', 'berasa', 'hutan', 'rimba', 'pantes', 'orang', 'orang', 'beralih', 'kartu', '']</t>
  </si>
  <si>
    <t>['operator', 'sampah', 'layak', 'pakai', 'kartu', 'ppk', 'ngapa', 'ngapain', 'tolol', 'ajg', 'buang', 'buang', 'duit', 'mahal', 'sinyal', 'murahan', 'semoga', 'pelanggan', 'meninggalkan', 'kartu', 'burik', 'ajg', 'beralih', 'operator', 'setahun', 'komplain', 'perbaikan', 'operator', 'biadab', 'nyesel', 'gwa', 'beli', 'operator', 'sampah', 'telkontol', '']</t>
  </si>
  <si>
    <t>['telkom', 'nyatakan', 'rusak', 'telkom', 'untungnya', 'doang', 'ngak', 'mikiriin', 'penggunaan', 'mentingin', 'untung', 'doang', 'mending', 'ganti', 'kartu', 'telkom', 'skrng', 'udh', 'rusak', 'banget']</t>
  </si>
  <si>
    <t>['maaf', 'min', 'jaringan', 'lambat', 'harga', 'kuotanya', 'mahal', 'tolong', 'dibaca', 'keluhan', 'min', 'mahalnya', 'harga', 'kuota', 'permasalahkan', 'jaringan', 'lancar', 'cepat', 'stabil', 'sekian', 'terimakasih']</t>
  </si>
  <si>
    <t>['kecewa', 'quota', 'unlimited', 'penurunan', 'performa', 'nayatanya', 'quota', 'utama', 'habis', 'ngeleg', 'banget', 'jaringannya', 'buka', 'lemot', 'ampun']</t>
  </si>
  <si>
    <t>['telkomsel', 'siqnal', 'jaringan', 'mati', 'tinggalnya', 'dikota', 'jaringan', 'uda', 'minggu', 'gini', 'tolong', 'dicek', 'diperhatikan', 'jngn', 'mohon', 'maaf', 'gangguan', 'kendala', 'mohon', 'diemail', 'kesini', 'kesitu', 'ribet', '']</t>
  </si>
  <si>
    <t>['pembayaran', 'pakai', 'link', 'pelanggan', 'pas', 'beli', 'paket', 'pembayaran', 'via', 'link', 'parah', 'udah', 'sinyal', 'jelek', 'stabil', 'harga', 'paket', 'mahal', 'kirain', 'promonya', '']</t>
  </si>
  <si>
    <t>['sinyal', 'buruk', 'telkomsel', 'pengguna', 'telkomsel', 'kecewa', 'telkomsel', 'kota', 'jakarta', 'sinyal', 'jelek', 'telkomsel', 'buruk', 'pindah', 'indosat', 'terimakasih']</t>
  </si>
  <si>
    <t>['sinyal', 'buruk', 'pelayanan', 'buruk', 'pertimbangan', 'sinyal', 'bapuk', 'lemot', 'aktivitas', 'terganggu', 'paketan', 'mahal', 'sinyal', 'sesuai', 'harga', '']</t>
  </si>
  <si>
    <t>['pikir', 'harga', 'kuota', 'mahal', 'membawa', 'wow', 'kagak', 'beli', 'kuota', 'mahal', 'mahal', 'buffering', 'doang', 'mending', 'pakai', 'kartu', 'harga', 'bersahabat', 'sinyal', 'busuk', 'jaringan', 'telkomsel', 'kecewa']</t>
  </si>
  <si>
    <t>['telkomtol', 'maaf', 'maaf', 'kendalanya', 'slalu', 'sllu', 'maaf', 'kepuasan', 'pelanggan', 'terpenuhi', 'perbaiki', 'respon', 'otomatis', 'adakan', 'klau', 'mendi', 'out', 'sumpah', 'cpek', 'gua', 'liat', 'provider', 'rating', 'makinnturun', 'tpi', 'berbenah', '']</t>
  </si>
  <si>
    <t>['hai', 'telkomsel', 'terimakasih', 'ketidak', 'nyamanan', 'kecewa', 'jaringan', 'aplikasi', 'telkom', 'eror', 'harga', 'kualitas', 'jaringan', 'rendah', 'tinggal', 'kota', 'serasa', 'tinggal', 'plosok', '']</t>
  </si>
  <si>
    <t>['orang', 'telkomsel', 'udah', 'pindah', 'provider', 'susah', 'masuk', 'cek', 'kuota', 'pulsa']</t>
  </si>
  <si>
    <t>['tolong', 'percepat', 'kerja', 'aplikasi', 'berjalan', 'lambat', 'bermasalah', 'gangguan', 'pdhal', 'sinyal', 'pembelian', 'slalu', 'gagal', 'tolong', 'perbaiki', 'tambahkan', 'diskon', 'terbaik', 'pembelian', 'data']</t>
  </si>
  <si>
    <t>['knp', 'beli', 'paket', 'promo', 'tersedia', 'app', 'telkomsel', 'pdh', 'paket', 'promo', 'ceria', 'gb', 'tertera', 'beli', 'tampilkan', 'donk', 'appny', 'namany', 'penipuan', 'rugia', 'gua', 'isi', 'pulsa', 'karna', 'pulsa', 'gua', 'terkuras', 'mulu', '']</t>
  </si>
  <si>
    <t>['tolong', 'developer', 'telkomsel', 'mendaftar', 'paket', 'mohon', 'informasikan', 'memiliki', 'paket', 'pemberitahuan', 'kena', 'tarif', 'non', 'aktif', 'pulsa', 'terkuras', 'menyalakan', 'kouta', 'menjalankan', 'apk', 'pulsa', 'tetep', 'ludes', 'itupun', 'nominal', 'mohon', 'perbaiki', 'pas', 'pemberitahuan', 'non', 'data']</t>
  </si>
  <si>
    <t>['sumpah', 'telkomsel', 'nampaknya', 'putus', 'hubungan', 'koneksi', 'jaringannya', 'putus', 'nyambung', 'kerjaan', 'bergantung', 'penggunaan', 'internet', 'kualitas', 'internet', 'payah', 'mhn', 'maaf', 'keluhannya', 'udah', 'kebangetan', 'lihat', 'reviewnya', 'mengeluhkan']</t>
  </si>
  <si>
    <t>['tolong', 'bug', 'aplikasi', 'memakai', 'kuota', 'data', 'dibenahi', 'update', 'lakukan', 'buka', 'aplikasinya', 'makan', 'data', 'puluhan', '']</t>
  </si>
  <si>
    <t>['fasilitas', 'internet', 'combo', 'sakti', 'lumayan', 'murah', 'sebulan', 'telpon', 'agen', 'telkomsel', 'beralasan', 'kartu', 'beralih', 'kartu', 'halo', 'menolak', 'harga', 'paket', 'mahal', 'langsung', 'paket', 'combo', 'sakti', 'tersedia', 'pandemi', 'butuhkan', '']</t>
  </si>
  <si>
    <t>['telkomsel', 'slalu', 'terbaik', 'jaringan', 'luas', 'slalu', 'dimana', 'pengguna', 'telkomsel', 'bosan', 'telkomsel', 'slalu', 'menyediakan', 'promo', 'kualitas', 'sinyal', 'terbaik']</t>
  </si>
  <si>
    <t>['terlanjur', 'beli', 'paket', 'gamemax', 'silver', 'mobile', 'legend', 'koneksi', 'error', 'tertulis', 'reconnect', 'silahkan', 'hubungi', 'konsumen', 'service', 'digame', 'gunanya', 'paketan', 'khusus', 'game', 'gigabyte', 'cuman', 'paketan', 'harga', 'ribu', 'pulsa', 'utama', 'kesedot', 'mohon', 'paketan', 'game', 'mending', 'full', 'game', 'dibagi', 'kecewa', 'pelayanan', 'telkomsel', '']</t>
  </si>
  <si>
    <t>['kecewa', 'kartu', 'telkomsel', 'beli', 'promo', 'paket', 'sakti', 'ceria', 'respon', 'telkomsel', 'balas', 'pesan', 'promo', 'pakai', 'kode', 'dial', 'download', 'beli', 'promo', 'paket', 'telkomsel', 'respon', 'belinya', 'pemakaian', 'melebihi', 'gb', 'sinyal', 'jelek', 'sinyal', 'jelek', 'jelek', '']</t>
  </si>
  <si>
    <t>['astagfirullah', 'bener', 'kecewa', 'sma', 'layanan', 'dpt', 'promo', 'unlimited', 'rb', 'bgtu', 'coba', 'pembayarn', 'tpi', 'pembayaran', 'dlm', 'progres', 'berulang', 'pulsa', 'sisa', 'rb', 'kena', 'potong', 'padhl', 'layanan', 'data', 'paket', 'opertor', 'kesel', 'bin', 'kecewa', 'irit', 'sush', 'mlah', 'kecewain', 'pdhal', 'bantu', 'urusan', 'belajar', 'sekolah', 'anak', 'jga', 'allah', 'sma', 'telkomsel', '']</t>
  </si>
  <si>
    <t>['seneng', 'simpati', 'knp', 'kualitasnya', 'berkurang', 'gitu', 'kasi', 'internet', 'gratis', 'motong', 'pulsa', 'utama', 'bener', 'menyebalkan']</t>
  </si>
  <si>
    <t>['aplikasi', 'telkomsel', 'hapus', 'kesin', 'ngerugiin', 'efektif', 'gangguan', 'andelin', 'aplikasi', 'hapus', 'benned', '']</t>
  </si>
  <si>
    <t>['maaf', 'hapus', 'skrg', 'koq', 'pakai', 'simcard', 'install', 'otp', 'logout', '']</t>
  </si>
  <si>
    <t>['sinyal', 'sebatas', 'kecepatan', 'hina', 'buruknya', 'kali', 'disaat', 'genting', 'sinyal', 'hilang', 'alasan', 'kendala', 'apapun', 'terkadang', 'pakai', 'apn', 'menguatkan', 'sinyal', 'suka', 'hilang', 'provider', 'nomor', 'indonesia', '']</t>
  </si>
  <si>
    <t>['ukuran', 'aplikasi', 'memenuhi', 'wajib', 'update', 'bulannya', 'fitur', 'pembaharuan', 'bagus', 'memenuhi', 'ruang', '']</t>
  </si>
  <si>
    <t>['kasih', 'bintang', 'koneksi', 'jelek', 'koneksi', 'bagus', 'tpi', 'lemot', 'banget', '']</t>
  </si>
  <si>
    <t>['pulsa', 'knapa', 'potong', 'kouta', 'berlangganan', 'apapun', 'kouta', 'internet', 'bahaya', 'min', 'tolong', 'perbaikin', '']</t>
  </si>
  <si>
    <t>['perasaan', 'internet', 'habis', 'berlakunya', 'kemarin', 'cek', 'gb', 'besoknya', 'langsung', 'nol', 'isi', 'gb', 'minggu', 'kepakenya', 'cepet', 'habis', 'aktifnya', 'singkat', 'gimana', 'curang']</t>
  </si>
  <si>
    <t>['pliss', 'plisss', 'kuota', 'sinyal', 'lelet', 'telkomsel', 'tolong', 'pengguna', 'nyaman', 'kejadian', 'kemaren', 'ikutan', 'lomba', 'game', 'bayar', 'mahal', 'mahal', 'sinyal', 'merah', 'ngeselin', 'sampe', 'banting', 'aduh', 'aduh', 'abis', 'kuota', 'pondah', 'laen', 'sebenernya', 'udah', 'kali', 'komen', 'cuman', 'gmn', 'terbawa', 'emosi', 'nga', 'komen', 'komen', 'semoga', 'bagus', 'jaringan']</t>
  </si>
  <si>
    <t>['saran', 'telkomsel', 'menerapkan', 'fitur', 'lock', 'button', 'dimana', 'mengunci', 'pulsa', 'terpakai', 'data', 'seluler', 'diterapkan', 'sms', 'telpon', 'internet', 'sebel', 'isi', 'pulsa', 'habis', 'notif', 'apps', 'doang', 'terapkan', 'fiturnya', 'kalah', 'provider']</t>
  </si>
  <si>
    <t>['pembelian', 'paket', 'data', 'progres', 'memuaskan', 'pulsa', 'habis', 'paket', 'dapet', 'untung', 'rugi', 'bintang', 'cocoknya', '']</t>
  </si>
  <si>
    <t>['telkomsel', 'coba', 'lihat', 'negara', 'india', 'paketnya', 'murah', 'kasihan', 'pelajar', 'belajar', 'daring', 'daerah', 'terpencil', 'susah', 'sinyal', 'mahal', '']</t>
  </si>
  <si>
    <t>['pelayanan', 'tidam', 'bagus', 'solusi', 'paketan', 'super', 'mahal', 'paket', 'unlimited', 'beli', 'telkomsel', 'cocok', 'pemakaian', 'internet', 'kartu', 'axis', 'terbaik', 'menawarkan', 'paket', 'internet', '']</t>
  </si>
  <si>
    <t>['hai', 'berlangganan', 'udah', 'sepuluh', 'telkomsel', 'seindah', 'paketan', 'mahal', 'kualitas', 'sinyal', 'buruk', 'pulsa', 'habis', 'kuota', 'internet', 'terimakasih']</t>
  </si>
  <si>
    <t>['kecewa', 'gua', 'telkomsel', 'smp', 'sampe', 'kartu', 'ganti', 'ancur', 'ngatur', 'sistem', 'transaksi', 'jelek', 'beli', 'paket', 'data', 'uang', 'udah', 'terpotong', 'transaksi', 'sukses', 'telkomsel', 'gagal', 'uang', 'emang', 'sistem', 'transaksi', 'jelek', 'transaksi', 'online', 'merugikan', 'uang', 'beli', 'paket', 'larinya', 'kemana', 'beli', 'paket', 'ghoib', '']</t>
  </si>
  <si>
    <t>['aplikasi', 'burik', 'booog', 'hayuk', '']</t>
  </si>
  <si>
    <t>['telkomsel', 'mohon', 'daerahku', 'lakukan', 'perbaikan', 'peningkatan', 'kualitas', 'jaringan', 'masak', 'bertahun', 'kualitas', 'jaringan', '']</t>
  </si>
  <si>
    <t>['mahal', 'sinyal', 'buruk', 'buruk', 'mementingkan', 'keuntungan', 'pribadi', 'salahkan', 'ganti', 'sinyal', 'ttp', 'buruk', '']</t>
  </si>
  <si>
    <t>['aduh', 'gimna', 'beli', 'paket', 'telkomsel', 'bayar', 'tpi', 'belom', 'masuk', 'suruh', 'tunggu', 'ampe', 'besok', 'mimin', 'kendala', 'jualan', 'paket', 'klw', 'msh', 'bnyak', 'kendala', 'mah', '']</t>
  </si>
  <si>
    <t>['perusahaan', 'terbesar', 'terbaik', 'indo', 'buktinya', 'apaa', 'jaringan', 'stabil', 'kemaren', 'telat', 'isi', 'pulsa', 'tenggang', 'kartu', 'ngedadak', 'beramasalah', 'cek', 'pulsa', 'udh', 'aplikasi', 'dibilang', 'jaringan', 'buruk', 'jaringan', 'stabil', 'parah']</t>
  </si>
  <si>
    <t>['', 'protes', 'jual', 'paket', 'internet', 'tolong', 'kasih', 'harga', 'harga', 'sultan', 'kasian', 'orang', 'tuaku', 'kerja', 'malam', 'beli', 'kuota', 'anaknya', 'belajar', 'daring', 'udah', 'sinyal', 'susah', 'paketan', 'mahal', 'duit', 'pelajaran', 'numpuk', 'kumpulin', 'tugasnya', 'gara', 'gara', 'gara', 'gara', 'telkomsel', 'njual', 'paketan', 'nggak', 'ngotak', 'harganya', 'tolong', 'petugas', 'telkomsel', 'harap', 'kasih', 'kemurahan', 'paketan', 'telkomsel', 'terima', 'kasih', '']</t>
  </si>
  <si>
    <t>['update', 'saldo', 'linkaja', 'repot', 'transaksi', 'mohon', 'ditampilkan', 'mudah', 'transaksi', 'pembelian', 'telkomsel', '']</t>
  </si>
  <si>
    <t>['nanya', 'beli', 'paket', 'telkomsel', 'aplikasi', 'lemot', 'hape', 'ram', 'undroid', 'sdg', 'update', 'aplikasi', 'telkomsel', 'zonk', 'upayakan', 'beli', 'paket', 'internet', 'aplikasi', 'zonkk', 'hasilnya', 'makasi', '']</t>
  </si>
  <si>
    <t>['memakai', 'telkomsel', 'jaringan', 'lelet', 'siang', 'membuka', 'aplikasi', 'semacamnya', 'respon', 'merugikan', 'konsumen', 'kualitas', 'sebanding', 'harga', 'bayar', 'tolong', 'diperbaiki']</t>
  </si>
  <si>
    <t>['telkomsel', 'aneh', 'pulsa', 'beli', 'paket', 'mytlkomsel', 'ilang', 'data', 'nyala', 'kuota', 'pulsa', 'kesedot', 'udah', 'kali', 'ngalamin']</t>
  </si>
  <si>
    <t>['internet', 'omg', 'akses', 'beli', 'aplikasi', 'akses', 'telfon', 'call', 'center', 'sibuk', 'mohon', 'jawabannya', '']</t>
  </si>
  <si>
    <t>['jaringan', 'busuk', 'jelek', 'rugi', 'kali', 'beli', 'kartu', 'telkom', 'jaringan', 'busuk', 'gue', 'main', 'gem', 'patah', 'patah', 'mahal', 'ngelek', 'bagusan', 'ganti', 'axis', 'kelen', 'blom', 'kartu', 'telkomsel', 'gosa', 'beli', 'nyesal', 'kayak']</t>
  </si>
  <si>
    <t>['beli', 'paket', 'maxstream', 'pakai', 'pas', 'nonton', 'aplikasi', 'disneyplus', 'suruh', 'berlangganan', 'fast', 'respon', 'please']</t>
  </si>
  <si>
    <t>['pelayanan', 'customer', 'service', 'buruk', 'aplikasi', 'nyedot', 'kuota', 'ngotak', 'buka', 'telkomnyet', 'menit', 'udah', 'ngabisin', 'speed', 'nyedotnya', 'kb', 'detik', 'emang', 'kaga', 'ngotak', '']</t>
  </si>
  <si>
    <t>['selesai', 'kuota', 'utama', 'malem', 'kena', 'udah', 'daftar', 'paket', 'malem', 'kena', 'kuota', 'utama', 'kog', 'kuota', 'malam', 'kepake', '']</t>
  </si>
  <si>
    <t>['undian', 'poinnya', 'konsumen', 'setia', 'telkomsel', 'sll', 'undian', 'poin', 'alhamdulillah', 'nyangkut', 'blm', 'keberuntungan', '']</t>
  </si>
  <si>
    <t>['menu', 'oke', 'menyebalkan', 'paket', 'internet', 'ngurangin', 'pulsa', 'internet', 'isi', 'pulsa', 'abis', 'internet', 'tarif', 'non', 'paket', 'paket', 'unlimited']</t>
  </si>
  <si>
    <t>['telkomsel', 'kuota', 'malam', 'tertulis', 'jam', 'pulsa', 'berkurang', 'tanggung', 'telkomsel', '']</t>
  </si>
  <si>
    <t>['paket', 'unlimited', 'live', 'facebook', 'youtube', 'pakai', 'streamlabs', 'obs', 'versi', 'versi', 'android', 'kecepatan', 'download', 'upload', 'harga', 'mahal', '']</t>
  </si>
  <si>
    <t>['beli', 'aplikasi', 'mytelkomsel', 'kaga', 'kuota', 'udah', 'beli', 'kuota', 'you', 'tube', 'you', 'tube', '']</t>
  </si>
  <si>
    <t>['woi', 'telkomsel', 'lemot', 'game', 'cepet', 'ms', 'game', 'stabil', 'tolonglah', 'perbaiki', 'mahal', 'doang', 'kenceng', 'mah', 'kaga', '']</t>
  </si>
  <si>
    <t>['tertipu', 'telkomsel', 'chek', 'stam', 'paket', 'gratis', 'tahunya', 'ngambilnya', 'kali', 'vocher', 'berguna', '']</t>
  </si>
  <si>
    <t>['kecewa', 'sich', 'pengguna', 'setia', 'paketnya', 'mahal', 'murah', 'murah', 'nggak', 'apresiasi', 'pelanggan', 'setia', 'telkomsel', 'kecewa']</t>
  </si>
  <si>
    <t>['penipuan', 'promo', 'dipakai', 'hati', 'pengguna', 'telkomsel', 'terlena', 'pede', 'kwalitasnya', 'membaik', 'kwalitasnya', 'jelek', 'telkomsel', 'provider', 'terbesar', 'indonesia', 'menjaga', 'kwalitasnya', 'mengecewakan', '']</t>
  </si>
  <si>
    <t>['error', 'bacaan', 'aplikasi', 'berjalan', 'aplikasi', 'giliran', 'apk', 'hapus', 'gitu', 'tololng', 'penjelasannya', 'telkomsel', 'tks']</t>
  </si>
  <si>
    <t>['membantu', 'bangetzz', 'promo', 'pelangg', 'pengguna', 'telkomsel', 'nopeny', 'kadang', 'ganti', 'akibat', 'blokir', 'hilang', 'mati', 'terbaik', '']</t>
  </si>
  <si>
    <t>['telkomsel', 'banggakan', 'karna', 'sinyalnya', 'kuat', 'memgecewakan', 'sinyal', 'live', 'streaming', 'lemot', 'suka', 'hilang', 'sinyal', 'lokasi', 'grapari', 'bsd', 'help', 'sinyal']</t>
  </si>
  <si>
    <t>['pengguna', 'telkomsel', 'area', 'jambi', 'merangin', 'kec', 'tabir', 'timur', 'saaya', 'pengguna', 'telkomsel', 'jaringan', 'signal', 'koneksi', 'internet', 'diakses', 'gangguan', 'harinya', 'jaringan', 'internet', 'dipakai', 'dikunci', 'mengganggu', 'sekolah', 'online', 'daring', 'daring', 'karna', 'gangguan', 'mohon', 'cepat', 'diperbaiki', 'jaringan', 'mohon', 'secepatnya', '']</t>
  </si>
  <si>
    <t>['update', 'mytelkomsel', 'aplikasi', 'dibuka', 'coba', 'uninstal', 'instal', 'dibuka', 'something', 'went', 'wrong', 'gitu', 'tolong', 'diperbaiki', 'terimakasih']</t>
  </si>
  <si>
    <t>['kesini', 'telkomsel', 'menurun', 'udah', 'kayak', 'provider', 'sebelah', 'hujan', 'sinyal', 'ilang', 'jaringan', 'wifi', 'kebaca', 'udah', 'riset', 'modem', 'kayak', 'gitu', 'ayolaaah', 'orang', 'memenuhi', 'kolom', 'komentar', 'jelek', 'buruan', 'upgrade', 'aspek', 'apapun', 'pengguna', 'menurun', '']</t>
  </si>
  <si>
    <t>['beli', 'lambat', 'gagal', 'aplikasi', 'terdaftar', 'paket', 'apapun', 'error', 'maaf', 'membeli', 'produk', 'gagal', 'masu', 'app', 'sign', 'gagal', 'verifikasi', 'nomer', 'gagal', '']</t>
  </si>
  <si>
    <t>['min', 'pulsa', 'beli', 'unlimited', 'youtube', 'pulsa', 'lho', 'perbaiki', 'pembeliannya', 'sinyal', 'kek', 'taik', 'ngga', 'beli', 'kuota', 'kek', 'ngga', 'kuota', 'habis', 'kuota', 'ngga', 'dipake', 'laku', 'ngga', 'telkomsel', 'perbaiki', 'diminati', '']</t>
  </si>
  <si>
    <t>['kesal', 'jaringan', 'telkomsel', 'kekecewaan', 'bukanya', 'buruk', 'saran', 'tutup', 'telkomsel']</t>
  </si>
  <si>
    <t>['selamat', 'pagi', 'telkomsel', 'yth', 'memperbaharui', 'aplikasi', 'mytelkomsel', 'versi', 'metode', 'pembayaran', 'via', 'pulsa', 'paket', 'internet', 'kuota', 'ketengan', 'youtube', 'unlimited', 'perubahan', 'metode', 'pembayaran', 'keberatan', 'kecewa', 'pengguna', 'telkomsel', 'menikmati', 'fitur', 'tersedia', 'pembayaran', 'via', 'shopeepay', 'ovo', 'gopay', 'dana', 'mohon', 'bantuannya', 'terima', 'kasih', '']</t>
  </si>
  <si>
    <t>['kasih', 'bintang', 'kecewa', 'beli', 'paketan', 'game', 'unlimited', 'paketdata', 'utama', 'habis', 'paketdata', 'game', 'berkali', 'menghemat', 'pengeluaran', 'boros', 'mengadu', 'customer', 'service', 'respon', '']</t>
  </si>
  <si>
    <t>['nyedot', 'pulsa', 'transaksi', 'sel', 'dlu', 'pulsa', 'kuota', 'utama', 'tsel', 'krena', 'nyedot', 'pulsa', 'udah', 'cek', 'trx', 'mencurigakan', 'bbrp', 'tselq', 'nerima', 'tlp', 'sampe', 'diturunin', 'silver', 'nomer', 'aktif', 'sel', 'goceng', 'perbulan']</t>
  </si>
  <si>
    <t>['udah', 'beli', 'paketan', 'sampek', 'udah', 'aktif', 'laporannya', 'gagh', 'dipakai', 'gimana', 'pelanggan', 'rugi', 'tolong', 'secepatnya', 'diperbaiki', 'min', '']</t>
  </si>
  <si>
    <t>['dapet', 'promo', 'ceria', 'cepet', 'isi', 'pulsa', 'diaktifin', 'gagal', 'komplain', 'via', 'chat', 'disuruh', 'tunggu', 'langsung', 'hilang', 'promonya', 'niat']</t>
  </si>
  <si>
    <t>['perkenalkan', 'nama', 'tomo', 'daerah', 'serang', 'kartu', 'telkomsel', 'semenjak', 'memberitahukan', 'telkomsel', 'berkurang', 'performanya', 'kecepatan', 'dibandingkan', 'sebelah', 'stabil', 'hati', 'tergerak', 'bergabung', 'terimakasih', '']</t>
  </si>
  <si>
    <t>['telkomsel', 'knpa', 'tega', 'banget', 'udh', 'sengaja', 'internet', 'malam', 'gb', 'pulsa', 'ngurang', 'sendir', 'padhl', 'nelpon', 'bjir', 'ambun', 'udh', 'rela', 'rela', 'begadang', 'ilang', 'sms', 'nelpon', 'kirain', 'ngilang', 'pulsa', '']</t>
  </si>
  <si>
    <t>['aplikasi', 'telkomsel', 'nipu', 'promo', 'paket', 'tulisan', 'special', 'for', 'you', 'pas', 'isi', 'pulsa', 'pas', 'coba', 'berkali', 'kali', 'dibeli', 'paket', 'ngak', 'aktif', 'aktif', 'paket', 'beli', 'ilang', 'paket', 'udah', 'kejadian', '']</t>
  </si>
  <si>
    <t>['sinyal', 'mendukung', 'bermain', 'game', 'harga', 'paket', 'sesuai', 'pelayanan', 'jaringan', 'kecewa', 'performa', 'menurun', 'jaringan', 'stabil', 'hand', 'phone', 'memaksakan', 'keras', 'akibat', 'jaringan', 'lemah', 'mengkonsumsi', 'baterai', 'berdampak', 'buruk', 'penggunaan', 'jangka', 'mengakibatkan', 'hand', 'phone', 'melemah', 'lemot', 'kecewa', 'perubahan', 'evaluasi', 'telkomsel', '']</t>
  </si>
  <si>
    <t>['bintang', 'deh', 'signal', 'internet', 'telkomsel', 'stabil', 'internetnya', 'lemot', 'berhubung', 'paket', 'internet', 'stop', 'paket', 'internet', 'telkomsel', 'pindah', 'paket', 'internetnya', 'stabil', 'lemot', 'harga', 'mahal', 'internetnya', 'stabil', 'lemot', 'harga', 'murah', 'kualitasnya', 'buruk']</t>
  </si>
  <si>
    <t>['game', 'ping', 'merah', 'parah', 'mending', 'pindah', 'jaringan', 'semoga', 'saran', 'baca', 'teman', 'teman', 'sebulan', 'mending', 'pindah', 'deh']</t>
  </si>
  <si>
    <t>['parah', 'kartu', 'mahal', 'sedunia', 'mendung', 'jaringan', 'done', 'jelek', 'banget', 'parah', 'sebanding', 'harga', 'tolong', 'perbaiki', 'enak', 'pengguna', 'huajn', 'jaringan', 'jelek', 'banget', 'kampung', 'parah', 'banget', 'ganti', 'kartu', 'fix', 'kartu', 'mahal', 'kuota', 'mahal', 'sepadan', 'parah', '']</t>
  </si>
  <si>
    <t>['', 'telkomsel', 'tolong', 'ditinjau', 'baruuu', 'beli', 'paket', 'combo', 'sakti', 'unlimited', 'sinyalnya', 'lemot', 'beli', 'paket', 'combo', 'aman', 'beli', 'paket', 'combo', 'harganya', 'mahal', 'dipakai', '']</t>
  </si>
  <si>
    <t>['app', 'ndak', 'dibuka', 'layar', 'langsung', 'full', 'hitam', 'ndak', 'in', 'full', 'putih', 'smua', 'error', '']</t>
  </si>
  <si>
    <t>['apk', 'telkomsel', 'gimana', 'metode', 'pembayaran', 'via', 'pulsa', 'nyebelin', 'banget', 'apk', 'pokok', 'download', 'deh', 'apk', 'bodoh', 'tolong', 'perbaiki', 'apk', 'tolong', 'metode', 'pembayaran', 'via', 'pulsa', 'orang', 'sebel', '']</t>
  </si>
  <si>
    <t>['waah', 'asli', 'jaringannya', 'muter', 'muter', 'beli', 'paket', 'omg', 'gb', 'kuota', 'super', 'diputer', 'puter', 'jujur', 'emosi', 'bintang', 'berharap', 'telkomsel', 'pelanggan', 'setia', 'mytelkomsel', 'keluarga', 'telkomsel', 'nomer', 'itupun', 'cadangan', 'berharap', 'terbaik', 'telkomsel', 'terimakasih']</t>
  </si>
  <si>
    <t>['halah', 'telkomsel', 'telkomsel', 'kualitasmu', 'menurun', 'sinyal', 'lemot', 'hai', 'kak', 'maaf', 'ketidaknyamanan', 'bla', 'bla', 'hubungi', 'bla', 'bla', 'ngga', 'respon', '']</t>
  </si>
  <si>
    <t>['sinyal', 'internet', 'kualitas', 'turun', 'harga', 'konsisten', 'gunanya', 'layanan', 'customer', 'tanggapan', 'urusan', 'harga', 'cepet', 'jaringan', 'kendor', 'malu', 'dikit', 'surabaya', 'kota', 'serasa', 'dunia', 'jumanji', 'provider']</t>
  </si>
  <si>
    <t>['sinyal', 'telkomsel', 'lemot', 'lelet', 'banget', 'nuntut', 'ganti', 'rugi', 'lancar', '']</t>
  </si>
  <si>
    <t>['aplikasinya', 'bagus', 'membantu', 'terima', 'kasih', 'promo', 'ceria', 'pengguan', 'kartu', 'telkomsel', 'memperpanjang', 'promo', 'ceria', 'pandemi', 'covid', 'dipakai', 'kali', 'beli', 'paket', 'ceria', '']</t>
  </si>
  <si>
    <t>['aplikasinya', 'loading', 'paket', 'internet', 'ditawarkan', 'jujur', 'unlimited', 'dipaketin', 'udah', 'beli', 'pulsa', '']</t>
  </si>
  <si>
    <t>['pengguna', 'telkomsel', 'berharap', 'jaringan', 'telkomsel', 'perkuat', 'daerah', 'bogor', 'kadang', 'leg', 'jaringan', 'bagus', 'terimakasih']</t>
  </si>
  <si>
    <t>['pegang', 'udah', 'telkomsel', 'jaman', 'kenal', 'internetan', 'sinyal', 'kenceng', 'daerah', 'skrng', 'sinyal', 'telkomsel', 'jelek', 'hujan', 'lampu', 'padam', 'tolong', 'tingkat', 'performa', 'daerah', 'kota', 'baturaja', 'sumatera', 'selatan']</t>
  </si>
  <si>
    <t>['lelet', 'sinyal', 'telkomsel', 'main', 'game', 'online', 'lancar', 'lancar', 'sinyal', 'telkomsel', 'parah', 'kartu', 'dlu', 'direkomendasikan', 'gamers', 'kecewa', 'banget']</t>
  </si>
  <si>
    <t>['pengguna', 'telkomsel', 'skrng', 'dithn', 'sinyal', 'optimal', 'bertempat', 'sby', 'utara', 'sidotopo', 'wetan', 'mhon', 'telkomsel', 'memperbaiki', 'jaringan', 'lokasi', 'daerah', 'jaringan', 'kuat', 'tlng', 'diperbaiki', 'seblm', 'pindah', 'profider', 'laen', 'terima', 'kasih']</t>
  </si>
  <si>
    <t>['telkomsel', 'kayak', 'babi', 'nukar', 'poin', 'berkali', 'miskin', 'telkomsel', 'bobro', 'busuk', 'develoverny', 'bnyak', 'makan', 'sampah', 'pin', 'tukar', 'berkali', 'babi']</t>
  </si>
  <si>
    <t>['recomended', 'pemakai', 'provider', 'telkomsel', 'pakai', 'jaringan', 'sekencang', 'provider', 'rajanya', 'provider', 'skrg', 'ujan', 'dikit', 'sinyal', 'ilang', 'jaringan', 'lemot', 'pdahal', 'kota', 'lho', 'udah', 'beli', 'mahal', 'sarankan', 'pilih', 'provider', 'kecewa', '']</t>
  </si>
  <si>
    <t>['kecewa', 'jaringan', 'telkomsel', 'bagus', 'bagusnya', 'lag', 'berkepanjangan', 'browsing', 'menonton', 'youtube', 'memakan', 'kuota', 'bermain', 'game', 'parah', 'jaringan', 'telkomsel', 'telkomsel', 'kualitas', 'jaringannya', 'turun', 'drastis', 'harga', 'paket', 'mahal', 'dibarengi', 'kualitas', 'jaringan', 'pengguna', 'telkomsel', 'kecewa', '']</t>
  </si>
  <si>
    <t>['pengguna', 'telkomsel', 'daerah', 'mesuji', 'lampung', 'yaa', 'jaringan', 'parah', 'banget', 'udah', 'paket', 'mahal', 'jaringan', 'gal', 'bagus', 'tolong', 'perbaikin', 'gini', 'kesini', 'jelek']</t>
  </si>
  <si>
    <t>['telkomsel', 'jelek', 'update', 'kuota', 'bilangnya', 'jaringan', 'stabil', 'jelek', 'pulsa', 'hilang', 'paket', 'internet', '']</t>
  </si>
  <si>
    <t>['pemakaian', 'mudah', 'tampilan', 'keren', 'promonya', 'beruntung', 'daah', 'pokoknya', 'mantaaap', 'laah', 'kasih', 'promonya', 'yaa', 'seneng', 'aqyuu', 'nyaa', '']</t>
  </si>
  <si>
    <t>['promo', 'dipake', 'mending', 'giliran', 'klik', 'bacaan', 'eror', 'giliran', 'paket', 'lancar', 'pencitraan', 'busuk', 'banget']</t>
  </si>
  <si>
    <t>['aplikasi', 'bug', 'perhitungan', 'data', 'seluler', 'pulsa', 'tersedot', 'berharga', 'disaat', 'pandemi', '']</t>
  </si>
  <si>
    <t>['kecewa', 'telkomsel', 'apakh', 'bgini', 'suka', 'menipu', 'pelanggan', 'sekedar', 'saran', 'masukan', 'telkomsel', 'selurh', 'indonesia', 'notif', 'sms', 'berkala', 'promo', 'pembelian', 'kuota', 'internet', 'krna', 'berkali', 'notif', 'sms', 'pas', 'membeli', 'promo', 'tanggapan', 'pas', 'pulsa', 'telkomsel', 'cepat', 'merespon', 'pulsa', 'smpai', 'skrg', 'blsn', '']</t>
  </si>
  <si>
    <t>['telkomsel', 'mahal', 'promo', 'cepat', 'berubah', 'mahal', 'pion', 'berguna', 'beda', 'maaf', 'jujur', '']</t>
  </si>
  <si>
    <t>['tingkatkan', 'jaringan', 'desa', 'pamijahan', 'kabupaten', 'bogor', 'harganya', 'doang', 'tingkatin', 'men', 'game', 'ngelag', 'kadang', 'lancar', 'trus', 'mati', 'lampu', 'langsung', 'berubah', 'sinyal', 'edge', 'yeeeeeeeeeee', 'parah', 'aing', 'penggunaan', 'tsel', 'iniii', 'kecewakan', '']</t>
  </si>
  <si>
    <t>['telkomsel', 'lelet', 'menang', 'mahal', 'doang', 'buka', 'app', 'store', 'loadingnya', 'mnt', 'udah', 'diamond', 'msh', 'lelet', 'parah', 'gini', 'seumur', 'kali', 'ngasih', 'rate', 'bintang', 'aplikasi', 'kecewa', 'banget', 'tulisan', 'klik', 'posting', 'dibilang', 'gaada', 'koneksi', 'internet']</t>
  </si>
  <si>
    <t>['paketan', 'aktif', 'unlimited', 'multimedia', 'whatsapp', 'pulsa', 'terpotong', 'mengecewakan', 'ratingnya', 'jelek', '']</t>
  </si>
  <si>
    <t>['poin', 'mytelkomsel', 'habis', 'poin', 'memakainya', 'memakai', 'undian', 'jarang', 'memasang', 'wifi', 'dirumah', 'aktif', 'mengisi', 'pulsa', 'rb', 'kadang', 'sebulan', 'kadang', 'sampe', 'coba', 'cek', 'poin', 'hilang', 'tolong', 'penjelasanya', '']</t>
  </si>
  <si>
    <t>['mohon', 'maaf', 'kasih', 'kouta', 'internet', 'mahal', 'jaringannya', 'jelek', 'wilayah', 'sumatra', 'selatan', 'tolong', 'telkomsel', 'perbaiki', 'jaringan', 'internet']</t>
  </si>
  <si>
    <t>['kecewa', 'pembayaran', 'pakai', 'linkaja', 'hapus', 'menyusahkan', 'pembelian', 'paket', 'atw', 'pulsa', 'langsung', 'pakai', 'linkaja', '']</t>
  </si>
  <si>
    <t>['sinyal', 'simpati', 'ilang', 'pas', 'listrik', 'mati', 'tolong', 'diperbaiki', 'simpati', 'kayak', 'gini', 'rumah', 'daerah', 'oro', 'ombo', 'wetan', 'rembang', 'kabupaten', 'pasuruan', 'mohon', 'perhatiannya']</t>
  </si>
  <si>
    <t>['telkomsel', 'lemot', 'tmpat', 'tinggal', 'kcepatan', 'jaringan', 'tmbus', 'mbps', 'lahh', 'emosi', 'pindah', 'indosat', 'tsel', 'jaringannya', 'enak', 'ngegame', 'udh', 'gitu', 'paketnya', 'murah', 'kuntuulll']</t>
  </si>
  <si>
    <t>['not', 'rekomend', 'download', 'topup', 'apk', 'ketipu', 'uang', 'lenyap', 'respon', 'tanggapan', 'topup', 'paket', 'internet', 'gb', 'harga', 'rb', 'sayang', 'uangnya', 'disayangkan', 'bertanggung', 'makasih', 'kawan', 'membaca', 'peringatan', '']</t>
  </si>
  <si>
    <t>['penasaran', 'metode', 'tukar', 'poin', 'hadiah', 'lumayan', 'wahhh', 'tukar', 'poin', 'real', 'tipu', 'daya', 'belaka', 'pelanggan', 'setia', 'telkomsel', 'tukarkan', 'poin', 'poin', 'tukar', 'tanda', 'tanda', 'kemenangan', 'hadeeeecchhhhhh']</t>
  </si>
  <si>
    <t>['sayang', 'harga', 'paket', 'aktivasi', 'aktif', 'tulisan', 'aktif', 'taunya', 'aktif', 'bayar', 'duit', 'emang', 'daun', 'ganti', 'kartu']</t>
  </si>
  <si>
    <t>['kuota', 'lemot', 'unlimited', 'kuota', 'habis', 'combo', 'sakti', 'emosi', 'banting', 'kartunya', 'mutu', 'ush', 'hubungi', 'kapok', 'sel', 'bln', 'ganti', 'perdana']</t>
  </si>
  <si>
    <t>['telkomsel', 'jaringan', 'stabil', 'kecepatan', 'internet', 'stabil', 'aplikasi', 'telkomsel', 'iphone', 'update', 'dibuka', 'mangkanya', 'muncul', 'pembaruan', 'android', 'update', 'takut', 'dibuka', 'kayak', 'iphone']</t>
  </si>
  <si>
    <t>['isi', 'pulsa', 'telkomsel', 'transaksi', 'berhasil', 'pulsa', 'masuk', 'udh', 'complain', 'kepastian', 'kpn', 'pulsa', 'ambil', 'deh', 'pulsa', 'perusahaan', 'kaya', 'telkomsel', 'msh', 'mempersulit', 'customer', 'udah', 'bolak', 'complain', 'veronika', 'kepastian', 'nyuruh', 'nunggu', 'minggu']</t>
  </si>
  <si>
    <t>['kecewa', 'status', 'beli', 'paket', 'unlimited', 'pulsa', 'habis', 'pulsa', 'kesedot', 'salah', 'lenyap', 'sinyal', 'lelet', 'apes', 'sinyal', 'penuh', 'bar', 'sinyal', 'smartphone', 'terimakasih', 'semoga', 'semoga', '']</t>
  </si>
  <si>
    <t>['cepat', 'loding', 'sinyal', 'full', 'harga', 'paket', 'mahal', 'ngak', 'bersaing', 'oprator', 'contoh', 'im', 'terkenal', 'paket', 'murah']</t>
  </si>
  <si>
    <t>['sloganya', 'sinyal', 'sinyal', 'labil', 'suka', 'ngilang', 'ngilang', 'plus', 'beli', 'paketan', 'kaga', 'udah', 'beli', 'gaada', 'pemberitahuan', 'sukses', 'gagal', 'udah', 'kaya', 'aplikasi', 'bot', 'udah', 'kagak', 'dikasih', 'bintang', 'apk', 'tetep', 'beli', 'paketan', 'lgi', 'promo', 'emang', 'telkomnyet', '']</t>
  </si>
  <si>
    <t>['kecewa', 'sinyal', 'telkomsel', 'buruk', 'kota', 'lho', 'medan', 'sinyal', 'lag', 'gini', 'diperbaiki', 'telkomsel']</t>
  </si>
  <si>
    <t>['telkomsel', 'sii', 'sinyal', 'lemot', 'banget', 'gila', 'chat', 'pending', 'online', 'class', 'gabisa', 'karna', 'jaringannya', 'jelek', 'telkom', 'bnrin', 'jaringannya', 'kecewa', 'jaringannya', 'ampas', 'banget', 'kek', 'sebelah', 'lemot', 'masi', 'sesuai', 'harga', 'udh', 'mahal', 'jaringannya', 'mantap', 'laa', 'gini', 'mulu', 'kabur', 'pengguna', 'telkom', 'egoo', '']</t>
  </si>
  <si>
    <t>['kecewa', 'telkomsel', 'sinyalnya', 'jelek', 'banget', 'pakai', 'tsel', 'sinyalnya', 'bagus', 'jelek', 'pakainya', 'kampung', 'daerah', 'bojong', 'gede', 'tolong', 'donk', 'perbaiki', 'sinyalnya']</t>
  </si>
  <si>
    <t>['kecewa', 'jaringan', 'data', 'non', 'aktip', 'tdak', 'terpakai', 'mengisi', 'pulsa', 'beli', 'koetaa', 'pas', 'aktip', 'data', 'masuk', 'telkomsel', 'beli', 'koeta', 'pulsa', 'langsung', 'sedot', 'padahala', 'hak', 'hitungan', 'menit', 'parah', 'telkomsel', '']</t>
  </si>
  <si>
    <t>['kecewa', 'ngisi', 'pulsa', 'ribu', 'kepotong', 'ribu', 'perna', 'beli', 'paket', 'darurat', 'beli', 'paket', 'darurat', 'terpaksa', 'ngisi', 'pulsa', 'tolong', 'yaaaaa', 'gima']</t>
  </si>
  <si>
    <t>['pulsa', 'aktifkan', 'paket', 'darurat', 'rp', 'mb', 'min', 'tsel', 'sms', 'tsel', 'bayar', 'isi', 'pulsa', 'balas', 'yes', 'setuju', 'hub', 'pulsa', 'tolong', 'notifnya', 'diperbaiki', 'terimaka', 'kasih', '']</t>
  </si>
  <si>
    <t>['maaf', 'min', 'telkomsel', 'jaringannya', 'lemot', 'bagus', 'secanggih', 'kasih', 'bintang', 'kecewa', 'dng', 'jaringan', 'nyaa', 'melehoy']</t>
  </si>
  <si>
    <t>['kadang', 'trdapat', 'bug', 'masuk', 'kadang', 'kadang', 'pembelian', 'paket', 'bayar', 'link', 'pdhal', 'metode', 'pembayaran', 'link', 'tersedia', '']</t>
  </si>
  <si>
    <t>['pulsa', 'dikomulatif', 'masak', 'sisa', 'memperpanjang', 'dianggap', 'jengkel', 'telkomsel', 'telat', 'beli', 'pulsa', 'quota', 'internet']</t>
  </si>
  <si>
    <t>['tolong', 'perbaiki', 'kualitas', 'sinyalnya', 'masak', 'buka', 'facebook', 'watsap', 'youtube', 'lelet', 'banget', 'kecewa', 'kualitas', 'sinyal', 'telkomsel']</t>
  </si>
  <si>
    <t>['beli', 'paket', 'nelpon', 'all', 'operator', 'pulsa', 'utama', 'tergerus', 'habis', 'kecuali', 'pakai', 'nama', 'all', 'operator', 'andai', 'nol', 'bintang', 'kasih', 'nol', 'bintang', '']</t>
  </si>
  <si>
    <t>['aplikasi', 'tipu', 'jaringn', 'lelet', 'buka', 'agek', 'eror', 'mulu', 'ayo', 'bijak', 'gmna', 'atasi', 'respon', '']</t>
  </si>
  <si>
    <t>['tingkatkan', 'kualitas', 'pelayanan', 'mahal', 'minus', 'kualitas', 'internet', 'otaknya', 'duit', 'gimana', 'maju', 'negara', 'jaringan', 'minusssss']</t>
  </si>
  <si>
    <t>['telkomsel', 'dayli', 'prize', 'claim', 'penuh', 'mohon', 'tindak', 'lanjuti', 'kecewakan', 'konsumen', 'pakai', 'kartu', 'telkomsel', '']</t>
  </si>
  <si>
    <t>['telkomsel', 'perna', 'pakai', 'paketan', 'kuota', 'pemerintah', 'telkomsel', 'kaya', 'pandai', 'nipu', 'hak', 'orang', 'hak', 'tipu', 'gini']</t>
  </si>
  <si>
    <t>['mohon', 'telkomsel', 'wilayah', 'sumedang', 'jawabarat', 'kec', 'jatinunggal', 'indon', 'sia', 'mohon', 'kekuatan', 'sinya', 'internet', 'wilayah', 'tingkatkan', 'pengguna', 'telkomsel', 'ttap', 'setia', 'pelayanan', 'pengguna', 'telkomsel', 'mengeluh', 'harga', 'paketan', 'mahal', 'sinyal', 'jaringan', 'internet', 'lemah', 'kecewa', 'salahkan', 'pindah', 'hati', '']</t>
  </si>
  <si>
    <t>['tolong', 'sinyal', 'didaerah', 'perbaiki', 'ganti', 'kartu', 'males', 'lemot', 'jaring', 'telkomsel', 'udah', 'beli', 'paket', 'mahal', 'mahal', 'lag', '']</t>
  </si>
  <si>
    <t>['jaringan', 'error', 'perbaikan', 'maintence', 'kau', 'proseskan', 'pembelian', 'paket', 'internet', 'error', 'normal', 'kau', 'proses', 'pulsa', 'kau', 'potong', 'paket', 'paket', 'internet', 'merugikan', 'terkesan', 'menguntungkan', 'kau', 'potong', 'pulsa', 'orang', 'error', 'mengenakkan', 'pelanggan', 'kau', 'kimak', 'bad', '']</t>
  </si>
  <si>
    <t>['gangguan', 'sistem', 'nyuruh', 'maketin', 'pas', 'udah', 'dipaketin', 'kali', 'kesedot', 'pulsa', 'merugikan', 'suruh', 'kerabat', 'ganti', 'sim', 'card', 'kaya', 'gini']</t>
  </si>
  <si>
    <t>['pengurus', 'telkomsel', 'tolong', 'memperbaiki', 'sinyalnya', 'buruk', 'sinyal', 'telkomsel', 'gua', 'beli', 'kuota', 'mahal', 'tolong', 'dihargai', 'harganya', 'nguras', 'dompet', 'rugi', 'sinyalnya', 'abal', 'abal']</t>
  </si>
  <si>
    <t>['payah', 'applikasi', 'pembelian', 'paket', 'data', 'makan', 'data', 'gitu', 'error', 'kuota', 'udah', 'masuk', 'dibilang', 'gagal', 'alhasil', 'pulsa', 'terkuras', 'kuota', 'udah', 'masuk', 'kepakai', 'koneksi', 'tolol', 'banget', 'wkwkwk']</t>
  </si>
  <si>
    <t>['buru', 'buru', 'beli', 'paket', 'sebel', 'banget', 'eror', 'panas', 'menit', 'buka', 'aplikasi', 'jujur', 'mengecewakan', 'banget']</t>
  </si>
  <si>
    <t>['jaringan', 'slalu', 'stabil', 'tolong', 'tingkatkan', 'kenyamanan', 'pengguna', 'telkomsel', 'sesuaikan', 'harga', 'paketannya', 'selangit', 'harga', 'paketannya', 'mahal', 'sinyalnya', 'amburadul', 'smua', 'pengguna', 'telkomsel', 'pindah', 'oprator', 'jaringan', 'lemot', 'sesuai', 'harga', 'paketannya', 'murah', 'mengambil', 'keuntungan', 'customore', 'kenyamanan', 'penggunannya']</t>
  </si>
  <si>
    <t>['kenpa', 'sinyal', 'gampang', 'ilang', 'ngegame', 'enak', 'terganggu', 'nyari', 'bintang', 'susah', 'bodo', 'gangguan', 'apk', 'tolong', 'dibilangin', 'ditulis', 'pengguna', '']</t>
  </si>
  <si>
    <t>['sumpah', 'menyesal', 'karna', 'pilih', 'kartu', 'telkomsel', 'kartu', 'favorit', 'harga', 'kuota', 'mahal', 'tpi', 'setabil', 'jaringan', 'internet', 'nyaa', 'beli', 'kuota', 'mahal', 'pas', 'pakai', 'main', 'game', 'eror', 'banting', 'gara', 'jaringan', 'tolong', 'lhaa', 'pengguna', 'telkomsel', 'mohon', 'bagusin', 'stabil', 'harga', 'kuota', 'kuota', 'mahal', 'jaringan', 'buruk']</t>
  </si>
  <si>
    <t>['sumpah', 'kecewa', 'banget', 'sma', 'telkomsel', 'udah', 'kali', 'pulsa', 'gua', 'potong', 'mendadak', 'krna', 'data', 'seluler', 'menyala', 'kayak', 'kartu', 'data', 'seluler', 'nyala', 'pulsa', 'ttp', 'aman', 'paket', 'nyalain', 'data', 'data', 'habis', 'lngsng', 'main', 'tarik', 'pulsa', 'hitung', 'plsa', 'udah', 'rb', 'tarik', 'gitu', 'isi', 'plsa', 'rb', 'matiin', 'data', 'tarik', 'habis', 'paket', 'karga', 'pulsa', 'potong', 'data', 'masuk', 'cek', 'plsa', 'sisa', 'cek', 'plsa', 'lngsng', 'plsanya', 'kecewaaa', 'parah', '']</t>
  </si>
  <si>
    <t>['dear', 'telkomsel', 'tolong', 'jaringannya', 'bekasi', 'pusat', 'indonesia', 'diperbaiki', 'jaringannya', 'beli', 'kuota', 'mahal', 'bermanfaat', 'buang', 'uang', 'mending', 'pindah', 'kartu', 'pakai', 'telkomsel', 'mahal', 'menjamin', 'kualitas', '']</t>
  </si>
  <si>
    <t>['jaringan', 'parah', 'main', 'game', 'hancur', 'lebur', 'muak', 'pindah', 'provider', 'harga', 'mahal', 'sebanding', 'kualitas', '']</t>
  </si>
  <si>
    <t>['sampah', 'ganti', 'lancar', 'eehh', 'kenak', 'prank', 'ancur', 'kecewa', 'bener', 'mending', 'tetangga', 'yauda', 'deh', 'mogimna', 'lgi', 'terimakasih', 'telkomsel', 'org', 'kecewa', 'pertahankan']</t>
  </si>
  <si>
    <t>['beli', 'air', 'drop', 'garena', 'free', 'fire', 'pulsa', 'udah', 'kepotong', 'diamonnya', 'masuk', 'hubungj', 'operator', 'salah', 'playstore', 'solusi', 'abg', 'kk', '']</t>
  </si>
  <si>
    <t>['', 'maaf', 'kasih', 'bintang', 'kartu', 'telkomsel', 'dicek', 'aplikasinya', 'error', 'jaringan', 'bermasalah', 'ganti', 'jaringan', 'beli', 'paket', 'pakai', 'pulsa', 'tolong', 'diperbaiki', '']</t>
  </si>
  <si>
    <t>['', 'diboongin', 'ama', 'telkomsel', 'masak', 'suruh', 'download', 'telkomsel', 'dapet', 'pulsa', 'gratis', 'rb', 'berlaku', 'gratisnya', 'tgl', 'januari', 'sms', 'dikirim', 'tgl', 'januari', 'bangke']</t>
  </si>
  <si>
    <t>['payah', 'aplikasi', 'versi', 'terbaru', 'konek', 'link', 'kedepan', 'uninstal', 'deh', 'ndak', '']</t>
  </si>
  <si>
    <t>['kuota', 'games', 'tpi', 'pas', 'main', 'lemot', 'game', 'lag', 'alhasil', 'kalah', 'niat', 'kasih', 'iklas', 'main', 'kaya', 'gni', 'kasib', 'uda', 'kasih', 'pengen', 'gua', 'maki', 'tpi', 'ntar', 'sensor', 'setujuin', 'ulasan', 'gua', 'tpi', 'maki', 'busuk']</t>
  </si>
  <si>
    <t>['orang', 'aplikasi', 'telkomsel', 'cmn', 'modus', 'swal', 'hadia', 'hadia', 'janjikan', 'ragu', 'bertahun', 'telkomsel', 'telkosel', 'jaringannya', 'bagus', 'pelayanannya', 'bagus', 'bersifat', 'hutang', 'pulsa', 'telkomsel', 'hati', '']</t>
  </si>
  <si>
    <t>['kecewa', 'telkomsel', 'udah', 'telkomsel', 'sinyal', 'lemot', 'aplikasi', 'telkomsel', 'error', 'udah', 'update', '']</t>
  </si>
  <si>
    <t>['isi', 'pulsa', 'beli', 'kuota', 'tlkmsl', 'ribu', 'gb', 'klik', 'beli', 'transaksi', 'berhasil', 'kuota', 'masuk', 'pulsa', 'nol', 'tolong', 'tunggu', 'masuk', 'kuota', 'pulsa', 'habis', 'kemana', 'beli', 'voucher', 'mengecewakan', '']</t>
  </si>
  <si>
    <t>['beli', 'paket', 'internet', 'omg', 'disney', 'hotstar', 'disuruh', 'berlangganan', 'ulang', 'app', 'disney', 'hotstar', 'telkomsel', 'kecewa']</t>
  </si>
  <si>
    <t>['telkomsel', 'aktifnya', 'provider', 'perbulan', 'matinya', 'pdhal', 'gua', 'isi', 'plsa', 'rb', 'dlu', 'bln', 'diisi', 'lngsung', 'hangus', 'udah', 'gitu', 'paket', 'mahal', 'plus', 'jaringan', 'kek', 'taik', 'eek']</t>
  </si>
  <si>
    <t>['kecewa', 'kualitas', 'sinyal', 'telkomsel', 'menurun', 'kemarin', 'telkomsel', 'cocok', 'bermain', 'game', 'online', 'jelek', 'jaringannya', 'semoga', 'telkomsel', 'memperbaiki', 'kualitas', 'jaringannya', '']</t>
  </si>
  <si>
    <t>['permasalahan', 'terkait', 'refund', 'shopeepay', 'kegagalan', 'pembelian', 'paket', 'combo', 'sakti', 'selesai', 'terima', 'kasih', 'telkomsel', 'saran', 'harap', 'komunikasi', 'vendor', 'cashless', 'ditingkatkan', 'terulang', 'kejadian', '']</t>
  </si>
  <si>
    <t>['jaringan', 'stabil', 'suruh', 'nyalakan', 'mode', 'pesawat', 'sehat', 'bayar', 'gaji', 'solusi', 'perbaiki', 'menambah', 'merepotkan', 'pelanggan', '']</t>
  </si>
  <si>
    <t>['informasi', 'promo', 'didalem', 'suka', 'nipu', 'promo', 'khusus', 'giliran', 'udh', 'isi', 'pulsa', 'ehh', 'paketan', 'kuota', 'beli', 'terpaksa', 'beli', 'paketan', 'mahal', 'krna', 'udh', 'terlanjur', 'beli', 'pulsa', 'parah', 'parah', 'udh', 'kali', 'diginiin', 'kena', 'ite']</t>
  </si>
  <si>
    <t>['jelek', 'maaf', 'apknya', 'tertalu', 'berat', 'buka', 'loadingnya', 'crash', 'quotanya', 'disedot', 'kalah', 'app', 'axis', 'ringan', 'makan', 'quota', 'udahlah', 'mahal', 'kualitas', 'ditingkatkan', 'maaf', '']</t>
  </si>
  <si>
    <t>['beli', 'paket', 'pembayaran', 'shopeepay', 'saldo', 'sudh', 'terpotong', 'tolong', 'ditingkatkan', 'lagii', 'kembalikan', 'saldonya', 'paketnya', 'masuk', 'terimakasih']</t>
  </si>
  <si>
    <t>['andaikan', 'ganti', 'malas', 'laah', 'telkomsel', 'kdua', 'kali', 'mengalami', 'beli', 'kuota', 'internet', 'masuk', 'og', 'cek', 'rekaman', 'tgl', 'jan', '']</t>
  </si>
  <si>
    <t>['jaringan', 'internet', 'lemah', 'tolong', 'diperbaiki', 'ditingkatkan', 'kecepatan', 'internet', 'membeli', 'paket', 'kuota', 'harga', 'berharap', 'akses', 'kecepatan', 'internet', 'memuaskan', 'stabil', 'kalah', 'kartu', 'harganya', 'terjangkau', 'pengguna', 'berharap', 'telkomsel', 'meningkatkan', 'koneksi', 'kecepatan', 'internet', 'tolong', 'diperhatikan', 'pelanggan', 'beralih', 'provider', 'terima', 'kasih']</t>
  </si>
  <si>
    <t>['coba', 'aplikasi', 'telkomcell', 'maju', 'lihat', 'priksa', 'perbaiki', 'keluhan', 'pengguna', 'duduk', 'manis', 'kantor', '']</t>
  </si>
  <si>
    <t>['sumpah', 'kecewa', 'bgtt', 'sma', 'telkomm', 'gamers', 'sinyal', 'dlu', 'tpi', 'sinyal', 'bkin', 'emosi', 'trossss', 'udah', 'paket', 'data', 'mahal', 'error', 'error', 'udah', 'ganti', 'lainn', 'bagus', 'drpd', 'udah', 'respon', '']</t>
  </si>
  <si>
    <t>['login', 'telkomsel', 'disuruh', 'coba', 'kesempatan', 'seaudah', 'diupdate', 'susah', 'masuknya', '']</t>
  </si>
  <si>
    <t>['buruk', 'kualitas', 'jaringan', 'hancur', 'telkomsel', 'skr', 'maah', 'jaringan', 'hilang', 'menang', 'mahal', 'doank', 'kualitas', 'buruk', 'buruk']</t>
  </si>
  <si>
    <t>['sinyal', 'telkomsel', 'muak', 'daerah', 'cilograng', 'banten', 'sinyal', 'full', 'gede', 'koneksi', 'lemot', 'pemakaian', 'bermain', 'game', 'tolonglah', 'perbaiki']</t>
  </si>
  <si>
    <t>['boros', 'operator', 'telkomsel', 'kouta', 'gb', 'whatsapp', 'belanja', 'online', 'tokopedia', 'shope', 'ludeess', 'cuy', 'aje', 'gile', 'operator', 'trus', 'kouta', 'unlimited', 'janjikan', 'lemot', 'kayak', 'tauuuuu', 'mending', 'kabur', 'operator', 'laaaaahhhhh', '']</t>
  </si>
  <si>
    <t>['yth', 'bpk', 'dvplr', 'telkomsel', 'pelanggan', 'setia', 'telkomsel', 'jaringan', 'buruk', 'tolong', 'perbaiki', 'sekian', 'terimakasih', '']</t>
  </si>
  <si>
    <t>['udah', 'stehun', 'jaringan', 'jlas', 'kcewa', 'udah', 'langganan', 'taon', 'mati', 'lampu', 'langsung', 'lnyap', 'jaringan', 'ngelek', 'hri', 'tolong', 'diperbaiki', 'peminat', 'udah', 'bayak', 'beralih', 'laen', '']</t>
  </si>
  <si>
    <t>['paket', 'gamemax', 'telkomsel', 'kuota', 'game', 'dipakai', 'tahunn', 'kemarin', 'lancar', 'tolonglah', 'telkomsel', '']</t>
  </si>
  <si>
    <t>['telkomsel', 'susah', 'diakses', 'aplikasi', 'may', 'telkomselnya', 'providernya', 'lemot', 'internetan', 'susah', 'kerja', 'akses', 'internet', 'terkendala', '']</t>
  </si>
  <si>
    <t>['telkomsel', 'kacau', 'sinyalnya', 'lemot', 'sinyalnya', 'kuotanya', 'lambat', 'koneknya', 'tolong', 'diperhatikan', 'maaf', 'kasih', 'bintang', '']</t>
  </si>
  <si>
    <t>['jaringan', 'telkomsel', 'lemah', 'tinggal', 'kota', 'jaringan', 'gue', 'saranin', 'gausah', 'memakai', 'telkomsel', 'menyesal', 'mengalaminya', 'telekomunikasi', 'menipu']</t>
  </si>
  <si>
    <t>['sinyal', 'internet', 'buruk', 'kendala', 'anak', 'mengikuti', 'sekolah', 'online', 'mohon', 'bantu', 'daerah', 'minim', 'sinyal', '']</t>
  </si>
  <si>
    <t>['tolong', 'diperbaiki', 'membeli', 'paket', 'ketengan', 'utama', 'transaksi', 'berhasil', 'kuotanya', 'tolong', 'ditanggapi', 'perbaiki', 'naikan', 'bintang']</t>
  </si>
  <si>
    <t>['kasih', 'bintang', 'ajah', 'beli', 'paket', 'ceria', 'periksa', 'jaringan', 'trus', 'replay', 'sms', 'beli', 'palket', 'blg', 'permintaan', 'proses', 'udh']</t>
  </si>
  <si>
    <t>['sekian', 'pelanggan', 'komplain', 'ttp', 'perbaikan', 'atw', 'perubahan', 'wlwpun', 'gangguan', 'error', 'trus', 'beli', 'paket', 'aplikasi', 'beli', 'paket', 'pke', 'kode', 'dial', 'dijual', 'tpi', 'dibeli', 'pajangan', 'doang', 'mohon', 'responnya', '']</t>
  </si>
  <si>
    <t>['aduh', 'telkomsel', 'udah', 'daerah', 'serang', 'banten', 'jaringan', 'internetnya', 'lemot', 'banget', 'terusan', 'udah', 'menjelang', 'sore', 'malam', 'parah', 'lemotnya', 'tolong', 'diatasi', '']</t>
  </si>
  <si>
    <t>['kecewa', 'aplikasi', 'mytelkomsel', 'promo', 'aneh', 'aneh', 'smsdari', 'telkomsel', 'promo', 'paket', 'kuota', 'murah', 'liat', 'aplikasi', 'mytelkomsel', 'promonya', 'jadikan', 'kecewa']</t>
  </si>
  <si>
    <t>['poin', 'berkurang', 'telkomsel', 'bgtu', 'kupasang', 'aplksi', 'menukarkan', 'poin', 'slalu', 'berkurang', 'aneh', 'dri', 'kelipatan', 'isi', 'ulang', 'pulsa', 'poin', 'bertambaha', '']</t>
  </si>
  <si>
    <t>['kartu', 'telkomsel', 'cerita', 'sya', 'aktifin', 'pulsa', 'darurat', 'alhmdulillah', 'sprti', 'paket', 'darurat', 'rp', 'mb', 'min', 'tsel', 'sms', 'tsel', 'aktif', 'berlaku', 'wib', 'pulsa', 'dipotong', 'rp', 'isi', 'pulsa', 'stelah', 'cek', 'pulsa', 'kagak', 'masuk', 'pulsa', 'isi', 'pulsa', 'potong', '']</t>
  </si>
  <si>
    <t>['', 'bener', 'sumpah', 'aplikasi', 'beli', 'pulsa', 'rb', 'pas', 'sms', 'dipake', 'tulisanya', 'pas', 'dipake', 'malh', 'suruh', 'isi', 'udh', 'isi', 'rb', 'beli', 'pulsa', 'dipake', 'beli', 'data', 'pas', 'beli', 'kuota', 'ketengan', 'utama', 'bug', 'pas', 'data', 'ketengan', 'abis', 'pulsa', 'abis', 'sisa', 'pulsa', '']</t>
  </si>
  <si>
    <t>['parah', 'pulsa', 'berkurang', 'stress', 'buka', 'app', 'gagal', 'pakai', 'wifi', 'gagal', 'update', 'mesti', 'gimana', 'keterangan', 'unstable', 'connection', 'sinyal', 'full', 'wifi', 'kenceng', 'download', 'app', 'ringan', 'ribet']</t>
  </si>
  <si>
    <t>['memuaskan', 'sinyalnya', 'harganya', 'mahal', 'kecepatan', 'jaringannya', 'ancur', 'parah', 'customer', 'kecewa', 'bintang', '']</t>
  </si>
  <si>
    <t>['tolong', 'susah', 'sinyal', 'serba', 'digital', 'sinyal', 'susah', 'kinerja', 'telkomsel', 'tutup', 'kuping', 'ganti', 'porofaider']</t>
  </si>
  <si>
    <t>['gilak', 'jaringan', 'sinyal', 'kuota', 'telkomsel', 'mah', 'theree', 'skrng', 'kecewa', 'teramat']</t>
  </si>
  <si>
    <t>['telkomsel', 'knapa', 'jaringan', 'gamers', 'kecewa', 'jaringan', 'jelek', 'puas', 'bermain', 'games', 'udah', 'mahal', 'paketnya', 'jelek', 'jaringannya', 'tolollng', 'perbaiki', 'jaringan', 'telkomsel', '']</t>
  </si>
  <si>
    <t>['telkomsel', 'parah', 'kuota', 'pas', 'browsing', 'internet', 'makan', 'pulsa', 'pulsa', 'ribu', 'ribu', 'gitu', 'aktifin', 'paket', 'ceria', 'aplikasi', 'telkomsel', 'sms', 'manfaat', 'kecewa', 'parah', 'provider', '']</t>
  </si>
  <si>
    <t>['pengguna', 'promo', 'murah', 'zona', 'beda', 'harga', 'paket', 'dirugikan', 'kebijakan', 'tarif', 'pengguna', '']</t>
  </si>
  <si>
    <t>['telkomsel', 'paket', 'roamingnya', 'bayar', 'link', 'update', 'bayar', 'pakai', 'link', 'link', 'pengganti', 'sel', 'flash', '']</t>
  </si>
  <si>
    <t>['terima', 'kasih', 'ucapkan', 'telkomsel', 'membantu', 'bidang', 'telekomonkasi', 'jaringannya', 'luas', 'paket', 'kuota', 'terjangkau', 'kalangan', 'menengah', 'kebawah', 'sukses', 'mytelkomsel']</t>
  </si>
  <si>
    <t>['', 'telkomsel', 'perbaikan', 'jaringan', 'dijamin', 'byk', 'ditinggal', 'pelanggannya', 'beralih', 'provider', 'bagus', 'langganan', 'bertahun', 'terpaksa', 'beralih', 'operator', '']</t>
  </si>
  <si>
    <t>['bug', 'emang', 'sengaja', 'desain', 'program', 'beli', 'kuota', 'ketengan', 'utama', 'pakai', 'pulsa', 'gopay', 'mode', 'pembayaran', 'beli', 'paket', 'malam', 'pakai', 'pulsa', 'gopay', 'beli', 'kuota', 'ketengan', 'youtube', 'unlimited', 'pakai', 'pulsa', 'mesti', 'pakai', 'menu', 'link', 'gopay', 'dll', 'isi', 'pulsa', 'gopay', 'ambil', 'paket', 'malam', 'pas', 'beli', 'kuota', 'ketengan', 'youtube', 'pakai', 'pulsa', 'kemarin', 'harga', 'paket', 'bulanan', 'diskon', 'abis', 'isi', 'pulsa', 'harga']</t>
  </si>
  <si>
    <t>['dear', 'telkomsel', 'terhormat', 'tolong', 'sinyal', 'internet', 'pelosok', 'jelek', 'pelanggan', 'tolonglah', 'kasih', 'solusi', 'diam', '']</t>
  </si>
  <si>
    <t>['telkomsel', 'kontolll', 'goblog', 'jaringan', 'kontolll', 'sedunia', 'jaringan', 'mantap', 'indonesia', 'nyatany', 'kontolll', 'jaringan', 'lag', 'patah', 'force', 'close', 'mending', 'indosat', 'telkomsel', 'asuuu', '']</t>
  </si>
  <si>
    <t>['telomsel', 'tolong', 'mikir', 'pelayanannya', 'menurun', 'jaringan', 'sinyalnya', 'suka', 'down', 'stabil', 'menara', 'btrfnya', 'rusak', 'cuek', 'servis', 'kualitas', 'menguasai', 'pasar', 'indonesia', 'jgnlah', 'bgitu', 'spy', 'mengglobal', '']</t>
  </si>
  <si>
    <t>['tolong', 'cek', 'kondisi', 'jaringan', 'daerah', 'leungsir', 'desa', 'jayasampurna', 'kec', 'serang', 'kab', 'bekasi', 'jawa', 'barat', 'lemah', 'banget', 'jaringan', 'main', 'game', 'lancar', 'tolong', 'respon', 'pelanggan', 'keluhan', 'tolong', 'respon', '']</t>
  </si>
  <si>
    <t>['app', 'nyesel', 'downloadnya', 'buka', 'gangguan', 'dibuka', 'wifi', 'gangguan', 'akhhhhh', 'app', 'sampah', 'bener', 'mahal', 'harga', 'ekh', 'fasilitas', 'beralih', 'deh', 'provider', 'unistal', 'app', 'payaaaaah', 'beneeeer']</t>
  </si>
  <si>
    <t>['dirugikan', 'promo', 'ditawarkan', 'tertulis', 'promo', 'darurat', 'mb', 'biaya', 'berhasil', 'mengisi', 'pulsa', 'pulsa', 'berkurang', 'semestinya', 'promo', 'ditawarkan', 'diproses', 'berjamjam', 'menunggu', 'tolong', 'tunggu', 'feedbacknya', 'ketidaknyamanan', '']</t>
  </si>
  <si>
    <t>['oke', 'telkomsel', 'terima', 'kasih', 'karna', 'kehadiranmu', 'membuatttt', 'manusia', 'sabar', 'penuh', 'sabarrr', 'mohoooonnn', 'sekaliii', 'jaringanya', 'dibikin', 'lag', 'sek', 'nge', 'lag', 'lag', 'oke', 'terima', 'kasih', '']</t>
  </si>
  <si>
    <t>['tolong', 'jaringan', 'stabilkan', 'slalu', 'terdepan', 'kaya', 'motor', 'yahama', 'jaringan', 'malu', 'malu', 'kaya', 'orang', 'namu', '']</t>
  </si>
  <si>
    <t>['dirampok', 'telkomsel', 'isi', 'pulsa', 'rb', 'perpanjang', 'aktif', 'trus', 'penawaran', 'paket', 'spesial', 'unlimited', 'seharga', 'pembelian', 'aplikasi', 'telkomsel', 'sisa', 'pulsa', 'pulsa', 'habis', 'dipake', 'telpon', 'sms', 'bener', 'internetan', 'doang', 'itupun', 'keseringan', 'wifi', 'rumah', 'browshing', 'nemu', 'keluhan', 'perampokan', 'pulsa', 'perpanjang', 'aktif', 'bye', 'telkomsel', 'loe', 'gue', 'end', '']</t>
  </si>
  <si>
    <t>['paket', 'ketengan', 'youtube', 'gua', 'gunain', 'udh', 'kali', 'beli', 'ketengan', 'youtube', 'digunain', 'pulsa', 'utama', 'habis', 'kemakan', 'ases', 'youtube', 'udah', 'beli', 'paket', 'youtube', 'nipu', 'gmn', 'sihh', 'merugikan', 'banget', 'mending', 'gulung', 'tikar', 'udah', 'jujur']</t>
  </si>
  <si>
    <t>['combo', 'sakti', 'unlimited', 'memakai', 'benerapa', 'knapa', 'pas', 'januai', 'lemod', 'bngt', 'januari', 'lemod', 'pakai', 'sekeluarga', '']</t>
  </si>
  <si>
    <t>['selamat', 'malam', 'telkomsel', 'pulsa', 'berkurang', 'memakainya', 'beli', 'internet', 'pulsa', 'tersisa', 'berkurang', 'menerus', 'tolong', 'telkomsel', 'dikondisikan', 'terimakasih']</t>
  </si>
  <si>
    <t>['kualitas', 'jaringan', 'telkomsel', 'papua', 'lelet', 'hobby', 'main', 'game', 'online', 'papua', 'berharap', 'operator', 'masuk', 'papua', 'jaringan', 'telkomsel', 'pembelian', 'paket', 'internet', 'mahal', 'kualitas', 'jaringan', 'bagus', 'cuman', 'sja', 'merata', 'seluruhhan', '']</t>
  </si>
  <si>
    <t>['knp', 'jaringan', 'lelet', 'mulu', 'kyk', 'dlu', 'dibilang', 'cepat', 'lancar', 'jaringan', 'lelet', 'jaringan', 'lelet', 'developer', 'mohon', 'perbaiki', 'koneksi', 'jaringan', 'terganggu', 'orang', 'telkomsel', 'terganggu', '']</t>
  </si>
  <si>
    <t>['sukaa', 'telkomsel', 'karna', 'jaringannya', 'bagus', 'kuotanyaa', 'lumayan', 'mahal', 'make', 'telkomsel', 'setahun', 'jaringannya', 'lelet', 'banget', 'kecewa', 'kasih', 'bintang', 'ajaa', '']</t>
  </si>
  <si>
    <t>['telkomsel', 'kayak', 'sinyalnya', 'parah', 'emosi', 'ngegame', 'udah', 'beli', 'paket', 'data', 'mahal', 'lumayan', 'kecepatannya', 'kadang', 'lemot', 'parah', 'kecewa', 'telkomsel']</t>
  </si>
  <si>
    <t>['banget', 'jaringan', 'telkomsel', 'daerah', 'buruk', 'ditambah', 'harga', 'paket', 'data', 'mahal', 'kualitas', 'jaringan', 'memuaskan', '']</t>
  </si>
  <si>
    <t>['telkomsel', 'terburuk', 'perkara', 'bermain', 'game', 'online', 'pengguna', 'telkomsel', 'semenjak', 'masuk', 'pertengahan', 'jaringan', 'telkomsel', 'wilayah', 'melemah', 'dibilang', 'busuk', 'mengharukan', 'jaringan', 'tolong', 'suara', 'mengembalikan', 'telkomsel']</t>
  </si>
  <si>
    <t>['maaf', 'kasih', 'bintang', 'sinyal', 'telkomsel', 'desember', 'sampe', 'blm', 'perubahan', 'lemot', 'paketannya', 'unlimited', 'combo', 'sakti', '']</t>
  </si>
  <si>
    <t>['baca', 'ulasan', 'kecewa', 'kirain', 'gangguan', 'aplikasi', 'dibuka', 'jaringanya', 'lemot', 'telkomsel', '']</t>
  </si>
  <si>
    <t>['sngat', 'kecewa', 'aplikasi', 'telkomsel', 'lyanan', 'paket', 'internet', 'harga', 'dikasih', 'aktif', 'bbrapa', 'kli', 'langganan', 'aktifnya', 'ttap', 'sprti', 'harga', 'mhal', 'internetnya', 'nggak', 'puas', 'bnget', 'blm', 'kburu', 'aktif', 'habis', 'telkomsel', 'tlong', 'bicara', 'permainankan', 'costumer', 'sprti', 'bgini', 'nnti', 'lgi', 'kartu', 'telkomsel', 'pindah', 'krtu', 'perdana', 'murah', 'lgi']</t>
  </si>
  <si>
    <t>['susah', 'masuk', 'beli', 'paket', 'kebuka', 'paket', 'internetnya', 'pilih', 'pilih', 'nomor', 'ditambah', 'buka', 'telkomsel', 'bandwidth', 'status', 'bar', 'kbps', 'download', 'upload']</t>
  </si>
  <si>
    <t>['jaringanya', 'aduuuh', 'stabil', 'rate', 'cuman', 'mending', 'provider', 'setabil', 'murah', 'harga', 'stream', 'game', 'lancar', 'tsel', 'apk', 'sosmed', 'lancar', 'wkwkwk', 'orang', 'ngeluh', 'hahaha', 'ush', 'marketik', 'gamemax', 'klau', 'signalnya', 'gitu', 'kapok', 'beli', 'kali', 'ratenya', 'kek', 'gini', 'cocok', 'ratenya', 'provider', 'berlomba', 'lomba', 'maju', 'tsel', 'gini', 'gini', '']</t>
  </si>
  <si>
    <t>['tolong', 'telkomsel', 'kuotanya', 'mahal', 'kekuatan', 'jaringan', 'internet', 'daerah', 'perkampungan', 'perbaiki']</t>
  </si>
  <si>
    <t>['', 'tanggapan', 'komen', 'edit', 'ditanggapi', 'ntah', 'ditanggapi', 'sinyalnya', 'mpr', 'pusing', 'kerja', 'kayak', 'harga', 'mahal', 'sinyalnya', 'haduh', 'hancur', 'kerjaan', 'orang', '']</t>
  </si>
  <si>
    <t>['mohon', 'pengertiannya', 'samua', 'tower', 'telkomsel', 'harap', 'beneri', 'ngegame', 'ngeganggu', 'banget', 'sinyal', 'mohon', 'kesediaan', 'plus', 'mengabdi', 'negeri', 'perbaiki', 'jaringan', 'broio', 'woy', 'jaringan', 'towernya', 'nomer', 'kualitas', '']</t>
  </si>
  <si>
    <t>['layanan', 'internetnya', 'jelek', 'lemot', 'kayak', 'siput', 'kualitas', 'jaringan', 'buka', 'app', 'telkomsel', 'lemot', 'udah', 'beli', 'paketnya', 'mahal', 'koneksi', 'internetnya', 'jelek', 'layanan', 'telkomsel', 'tingkatkan', 'mending', 'ganti', 'provider', 'deh', '']</t>
  </si>
  <si>
    <t>['pengguna', 'telkomsel', 'area', 'kudus', 'jawa', 'pengguna', 'telkomsel', 'jaringan', 'signal', 'kecepatan', 'koneksi', 'internet', 'ketidakstabilan', 'koneksinya', 'urusan', 'bisnis', 'pekerjaan', 'terganggu', 'tolong', 'perbaiki', 'terlanjur', 'merekomendasikan', 'provider', 'kolega', 'kolega', '']</t>
  </si>
  <si>
    <t>['ngecewain', 'banget', 'pindah', 'provider', 'sebelah', 'nyaman', 'banger', 'kayak', 'gini', 'koneksi', 'nge', 'lag', 'jaringan', 'banget', 'ilang', 'nggak', 'desa', 'bawa', 'desa', 'ilang', 'jaringannya', 'mohon', 'kedepanya', 'sampek', 'terulang', 'prihal', 'kayak', 'gini', 'masak', 'provider', 'kalah', 'ama', 'provider', 'kemarin', 'malam', '']</t>
  </si>
  <si>
    <t>['kecewa', 'paket', 'internet', 'mahal', 'provider', 'kualitas', 'jaringan', 'telkomsel', 'buruk', 'provider', '']</t>
  </si>
  <si>
    <t>['anjlok', 'sinyalnya', 'jaringan', 'pul', 'daerah', 'udh', 'perpanjang', 'paket', 'surprise', 'deal', 'seminggu', 'gini', 'gakbakal', 'make', 'telkomsel']</t>
  </si>
  <si>
    <t>['pengguna', 'telkomsel', 'paketan', 'internet', 'murah', 'paketan', 'combo', 'sakti', 'paketan', 'omg', 'harga', 'mahal', 'ampir', 'lipat', '']</t>
  </si>
  <si>
    <t>['admin', 'terhormat', 'promo', 'telkomsel', 'ambil', 'kagak', 'masuk', 'masuk', 'permintaan', 'proses', 'mulu', 'pesannya', 'ngak', 'masuk', 'mohon', 'penjelasannya', 'min', 'ngak', 'nyaman', 'min', 'mohon', 'bantuannya', 'min']</t>
  </si>
  <si>
    <t>['kirain', 'gangguan', 'yakali', 'info', 'kuota', 'delay', 'banget', 'liat', 'telkomselnya', 'mb', 'brapa', 'abis', 'trus', 'nyedot', 'pulsa', 'berkurang', 'cek', 'telkomselwalau', 'buka', 'apps', 'terkoneksi', 'internet', 'ntar', 'abis', 'nyedot', 'pulsa', 'wahaha', 'ngawur', 'telkomsel']</t>
  </si>
  <si>
    <t>['harga', 'paketnya', 'sesuai', 'kualitas', 'koneksinya', 'koneksinya', 'jelek', 'jaringan', 'berasa', 'tingkatin', 'kualitasnya', 'harganya', 'naikin', '']</t>
  </si>
  <si>
    <t>['mari', 'memilih', 'layanan', 'jaringan', 'layanan', 'jaringan', 'sampah', 'salah', 'pengguna', 'kartu', 'simpati', 'pindah', 'operator', 'menjaga', 'kenyamanan', 'pengguna', 'terima', 'kasih', 'kartu', 'konthol', 'paket', 'mahal', 'layanan', 'kayak', 'sampah', '']</t>
  </si>
  <si>
    <t>['kecewa', 'banget', 'kuota', 'ketengan', 'unlimited', 'tiktok', 'pelanggan', 'setia', 'telkomsel', 'ngecewain']</t>
  </si>
  <si>
    <t>['aplikasi', 'verifikasi', 'verivikasi', 'link', 'dikirm', 'sms', 'pakai', 'modem', 'terpksa', 'ngambil', 'kartu', 'modem', 'mindai', 'kartu', 'verivikasi', 'tolong', 'telkomsel', 'verifikasi', 'kartu', 'pakai', 'modem', 'ribet', 'pinda', 'kartu', '']</t>
  </si>
  <si>
    <t>['sinyal', 'telkomsel', 'ntb', 'lombok', 'barat', 'parah', 'buruk', 'banget', 'liat', 'parah', 'wassalam', 'beralih', 'warga', '']</t>
  </si>
  <si>
    <t>['update', 'pointny', 'hilang', 'signalny', 'lelet', 'mundur', 'niih', 'kualitas', 'telkomsel', 'kecewa', '']</t>
  </si>
  <si>
    <t>['tolong', 'telkomsel', 'produk', 'dijual', 'sesuai', 'deskripsi', 'beli', 'paket', 'tulisan', 'voucher', 'game', 'lifeafter', 'beli', 'dapet', 'voucher', 'dapet', 'notif', 'maaf', 'voucher', 'tersedia', 'habis', 'penipuan', 'namanya', '']</t>
  </si>
  <si>
    <t>['', 'udah', 'eror', 'pulsa', 'kepotong', 'mulu', 'rb', 'rb', 'kali', 'kga', 'sisa', 'pulsa', 'rb', 'kga', 'sisa', 'ngambil', 'receh', 'gitu', 'doyan']</t>
  </si>
  <si>
    <t>['maaf', 'telkomsel', 'jaringannya', 'jelek', 'kuota', 'gb', 'buka', 'story', 'banget', 'ngirim', 'stiker', 'muterny', 'allah', 'sayang', 'banget', 'kuota', 'gb', '']</t>
  </si>
  <si>
    <t>['jelek', 'banget', 'sumpah', 'sinyal', 'rumah', 'zaman', 'jambi', 'selatan', 'paal', 'merah', 'kota', 'jambi', 'masil', 'sinyal', 'telkom', 'jelek', 'nian', 'kota', 'kota', 'jambi', 'semenjak', 'ulimitid', 'iklan', 'sesuai', 'sinyal', 'parah', 'banget', 'telkomsel', 'kayak', 'gini', 'masak', 'kalah', 'tri', 'smarrfern', 'segogan', 'kyk', 'aslinya', 'transmart', 'sinyal', 'tri', 'tri', 'gedung', 'trans', 'dak', 'sinyal', 'tri', 'telkom', 'eror', '']</t>
  </si>
  <si>
    <t>['maaf', 'kasih', 'dlu', 'pengguna', 'app', 'tsel', 'join', 'instal', 'app', 'tsel', 'gimana', 'mencatumkan', 'memasukan', 'code', 'voucher', 'rendeem', 'code', 'voucher', 'dpt', 'psn', 'masuk', 'via', 'sms', 'dri', 'tsel', 'penukaran', 'app', 'tsel', 'sulit', 'fahami', 'developer', 'app', 'tsel', 'mohon', 'bantuan', 'solusi', 'gmna', 'trim', '']</t>
  </si>
  <si>
    <t>['paket', 'kuota', 'dibeli', 'plg', 'terbuang', 'sia', 'beli', 'paket', 'dihabisin', 'tsel', 'duluan', 'adl', 'paket', 'terbaru', 'dimana', 'provider', 'paket', 'tgl', 'beli', 'plg', 'duluan', 'dihabisin', 'paket', 'tgl', 'beli', 'terbaru', 'jaringan', 'lemot', 'pelayanan', 'tsel', 'udah', 'ganti', 'bintang', '']</t>
  </si>
  <si>
    <t>['undian', 'tukar', 'poin', 'zaman', 'hadiah', 'hoak', 'sinyal', 'buruk', 'tlg', 'jaga', 'mutu', 'kwalitasnya', '']</t>
  </si>
  <si>
    <t>['tersedia', 'pemakaian', 'transaksi', 'check', 'sebulan', 'pemakaian', 'pulsa', 'manajemen', 'raib', 'pulsa', 'pemakaian', 'internet', 'kuota', 'memotong', 'pulsa', 'sebulan', 'hilang', 'pulsa', 'sampe', 'rb', 'pemakaian', 'internet', 'kuota', 'bagus', 'jualannya', 'penjarahan', 'pulsa', 'terselubung', 'gitu', 'deh', 'makasih', 'loo']</t>
  </si>
  <si>
    <t>['gimana', 'sihh', 'jaringan', 'down', 'gini', 'telkomsel', 'harga', 'paket', 'mahal', 'menjamin', 'kualitas', 'jaringan', 'down', 'parahhh', 'kecewa', 'kualitas', 'jaringan', 'telkomsel', '']</t>
  </si>
  <si>
    <t>['operator', 'terharap', 'harga', 'paket', 'mahal', 'jaringan', 'burik', 'semenjak', 'corona', 'telkomsel', 'merosot', 'operator', 'gini', 'terharapkan', 'alasan', 'banyk', 'mengunakn', 'jaringan', 'bersamaan', 'maslah', 'konsumen', 'rela', 'bayar', 'mahal', 'beli', 'produk', 'kenyamann', 'jaringan', 'bintang', 'minus', 'kasih', 'telkomsel', '']</t>
  </si>
  <si>
    <t>['harga', 'sma', 'playanan', 'sesuai', 'stiap', 'vidio', 'call', 'always', 'reconecting', 'ngegame', 'ping', 'stabil', 'pas', 'cek', 'kuota', 'bnyak', 'sinyal', 'lokasi', 'ibukota', 'jakbar', 'tpi', 'sinyal', 'kek', 'dihutan', 'malu', 'sma', 'title', 'provider', 'tertua', 'tpi', 'sinyal', 'buruk', 'sumpah', 'sumpah', 'harga', 'jual', 'sesuai', 'pelayanan', 'mahal', 'but', 'zonk', 'gue', 'kasih', 'bintang', 'sma', 'skali', 'tlong', 'playanan', 'sesuai', 'harga', 'dijual', 'indihome', 'jga', 'sma', 'lola', '']</t>
  </si>
  <si>
    <t>['jaringa', 'jelek', 'main', 'mobile', 'legen', 'habis', 'ganti', 'kartu', 'mahal', 'jaringan', 'mutu', 'chat', 'veronika', 'tar', 'habis', 'paketan', 'buang', 'kartu', 'mendingan', 'jaringan', 'lancar', 'main', 'mobile', 'legen']</t>
  </si>
  <si>
    <t>['kesini', 'jelek', 'telkomsel', 'menang', 'sinyal', 'doang', 'game', 'beli', 'paketan', 'mahal', 'lelet', 'udah', 'habis', 'cepet', 'banget', 'udah', 'taun', 'pakek', 'loop', 'beda', 'kek', 'game', 'berat', 'banget', 'pingnya', 'mending', 'ganti', 'oprator', 'sbelah']</t>
  </si>
  <si>
    <t>['parah', 'asli', 'pandemi', 'gini', 'harapannya', 'jaringan', 'sinyal', 'bagus', 'parah', 'kuota', 'telkomsel', 'daerah', 'mahal', 'njir', 'udah', 'mahal', 'jaringan', 'lelet', 'gangguan', 'kesel', 'bet', '']</t>
  </si>
  <si>
    <t>['berniat', 'kuota', 'game', 'kuota', 'game', 'murah', 'kualitas', 'murahan', 'nggak', 'ngerti', 'gua', 'bener', 'masuk', 'game', 'masuk', 'pertandingan', 'lancar', 'kuota', 'utamanya', 'bohong', 'dasar', 'tukang', 'kibul']</t>
  </si>
  <si>
    <t>['harga', 'paket', 'ditawarkan', 'mahal', 'layanan', 'sinyal', 'jaringan', 'stabil', 'telkomsel', 'jaringan', 'internetnya', 'hilang', 'muncul', 'hilang', 'muncul', 'buruk', 'harga', 'bersaing', 'layanan', 'provider', 'lumayan', 'kecewa', 'pelayanannya', 'telkomsel', 'menurunkan', 'harga', 'paket', 'internet', 'ditawarkan', 'layanan', 'sinyal', '']</t>
  </si>
  <si>
    <t>['telkomsel', 'harganya', 'mahal', 'kualitas', 'kalah', 'smartfren', 'rumah', 'jaringn', 'telkomsel', 'bagus', 'kantor', 'pengguna', 'ketipu', 'iming', 'iming', 'hallo', 'pascabayar', 'jaringan', 'prioritas', 'wajib', 'bayar', 'kuota', 'dikit', 'harga', 'mahal', 'kalah', 'smartfren', 'rb', 'unlimited', 'komen', 'komplain', 'perbaikan', 'ketipu', 'kuota', 'entertainment', '']</t>
  </si>
  <si>
    <t>['mahal', 'telkomsel', 'woy', 'minus', 'pulsa', 'safe', 'jaga', 'keamanan', 'pulsa', 'pengguna', 'lalai', 'pikun', 'gini', 'lupa', 'beli', 'paket', 'pulsa', 'ketarik', 'pulsanya', 'kuota', 'habis', 'peringatan', 'langsung', 'main', 'tarik', 'pulsa', 'tolong', 'kebijakan', 'gitu']</t>
  </si>
  <si>
    <t>['mikir', 'telkomsel', 'terbilang', 'murah', 'dibandingkan', 'provider', 'ngasih', 'kualitas', 'buruk', 'pengguna', 'nyesel', 'telkomsel', 'mending', 'pindah', 'provider', 'murah', 'ngasih', 'kualitas', 'sinyal', 'oke', 'paket', 'mahal', 'sinyal', 'ilang', 'telkomsel', 'sekian', 'terimakasih']</t>
  </si>
  <si>
    <t>['maaf', 'kasih', 'bintang', 'telkomsel', 'error', 'mohon', 'secepatnya', 'atasi', 'normal', 'kasih', 'bintang', 'terimakasih', '']</t>
  </si>
  <si>
    <t>['telkomsel', 'harga', 'mahal', 'layanan', 'jaringannya', 'kacauuuu', 'hilang', 'lemot', 'sebanding', 'harganya', 'semoga', 'kompetitornya', 'kian', 'mantab', '']</t>
  </si>
  <si>
    <t>['berat', 'aplikasinya', 'malu', 'operator', 'terbesar', 'indonesia', 'aplikasi', 'kaya', 'niat', 'dapt', 'sms', 'combo', 'sakti', 'pas', 'buka', 'aplikasi', 'paket', 'internetnya', 'omg', 'bsa', 'sinkron', 'kaya', 'gini', 'parah', '']</t>
  </si>
  <si>
    <t>['jaringan', 'telkomsel', 'parah', 'internetnya', 'jaringan', 'tolong', 'perbaikannya', 'pengguna', 'terbesar', 'indonesia', 'telkomsel', '']</t>
  </si>
  <si>
    <t>['telkomsel', 'mengecewakan', 'nggak', 'dikasih', 'layanan', 'internet', 'jaringannya', 'bobrok', 'mohon', 'maaf', 'jaringan', 'bagus', 'kartu', 'kartu', 'kartu', 'kali', 'kecewa', 'jaringan', 'telkomsel']</t>
  </si>
  <si>
    <t>['provider', 'mending', 'pindah', 'ngomong', 'kasar', 'telkomsel', 'udah', 'harga', 'paket', 'dll', 'mahal', 'sinyal', 'udah', 'bagus', 'gada', 'tanggapan', 'developer', 'ampas', 'apapun']</t>
  </si>
  <si>
    <t>['aplikasi', 'buruk', 'merugikan', 'customer', 'menyesal', 'migrasi', 'paskabayar', 'verifikasi', 'mbanking', 'salah', 'bank', 'sms', 'terkirim', 'konfirmasi', 'kuota', 'melebihi', 'batas', 'pemakaian', 'sms', 'verifikasi', 'menunggu', 'mengecewakan', 'migrasi', 'prabayar', 'maksudnya', '']</t>
  </si>
  <si>
    <t>['pakai', 'paketan', 'nelpon', 'min', 'sms', 'pas', 'pakai', 'telf', 'sms', 'pakai', 'paketan', 'perubahan', 'tolong', 'perbaiki', '']</t>
  </si>
  <si>
    <t>['pelayanan', 'live', 'chatnya', 'perbaiki', 'responnya', 'lamaaaaaa', 'sesuai', 'nama', 'telkomsel', 'memalukan', 'perusahaan', 'telkomsel', 'live', 'chatnya', 'minus', 'memakan', 'wkt', 'mnt', 'pdhl', 'org', 'hrs', 'jwb', 'live', 'chatnya', 'ganti', 'org', 'handle', 'live', 'chat', '']</t>
  </si>
  <si>
    <t>['kasih', 'bintang', 'karna', 'eror', 'jaringan', 'lelet', 'banget', 'tanda', 'jaringan', 'full', 'lohh', 'lelet', 'telkomsel', 'lancar', 'napa', 'yahh', 'trus', 'beli', 'paket', 'yahh', 'coba', 'muncul', 'harap', 'perbaiki', 'beli', 'paket', 'mahal', 'jaringn', 'lemot', 'gini', 'kecewa', 'nyesel', 'beli', 'paket', 'internet', 'telkomsel']</t>
  </si>
  <si>
    <t>['sinyalnya', 'pas', 'kirim', 'pesan', 'terkirim', 'eror', 'direboot', 'mode', 'pesawat', 'gonta', 'ganti', 'sinyal', 'itupun', 'langsung', 'mohon', 'dibenahi']</t>
  </si>
  <si>
    <t>['pakai', 'telkomsel', 'daerah', 'sukabumi', 'mending', 'sinyalnya', 'ngedrop', 'main', 'game', 'engga', 'worth', 'paketan', 'mahal', 'sinyal', 'sampah', 'banget', 'sumpah', '']</t>
  </si>
  <si>
    <t>['terbaik', 'semoga', 'telkkmsel', 'jaringan', 'segi', 'paket', 'data', 'telpon', 'banyakin', 'promo', 'murah', 'meriah', 'semoga', 'telkomsel', 'jaya', 'abadi']</t>
  </si>
  <si>
    <t>['', 'maksud', 'kuota', 'lokal', 'jelasin', 'kuota', 'lokal', 'gb', 'kaga', 'pakai', '']</t>
  </si>
  <si>
    <t>['niat', 'telkomsel', 'memperbaiki', 'layanannya', 'mytelkomsel', 'sulit', 'dibuka', 'kuota', 'telkomsel', 'simpati', 'lancar', 'dibuka', 'provider', 'budget', 'pesta', 'poin', 'dialihkan', 'memperbaiki', 'layanan', 'sekedar', 'usulan', 'terima', 'kasih']</t>
  </si>
  <si>
    <t>['waaaahhh', 'sangaat', 'bagus', 'bintang', 'jaringan', 'telkomnyet', 'mengganti', 'jaringan', 'buruk', 'bersemangat', 'membanting', 'lantai', 'terimakasih', 'telkomnyet']</t>
  </si>
  <si>
    <t>['kesel', 'banget', 'kartu', 'telkomsel', 'diisi', 'paket', 'mulu', 'pulsa', 'mencukupi', 'tenggang', 'mending', 'ganti', 'kartu', '']</t>
  </si>
  <si>
    <t>['mytelkomsel', 'update', 'sinyalnya', 'udah', 'kaya', 'maling', 'ilang', 'jiji', 'mahal', 'doang', 'harga', 'kualitas', 'kalah', 'intinya']</t>
  </si>
  <si>
    <t>['sinyal', 'desa', 'manjungan', 'manjungan', 'ngawen', 'klaten', 'jawa', 'susah', 'susah', 'susah', 'tower', 'pemancar', 'pelangganya', 'desa', 'lancar']</t>
  </si>
  <si>
    <t>['tolong', 'terhenti', 'app', 'kembangkan', 'appnya', 'maaf', 'kasih', 'bintang', 'perubahan', 'kasih', 'terima', 'kasih', '']</t>
  </si>
  <si>
    <t>['tang', 'app', 'tsel', 'beli', 'kuota', 'omg', 'rb', 'app', 'sdah', 'plsa', 'berkurang', 'tersisa', 'rb', 'ttpi', 'barusan', 'tba', 'dpt', 'sms', 'kuota', 'habis', 'mbmal', 'gb', 'cek', 'pulsa', 'tersisa', 'rb', 'tggal', 'rb', 'app', 'sesuai', 'database', 'tsel', 'kecewa', '']</t>
  </si>
  <si>
    <t>['maaf', 'rubah', 'kasih', 'bintang', 'bintang', 'ulimitedmax', 'gua', 'beli', 'perdana', 'pas', 'cek', 'kouta', 'emang', 'bener', 'habisnya', 'pas', 'cek', 'kemaren', 'sebulan', 'doang', 'udah', 'komplen', 'tetep', 'beruba', 'udah', 'bukti', 'screenshot', 'dll', 'tetep', 'komplen', 'apps', 'gua', 'jamin', 'komplen', 'kayak', 'gua', 'tanyaain', 'keluhanya', 'kasusnya', 'kayak', 'gua', 'jamin', 'kagak', 'bales', '']</t>
  </si>
  <si>
    <t>['paket', 'sakti', 'telkomsel', 'lelet', 'bener', 'malem', 'lancar', 'pengguna', 'udah', 'lumayan', 'kecewa', 'performa', 'telkomsel', 'nggak', 'kenceng', 'speednya', 'nggak', 'standar', 'nggak', 'lelet', 'download', 'file', 'browser', 'speednya', 'lho']</t>
  </si>
  <si>
    <t>['turunin', 'bintangnya', 'gimana', 'pulsa', 'berkurang', 'beli', 'paket', 'combo', 'buka', 'cek', 'pulsa', 'berkurang', 'rb', 'rb', 'tolong', 'kasih', 'kadang', 'masuknya', 'error', 'update', 'bedanya']</t>
  </si>
  <si>
    <t>['tolong', 'pikiri', 'bos', 'setia', 'make', 'kartu', 'telkomsel', 'kasihan', 'org', 'susah', 'palapalain', 'beli', 'kartu', 'beli', 'paket', 'data', 'lumayan', 'seimbang', 'pulak', 'astagaa', 'tolong', 'seimbangin', 'bos']</t>
  </si>
  <si>
    <t>['tolong', 'jaringan', 'telkomsel', 'knpa', 'hilang', 'kmi', 'pelanggan', 'telkomsel', 'kuarang', 'nyaman', 'perdulikan', 'trim']</t>
  </si>
  <si>
    <t>['sinyal', 'tolong', 'ditingkatkan', 'error', 'login', 'apk', 'telkomsel', 'keluhan', 'prnh', 'tindakan', 'bintang', 'menghukum', '']</t>
  </si>
  <si>
    <t>['telkomsel', 'lemot', 'banget', 'sihhh', 'udah', 'seminggu', 'lohh', 'jaringannya', 'suka', 'hilang', 'dihp', 'mamaku', 'gapapa', 'udah', 'refresh', 'kali', 'tetep', 'lemot', 'tolong', 'dongg']</t>
  </si>
  <si>
    <t>['denganmu', 'provider', 'terbesar', 'indonesia', 'kecepatan', 'koneksi', 'jaringan', 'sungguh', 'provider', 'mengecewakan', 'sulit', 'masuk', 'app', 'telkomsel', 'internet', 'lemot', 'gaming', 'diperbaiki', 'perbaiki', 'bintangnya', 'terima', 'kasih', '']</t>
  </si>
  <si>
    <t>['kuota', 'disedot', 'pulsa', 'ampe', 'rupiah', 'trs', 'jaringan', 'gaada', 'males', 'telkomsel', '']</t>
  </si>
  <si>
    <t>['kuotanya', 'akumulatif', 'asik', 'pilih', 'kuota', 'dihabisin', 'aktif', 'dihabisin', 'diaktifkan', 'dihabisin', 'fair', 'customer', '']</t>
  </si>
  <si>
    <t>['log', 'merepotkan', 'gara', 'log', 'link', 'verifikasi', 'ribet', 'alasan', 'keamanan', 'masuk', 'akal', 'log', 'ponsel', '']</t>
  </si>
  <si>
    <t>['kmrn', 'update', 'kuota', 'ngga', 'ufah', 'diisi', 'pulsanya', 'ngga', 'update', 'otomatis', 'aplikasi', 'ribet', 'error', 'batere', 'cepet', 'abis', 'astagah', '']</t>
  </si>
  <si>
    <t>['', 'kasih', 'bintang', 'nggak', 'jaringan', 'jelek', 'udah', 'jaringan', 'jelek', 'kuota', 'mahal', 'poin', 'ilang', 'kemana', 'bintang', 'nol']</t>
  </si>
  <si>
    <t>['terimakasih', 'apk', 'telkomsel', 'membantu', 'menu', 'akses', 'langsung', 'aplikasi', 'telkomsel', 'fitur', 'kemudahan', 'murah', 'undian', 'poin', 'mantap', '']</t>
  </si>
  <si>
    <t>['suka', 'apk', 'lemot', 'point', 'hilang', 'berlangganan', 'paket', 'data', 'suka', 'hilang', 'kecewa', 'asli']</t>
  </si>
  <si>
    <t>['aplikasi', 'telkomsel', 'merusak', 'jaringan', 'udah', 'uninstall', 'kecewa', 'udah', 'pakai', 'paket', 'telkomsel', 'membeli', 'paket', 'jaringan', 'kecewa', 'install', 'aplikasi', 'kecewa', 'kebijakan', 'parah', 'namanya', 'negara', 'menyiksa', 'pelanggan', '']</t>
  </si>
  <si>
    <t>['kuota', 'youtube', 'unlimited', 'hitungan', 'jam', 'mubajir', 'kalangan', 'pelajar', 'orang', 'kesulitan', 'ekonomi', 'media', 'sosial', 'belajar', 'menambah', 'pengetahuan', 'membutuhkan', 'hitungan', 'jam', 'menonton', 'istirahat', 'kerja', 'pekerjaan', 'membutuhkan', 'contoh', 'pembuatanya', 'terwujud', 'telkomsel', 'indonesia', 'maju']</t>
  </si>
  <si>
    <t>['aplikasi', 'jengkel', 'orang', 'udah', 'nggak', 'niat', 'aplikasi', 'mending', 'dihapus', 'play', 'store', 'gara', 'gara', 'aplikasi', 'nggak', 'paketan', 'promonya', 'udah', 'habis']</t>
  </si>
  <si>
    <t>['aplikasi', 'cek', 'kuota', 'eror', 'bacaan', 'sinyal', 'loading', 'udah', 'update', 'tetep', 'eror', 'eror', 'ora', 'mutu']</t>
  </si>
  <si>
    <t>['bintang', 'cocok', 'situasi', 'jaringan', 'telkomsel', 'tolong', 'diperbaiki', 'kebnayakan', 'pengguna', 'telkomsel', 'beralih', 'provider', 'thankyou']</t>
  </si>
  <si>
    <t>['telkomsel', 'error', 'pelanggan', 'nyaman', 'layanan', 'skrg', 'perubahan', 'pindah', 'jaringan', 'sja', '']</t>
  </si>
  <si>
    <t>['provider', 'telkomsel', 'daerah', 'jember', 'mengecewakan', 'jaringan', 'terluas', 'menyedihkan', 'bermain', 'game', 'direkomendasi', 'telkomsel', 'daerah', 'harga', 'menentukan', 'kualitas', 'dimana', 'harga', 'paket', 'provider', 'mahal', 'indonesia', '']</t>
  </si>
  <si>
    <t>['promo', 'rb', 'dapet', 'unlimited', 'udah', 'isi', 'pulsa', 'dibuka', 'apkikasinya', 'udah', 'selese', 'promonya', 'dibuka', 'niat', 'banget', 'ngasih', 'promo', '']</t>
  </si>
  <si>
    <t>['jaringan', 'udh', 'install', 'uninstall', 'berulang', 'kali', 'tolong', 'perbaiki', 'jaringan', 'sosmed']</t>
  </si>
  <si>
    <t>['mohon', 'adakannya', 'karyawan', 'costumer', 'service', 'menanggapi', 'komentar', 'sosial', 'media', 'jadikan', 'kemajuan', 'telkomsel', 'kedepannya', 'mohon', 'maaf', 'telkomsel', 'buka', 'mohon', 'bantu', 'menyelesaikan', 'truble', 'terimakasih']</t>
  </si>
  <si>
    <t>['app', 'mytelkomsel', 'eror', 'login', 'susah', 'eror', 'pdhal', 'koneksi', 'aplikasi', 'sosmed', 'lancar', 'tolong', 'fix', 'bug', 'karna', 'pembelian', 'paket', 'internet', 'dial', 'selengkap', 'app', 'mytelkomsel', 'kali', 'kecewa', 'pelayanan', 'telkomsel', 'ancur', '']</t>
  </si>
  <si>
    <t>['', 'harga', 'paket', 'mahal', 'layanan', 'buruk', 'pelayanan', 'pelanggan', 'internet', 'gangguan', 'jaringan', 'stabil', 'bumn', 'buruk', 'swasta', 'yuk', 'pindah', 'kartu', 'sebelah', '']</t>
  </si>
  <si>
    <t>['app', 'error', 'sinyal', 'bagus', 'tpi', 'keterangannya', 'koneksi', 'stabil', 'mohon', 'diperbaiki', 'dikasi', 'alamat', 'link', 'app', '']</t>
  </si>
  <si>
    <t>['keunggulan', 'bicit', 'kuntul', 'update', 'update', 'hadeuh', 'benerin', 'aplikasi', 'lemot', 'baca', 'komen', 'kasih', 'bintang', 'kgk', 'atasi', 'devp', 'kendala', 'tolong', 'utamakan', 'perbaiki', 'permasalahan', 'pengguna', 'telkomsel', 'gini', 'klman', 'nama', 'telkomsel', 'kynya', 'bkl', 'berubah', 'telkomnyet', 'hahahahaha']</t>
  </si>
  <si>
    <t>['update', 'dibuka', 'error', 'coba', 'diupdate', 'lakok', 'parah', 'paket', 'data', 'nyala', 'koneksi', 'tersambung', 'gimana', 'neh', '']</t>
  </si>
  <si>
    <t>['bye', 'bye', 'brooo', 'kecewa', 'signal', 'internet', 'provider', 'jaman', 'udah', 'canggih', 'usaha', 'sistem', 'digital', 'signal', 'kabur', 'melulu', 'dagang', 'untung', 'buntung', 'telat', 'bales', 'chat', 'customer', 'udah', 'kabur', 'gegara', 'signal', 'lemot', 'bin', 'lelet', 'kek', 'jaringan', 'provider', 'kecewa', 'deh', 'pokoknya', '']</t>
  </si>
  <si>
    <t>['harganya', 'labil', 'kesel', 'aplikasinya', 'ngelag', 'jaringan', 'bagus', 'ditambah', 'bug', 'tulisannya', 'koneksi', 'internet', 'browsing', 'lancar', 'banget', 'gimana', 'lapeet', 'lapeet', '']</t>
  </si>
  <si>
    <t>['sekrang', 'kasih', 'bintang', 'aplikasinya', 'suka', 'lemot', 'pas', 'dibuka', 'sekrang', 'dibuka', 'dibilang', 'sinyal', 'jelek', 'ikutan', 'even', 'disana', 'rencana', 'telkomsel', 'even', 'perfect', 'rugi', 'bnyak', 'diatasi', 'permasalahan', 'ganti', 'bintang']</t>
  </si>
  <si>
    <t>['solusi', 'ditawarkan', 'pengguna', 'prabayar', 'terlanjur', 'pindah', 'kartu', 'pascabayar', 'kartu', 'halo', 'diawal', 'penawaran', 'beritahukan', 'pindah', 'merugikan', 'berlangganan', 'telkomsel', 'semoga', 'secepatnya', 'carikan', 'solusi']</t>
  </si>
  <si>
    <t>['haloooo', 'provider', 'ternama', 'hancur', 'kualitas', 'jaringan', 'tinggal', 'pusat', 'kota', 'signal', 'lemot', 'banget', 'paraaaahhh', 'kerja', '']</t>
  </si>
  <si>
    <t>['telkomsel', 'sekrang', 'suka', 'hilang', 'sinyal', 'jaringan', 'ditmbah', 'app', 'telkomsel', 'susah', 'akses', 'error', 'yaa', 'kesel', 'niih', 'pelayanannya', 'bagini', '']</t>
  </si>
  <si>
    <t>['loading', 'berat', 'data', 'berpuluh', 'blm', 'terbuka', 'jaringan', 'internet', 'bagus', 'parah', 'aplikasi', '']</t>
  </si>
  <si>
    <t>['buruk', 'aplikasi', 'terburuk', 'buka', 'sinyal', 'stabil', 'sinyal', 'hancur', 'bukanya', 'aplikasi', 'mempermudah', 'customer', 'nyusahin', '']</t>
  </si>
  <si>
    <t>['jelek', 'instal', 'reg', 'tsel', 'isi', 'paketan', 'app', 'app', 'registrasi', 'login', 'parah', 'kali', 'tsel', 'kedepan', 'hancur', '']</t>
  </si>
  <si>
    <t>['aplikasi', 'update', 'susah', 'masuk', 'jaringan', 'stabil', 'login', 'keterangan', 'jaringan', 'stabil', 'silakan', 'coba', 'aneh', 'telkomsel']</t>
  </si>
  <si>
    <t>['tersambung', 'buka', 'aplikasi', 'padhal', 'sinyal', 'lancar', 'menghubungkan', 'tolong', 'perbaiki', 'secepatnya', 'tolong', 'diperbaiki', 'secepatnya']</t>
  </si>
  <si>
    <t>['hallo', 'telkomsel', 'penyedia', 'layanan', 'buruk', 'aplikasi', 'pelayanannya', 'bete', 'buka', 'aplikasi', 'jaringan', 'streaming', 'download', 'dll', 'lancar', 'udah', 'buka', 'telkomsel', 'apps', 'pke', 'kartu', 'telkomsel', 'udahlah', 'bobroknya', 'parahhhhh', 'tingkatkan', 'woyyyyyy', 'tidur', 'ajaa', 'jngan', 'paket', 'naikin', 'trus', 'mentang', 'jangkau', 'pedesaan', 'suka', '']</t>
  </si>
  <si>
    <t>['aplikasi', 'lemot', 'ampun', 'jaringan', 'koneksi', 'bagusbkok', 'browsing', 'yutub', 'dsbg', 'tetep', 'nggak', 'masuk', 'udah', 'kritik', 'indahkan', 'belajar', 'adeknya', 'adeknya', 'bagusan']</t>
  </si>
  <si>
    <t>['parahhh', 'aplikasinya', 'error', 'udah', 'ganti', 'provider', 'ajaa', 'telkomsel', 'mahal', 'sebanding', '']</t>
  </si>
  <si>
    <t>['kesini', 'turun', 'kualitasnya', 'fitur', 'tampilannya', 'dasar', 'login', 'kecepatan', 'memburuk', 'login', 'memutar', 'error', 'aplikasi', 'lancar', 'restart', 'buka', 'aplikasi', 'dibanding', 'aplikasi', 'diluar', 'aplikasi', 'jaringan', 'stabil', 'ditempat', 'tolong', 'tambahkan', 'profesional', 'keluhan', 'coment', '']</t>
  </si>
  <si>
    <t>['telkomsel', 'video', 'call', 'macet', 'sinyal', 'bagus', 'nonton', 'youtube', 'lancar', 'apl', 'telkomsel', 'eror', 'sinyal', 'mohon', 'diperbaiki']</t>
  </si>
  <si>
    <t>['parah', 'lemot', 'abisss', 'operator', 'nama', 'terkenal', 'kualitas', 'perhatikan', 'telkomsel', 'pusat', 'kota', 'signal', 'jelek', 'pelosok', 'daerah', 'nomor', 'bisnis', 'beralih', 'operator', '']</t>
  </si>
  <si>
    <t>['heran', 'sma', 'aplikasi', 'telkomsel', 'setip', 'isi', 'pulsa', 'pakek', 'telkomsel', 'pernh', 'berpaling', 'dri', 'kartu', 'telkomsel', 'kelas', 'smp', 'skrng', 'mengecewakan', 'mengecewakan']</t>
  </si>
  <si>
    <t>['sumpah', 'kesel', 'bener', 'aplikasi', 'sekelas', 'telkomsel', 'saham', 'gini', 'perusahaan', 'berbasis', 'bumn', 'ngurus', 'aplikasi', 'ganti', 'teknisi', 'orang', 'khusus', 'perawatan', 'aplikasi', 'mahal', 'doang', 'harga', 'paket', 'udh', 'gratisan', 'aplikasi', 'sampe', 'gabisa', 'login', 'kesel', 'kanpret', '']</t>
  </si>
  <si>
    <t>['kali', 'dibuka', 'kalimat', 'something', 'went', 'wrong', 'please', 'try', 'again', 'after', 'sometime', 'sinyalnya', 'lemot', 'putus', 'putus', 'kualitas', 'telkomsel', 'merosot', 'tajam', 'mengecewakan', 'banget', '']</t>
  </si>
  <si>
    <t>['aplikasi', 'minggu', 'update', 'perkembangan', 'login', 'persulit', 'mulu', '']</t>
  </si>
  <si>
    <t>['min', 'wilayah', 'bekasi', 'khusus', 'jati', 'asih', 'jaringannya', 'aneh', 'yaa', 'chat', 'susah', 'game', 'masuk', 'minggu', 'tolong', 'benerin', 'min', 'udh', 'make', 'kartu', 'telkomsel', 'kaya', 'gini']</t>
  </si>
  <si>
    <t>['maaf', 'buka', 'app', 'refresh', 'muncul', 'jaringan', 'kuat', 'mohon', 'kedepannya', 'diperbaiki', 'terimakasih']</t>
  </si>
  <si>
    <t>['genting', 'beli', 'paket', 'data', 'link', 'telkomsel', 'jaringan', 'sibuk', 'segitukah', 'koneksi', 'telkomsel', 'check', 'data', '']</t>
  </si>
  <si>
    <t>['dear', 'bumn', 'direksi', 'telkomsel', 'kendala', 'jaringan', 'satelit', 'apapun', 'mohon', 'perbaiki', 'cpt', 'mmg', 'msh', 'milik', 'asli', 'indonesia', 'smpai', 'warga', 'rakyat', 'percaya', 'trhdp', 'produk', 'lokal', 'terima', 'kasih']</t>
  </si>
  <si>
    <t>['kasih', 'bintang', 'ajj', 'update', 'berguna', 'login', 'kesalahan', 'jaringan', 'jaringan', 'dengkulmu', 'kuota', 'internetan', 'lancar', 'login', 'blank', 'coba', 'developernya', 'ajj', 'payah', 'knp', 'test', 'internal', 'dikasih', 'kepengguna']</t>
  </si>
  <si>
    <t>['tolong', 'perbaiki', 'lagging', 'membuka', 'aplikasi', 'buka', 'retry', 'jaringan', 'stabil', 'main', 'sedot', 'pulsa', 'mending', 'langsung', 'dimatiin', 'internetnya', 'pulsa', 'dibikin', 'opsi', 'gitu', 'kuota', 'miliki', 'dipilih', 'dihabiskan', 'mubazir', 'rugi', 'terima', 'kasih', 'operator', 'terbesar', 'tolong', 'tingkatkan', 'kualitasnya', 'mohon', 'dipertimbangkan', '']</t>
  </si>
  <si>
    <t>['login', 'susah', 'udh', 'login', 'data', 'muncul', 'kaya', 'pulsa', 'dll', 'banget', 'wifi', 'internet', 'tsel', 'lelet', 'apk', 'berat', 'prabayar', 'cek', 'berkala', 'tagihan', 'beres', 'nelfn', 'gimana', 'percaya', 'nominal', 'tagihannya', 'susah', 'kadang', 'gede', 'kadang', 'heran', 'tarik', 'prabayarnya', 'gini']</t>
  </si>
  <si>
    <t>['', 'bintangnya', 'kurangin', 'promo', 'seteleh', 'isi', 'pulsa', 'beli', 'paket', 'promonya', 'telkomsel', 'login', 'soplak', 'iya', 'telkomsel', 'nipu', 'masuk', 'akal', 'tpi', 'kenyataanya', '']</t>
  </si>
  <si>
    <t>['sinyal', 'buruk', 'sinyal', 'bagus', 'harga', 'mahal', 'banding', 'privider', 'tetep', 'pilih', 'telkomsel', 'mikir', 'tolong', 'perbaiki', 'pindah', 'provider']</t>
  </si>
  <si>
    <t>['aplikasinya', 'dibuka', 'trus', 'niat', 'fix', 'dri', 'developer', 'udh', 'install', 'ulang', 'tetep', 'smpe', 'fix', 'appnya', 'ayolah', 'beli', 'kuota', 'duit', 'yak']</t>
  </si>
  <si>
    <t>['contoh', 'provider', 'kekurangan', 'nyadar', 'telkomsel', 'tolonglah', 'perhatiin', 'kualitas', 'jaringan', 'aplikasi', 'pendukungnya', 'eror', 'mulu', 'ulasan', 'baca', 'heyy', 'admin', '']</t>
  </si>
  <si>
    <t>['telkomsel', 'jelek', 'skg', 'kecewa', 'regis', 'kartu', 'ribet', 'sinyal', 'ribet', 'jelek', 'kalah', 'kartu', 'sinyal', 'bagus', 'kartu', 'pelajar', '']</t>
  </si>
  <si>
    <t>['admin', 'aplikasi', 'telkomsel', 'udah', 'ufdate', 'bagusan', 'versi', 'versi', 'udah', 'lemot', 'suka', 'elor', 'susah', 'masuk', 'apl', 'jaringan', 'menunggu', 'jaringan', 'buka', 'aplikasi', 'min', '']</t>
  </si>
  <si>
    <t>['tolonglah', 'telkomsel', 'harga', 'paket', 'internet', 'mahal', 'jaringan', 'dioptimalkan', 'jalan', 'jaringan', 'kualitas', 'memburuk', 'tolong', 'kerjasamanya', 'butuh', 'perubahan', 'ganti', 'operator', 'trimakasih']</t>
  </si>
  <si>
    <t>['sumpah', 'lelet', 'banget', 'telkomsel', 'main', 'game', 'nyaman', 'banget', 'ping', 'stabil', 'udah', 'paket', 'mahal', 'jaringan', 'stabil', 'gpp', 'paket', 'mahal', 'jaringan', 'parah']</t>
  </si>
  <si>
    <t>['kecewa', 'jaringan', 'telkomsel', 'sinyal', 'buka', 'internet', 'media', 'sosial', 'tolong', 'telkomsel', 'atasi', 'daerah', 'kecamatan', 'samalantan', 'kabupaten', 'bengkayang', 'provinsi', 'kalimantan', 'barat', '']</t>
  </si>
  <si>
    <t>['maaf', 'maaf', 'nomer', 'dipake', 'nomer', 'doang', 'koneksi', 'internet', 'eror', 'aplikasi', 'telkomsel', 'paket', 'data', 'kartu', 'stabil', '']</t>
  </si>
  <si>
    <t>['habis', 'upgrade', 'masuk', 'hadeuhhhh', 'gmna', 'masuk', 'dicoba', 'berkali', 'kali', 'kirim', 'link', 'gagal', 'trs', 'tolong', 'diperjelas']</t>
  </si>
  <si>
    <t>['maaf', 'masuk', 'lost', 'conection', 'internet', 'lancar', 'youtube', 'mohon', 'penjelasannya', '']</t>
  </si>
  <si>
    <t>['parah', 'banget', 'ksini', 'engga', 'banget', 'aplikasi', 'telkomsel', 'nyaaa', 'fikir', 'wifi', 'habis', 'emang', 'penyakitnya', 'aplikasinya', 'gabisa', 'buka', 'beli', 'paket', 'terhambat', 'gara', 'gara', '']</t>
  </si>
  <si>
    <t>['wilayah', 'leuwigajah', 'kota', 'cimahi', 'banget', 'hilang', 'signal', 'kesel', 'lancar', 'jam', 'malam', '']</t>
  </si>
  <si>
    <t>['telkomsel', 'jaringan', 'parah', 'nyesal', 'benget', 'pakai', 'kartu', 'telcomsel', 'jaringan', 'nga', 'bangus', 'telcomsel', 'uda', 'kehbisan', 'modal', 'kali', 'makan', 'parah', 'beli', 'paket', 'harga', 'mahal', 'paket', 'paket', 'data', 'beli', 'sms', 'masuk', 'selamat', 'pembelian', 'paket', 'pasdicek', 'masuk', 'hati', 'hati', 'terlanjur', 'pakai', 'paket', 'nga', 'pulsa', 'habis', 'telcomsel', 'uda', 'penipuan', 'parah', '']</t>
  </si>
  <si>
    <t>['sinyal', 'jaringan', 'wilayah', 'sum', 'sel', 'kota', 'prabumulih', 'kec', 'rambang', 'kapak', 'sinyal', 'axis', 'minggu', 'benerin', 'donk', 'telkomsel', 'kaya', 'raya', 'kalah', 'indosat', 'lancar', 'bangkrut', 'telkomsel', 'merugikan', 'parah', 'listrik', 'mati', 'sinyall', 'hilang', 'telp', 'mobile', 'laporkan', 'operator', 'telkomsel', 'ehhh', 'minggu', 'full', 'ditelp', 'operator', 'telkomsel', 'perbaikkan']</t>
  </si>
  <si>
    <t>['knpa', 'telkomsel', 'minim', 'sinyal', 'listrik', 'mati', 'knpa', 'telkomsel', 'mati', 'sinyal', 'kaya', 'kartu', 'udh', 'telkomsel', 'pindah', 'kartu', 'udh', 'mah', 'mahal', 'tpi', 'koneksi', 'stabil', 'tolong', 'telkomsel', 'perbaiki', 'sinyal', 'secepat']</t>
  </si>
  <si>
    <t>['sinyal', 'lelet', 'mahal', 'kuota', 'paket', 'nelpon', 'mahal', 'kartu', 'sinyalnya', 'stabil']</t>
  </si>
  <si>
    <t>['kuota', 'promo', 'sinyal', 'hilang', 'meding', 'harga', 'mahal', 'kualitas', 'murah', 'ngk', 'kualitas', 'mengecewakan', 'sinyal', 'telkomsel', 'jarang', 'pakai', 'telkomsel', 'ujung', 'perusahan', 'udh', 'bangkrut', 'semoga', 'perbaiki']</t>
  </si>
  <si>
    <t>['koneksi', 'telkomsel', 'buruk', 'beli', 'paket', 'internet', 'game', 'sangattt', 'leleett', 'pelanggan', 'kecewa', 'servis']</t>
  </si>
  <si>
    <t>['telkomsel', 'terhormat', 'tolong', 'perbaiki', 'jaringan', 'bts', 'rumah', 'lag', 'gimana', 'main', 'moba', 'kalah', '']</t>
  </si>
  <si>
    <t>['sungguh', 'kecewa', 'semenjak', 'program', 'error', 'jaringannya', 'puas', 'pelanggannya', 'tolong', 'perbaiki', 'pelanggannya', 'pindah', 'operator', '']</t>
  </si>
  <si>
    <t>['promblem', 'dapatkan', 'jaringan', 'telkomsel', 'mytelkomsel', 'terkadang', 'login', 'aplikasi', 'pilihan', 'kuota', 'mahal', 'bebeapa', 'beli', 'jaringan', 'suka', 'hilang', 'timbul', 'harap', 'telkomsel', 'memperbaiki', '']</t>
  </si>
  <si>
    <t>['maaf', 'kasih', 'bintang', 'telkomsel', 'lancar', 'jaringannya', 'lemot', 'menindak', 'lanjuti', 'trs', 'pelanggan', 'kabur', 'pindah', 'provider', 'mencoba', 'provider', '']</t>
  </si>
  <si>
    <t>['akun', 'telkomsel', 'login', 'ayo', 'min', 'cepetan', 'perbaiki', 'aplikasi', 'cek', 'kuota', 'pulsa', 'sms', 'suruh', 'dwonload', 'telkomsel', 'kenyata', 'login', 'kpn', 'gini', 'pakai', 'aplikasi', 'telkomsel', 'pelanggan', 'kecewa', 'tolong', 'secepatnya', 'tanggapi', 'min', 'thank', '']</t>
  </si>
  <si>
    <t>['tolong', 'telkomsel', 'pilihan', 'pemindahan', 'pasca', 'bayar', 'prabayar', 'pasca', 'bayar', 'rugikan', 'karenakan', 'bnyk', 'paket', 'engga', 'sma', 'kdang', 'bingung', 'tagihan', 'dri', 'pengeluaran', 'beli', 'paket', '']</t>
  </si>
  <si>
    <t>['beli', 'kuota', 'unlimited', 'tanggal', 'desember', 'berlakunya', 'habis', 'tanggal', 'januari', 'kecewa', 'batas', 'kuota', 'membelinya', 'dimalam', 'tolong', 'telkomsel', 'mengatur', 'membeli', 'berlaku', 'paket', 'sehari', 'jam', 'jam', 'malam']</t>
  </si>
  <si>
    <t>['telkomsel', 'kartu', 'andalan', 'jalan', 'siput', 'kartu', 'paket', 'terjangkau', '']</t>
  </si>
  <si>
    <t>['jaringan', 'jelek', 'parah', 'provider', 'mahal', 'kualitasnya', 'daerah', 'kalbar', 'melawi', 'mengecewakan', 'telkomsel', 'bukanya', 'benerin', 'diemin', 'kecewa', 'sihhh']</t>
  </si>
  <si>
    <t>['kuota', 'tipuan', 'kuota', 'gb', 'kuota', 'tri', 'gb', 'kecepatan', 'udh', 'compare', 'toko', 'sebelah', 'gkada', 'sinyal', 'tutup', 'men', '']</t>
  </si>
  <si>
    <t>['udah', 'beli', 'paket', 'internet', 'mahal', 'eehh', 'sinyal', 'lemot', 'udah', 'dipake', 'main', 'game', 'eehhhh', 'nge', 'lag', 'masak', 'buka', 'aplikasi', 'telkomsel', 'gagal', 'dibilang', 'sinyal', 'pke', 'sinyal', 'telkom', 'lhoo', 'bang']</t>
  </si>
  <si>
    <t>['berkaitan', 'instalasi', 'jaringan', 'ttapi', 'tolong', 'dirut', 'telkom', 'memperbaiki', 'jaringan', 'internet', 'bayar', 'mahal', 'paket', 'internet', 'bulanan', 'telkomsel', 'ttapi', 'jaringan', 'internet', 'main', 'game', 'online', 'stabil', 'kalah', 'trus', 'tolong', 'perbaiki', 'jaringannya', 'pantau', 'koruptor', 'telkom', 'bumn']</t>
  </si>
  <si>
    <t>['taik', 'jaringan', 'telkomsel', 'bagus', 'tukar', 'kartu', 'kek', 'ayok', 'pindah', 'kartu', 'bagus', 'telkomsel', 'jaringan', 'jelek']</t>
  </si>
  <si>
    <t>['aplikasi', 'sial', 'update', 'bagus', 'masuk', 'iklan', 'tawarin', 'buka', 'telkomsel', 'giliran', 'buka', 'sendri', 'hapus', 'data', 'cahce', 'tolong', 'ungrade', 'kmbali', 'telkomsel', 'versi', '']</t>
  </si>
  <si>
    <t>['dapet', 'sms', 'telkomsel', 'paket', 'habis', 'dikenakan', 'tarif', 'pulsa', 'normal', 'giliran', 'cek', 'aplikasi', 'telkomsel', 'paket', 'data', '']</t>
  </si>
  <si>
    <t>['kasih', 'bintang', 'dlu', 'downlod', 'kuota', 'bbrapa', 'beli', 'paket', 'harga', 'ribu', 'dapet', 'lancar', 'bberapa', 'downlod', 'yutube', 'lola', 'turunin', 'bjntang', 'pyah', 'jaringan', 'mkin', 'ribet', 'arahin', 'pakai', 'aplikasi', 'keluhanya', 'lempar', 'pelayan', 'sibuk', 'jdiny', 'pelanggan', 'bingung', 'seprti', 'plin', 'plan', 'dlm', 'menilainya', 'telkomsel', 'perusahaan', '']</t>
  </si>
  <si>
    <t>['diupdate', 'login', 'coba', 'seprti', 'aplikasi', 'sebelah', 'mudah', 'dipakai', 'errror', 'masak', 'jaringan', 'lancar', 'login', 'muncul', 'notif', 'jaringan', '']</t>
  </si>
  <si>
    <t>['aplikasi', 'telkomsel', 'gangguan', 'gmana', 'login', 'sesi', 'kuota', 'tpi', 'slalu', 'pemberitahuan', 'kuota', 'habis', 'pesan', 'kotak', 'masuk', 'tolong', 'bantu', '']</t>
  </si>
  <si>
    <t>['', 'isi', 'pulsa', 'trus', 'isi', 'pulsa', 'msh', 'pulsa', 'kuota', 'internet', 'gb', 'check', 'besoknya', 'pulsa', 'sisa', 'telpon', 'sms', 'hey', 'kemana', 'perginya', 'pulsa', '']</t>
  </si>
  <si>
    <t>['pilihan', 'paket', 'promo', 'ngabisin', 'kuota', 'memori', 'install', 'bebas', 'kuota', 'akses', 'aplikasi', 'kehabisan', 'kuota', 'kadang', 'nyari', 'wifi', 'beli', 'paket', 'darurat', 'beli', 'aplikasi']</t>
  </si>
  <si>
    <t>['mengevewakan', 'pelayanannya', 'pulsa', 'hilang', 'gapernah', 'transfer', 'pulsa', 'dibilang', 'transfer', 'trus', 'disuruh', 'hubungi', 'nomor', 'tujuan', 'pdahal', 'nomor', 'aktif', 'banget', 'cuman', 'pengembalian', 'pulsa', 'hilang', 'berbelit', 'belit', 'kecewa', 'rugi', '']</t>
  </si>
  <si>
    <t>['harga', 'kuota', 'sesuai', 'kualitas', 'jaringan', 'internet', 'daerah', 'minggu', 'kali', 'udah', 'gangguan', 'jaringan', 'internet', 'mohon', 'kualitas', 'jaringannya', 'diperbaiki', 'untungnya']</t>
  </si>
  <si>
    <t>['tolong', 'sinyal', 'pagar', 'alam', 'sumatera', 'selatan', 'tower', 'pekan', 'terbakar', 'jaringan', 'lemot', 'thn', 'bayar', 'halo', 'tetep', 'jalan']</t>
  </si>
  <si>
    <t>['knp', 'beli', 'paket', 'data', 'alasan', 'koneksi', 'buruk', 'coba', 'data', 'msh', 'gb', 'bli', 'tpi', 'gini', 'slalu', 'knp', '']</t>
  </si>
  <si>
    <t>['mahal', 'setia', 'telkom', 'hujan', 'angin', 'dordar', 'gelap', 'teu', 'aya', 'jang', 'ngiuhan', 'sinyal', 'juara', 'eeeehhh', 'mendung', 'dikit', 'jaringan', 'kabur', 'mengecewakan', 'jaringan', 'yahud', 'harga', 'mahal', 'oke', 'oke', 'mah', 'jaringan', 'stabil', 'harga', 'wkwkwkwkw', 'kaya', 'gini', 'pelanggan', 'kabur']</t>
  </si>
  <si>
    <t>['sayangnya', 'paket', 'internet', 'aktif', 'seandainya', 'aktif', 'kuota', 'gb', 'aktif', 'kecuali', 'kuota', 'akumulasi', '']</t>
  </si>
  <si>
    <t>['tolong', 'paketannya', 'internet', 'kurangin', 'harga', 'paketannya', 'pendemi', 'covid', 'susah', 'nyari', 'duitnya', 'keadaannya', 'murat', 'marit', 'wajibkan', 'kasih', 'kabar', 'keluarga', 'kampung', 'video', 'call', 'istri', 'anak', '']</t>
  </si>
  <si>
    <t>['kecewa', 'beli', 'pulsa', 'ribu', 'pulsa', 'ribu', 'gb', 'beli', 'pulsa', 'mencukupi', 'sebelummya', 'maksudnya', 'tolonglah', 'kelas', 'online', '']</t>
  </si>
  <si>
    <t>['sblm', 'isi', 'pulsa', 'tlkmsl', 'paket', 'data', 'harga', 'rb', 'oke', 'isi', 'rb', 'paketan', 'harga', 'rb', 'hilang', 'berganti', 'jdi', 'rb', 'oke', 'isi', 'lgi', 'rb', 'harga', 'paketan', 'rb', 'hilang', 'berganti', 'jdi', 'rb', 'kau', 'anggap', 'semudah', 'kau', 'mempermainkan', 'diriku', 'lemah', 'buta', 'kah', 'mata', 'hatimu', 'dpt', 'lgi', 'merasakan', 'pedihnya', 'diriku', 'fase', 'corona', 'terlaluuuu', '']</t>
  </si>
  <si>
    <t>['curhat', 'hri', 'berusaha', 'login', 'tlkmsl', 'klaim', 'stamp', 'coz', 'tlkm', 'stamp', 'bsa', 'ditukar', 'paket', 'data', 'gratis', 'senangnya', 'singkat', 'cerita', 'hri', 'udh', 'terkumpul', 'stamp', 'tinggal', 'lgi', 'cuy', 'eng', 'ing', 'eng', 'hri', 'rajin', 'buka', 'apk', 'tlkmsl', 'cek', 'udh', 'bsa', 'klaim', 'stamp', 'mnt', 'jam', 'jam', 'tpi', 'stamp', 'klaim', 'honestly', 'dlm', 'jam', 'stamp', 'klaim', 'stamp', 'dimiliki', 'reset', 'dri', 'fix', 'gimmick', '']</t>
  </si>
  <si>
    <t>['sekian', 'rating', 'puas', 'telkomsel', 'perbaikan', 'sisi', 'telkomsel', 'perusahaan', 'raksasa', 'telkomsel', 'memperdulikan', 'kualitas', 'perusahaan', 'raksasa', 'dunia', 'pailit', 'hati', 'hati', 'perbaiki', 'kualitas', '']</t>
  </si>
  <si>
    <t>['haii', 'nyesel', 'dowload', 'telomsel', 'telkomsel', 'baguss', 'lhoo', 'insyaallah', 'maaf', 'yaa', 'cumak', 'ngasih', 'bintang', 'jugak', 'ngedowload', 'okehh', 'terimaksih', '']</t>
  </si>
  <si>
    <t>['tolong', 'harga', 'paket', 'data', 'mahal', 'pelanggan', 'pejabat', 'bos', 'msh', 'skull', 'kuat', 'harga', 'paket', 'mahal', 'tunggu', 'msh', 'mahal', 'terpaksa', 'pindah', 'provider', 'laen', 'hooraa', 'kuhaatt', 'mbokkkk', '']</t>
  </si>
  <si>
    <t>['kuota', 'lokal', 'sebelummnya', 'aman', 'rugi', 'bayar', 'mahal', 'kemaren', 'tanggapannya']</t>
  </si>
  <si>
    <t>['terima', 'kasih', 'telkomsel', 'harap', 'paket', 'internet', 'telkomsel', 'murah', 'paket', 'paketnya', 'relatif', 'mahal', '']</t>
  </si>
  <si>
    <t>['kebalikan', 'mati', 'lampu', 'telkomsel', 'signal', 'ilang', 'operator', 'anteng', 'anteng', 'udah', 'bagus', 'bintang', '']</t>
  </si>
  <si>
    <t>['nol', 'ksh', 'bintang', 'nol', 'telkomsel', 'jaringan', 'buruk', 'angin', 'ujan', 'internet', 'loding', 'ilang', 'kampung', 'pelosok', 'susah', 'internet', 'karna', 'jaringan', 'buruk', 'umur', 'belasan', 'telkomsel', 'karna', 'jaringan', 'internet', 'bagus', 'kepala', 'telkomsel', 'kalow', 'perbaikan', 'pelanggan', 'pindah', '']</t>
  </si>
  <si>
    <t>['hati', 'hati', 'guys', 'aplikasi', 'uninstall', 'karna', 'kali', 'kuota', 'habis', 'kuota', 'internet', 'telepon', 'sms', 'dll', 'aplikasi', 'menyerap', 'habis', 'pulsa', 'utama', 'memiliki', 'kuota', 'pulsa', 'utama', 'berkurang', 'kuota', 'gratisan', 'habis', 'pulsa', 'utama', 'berkurang', 'menelpon', 'mengirimkan', 'sms', 'mengaktifkan', 'data', 'seluler', 'mengalaminya', 'berkali', 'kali', 'jdi', 'solusinya', 'uninstall', '']</t>
  </si>
  <si>
    <t>['gimasihhh', 'isi', 'paket', 'gopay', 'paket', 'masuk', 'tolong', 'min', 'menunggu', 'masuk', 'masuk', 'saldo', 'habis', 'paket', 'masuk', 'gimana', '']</t>
  </si>
  <si>
    <t>['telkomsel', 'mengisi', 'pulsa', 'mendadak', 'berkurang', 'pulsanya', 'digukan', 'internet', 'sms', 'call', 'pulsa', 'berkurang', 'mengurungkan', 'pembelian', 'paket', 'telkomsel', 'karna', 'pulsa', '']</t>
  </si>
  <si>
    <t>['kecewa', 'telkomsel', 'tinggal', 'kota', 'serasa', 'tinggal', 'hutan', 'rimba', 'kesini', 'jaringan', 'bagus', 'jelek', 'sprt', 'skrg', 'telkomsel', 'duit', 'kepuasan', 'pelanggan', 'udh', 'komentar', 'bagus', 'tanggapin', 'pengguna', 'telkomsel', 'udh', 'hujan', 'dikit', 'sinyal', 'lemot', 'loding', 'mulu', 'tolong', 'perbaikan', 'posting', 'ksh', 'bintang', 'malas', 'sebenar', 'ksh', 'bintang', 'kyk', 'gini', 'trs', 'kecewa']</t>
  </si>
  <si>
    <t>['telkomsel', 'suka', 'jaringan', 'internetnya', 'kek', 'lancar', 'banyaknya', 'update', 'jaringannya', 'harapkan', '']</t>
  </si>
  <si>
    <t>['woi', 'balasan', 'ganti', 'rugi', 'jaringan', 'busuk', 'bagus', 'selular', 'bonus', 'kuota', 'kasih', 'bonus', 'kuota', 'jaringan', 'bagus']</t>
  </si>
  <si>
    <t>['jaringan', 'internetnya', 'payah', 'perbandingan', 'kinerja', 'jaringan', 'ketimbang', 'dioptimalkan', 'area', 'kecamatan', 'mundu', 'kab', 'cirebon', '']</t>
  </si>
  <si>
    <t>['tolong', 'ditingkatkan', 'keamanannya', 'kartu', 'telkomsel', 'bocor', 'ditelfon', 'disms', 'orang', 'dikenal', 'tolong', 'ditingkatkan', 'sistem', 'keamanannya', 'terimakasih']</t>
  </si>
  <si>
    <t>['bintang', 'menghargai', 'aplikasi', 'ikutan', 'coment', 'mahal', 'paket', 'data', 'sebanding', 'jaringan', 'buka', 'youtube', 'buka', 'game', 'kouta', 'mahal', 'jaringan', 'kuat', 'yes']</t>
  </si>
  <si>
    <t>['telkomsel', 'melayani', 'memilih', 'milih', 'kartu', 'telkomsel', 'paket', 'combo', 'sakti', 'unlimited', 'kartu', 'malas', 'membelikan', 'paket', 'ganti', 'layanan']</t>
  </si>
  <si>
    <t>['parah', 'telkomsel', 'jaringan', 'bagus', 'jelek', 'suka', 'ngelag', 'udah', 'paketan', 'mahal', 'pelayan', 'payahh', 'mending', 'pindah', 'kesebelah', 'deh', 'menjengkelkan', '']</t>
  </si>
  <si>
    <t>['mohon', 'maaf', 'tolong', 'telkomsel', 'sinyal', 'kabupaten', 'batanghari', 'jambi', 'memprihatikan', 'hilang', 'timbul', 'sinyalnya', 'bersahabat', 'harga', 'relatif']</t>
  </si>
  <si>
    <t>['pengguna', 'setia', 'telkomsel', 'semenjak', 'pakai', 'memakai', 'telkomsel', 'telkomsel', 'mengecewakan', 'layanan', 'paketan', 'byk', 'mahal', 'kualitas', 'jaringan', 'abal', 'abal', 'kepala', 'provider', 'berbenah', 'ditinggal', 'pelanggan', 'bos', '']</t>
  </si>
  <si>
    <t>['jaringannya', 'jelek', 'banget', 'udagkuorabya', 'mahal', 'jaringannya', 'luarbiasa', 'jelek', 'perbaiki', 'kualitas', 'jaringanya', 'cuman', 'kota', 'doang', 'bagus', 'kampung', 'perbaiki', 'gua', 'bakar', 'tower', 'telkomsel', 'bangke']</t>
  </si>
  <si>
    <t>['kecepatan', 'internetmu', 'penurunan', 'harga', 'paket', 'data', 'murah', 'lemot', 'banget', 'lho', 'gini', 'asli', 'mengecewakan', 'terpaksa', 'berkurang']</t>
  </si>
  <si>
    <t>['penilaian', 'aplikasi', 'mudah', 'aplikasi', 'ringan', 'kualitas', 'sinyal', 'sinyal', 'setabil', 'kualitas', 'jaringan', 'internet', 'jaringan', 'internet', 'lelet', 'pagi', 'siang', 'jaringan', 'internet', 'super', 'lambat', 'tarif', 'harga', 'paket', 'internet', 'harga', 'paket', 'sebanding', 'kualitas', 'sinyal', 'jaringan', 'internet', 'stabil', 'super', 'lambat', 'bintang', '']</t>
  </si>
  <si>
    <t>['telkomsel', 'lelet', 'jaringan', 'busuk', 'duh', 'bintang', 'privider', 'tolong', 'perbaiki', 'customer', 'bnyk', 'kecewa', '']</t>
  </si>
  <si>
    <t>['coba', 'isi', 'pulsa', 'via', 'aplikasi', 'bayar', 'shopeepay', 'kemakan', 'iklan', 'coba', 'kali', 'nyoba', 'dongggg', 'shopeepay', 'udh', 'kepotong', 'disuruh', 'nunggu', 'jam', 'tetep', 'masuk', 'pulsa', 'beli', 'via', 'mobile', 'banking', 'berhasil', 'complaint', 'msh', 'blm', 'masuk', 'pulsa', 'disuruh', 'nunggu', 'udah', 'update', 'kesimpulan', 'beli', 'pulsa', 'via', 'mytelkomsel', 'app', 'rekomendasiin', 'app', 'orang', '']</t>
  </si>
  <si>
    <t>['hei', 'telkom', 'kalah', 'saingkah', 'sinyal', 'blank', 'paketan', 'menang', 'mahal', 'telkom', 'jaringannya', 'hadeh', 'kecewa', 'kecewa', 'mahal', 'seenggaknya', 'sinyal', 'blank', 'blank', 'blank', 'blank', 'mulu', 'bungkus', 'doang', 'mahalin', 'hasil', 'mah', 'beda', 'ama', 'operator', 'ketinggalan', 'sinyalnya', '']</t>
  </si>
  <si>
    <t>['jaringan', 'telkomsel', 'stabil', 'kerja', 'kegiatan', 'online', 'jaringan', 'telkomsel', 'kaya', 'gini', 'kuotanya', 'mahal', 'kartu']</t>
  </si>
  <si>
    <t>['halah', 'sinyal', 'pajangan', 'doang', 'nggak', 'jalan', 'pindah', 'guys', 'not', 'recommended', 'telkomsel', 'udah', 'pakai', 'kesini', 'parah', '']</t>
  </si>
  <si>
    <t>['say', 'beli', 'pulsa', 'aplikasi', 'telkomsel', 'pembayaran', 'aplikasi', 'dana', 'malam', 'pulsa', 'pas', 'ajukan', 'pengaduan', 'percaya', 'kirim', 'bukti', 'saa', 'beli', 'paket', 'data', 'pulsa', 'telkomsel', 'menerima', 'kuota', 'pemerintah']</t>
  </si>
  <si>
    <t>['lelet', 'kecewa', 'telkomsel', 'udah', 'bilangin', 'perubahan', 'gini', 'ganti', 'kartu', 'telkomsel', 'kecewa', 'telkomsel', 'kebanyakan', 'komennya', 'orang', 'keleletan', 'telkomsel', 'telkomsel', 'asw']</t>
  </si>
  <si>
    <t>['sakit', 'banget', 'pke', 'kartu', 'hallo', 'simp', 'love', 'migrasi', 'kartu', 'hallo', 'parah', 'banget', 'sinyal', 'call', 'center', 'menawarkan', 'promo', 'info', 'jaringan', 'kartu', 'hallo', 'prioritas', 'khusus', 'bla', 'bla', 'bla', 'dsb', 'pengguna', 'migrasi', 'kartu', 'hallo', 'hdehh', 'pas', 'zoonkkk', 'sinyal', 'pke', 'simp', 'love', 'lancar', 'jaya', 'udh', 'migrasi', 'kartu', 'hallo', 'parah', 'bnget', 'nyesel', 'solusi', 'pindah', 'migrasi', 'krtu', 'simpati', 'love', 'pilih', 'deh', 'migrasi', 'simp', 'love']</t>
  </si>
  <si>
    <t>['bintang', 'era', 'digital', 'iot', 'tarif', 'internet', 'murah', 'mudah', 'mencerdaskan', 'perusahaan', 'bangsa', 'negara', 'mudahan', 'telkomsel', 'bisaaa', '']</t>
  </si>
  <si>
    <t>['', 'tempatku', 'telkomsel', 'jaringan', 'oke', 'banget', 'promonya', 'kalah', 'saing', 'provider', 'goodluck', 'telkomsel', 'kecewa', 'pelanggan', '']</t>
  </si>
  <si>
    <t>['pulsa', 'beli', 'apk', 'bayar', 'via', 'shopeepay', 'tanggal', 'sampe', 'skrang', 'masuk', 'saldo', 'udah', 'kepotong', 'gini', 'pelayanan', 'buruk', '']</t>
  </si>
  <si>
    <t>['kecewa', 'provider', 'telkomsel', 'pelayanan', 'buruk', 'disana', 'tertera', 'langganan', 'nsp', 'bonus', 'paket', 'internet', 'masukkan', 'token', 'pulsa', 'gua', 'udah', 'habis', 'gara', 'dasar', 'telkomsel', 'buruk', 'sekalai', 'pelanggan', 'nyaman', '']</t>
  </si>
  <si>
    <t>['aplikasi', 'mytelkomsel', 'kuota', 'aplikasinya', 'dibuka', 'mengganggu', 'proses', 'pembelian', 'kuota', 'data', '']</t>
  </si>
  <si>
    <t>['terang', 'pengguna', 'telkomsel', 'kecewa', 'layanan', 'jaringan', 'telkomsel', 'telkomsel', 'kaya', 'susah', 'beli', 'paketan', 'susah', 'beli', 'masuk', 'masuk', 'pakai', 'sinyalnya', 'loding', 'daerah', 'jakarta', 'sinyal', 'bagus', 'rasakan', 'layanan', 'telkomsel', 'mengecewakan', 'terang', 'kecewaa', '']</t>
  </si>
  <si>
    <t>['tanggal', 'oktober', 'ulasan', 'sinyal', 'telkomsel', 'buruk', 'streaming', 'film', 'berputar', 'indikator', 'kekuatan', 'sinyal', 'kb', 'daerah', 'depok', 'susah', 'sinyal', 'telkomsel', 'pelosok', 'antah', 'beranta', 'mohon', 'sinyal', 'telkomsel', 'bermasalah', '']</t>
  </si>
  <si>
    <t>['parah', 'parah', 'parah', 'dibuka', 'something', 'went', 'wrong', 'kuota', 'bnyak', 'udah', 'gitu', 'jaringan', 'pindah', 'ngambil', 'pulsa', 'kuota', 'abis', 'ngambil', 'pulsa', 'iya', 'sms', 'tnpa', 'seijin', 'pny', 'pulsa', 'nama', 'maling', 'knp', 'pke', 'sistem', 'kaya', 'tri', 'kuota', 'habis', 'habis', 'internet', 'stop', 'ngambil', 'pulsa', 'disitulah', 'knp', 'males', 'banget', 'pke', 'beli', 'kuota', 'internet', 'pke', 'simpati', 'kecuali', 'promo', 'rb', 'unlimited', 'seminggu', '']</t>
  </si>
  <si>
    <t>['kuota', 'internet', 'terpakai', 'membutuhkan', 'kuota', 'internet', 'kuota', 'confernce', 'kecewa', 'tolong']</t>
  </si>
  <si>
    <t>['menilai', 'aplikasi', 'jaringan', 'telkomsel', 'sabotase', 'tower', 'rusak', 'jaringan', 'parah', 'koneksinya', 'menurun']</t>
  </si>
  <si>
    <t>['telkomsel', 'ditipu', 'beli', 'pulsa', 'langsung', 'kesedot', 'abis', 'gila', 'kali', 'internet', 'buruk', 'nipu', 'mulu', 'kerjaannya', 'pantes', 'internet', 'jelek', 'nipu', 'mulu', 'gila', '']</t>
  </si>
  <si>
    <t>['sumpah', 'kasian', 'banget', 'telkomsel', 'emang', 'perusahaannya', 'bangkrut', 'jaringan', 'lemot', 'unlimited', 'berguna', 'kecewa', 'banget', 'pengguna', 'telkomsel']</t>
  </si>
  <si>
    <t>['telkomsel', 'nyengled', 'suka', 'ngilang', 'udh', 'setia', '']</t>
  </si>
  <si>
    <t>['telkomsel', 'mengalami', 'kendala', 'sedikitpun', 'koneksi', 'internet', 'lambat', 'beli', 'paketan', 'mahal', 'koneksi', 'internetnya', 'lambat', 'yak', 'nyaman', 'dipakai']</t>
  </si>
  <si>
    <t>['mudah', 'akses', 'aplikasi', 'pnggunaan', 'data', 'yaa', 'tolong', 'diminimalisir', 'krna', 'swaktu', 'paket', 'habis', 'ttapi', 'sulit', 'akses', 'aplikasi', 'telkomsel', 'akn', 'ksusahan', 'mmbeli', 'paket', 'aplikasi', 'telkomsel']</t>
  </si>
  <si>
    <t>['berdiri', 'indonesia', 'jaringan', 'buruk', 'operator', 'kecepatan', 'kbps', 'konsisten', 'bwh', 'kbps', 'jaringan', 'sampah', '']</t>
  </si>
  <si>
    <t>['', 'bintang', 'karna', 'jaringan', 'skarang', 'beda', 'kayak', 'jaman', 'skarang', 'jaman', 'lelet', 'tamba', 'harga', 'paketnya', 'dulunya', 'skarang', 'terpaksa', 'perlahan', 'beralih', 'terima', 'panggilan', 'masuk']</t>
  </si>
  <si>
    <t>['halo', 'telkomsel', 'jaringan', 'disconnect', 'putus', 'poin', 'hilang', 'poin', 'tinggal', '']</t>
  </si>
  <si>
    <t>['telkomsel', 'fik', 'saranin', 'pindah', 'kartu', 'udah', 'cape', 'telkomsel', 'komen', 'mohon', 'maaf', 'mohon', 'maaf', 'stabil', 'kaya', 'kartu', 'kartu', 'udaah', 'thanks', 'poko', 'telkomsel', '']</t>
  </si>
  <si>
    <t>['haduhhh', 'update', 'kayaknya', 'jelek', 'beli', 'kouta', 'hubungkan', 'kemana', 'puluhan', 'telkomsel', 'kali', 'kecewa', 'mendingan', 'smartfren', 'bagus', 'dri', 'pda', 'telkomsel', 'skrg']</t>
  </si>
  <si>
    <t>['update', 'woy', 'kaga', 'masuk', 'erorr', 'mulu', 'pengguna', 'wifi', 'kaya', 'ngecek', 'kuota', 'beli', 'paket', 'apk', 'kebuka']</t>
  </si>
  <si>
    <t>['', 'perbaiki', 'sinyal', 'kekuatan', 'jaringan', 'masuk', 'aplikasi', 'koneksi', 'internet', 'daftar', '']</t>
  </si>
  <si>
    <t>['telkomsel', 'payah', 'gini', 'aplikasi', 'telkomsel', 'buka', 'reload', 'pembelian', 'paket', 'internet', 'sesuai', 'pilihan', 'otomatis', 'milih', 'merugikan', 'konsumen', 'tolong', 'respon', 'penjelasannya', 'donggggg', 'udah', 'uninstall', 'telkomsel', 'download', 'play', 'store', '']</t>
  </si>
  <si>
    <t>['', 'tolong', 'telkomsel', 'knp', 'msk', 'berulang', 'kali', 'download', 'hapus', 'download', 'ttp', 'masuk', 'pikir', 'telkomsel', 'pemberitahuan', '']</t>
  </si>
  <si>
    <t>['telong', 'kasih', 'php', 'beli', 'paket', 'murah', 'kasih', 'poromo', 'unlimited', 'sinyal', 'gb', 'idak', 'beli', 'kecewa', 'tulah', 'pindah', 'kartu', 'sebelah', 'php', 'make', 'telkomsel', 'thn', 'php', 'kecewa', '']</t>
  </si>
  <si>
    <t>['sinyalnya', 'buruk', 'perkotaan', 'sinyalnya', 'buruk', 'kadang', 'kadang', 'ganti', 'jaringan', 'abis', 'sinyalnya', 'dapet', 'ganti', 'kartu', 'pelanggan', 'telkomsel', 'semenjak', 'pandemi', 'sinyal', 'telkomsel', 'menurun', 'download', 'gb', 'menit', 'jam', 'peningkatan', 'jaringan', 'make', '']</t>
  </si>
  <si>
    <t>['telkomsel', 'menyusahkan', 'pulsa', 'sedot', 'terkuras', 'pemakaian', 'paket', 'data', 'sim', 'telkomsel', 'sim', 'pulsa', 'berkurang', 'licik', 'aneh', 'muak', 'jaringannya', 'suka', 'stabil', 'belik', 'data', 'paketnya', 'mahal', 'indonesia', '']</t>
  </si>
  <si>
    <t>['jaringan', 'telkomsel', 'parah', 'kecewa', 'paketannya', 'mahal', 'cepet', 'abisnya', 'ujan', 'udah', 'ancur', 'ngapa', 'in', 'fix', 'ganti', 'kartu', 'ngabisin', 'duit', 'doang', '']</t>
  </si>
  <si>
    <t>['haloo', 'min', 'bantuan', 'lokasi', 'jaringan', 'frekuensi', 'alamat', 'desa', 'batu', 'laki', 'kec', 'batang', 'batung', 'kab', 'hss', 'hulu', 'sungai', 'selatan', 'semoga', 'diperkuat', 'singalnya', 'daerah', '']</t>
  </si>
  <si>
    <t>['suka', 'memotong', 'saldo', 'pulsa', 'pelanggan', 'apapun', 'merugikan', 'pelanggan', 'teman', 'korbannya', 'isi', 'pulsa', 'telkom', 'mending', 'langsung', 'digunain', 'diendapkan', 'dikumpulkan', 'disedot', 'saldonya', 'tinggal', 'barusan', 'sore', 'beli', 'malamnya', 'ilang', 'udah', 'berkali', 'internet', 'hpnya', 'lupa', 'dipaketin', 'emang', 'gitu', 'suka', 'nyedot', 'pulsa', 'pelanggan', 'tnpa', 'balikin', 'pulsa']</t>
  </si>
  <si>
    <t>['tawaran', 'nsp', 'tolong', 'muncul', 'dilayar', 'tertarik', 'sisa', 'kuota', 'hangus', 'terakumulasi', 'mubazir', 'pdhal', 'isi', 'kuota', 'ulang', 'sblum', 'paket', 'internet', 'beralih', 'paket', 'kuota', 'operator', '']</t>
  </si>
  <si>
    <t>['poin', 'dapet', 'udh', 'iklan', 'ganggu', 'game', 'ngarep', 'pulsa', 'dapet', 'pdhl', 'rajin', 'beli', 'pulsa', 'kntl', 'kartu', 'setan', 'kebanyakan', 'undian', 'tipu', 'tipu']</t>
  </si>
  <si>
    <t>['internetnya', 'puas', 'paket', 'combo', 'sakti', 'keluarga', 'combo', 'sakti', '']</t>
  </si>
  <si>
    <t>['kasih', 'bintang', 'klu', 'combo', 'sakti', 'adaain', 'paket', 'gb', 'gb', 'ntr', 'kasih', 'bintang', 'klu', 'usul', 'kabul', '']</t>
  </si>
  <si>
    <t>['kesini', 'error', 'auto', 'log', 'out', 'banget', 'bugnya', 'ayo', 'tingkatkan', 'menurun', 'paket', 'mahal', 'error', 'gangguan', 'tolong', 'secepatnya', 'diperbaiki']</t>
  </si>
  <si>
    <t>['sory', 'bintang', 'pulsa', 'mahal', 'pilihan', 'murah', 'mbok', 'kaya', 'provider', 'sebelah', 'byk', 'promo', 'gratisan', 'provider', 'pemerintah', 'terbaik', 'indo', 'peliiiiiit', 'hadeuuuuh', 'pantesan', 'byk', 'kasih', 'bintang', '']</t>
  </si>
  <si>
    <t>['kesini', 'kecewa', 'telkomsel', 'udah', 'sinyalnya', 'buruk', 'dibanding', 'kesini', 'mahal', 'paketanya', 'beli', 'indo', 'telkomsel', 'indo', 'jaringannya', 'stabil', 'murah', 'kecewa', 'pakai', 'telkomsel', 'udah']</t>
  </si>
  <si>
    <t>['membeli', 'paket', 'harga', 'pulsa', 'ribu', 'sekian', 'klik', 'pembayaran', 'notifikasi', 'internet', 'gagal', 'diaktifkan', 'pulsa', 'mencukupi', 'sms', 'internet', 'berhasil', 'diaktifkan', 'jam', 'nanggung', 'gratisan', 'jam', 'doang', '']</t>
  </si>
  <si>
    <t>['hallo', 'telkomsel', 'kasih', 'bintang', 'karna', 'puas', 'karna', 'pembelian', 'paket', 'nelpon', 'unlimitid', 'lakukan', 'transaksi', 'mohon', 'stabilkan', 'makasih', '']</t>
  </si>
  <si>
    <t>['sinyalnya', 'parah', 'lbih', 'tetangga', 'udah', 'harga', 'pling', 'mahal', 'sbtr', 'pakai', 'telkomsel', '']</t>
  </si>
  <si>
    <t>['pencurian', 'kuota', 'sms', 'telkomsel', 'dlm', 'menit', 'sms', 'telkomsel', 'gb', 'kuota', 'flash', 'habis', 'kecewa', 'bener', 'kecewa', 'app', 'keliar', 'setial', 'menukarkan', 'poin', 'undian', 'kupon', 'undiannya', 'sial', 'bahkn', 'setip', 'isi', 'pulsa', 'besok', 'hilang', 'rb', 'rb', 'padah', 'kuota', 'nelpon', 'slalu', '']</t>
  </si>
  <si>
    <t>['kualitas', 'jaringan', 'simpati', 'ampas', 'connect', 'indikator', 'sinyal', 'penuh', 'main', 'game', 'online', 'auto', 'kalah', 'kalah', 'ping', '']</t>
  </si>
  <si>
    <t>['paket', 'combo', 'sakti', 'kartu', 'gua', 'iklam', 'combo', 'sakti', 'php', 'promo', 'kuota', 'mending', 'jaringan', 'bagus', 'nipu', 'promo', 'kuota']</t>
  </si>
  <si>
    <t>['udah', 'dekade', 'make', 'telkomsel', 'puas', 'pelayanannya', 'internet', 'stabil', 'skrg', 'jaringan', 'tinggal', 'daerah', 'jepara', 'pedalaman', 'sinyal', 'dapet', 'semenjak', 'pertengahan', 'nov', 'sinyal', 'drop', 'udh', 'always', 'stabil', 'kuota', 'gb', 'ilang', 'gitu', 'semenjak', 'update', 'aplikasi', 'telkom', 'dibuka', 'kekota', 'pelayanan', 'buruk', 'telkomsel', '']</t>
  </si>
  <si>
    <t>['membuka', 'paket', 'data', 'gagalnya', 'suksesnya', 'tapai', 'membuka', 'pakai', 'jaringan', 'wifi', 'cepat', 'loginnya', 'gimana', 'coba', 'pakai', 'paket', 'data', 'nomor', 'telkomsel', 'giliran', 'nawari', 'promo', 'paket', 'data', 'gencar', 'banget', 'haaddeehhh']</t>
  </si>
  <si>
    <t>['sinyal', 'jelek', 'ditempat', 'internetnya', 'super', 'lemot', 'pelanggan', 'setia', 'pakai', 'kartu', 'hallo', '']</t>
  </si>
  <si>
    <t>['mohon', 'pelayanan', 'wilayah', 'timur', 'khususnyaa', 'harga', 'pulsa', 'tolong', 'samakan', 'daerah', 'jawa', 'mohon', 'papua', 'orang', 'beli', 'pulsa', 'mahal', 'papua']</t>
  </si>
  <si>
    <t>['nyoba', 'beli', 'paket', 'aplks', 'mytelkomsel', 'jebakan', 'telkomsel', 'pkt', 'reguler', 'basic', 'ganti', 'paket', 'nambah', 'beli', 'mudah', 'mati', 'internetnya', 'lemoot', 'jln', 'menikmati', 'lokasi', 'dki', '']</t>
  </si>
  <si>
    <t>['bener', 'kecewa', 'skrg', 'paket', 'internet', 'cepet', 'abis', 'sampe', 'sebulan', 'udah', 'mahal', 'cepet', 'abis', '']</t>
  </si>
  <si>
    <t>['developer', 'terhormat', 'tolong', 'jaga', 'kenyamanan', 'keamanan', 'pengguna', 'sel', 'signal', 'seburuk', 'pengguna', 'nyaman', 'layanan', 'terbaik', 'tolong', 'sia', 'siakan', 'kepercyaan', 'pelanggan', 'situasi', 'jaringan', 'buruk', 'seprti', 'gamers', 'merusak', 'piranti', 'karenakan', 'kualitas', 'signal', 'buruk', 'ping', 'berwarna', 'hijau', 'kualitas', 'ping', 'berwarna', 'merah', 'tolong', 'jaga', 'pelanggan', '']</t>
  </si>
  <si>
    <t>['tolong', 'telkomsel', 'pelanggan', 'mengeluh', 'jaringan', 'jelek', 'mohon', 'diperbaiki', 'jaringan', 'disetiap', 'sudut', 'daerah', 'perkotaan', 'perbaikan', 'penguatan', 'sinyal', 'telkomsel', 'prioritas', 'pelanggan', 'harga', 'menentukan', 'kualitas', '']</t>
  </si>
  <si>
    <t>['tolong', 'direspon', 'beli', 'kuota', 'internet', 'membeli', 'paket', 'internet', 'diaplikadi', 'telkomsel', 'cuman', 'option', 'paket', 'confrence', 'kuota', 'pendidikan', 'kuota', 'maxstream', 'mohon', 'solusinya', 'giliran', 'beli', 'kuota', 'internet', 'malam', '']</t>
  </si>
  <si>
    <t>['', 'telkomsel', 'berperan', 'aktif', 'aktivitas', 'jaringan', 'dunia', 'menjalankan', 'tugas', 'elektronik', 'info', 'akses', 'kebutuhan', 'orang', 'menejemennya', 'tertip', 'aman']</t>
  </si>
  <si>
    <t>['gue', 'tinggalkan', 'kartu', 'tri', 'lelet', 'jaringan', 'beralih', 'telkomsel', 'sadar', 'kartu', 'tri', 'mari', 'tinggalkan', 'telkomsel', 'beralih', 'kartu', 'tri', 'kartu']</t>
  </si>
  <si>
    <t>['jelek', 'jaringan', 'telkomsel', 'kota', 'bengkalis', 'gini', 'ngak', 'alih', 'operator', 'pakek', 'telkomsel', 'udah', 'puluhan']</t>
  </si>
  <si>
    <t>['telkomsel', 'bagus', 'tergantung', 'memakainya', 'aplikasinya', 'membantu', 'menggunakannya', 'sempurna', 'dunia', 'telkomsel', 'netral', 'kebutuhan', '']</t>
  </si>
  <si>
    <t>['beli', 'paketan', 'dana', 'beli', 'balance', 'habistu', 'minimal', 'beli', 'paket', 'malam', 'udah', 'amanain', 'data', 'jam', 'paket', 'malam', 'ttp', 'ngilang', 'bener', 'bener', 'pemerasan', 'belajar', 'butuh', 'akses', 'resource', 'butuh', 'data', 'lumayan', 'kibulin', 'mentingin', 'untung', 'doang', 'kemajuan', 'negara', '']</t>
  </si>
  <si>
    <t>['telkomsel', 'udah', 'tukar', 'poin', 'beritau', 'tunggu', 'sms', 'notifikasi', 'jujur', 'kecewa', 'karna', 'udah', 'tukar', 'poin', 'berkali', 'pulsa', 'pulsa', 'masuk']</t>
  </si>
  <si>
    <t>['jaringan', 'darah', 'main', 'jaringan', 'sengaja', 'gimana', 'turun', 'mulu', 'gue', 'main', 'game', 'indihome', 'telkomsel', 'strategi', 'telkomsel', 'nggak', 'suruh', 'keluhannya', 'kejahatan', 'amarah', 'kendalikan', '']</t>
  </si>
  <si>
    <t>['telkomsel', 'buruk', 'jaringannya', 'lemot', 'banget', 'udah', 'harga', 'mahal', 'jaringan', 'lemot', 'gini', 'nyesel', 'udah', 'beli', 'paket', '']</t>
  </si>
  <si>
    <t>['assalamualaikum', 'maaf', 'telkomsel', 'udah', 'top', 'tpi', 'pulsa', 'masuk', 'chek', 'udah', 'sukses', 'pulsa', 'tolong', 'kecewa', 'kmi', '']</t>
  </si>
  <si>
    <t>['bukanya', 'bagus', 'sinyal', 'internet', 'down', 'parah', 'harga', 'kecewa', 'berat', 'udah', 'puluhan', 'pakai', 'telkomsel', 'kenal', 'telkomsel', 'kecewa', 'pingin', 'pindah', 'gara', 'jaringan', 'internet', '']</t>
  </si>
  <si>
    <t>['jaringan', 'telkomsel', 'andalkan', 'ngelag', 'parah', 'muat', 'data', 'main', 'game', 'kacau', 'kecewa', 'pembelian', 'paket', 'jaringan', 'diandalkan', 'kecewa', 'beraaatttt', '']</t>
  </si>
  <si>
    <t>['pengguna', 'telkomsel', 'sinyal', 'bagus', 'banget', 'lancarrrr', 'sinyalnya', 'lelet', 'emosi', 'pas', 'asik', 'asiknya', 'main', 'game', 'online', 'lelet']</t>
  </si>
  <si>
    <t>['telkomsel', 'kartu', 'paketan', 'kartu', 'dibeda', 'paketannya', 'sllu', 'dpt', 'promo', 'boros', 'paketannya', 'diperbaiki', 'pengguna', 'th', 'dpt', 'promo']</t>
  </si>
  <si>
    <t>['', 'jaringan', 'telkomsel', 'wilayah', 'medan', 'medan', 'johor', 'medan', 'tuntungan', 'nghak', 'genah', 'gini', 'uda', 'pekan', 'tolong', 'kembalikan', 'pelayanan', 'jaringan', 'sedia', 'pengguna', 'setia', 'terkhusus', 'simpati', 'mohom', 'tim', 'terkait', 'lakukan', 'pembenahan', 'khusus', 'jaringan', 'sumpah', 'bener', 'kecewa', '']</t>
  </si>
  <si>
    <t>['telkomsel', 'lemot', 'gue', 'pelanggan', 'thun', 'kecewa', 'bayarnya', 'mahal', 'memuaskan', 'perbaiki', 'ganti', 'bintangnya', 'ato', 'ganti', 'operatornya']</t>
  </si>
  <si>
    <t>['telkomsel', 'selamat', 'ditinggalkn', 'bgtu', 'bnyk', 'keluhan', 'perbaikn', 'harga', 'signal', 'turun', 'beli', 'paket', 'internetan', 'cuman', 'menjwb', 'hubungi', 'email', 'muyek', 'dengar', 'sok', 'manis', 'sok', 'perhatian', 'nol', 'telkomsel', '']</t>
  </si>
  <si>
    <t>['bagus', 'pokoknya', 'bagus', 'mimin', 'nggak', 'akunya', 'menang', 'undi', 'undi', 'heppy', 'hehehe', 'udah', 'apk', 'cuman', 'nggak', 'beruntung', 'event', 'apk', 'bagus', 'beli', 'pulsa', 'nggak', 'konter', 'langsung', 'apk', 'hehehe', 'good', 'job', 'apk', 'telkomsel', 'sukses']</t>
  </si>
  <si>
    <t>['paket', 'sampe', 'jam', 'malam', 'beli', 'jam', 'sore', 'dibeli', 'pulsanya', 'jebol', 'ajg', 'jebolnya', 'paket', 'pas', 'jam', 'heran', 'pakek', 'main', 'game', 'pingnya', 'kuning', 'taikk', '']</t>
  </si>
  <si>
    <t>['promo', 'sperti', 'penukaran', 'poin', 'saldo', 'link', 'seringkali', 'pajangan', 'kualitas', 'jaringan', 'telkomsel', 'menurun', 'drastis', 'lemot', 'mengecewakan']</t>
  </si>
  <si>
    <t>['aplikasi', 'berfungsi', 'pemakaian', 'internet', 'jalan', 'kembalikan', 'bintang', 'operasikan', '']</t>
  </si>
  <si>
    <t>['keluhannya', 'kyk', 'telkomsel', 'skrng', 'lemot', 'trus', 'lgi', 'promo', 'buln', 'kuota', 'unlimited', 'udh', 'beli', 'slalu', 'ketipu', 'pas', 'regis', 'trus', 'cek', 'kuota', 'berlakunya', 'iya', 'pas', 'beberpa', 'kmudian', 'dicek', 'trnyta', 'buln', 'beli', 'kirain', 'krna', 'perubahan', 'sblm', 'ahir', 'beli', 'dibuln', 'januari', 'tgl', 'msk', 'berlaku', 'smpk', 'ngecek', 'kuota', 'salfok', 'tnggal', 'abisnya', 'buln', 'tgl', 'wahh', 'mna', 'udah', 'kejadiany']</t>
  </si>
  <si>
    <t>['malas', 'tukar', 'poin', 'kalah', 'poin', 'ttp', 'hmmm', 'ujung', 'ujungnya', 'maaf', 'kak', 'kendala', 'hmmm']</t>
  </si>
  <si>
    <t>['telkomsel', 'jaringannya', 'buruk', 'pakain', 'telkomsel', 'kesini', 'jaringannya', 'buruk', '']</t>
  </si>
  <si>
    <t>['aplikasi', 'sekelas', 'telkomsel', 'bug', 'gacuma', 'parah', 'signal', 'kadang', 'suka', 'susah', 'banget', 'gatau', 'knapa', 'singnal', 'rumah', 'bagus', 'telkomsel', 'doang', '']</t>
  </si>
  <si>
    <t>['jaringan', 'jelek', 'kota', 'palembang', 'plaju', 'sinyal', 'jelek', 'perbaiki', 'beli', 'paket', 'mahal', 'kualitas', 'sinyal', 'jelek', '']</t>
  </si>
  <si>
    <t>['tuntut', 'telkomsel', 'sisa', 'pulsa', 'ribu', 'isi', 'pulsa', 'ribu', 'tital', 'ribu', 'cek', 'masuk', 'pas', 'cek', 'jam', 'pulsa', 'kepotong', 'ribu', 'apain', 'pencuri', 'tuntut', 'bukti', 'lengkanya', '']</t>
  </si>
  <si>
    <t>['kecewa', 'jaringan', 'lelet', 'pdhal', 'kota', 'buka', 'telkomsel', 'cek', 'sisa', 'paket', 'kartu', 'halo', 'tolong', 'benahin', 'server', 'customer', 'kecewa']</t>
  </si>
  <si>
    <t>['pegang', 'disitulah', 'jaringan', 'telkomsel', 'msalah', 'harga', 'mahal', 'pa', 'kualitas', 'bagus', 'skg', 'kualitas', 'jaringan', 'eror', 'sungguh', 'mengecewakan', 'tlong', 'mengerti', 'diperbaiki', 'sumpah', 'ngeselin', 'khusus', 'suka', 'main', 'game', 'emosi', '']</t>
  </si>
  <si>
    <t>['diskriminasi', 'model', 'perangkat', 'app', 'berat', 'hape', 'sulit', 'membukanya', 'mengoperasikannya', 'lemot', 'berasa', 'tumor', 'hape', 'didiskriminasi', 'gini', 'telkomsel', 'model', 'hapenya', 'terbaru', 'udah', 'gitu', 'app', 'lite', 'udah']</t>
  </si>
  <si>
    <t>['hai', 'kesekian', 'kalinya', 'kecewa', 'kecewa', 'poin', 'tuker', 'kuota', 'program', 'terima', 'kasih']</t>
  </si>
  <si>
    <t>['wooooyyyyyy', 'sinyal', 'wooyyyyyyy', 'ngeluh', 'karna', 'sinyaalllllll', 'alhamdulillah', 'jaringan', 'stabil', 'terimakasih', 'smartfren']</t>
  </si>
  <si>
    <t>['telkomsel', 'papua', 'mengubah', 'kartu', 'hallo', 'jawa', 'sinyalnya', 'turun', 'kampung', 'hujan', 'deras', 'internetan', 'balikan', 'kartu', 'bingung']</t>
  </si>
  <si>
    <t>['sungguh', 'mengecewakan', 'sya', 'smp', 'smpe', 'skrg', 'telkomsel', 'kirim', 'hadiah', 'teman', 'kode', 'otp', 'kmrin', 'msuk', 'sms', 'kode', 'otp', 'sma', 'skli', 'pusat', 'bantuan', 'respon', 'sma', 'skli', 'nyambung', 'bkin', 'kesel', '']</t>
  </si>
  <si>
    <t>['pelanggan', 'kecewa', 'telkomsel', 'jaringan', 'internetnya', 'jelek', 'buka', 'aplikasi', 'muter', 'buka', 'tolong', 'diperbaiki', 'kualitas', 'pelanggan', 'lari', 'operator', 'harga', 'doang', 'mahal', 'kualitas', 'menurun', '']</t>
  </si>
  <si>
    <t>['jaringan', 'down', 'cuman', 'pribadi', 'temen', 'temen', 'laen', 'pdahal', 'dri', 'dlu', 'sinyal', 'stabil', 'hati', 'kadang', 'jengkel', 'jaringan', 'sekrng']</t>
  </si>
  <si>
    <t>['jaringan', 'telkomsel', 'jelek', 'signalnya', 'jelek', 'pakai', 'indosat', 'koutaku', 'habis', 'ayahku', 'pakai', 'kartu', 'telkomsel', 'mohon', 'bantuannya', 'rusak', 'mohon', 'perbaiki', 'terkendala', 'nonton', 'youtub', 'mohon', 'bantuannya', 'telkomsel', 'bersahabat', 'tolong', 'kak', '']</t>
  </si>
  <si>
    <t>['dikasih', 'rating', 'minus', 'kasih', 'minus', 'triliun', 'tutup', 'provider', 'ngejengkelin', 'banget', 'mahal', 'ketulungan', 'sesuai', 'kinerjanya', 'alamat', 'ganti', 'provider', 'keluarga']</t>
  </si>
  <si>
    <t>['woi', 'tolonglah', 'pulsa', 'berkurang', 'menit', 'data', 'seluler', 'dimatikan', 'wifi', 'dimatikan', 'pulsa', 'sedot', 'gini', 'hape', 'diam', 'pulsa', 'berkurang', 'memalukan', '']</t>
  </si>
  <si>
    <t>['provider', 'terbaik', 'provider', 'terburuk', 'sinyal', 'lokasi', 'telkom', 'sinyal', 'buruk', 'ganti', 'provider', 'komplain', 'pemulihan', 'perubahan']</t>
  </si>
  <si>
    <t>['maaf', 'pakai', 'aplikasi', 'telkomsel', 'aman', 'aman', 'update', 'terbaru', 'buka', 'iphone', 'dibawah', 'force', 'close', 'mohon', 'perbaiki', 'aplikasi', 'pengguna', 'iphone', 'lawas']</t>
  </si>
  <si>
    <t>['undian', 'tukarkan', 'point', 'point', 'dpt', 'minimal', 'info', 'berita', 'menang', 'undian', '']</t>
  </si>
  <si>
    <t>['hati', 'hati', 'pengguna', 'telkomsel', 'ubah', 'kartu', 'hallo', 'bulanan', 'bayar', 'mahal', 'kuota', 'dikit', 'kartu', 'hallo', 'mencekik', 'bayar', 'paket', 'dikit', 'bisnis', 'keruk', 'uang', 'pelanggan', 'telkomsel', 'pikir', 'untung', 'jaringan', 'telkomsel', 'serasa', 'renternir', 'klu', 'blm', 'daya', 'putus', 'nomer', '']</t>
  </si>
  <si>
    <t>['perbaiki', 'bug', 'menyesalkan', 'performa', 'pelayanan', 'telkomsel', 'taun', 'kemarin', 'harap', 'development', 'dimohon', 'professional', '']</t>
  </si>
  <si>
    <t>['promo', 'kadang', 'beli', 'ditawarin', 'mulu', 'ehh', 'beli', 'pas', 'nyaman', 'paket', 'hilang', 'pemberitahuan', 'beli', 'ato', 'login', '']</t>
  </si>
  <si>
    <t>['beli', 'pulsa', 'telkomsel', 'pembayaran', 'via', 'bca', 'virtual', 'account', 'saldo', 'teepotong', 'masuk', 'pulsanya', 'telp', 'tsel', 'emailpun', 'pulsa', 'masuk', 'refund', 'gimana', 'coba']</t>
  </si>
  <si>
    <t>['punyaku', 'beda', 'temen', 'punyaku', 'paketan', 'mahal', 'mahal', 'temenku', 'murah', 'murah', 'simpati', 'tinggal', 'desa', 'iri', 'cuk', 'kirimin', 'link', 'dibeli', 'jarian', 'taik', 'wifi', 'pulsa', 'melebihi', 'harga', 'paketnya', 'masi', 'beli']</t>
  </si>
  <si>
    <t>['bintang', 'memperbaikinya', 'ayo', 'pelanggan', 'bertahan', 'kek', 'gini', 'gimana', 'sinyal', 'iya', 'loading', 'ampun', 'main', 'game', 'losr', 'karna', 'ping', 'ting', '']</t>
  </si>
  <si>
    <t>['buka', 'aplikasi', 'leletnya', 'ampun', 'beli', 'paketan', 'pulsa', 'cadangab', 'pulsa', 'habis', 'loading', 'beli', 'paketan', 'gabisa', 'login', 'notif', 'maintance', 'kecewa', 'sinyal', 'kacau']</t>
  </si>
  <si>
    <t>['selamat', 'siang', 'telkomsel', 'kendala', 'minggu', 'mrsa', 'sinyal', 'jelek', 'kesal', 'berfikiran', 'mngganti', 'jaringan', 'tolong', 'perbaiki', 'huuft']</t>
  </si>
  <si>
    <t>['hei', 'provider', 'budiman', 'kadang', 'kesini', 'aneh', 'pengguna', 'paket', 'kuota', 'anehnya', 'kuota', 'paket', 'gb', 'sisah', 'dibawah', 'gb', 'otomatis', 'kecepatan', 'ikutan', 'berkurang', 'bodoh', 'kecuali', 'emang', 'paket', 'unlimited', 'fup', 'kuota', 'abis', 'kecepatan', 'berkurang', 'orang', 'kuota', 'terbilang', 'kecepatannya', 'berkurang', 'thn', 'pke', 'telkomsel', 'mlh', '']</t>
  </si>
  <si>
    <t>['jaringan', 'telkomsel', 'jelek', 'kayak', 'parah', 'ntah', 'kota', 'pedesaan', 'telkomsel', 'sekuat', 'sinyalnya', 'payah']</t>
  </si>
  <si>
    <t>['sinyal', 'jelek', 'main', 'game', 'hancur', 'sinyal', 'tinggal', 'dikota', 'klw', 'tinggal', 'nunggu', 'tinggalkan', 'generasi', 'milineal']</t>
  </si>
  <si>
    <t>['tgl', 'jan', 'jan', 'aplikasi', 'dibuka', 'gimana', 'telkomsel', 'jan', 'dikasi', 'link', 'tsel', 'apps', 'login', 'aplikasi', 'mytelkomsel', 'thanks', '']</t>
  </si>
  <si>
    <t>['maaf', 'kak', 'yaa', 'daftar', 'aplikasinya', 'ngga', 'yaa', 'coba', 'berkali', 'kali', 'ngga', 'tolong', 'diperbaiki', 'yaa', 'kak', 'beli', 'paket', 'kak', 'tolong', 'banget', 'kemarin', 'udah', 'beli', 'paket', 'ngga', 'aplikasi', 'kek', 'instagram', 'youtube', 'google', 'nge', 'wifi', 'tolong', 'diperbaiki', 'yaa', 'kak', 'daring', '']</t>
  </si>
  <si>
    <t>['woy', 'eror', 'masuk', 'jaringan', 'kesalahan', 'ulangi', 'unistal', 'apk', 'trs', 'sinyal', 'jelek', 'kalah', 'maunya', 'harga', 'kuotanya', 'mahal', 'mending', 'beli', 'telkomsel']</t>
  </si>
  <si>
    <t>['', 'aplikasinya', 'mending', 'hapus', 'deh', 'orang', 'terlanjur', 'mendownload', 'nihil', 'buka', 'dasar', '']</t>
  </si>
  <si>
    <t>['sperti', 'keliatan', 'kualitasnya', 'hasilnya', 'layak', 'rating', 'rating', 'post', '']</t>
  </si>
  <si>
    <t>['admin', 'tolong', 'update', 'perbaiki', 'versi', 'kesulitan', 'mendaftar', 'login', 'nomor', 'kartu', 'something', 'wen', 'wrong', 'please', 'try', 'again', 'beda', '']</t>
  </si>
  <si>
    <t>['suka', 'telkomel', 'jaringan', 'bagus', 'kecewa', 'paket', 'kombo', 'sakti', 'paket', 'gb', 'kuota', 'utama', 'unlimited', 'sosmed', 'batasan', 'kecepatan', 'pakai', 'paket', 'combo', 'sakti', 'kuota', 'utama', 'habis', 'buka', 'sosmed', 'kecepatan', 'kbps', 'batas', 'kecepatan', 'aktif', 'tolong', 'perbaiki', 'yaah', 'nyaman', 'pakai', 'kartu', 'simpati', 'makasih']</t>
  </si>
  <si>
    <t>['aplikasi', 'login', 'susah', 'masuk', 'masuk', 'something', 'wrong', 'ngirim', 'promo', 'kuota', 'combo', 'sakti', 'unlimited', 'buka', 'tolong', 'telkomsel', 'dikit', 'aplikasi', 'wok', 'wok', 'perasaan', 'gantung', 'sekian']</t>
  </si>
  <si>
    <t>['skrg', 'susah', 'login', 'sllu', 'kesalahan', 'apk', 'membantu', 'menyulitkan', 'udh', 'brusaha', 'login', 'hasil', 'ttp', 'sma', 'sllu', 'kslahan', 'mhon', 'perbaiki', 'berpindah', 'oprator', 'sblah', 'trimksih', '']</t>
  </si>
  <si>
    <t>['maaf', 'kak', 'telkomsel', 'bermasalah', 'gimana', 'kemarin', 'login', 'something', 'went', 'wrong', 'app', 'browsing', 'kendala', 'mohon', 'solusinya', 'kak', 'terima', 'kasih', '']</t>
  </si>
  <si>
    <t>['aplikasi', 'telkomsel', 'eror', 'keterangannya', 'koneksi', 'internet', 'buka', 'aplikasi', 'berat', 'terkoneksi', 'telkomsel', 'parah', 'pelanggan', 'kecewa', 'ditambah', 'sinyal', 'lost', 'koneksi', '']</t>
  </si>
  <si>
    <t>['telkom', 'terhormat', 'jaringan', 'eror', 'kali', 'blakang', 'smp', 'kota', 'solok', 'jaringan', 'mahal', 'indo', 'gini', 'tinggal', 'kota', 'perbukitan', 'jaringan', 'loe', 'kek', 'gini', 'axis', 'nompang', 'bagus', 'jaringannya', 'telkom', 'untung']</t>
  </si>
  <si>
    <t>['ngelag', 'telkomsel', 'kaya', 'indihome', 'nyaman', 'ntegame', 'sinyalnya', 'ngejumping', 'udh', 'pengguna', 'telkomsel', 'skrg', 'kecewa', 'gejelas', 'sinyalnya', 'aplikasi', 'tsel', 'gabisa', 'dibuka', '']</t>
  </si>
  <si>
    <t>['buka', 'bida', 'login', 'update', 'update', 'login', 'telkomsel', 'napa', 'udah', 'jaringan', 'lelet', 'login', 'aplikasinya', 'bermasalah', 'alah']</t>
  </si>
  <si>
    <t>['jaringan', 'lemot', 'buka', 'aplikasi', 'loading', 'kecepatan', 'kbps', 'jaringan', 'dibenerin', 'udah', 'bulanan', 'operator', 'laknat', 'menipu', 'pelanggan']</t>
  </si>
  <si>
    <t>['maaf', 'min', 'telkomsel', 'setabil', 'kaya', 'lemot', 'banget', 'gitu', 'masuk', 'apl', 'telkomsel', 'gabisa', 'main', 'game', 'lemot', 'chatan', 'lemot', 'youtube', 'lemot', 'telkomsel', 'mohon', 'kembalikan', 'jaringan', 'telkomsel', 'makasih', '']</t>
  </si>
  <si>
    <t>['mohon', 'maaf', 'mnta', 'bantuan', 'knpa', 'say', 'masuk', 'telkomsel', 'minggu', 'keluhan', 'jaringan', 'cuman', 'masuk', 'telkomsel', '']</t>
  </si>
  <si>
    <t>['permasalahan', 'signal', 'lakukan', 'tolong', 'telkomsel', 'bertahun', 'langganan', 'teratasi', 'mkasih', '']</t>
  </si>
  <si>
    <t>['alhamdulillah', 'semjak', 'memakai', 'aplikasi', 'telkomsel', 'urusan', 'internet', 'udah', 'cek', 'kuto', 'ebelikan', 'pulsa', 'keluarga', 'mudah', 'tukar', 'poin', 'tinggal', 'tekan', 'dech', '']</t>
  </si>
  <si>
    <t>['kecewa', 'ama', 'telkomsel', 'udah', 'kuotanya', 'mahal', 'jaringan', 'hadeh', 'parah', 'woy', 'uang', 'pakai', 'nonton', 'cewek', 'telanjang', 'ata', 'wik', 'wik', 'perbaiki', 'woy', 'baca', 'baca', 'baca', 'baca', 'baca', 'baca', 'baacaa', 'woy', 'asik', 'nonto', 'telanjang', 'bab', 'ato', 'gini', 'turunin', 'harganya', 'kek', 'gini', 'gunaaa', 'setuju', 'klik', 'setuju', 'klik']</t>
  </si>
  <si>
    <t>['ganti', 'bintangnya', 'full', 'login', 'terima', 'kasih', 'telkomsel', 'semoga', 'kedepannya', 'eror', '']</t>
  </si>
  <si>
    <t>['hri', 'login', 'aplikasi', 'telkomsel', 'diinstal', 'ulang', 'ttp', 'hasilnya', 'pemberitahuan', 'kesalahan', 'mohon', 'solusinya', 'min', '']</t>
  </si>
  <si>
    <t>['membuka', 'app', 'mytelkomsel', 'samasekali', 'dibuka', 'tulisan', 'koneksi', 'stabil', 'coba', 'memuat', 'ulang', 'internet', 'sinyal', 'interetku', 'full', 'kuat', '']</t>
  </si>
  <si>
    <t>['komplen', 'disuruh', 'napa', 'ngga', 'jaringan', 'kartu', 'halo', 'lemot', 'aplikasi', 'login', 'susah', 'baget', 'ngga', 'masuk', 'masuk', 'diupdate', 'komen', 'ditulis', 'pakai', 'jaringan', 'wifi', '']</t>
  </si>
  <si>
    <t>['yth', 'owners', 'telkomsel', 'pengguna', 'setia', 'simpati', 'kecewa', 'jaringan', 'error', 'muter', 'download', 'aplikasi', 'telkomsel', 'buka', 'tolong', 'kasih', 'muter', 'lempar', 'lempar', 'ngeles', 'bajaj', 'pakai', 'politikus', 'sistem', 'staff', 'dlm', 'perusahan', 'komplain', '']</t>
  </si>
  <si>
    <t>['kesini', 'jelek', 'sinyal', 'telkomsel', 'diganti', 'pasca', 'bayar', 'tlp', 'sinyal', 'bagus', 'aplikasi', 'dibuka', 'kuota', '']</t>
  </si>
  <si>
    <t>['admin', 'telkomsel', 'aplikasi', 'mytelkomsel', 'susah', 'login', 'belo', 'paket', 'buka', 'kemaren', 'malam', 'buka', 'beli', 'paket', 'bayar', 'link', 'pilih', 'pembayaran', 'hapus', 'datanyanya', 'masuk', 'hubungi', 'cs', 'tunggu', 'login', 'uda', 'perbaiki', 'cepat', 'aplikasinya', 'pindah', 'nomor', 'terima', 'kasih']</t>
  </si>
  <si>
    <t>['aplikasi', 'pret', 'beli', 'paket', 'sminggu', 'pembelian', 'uda', 'progres', 'blm', 'pulsa', 'utama', 'potong', 'pemakaian', 'normal', 'bener', 'sue', 'irit', 'cekik', '']</t>
  </si>
  <si>
    <t>['aplikasinya', 'nge', 'down', 'nyoba', 'kemarin', 'jaringan', 'bermasalah', 'nonton', 'yutub', 'main', 'game', 'sosmed', 'tolong', 'perbaiki']</t>
  </si>
  <si>
    <t>['telkomsel', 'eror', 'kayak', 'gini', 'namanya', 'jaringan', 'cih', 'jijik', 'masak', 'ilang', 'pulak', 'menitan', 'kecewa', 'ama', 'telkomsel', 'eror', 'paksa', 'pinda', 'operator', 'nyaman', 'stabil', 'jaringan', 'bye', 'bye', 'telkomsel', 'gue', 'pakek', 'kartu', 'perbaiki', '']</t>
  </si>
  <si>
    <t>['login', 'telkomsel', 'notifnya', 'gini', 'something', 'went', 'wrong', 'please', 'try', 'again', 'after', 'sometime', 'diperbaiki', 'karna', 'cek', 'kuota', 'susah']</t>
  </si>
  <si>
    <t>['kecewa', 'apk', 'ribet', 'verifkasi', 'nomor', 'udh', 'gitu', 'buka', 'something', 'wrong', 'pdhl', 'buka', 'apk', 'lancar', 'knp', 'seetelah', 'update', 'tolong', 'donk', 'telkomsel', 'ilfeel', 'benerin', 'apk', 'pdhl', 'signal', 'bagus', 'knp', 'udh', 'hr', 'buka', 'udh', 'restart', 'smoe', 'uninstall', 'berkali', 'why', 'whats', 'wrong', '']</t>
  </si>
  <si>
    <t>['aktifin', 'nomer', 'tpi', 'muncul', 'tulisan', 'something', 'went', 'wrong', 'try', 'again', 'wifi', 'rumah', 'coba', 'restart', 'uninstall', 'aplikasi', 'bener', 'lgi', 'coba', 'login', 'nomer', 'yaa', 'coba', 'kuota', 'telkomsel', 'kesalahan', 'jaringan', 'semoga', 'jdi', 'benerin', 'kakk', 'terimakasih', '']</t>
  </si>
  <si>
    <t>['telkomsel', 'parah', 'bener', 'jaringan', 'skrg', 'login', 'telkomsel', 'ajj', 'tolong', 'perbaiki', 'jaga', 'kestabilan', 'sinyal', 'pindah', 'provider', 'kasih', 'bintang', 'perbaikan', 'terima', 'kasih', '']</t>
  </si>
  <si>
    <t>['aplikasi', 'thn', 'pke', 'telkomsel', 'kendala', 'apapun', 'sekrang', 'sekrng', 'mlh', 'stabil', 'tlkomsel', 'payah', 'mending', 'lari', 'operator', 'sebelah', 'bye', 'bye', 'tlkmsel', 'jelek']</t>
  </si>
  <si>
    <t>['semingguan', 'sulit', 'diakses', 'aplikasinya', 'daerah', 'depok', 'sinyalnya', 'stabil', 'kadang', 'lambat', 'koneksi', 'data', 'internetnya', '']</t>
  </si>
  <si>
    <t>['sinyalnya', 'buruk', 'keluarga', 'pakai', 'telkomsel', 'sinyalnya', 'down', 'pakek', 'kadang', 'nge', 'jam', 'mulu', 'watsapp', 'aplikasi', 'kadang', 'muser', 'muser', 'aplikasi', 'browser', '']</t>
  </si>
  <si>
    <t>['parah', 'aplikasi', 'pelanggaran', 'akun', 'blokir', 'aplikasi', 'poin', 'udah', 'bnyak', 'banget', 'parah', 'aplikasi', 'coba', 'akun', 'login', 'linkaja', 'ehh', 'blokir', 'akun', 'gimana', 'admint', 'akun', 'blokir']</t>
  </si>
  <si>
    <t>['dibuka', 'jaringan', 'stabil', 'jaringan', 'youtube', 'aplikasi', 'lancar', 'update', 'dibuka']</t>
  </si>
  <si>
    <t>['aplikasi', 'telkomsel', 'tdl', 'terpakai', 'hapus', 'data', 'cache', 'update', 'ttp', 'jaringan', 'internet', 'stabil', 'tolong', 'diperbaiki', 'beralih', 'operator']</t>
  </si>
  <si>
    <t>['gimana', 'kabar', 'telkomsel', 'memantau', 'perkembangan', 'kualitas', 'sinyal', 'telkomsel', 'blum', 'kemajuan', 'pindah', 'oprator', 'tetangga', 'sebelah', 'bagus', 'bandingkan', 'perkembangan', 'telkomsel', 'lelet']</t>
  </si>
  <si>
    <t>['beli', 'paket', 'kuota', 'kunjung', 'masuk', 'kuotanya', 'udah', 'chat', 'sampe', 'pulsanya', 'assu', 'nipu', 'telkomsel', 'tanggung', 'kembalikan', 'woii', 'assu', 'pulsa', 'kuotanya', '']</t>
  </si>
  <si>
    <t>['aplikasi', 'dibuka', 'something', 'went', 'eror', 'jaringan', 'tlkomsel', 'jueleekk', 'poll', 'dae', 'jakarta', 'barat', 'uda', 'sekampung', 'ngeluh', 'berkali', 'digubris', 'internet', 'rmh', 'bln', 'beralih', 'smartfrn', 'tri', 'pdhl', 'pelanggan', 'halo', 'platinum', 'simpati', 'uda', 'thn', 'trakhir', 'byu', 'tinggal', 'nunggu', 'hangus', 'very', 'bad', '']</t>
  </si>
  <si>
    <t>['setan', 'masuk', 'operator', 'telkomsel', 'jaringan', 'internet', 'jelek', 'kayak', 'tauuuuuuuuu', 'kouta', 'internet', 'sedot', 'kayak', 'angin', 'laluuuu', 'masak', 'iya', 'kouta', 'internet', 'habis', 'gb', 'buka', 'aplikasi', 'belanja', 'online', 'doang', 'buka', 'sebentar', 'aje', 'gile', 'operator', 'telkomsel', '']</t>
  </si>
  <si>
    <t>['pulsa', 'berkurang', 'udah', 'ribu', 'hubungin', 'cust', 'service', 'karna', 'beli', 'voucher', 'games', 'main', 'games', 'liat', 'history', 'pembelian', 'games', 'beli', 'rupiah', 'harganya', 'ribu', 'kuota', 'udah', 'tinggal', 'gb', 'sinyalnya', 'lemot', 'banget']</t>
  </si>
  <si>
    <t>['pemerintah', 'kalah', 'provider', 'komplain', 'masuk', 'telinga', 'kanan', 'telinga', 'kiri', 'smpe', 'kritik', 'nyedot', 'pulsa', 'pandemi', 'improve', 'nurunin', 'perform', 'sedihnya']</t>
  </si>
  <si>
    <t>['', 'gabisa', 'masuk', 'kali', 'masuk', 'tulisan', 'something', 'wint', 'wrong', 'please', 'try', 'again', 'later', 'koutany', 'skrg', 'rusak', '']</t>
  </si>
  <si>
    <t>['telkomsel', 'ngecek', 'paket', 'data', 'pulsa', 'janhankan', 'ngecek', 'masuk', 'aplikasinya', 'coba', 'masuk', 'akun', 'facebook', 'aplikasinya', 'ganti', 'sim', 'gimna', 'ngerti', '']</t>
  </si>
  <si>
    <t>['membuka', 'aplikasi', 'jaringan', 'stabil', 'stabil', 'membuka', 'aplikasinya', 'tida', 'membeli', 'paket', 'tulisan', 'coba']</t>
  </si>
  <si>
    <t>['aplikasi', 'susah', 'login', 'pas', 'udah', 'login', 'suruh', 'refresh', 'tetep', 'muncul', 'ngerti', 'aplikasinya', 'sinyal', 'emang', 'kesini', 'sinyal', 'jelek', 'susah', 'cek', 'paket', 'beli', 'paket', 'udah', 'enak', 'aplikasi', 'gini', 'bener', 'kebantu']</t>
  </si>
  <si>
    <t>['nomor', 'pembelian', 'paket', 'telkomsel', 'pengguna', 'setia', 'telkomsel', 'semenjak', 'pembelian', 'paket', 'telkomsel', 'kecewa', '']</t>
  </si>
  <si>
    <t>['update', 'aplikasi', 'sekarag', 'gangguan', 'susah', 'masuk', 'cekinlah', 'diskon', 'kuota', 'menghilang', 'tolong', 'aplikasi', 'telkomsel', 'perbaiki', '']</t>
  </si>
  <si>
    <t>['upgrade', 'bonus', 'kuota', 'sampe', 'blom', 'upgrade', 'paket', 'internet', 'ribu', 'gb', 'upgrade', 'paketnya', 'jdi', 'mahal', 'maksudnya', 'tipu', 'tipu', 'pelanggan', '']</t>
  </si>
  <si>
    <t>['bonus', 'pegawai', 'gaji', 'pegawai', 'gedein', 'pelayanan', 'kwalitas', 'pelanggan', 'telkomsel', 'kartu', 'hallo', 'kartu', 'prabayar', 'sampe', 'pascabayar', 'uda', 'thn', 'kwalitasnya', 'pakai', 'kartu', 'pakai', 'relasi', 'nomor']</t>
  </si>
  <si>
    <t>['aplikasi', 'burik', 'login', 'kalaun', 'lpgin', 'muncul', 'something', 'went', 'wrong', 'please', 'try', 'again', 'after', 'sometime', 'maksudnya', 'gua', 'kecewa', 'telkomsel']</t>
  </si>
  <si>
    <t>['cepat', 'tangani', 'min', 'pengguna', 'telkomsel', 'keluhan', 'buka', 'apk', 'telkomsel', 'tampil', 'normal', 'loading', 'udh', 'refresh', 'error', 'masuk', 'pulsa', 'kuota', 'paket', 'tersisa', 'knapa', 'error', 'sekelas', 'telkomsel', 'looh', 'gini']</t>
  </si>
  <si>
    <t>['', 'download', 'gabisa', 'log', 'temen', 'app', 'maslalah', 'apk', 'suruh', 'nunggu', 'besok', 'pas', 'besok', 'coba', 'log', 'gabisa', 'knp', '']</t>
  </si>
  <si>
    <t>['perusahaan', 'tpi', 'aplikasi', 'kayak', 'aplikasi', 'ece', 'ece', 'sampah', 'login', 'susah', 'banget', 'masuk', 'mending', 'provider', 'kayak', 'gini', 'poor', 'for', 'telkomsel', '']</t>
  </si>
  <si>
    <t>['sinyal', 'susah', 'wilayah', 'mintaragen', 'kota', 'tegal', 'jawa', 'logo', 'menjamin', 'kualitas', 'sinyalnya', 'bagus', 'ditambah', 'kerap', 'bermasalah', 'aplikasi', 'telkomsel', 'susah', 'login', 'memunculkan', 'tampilan', 'menu', 'utuh', 'mohon', 'atensinya', 'terima', 'kasih', '']</t>
  </si>
  <si>
    <t>['telkomsel', 'perbaikan', 'sistem', 'kemarin', 'masuk', 'aplikasi', 'pas', 'update', 'aplikasinya', 'eehh', 'login', 'ulang', 'tolong', 'diperbaiki', 'mudah', 'lancar', 'hambatan']</t>
  </si>
  <si>
    <t>['aplikasi', 'masuk', 'kesalahan', 'coba', 'seharian', 'coba', 'bsoknya', 'coba', 'ttap', 'kyak', 'gitu', 'coba', 'update', 'app', 'msih', 'hapus', 'trus', 'download', 'ttap', 'smpe', 'skarang', 'coba', 'cek', 'kuota', 'manual', 'sms', 'pemberitahuannya', 'tolonglah', 'telkomsel', 'gimana', '']</t>
  </si>
  <si>
    <t>['login', 'pulsa', 'aktif', 'kartu', 'nomor', 'masukkan', 'udah', 'bener', 'pas', 'klik', 'login', 'masuk', 'udah', 'pakai', 'telkom']</t>
  </si>
  <si>
    <t>['login', 'susah', 'udah', 'input', 'nomor', 'login', 'dibilang', 'something', 'went', 'wrong', 'nomor', 'bener', 'dpt', 'link', 'verifikasi', 'udah', 'klik', 'tetep', 'dibilang', 'something', 'went', 'wrong', 'udah', 'coba', 'login', 'digituin', 'emosi', 'unistall', 'ajalah', 'aplikasi', 'gajelas', 'login', 'susah', '']</t>
  </si>
  <si>
    <t>['jaringan', 'stabil', 'konektivitas', 'sekencang', 'aplikasi', 'mytelkomsel', 'akses', 'reload', 'akses', 'mohon', 'perbaiki', 'terima', 'kasih', '']</t>
  </si>
  <si>
    <t>['telkomsel', 'ngontool', 'gabisa', 'masuk', 'telkomsel', 'tulisan', 'something', 'wrong', 'plis', 'try', 'again', 'later', 'crhome', 'tulisan', 'koneksi', 'internet', 'error', 'ajg']</t>
  </si>
  <si>
    <t>['app', 'dri', 'kemarin', 'dibuka', 'bilangnya', 'something', 'went', 'wrong', 'pls', 'try', 'again', 'gitu', 'servernya', 'rusak', 'gmn', 'beli', 'pulsa', 'kuota', 'emang', 'niat', 'app', 'usa', 'maksain', 'menyusahkan', 'pengguna', 'namanya']</t>
  </si>
  <si>
    <t>['bermasalah', 'membuka', 'apk', 'jaringan', 'lancar', 'membuka', 'sites', 'sites', 'apk', 'apk', 'telkomsel', 'cman', 'jdi', 'pajangan', 'doang', 'bermasalah', 'dibuka']</t>
  </si>
  <si>
    <t>['gua', 'ngerti', 'kuota', 'giga', 'bertahan', 'gua', 'pakai', 'kuota', 'pas', 'kantor', 'doang', 'penggunaan', 'main', 'doang', 'trs', 'palingan', 'dengerin', 'radio', 'online', 'pas', 'jogging', 'doang', 'itupun', 'kali', 'sisanya', 'gua', 'wifi', 'sue', 'kemarin', 'pas', 'jogging', 'denger', 'radio', 'online', 'abis', 'kuota', 'giga', 'heran', 'gua', 'heran', 'parah', 'banget', 'sinyal', 'kaya', 'provider', 'lahir', 'plendak', 'plenduk', 'koyo', 'telek', '']</t>
  </si>
  <si>
    <t>['sebenernya', 'apk', 'bagus', 'gabisa', 'buka', 'apk', 'udah', 'refresh', 'ttp', 'gabisa', 'trs', 'internet', 'telkomsel', 'lemot', 'polll', 'mohon', 'bantuannya', 'terima', 'kasih']</t>
  </si>
  <si>
    <t>['min', 'login', 'telkomsel', 'kendala', 'jaringan', 'download', 'game', 'lancar', 'login']</t>
  </si>
  <si>
    <t>['mytelkomsel', 'kemaren', 'muncul', 'pemberitahuan', 'coba', 'perbarui', 'memakai', 'kartu', 'daftarkan', 'dinomor', 'satunya', 'kesalahan', 'masuk', 'pemberitahuan', 'tolong', 'yaa', 'menyukai', 'aplikasinya', 'kendala', 'nyaman', 'menggunakannya', '']</t>
  </si>
  <si>
    <t>['jengkel', 'loginnya', 'akun', 'masukkan', 'nomor', 'ponsel', 'frefikasinya', 'tolong', 'perbaiki', 'app', 'mohon', 'cek', 'pulsa', 'kembalikan']</t>
  </si>
  <si>
    <t>['aplikasi', 'eror', 'reset', 'install', 'ulang', 'aplikasi', 'eror', 'daat', 'dibuka', 'sinyal', 'bagus', 'aplikasi', 'dibuka', 'eror', 'cek', 'pulsa', 'kuota', 'haaah', 'aplikasi', 'aplikasinya', 'error', '']</t>
  </si>
  <si>
    <t>['tolong', 'telkomsel', 'sampek', 'klw', 'udah', 'apk', 'susah', 'masuk', 'login', 'link', 'login', 'tpi', '']</t>
  </si>
  <si>
    <t>['susah', 'untul', 'login', 'aplikasi', 'kuota', 'gagal', 'login', 'kesini', 'kecewa', 'aplikasi', 'susahnya', 'ampun', 'tolong', 'developer', 'update', 'diperbaiki', 'error', 'terima', 'kasih', '']</t>
  </si>
  <si>
    <t>['dipakai', 'muncul', 'something', 'wents', 'wrong', 'bla', 'bla', 'bla', 'koneksi', 'internet', 'lancar', 'tolong', 'diperbaiki', 'trims', '']</t>
  </si>
  <si>
    <t>['update', 'enak', 'kendala', 'kemaren', 'susah', 'bed', 'dibuka', 'nyobain', 'istri', 'dibuka', 'beli', 'pulsa', 'paket', 'data', 'telkomsel', 'tolong', 'perbaiki', '']</t>
  </si>
  <si>
    <t>['halo', 'telkomsel', 'sinyal', 'jelek', 'semenjak', 'corona', 'karna', 'pegawai', 'wfh', 'sinyal', 'kayak', 'gini', 'orang', 'pengguna', 'telkomsel', 'pindah', 'operator', 'nyaman', 'operator', 'pelosok', 'jawa', 'barat', 'ampun', 'sinyalnya', 'parah', 'kualitas', 'internet', 'buruk', 'tolong', 'cepat', 'perbaiki', 'kualitas', 'sinyal', 'telpon', 'internet', 'pengguna', 'kecewa']</t>
  </si>
  <si>
    <t>['aplikasi', 'error', 'tolong', 'perbaiki', 'beli', 'kuota', 'bulanan', 'mytelkomsel', 'sperti', 'udh', 'bagus', 'ntr', 'bintang', 'edit', 'terimakasih', '']</t>
  </si>
  <si>
    <t>['untung', 'belom', 'downlod', 'sekian', 'keluhan', 'komentar', 'bintang', 'telkomsel', 'jaringannya', 'lelet', 'desa', 'nyaman', 'buruk', '']</t>
  </si>
  <si>
    <t>['kecewa', 'download', 'aplikasi', 'dibuka', 'dibuka', 'muter', 'doang', 'jaringan', 'area', 'bagus', 'buka', 'aplikasi', 'udah', 'paket', 'mahal', 'memperbaiki', 'jaringan', 'nyari', 'untung', 'doang', 'plisss', 'mohon', 'diperbaiki', '']</t>
  </si>
  <si>
    <t>['susah', 'log', 'kuota', 'tinggal', 'log', 'jawabannya', 'kesalahan', 'nomer', 'dimasukkan', '']</t>
  </si>
  <si>
    <t>['woy', 'telkomsel', 'app', 'telkomsel', 'kemaren', 'buka', 'tulisanya', 'kesalahan', 'sambungan', 'mulu', 'kuota', 'buka', 'app', 'lancar', 'buka', 'app', 'telkomsel', 'doang', 'bermasalah', '']</t>
  </si>
  <si>
    <t>['banget', 'trouble', 'aplikasi', 'telkomsel', 'beli', 'kuota', 'cek', 'kuota', 'mudah', 'cek', 'kuota', 'beli', 'kuota', 'cepet', 'kuesioner', 'apk', 'telkomsel', 'memperbaiki', 'pelayanan', 'kualitas', 'semoga', 'kedepannya', 'ditingkatkan', 'kualitas', 'pelayanan', 'aplikasi', 'mytelkomsel', 'semangat', '']</t>
  </si>
  <si>
    <t>['aplikasi', 'mytsel', 'sya', 'dibuka', 'update', 'tolong', 'diperbarui', 'layanan', 'signalnya', 'seminggu', 'stabil', 'jelek', '']</t>
  </si>
  <si>
    <t>['ksh', 'bintang', 'karna', 'beli', 'paket', 'unlimited', 'tpi', 'buffering', 'dipke', 'jaringan', 'trus', 'sinyal', 'bagus', 'sisa', 'pulsanya', 'ambil', 'beli', 'sehari', 'lancar', 'tpi', 'dipke', 'tolong', 'diperbaiki', 'yaa', 'telkomsel', 'jdi', 'parah', 'gini', '']</t>
  </si>
  <si>
    <t>['koneksi', 'harga', 'paketan', 'sesuai', 'koneksi', 'boros', 'drop', 'ping', 'tal', 'stabil', 'harga', 'paketan', 'selangit', 'aplikasinya', 'banget', 'error', 'aplikasi', 'login', 'emang', 'karna', 'ram', 'kuat', 'aplikasi', 'provider', 'satunya', 'normal']</t>
  </si>
  <si>
    <t>['minggu', 'telkomsel', 'lambat', 'sinyal', 'iyah', 'pdahal', 'minggu', 'kemaren', 'kaya', 'giinih', 'cek', 'kuota', 'telkomsel', 'susahnya', 'ampun', 'dahh', 'tolong', 'udh', 'telkom', 'hargai', 'terima', 'kasih']</t>
  </si>
  <si>
    <t>['kecewa', 'banget', 'telkomsel', 'udah', 'log', 'nomor', 'apk', 'pdahal', 'apk', 'ter', 'update', 'tolong', 'perbaiki', '']</t>
  </si>
  <si>
    <t>['beli', 'paket', 'pembayaran', 'suruh', 'coba', 'something', 'went', 'wrong', 'please', 'try', 'again', 'after', 'sometime', 'malem', 'tolong', 'bantu', 'uninstal', 'trus', 'instal', 'ulang', 'masuk', 'login', 'google', 'link', 'bsa', 'masuk', 'tolong', 'penjelasannya', 'bantuannya', 'telkomsel', 'udah', 'lancar', 'kasih', 'bintang', '']</t>
  </si>
  <si>
    <t>['yaaa', 'tampilannya', 'putih', 'tulisan', 'sorry', 'something', 'wrong', 'log', 'ulang', 'gitu', 'koneksi', 'lelet', 'duuh', 'kurangi', 'bintang']</t>
  </si>
  <si>
    <t>['aplikasinya', 'nggak', 'diperbaiki', 'kali', 'download', 'ulang', 'masuk', 'jt', 'didownload', 'iyalah', 'aplikasinya', 'error', 'diinstall', 'ulang', 'masuk', 'diperbaiki', 'udah', 'paket', 'mahal', 'error', 'malu', 'maluin', 'karyawan', 'telkomsel', 'kasih', 'rating', '']</t>
  </si>
  <si>
    <t>['versi', 'terbaru', 'force', 'close', 'dibuka', 'versi', 'normal', 'pakai', 'iphone', 'tolong', 'diperbaiki', 'min', 'dipakai', '']</t>
  </si>
  <si>
    <t>['mahal', 'paket', 'mytelkomsel', 'pilihan', 'paket', 'rb', 'paket', 'murah', 'dibawah', 'rb', 'mahasiswa', 'berpenghasilan', 'alias', 'pengangguran', 'sanggup', 'bulannya', 'paket', 'mhal', 'bnget', 'tolong', 'telkomsel', 'dimurahkan', 'paketnya', '']</t>
  </si>
  <si>
    <t>['isi', 'voucher', 'telkomsel', 'kendala', 'tulisanya', 'maaf', 'voucher', 'regional', 'daerah', 'negeri', 'kasih', 'secepatnya', 'min', '']</t>
  </si>
  <si>
    <t>['beli', 'pulsa', 'pas', 'aplikasi', 'rusak', 'susah', 'beli', 'xblabla', 'berubah', 'ubah', 'paket', 'payaah', 'aaah', 'ortu', 'binun', 'butuh', 'telp', 'internet', 'coba', 'rusak']</t>
  </si>
  <si>
    <t>['udah', 'minggu', 'login', 'pemberitahuan', 'kuota', 'internet', 'habis', 'nyata', 'beli', 'paket', 'unlimited', 'gb', 'harga', 'rb', 'waaahh', 'kecewa', 'mengajar', 'daring', 'kuota', 'rugi', 'kak']</t>
  </si>
  <si>
    <t>['kebanyakan', 'maaf', 'kakak', 'kenyaman', 'taik', 'perubahann', 'daftarin', 'masuk', 'nomor', 'telkom', 'konslet']</t>
  </si>
  <si>
    <t>['tanggal', 'januari', 'mytelkomsel', 'akses', 'pengguna', 'layanan', 'paket', 'ketengan', 'youtube', 'unlimited', 'akses', 'mytelkomsel', 'mohon', 'solusinya']</t>
  </si>
  <si>
    <t>['', 'nggak', 'telkomsel', 'sinyal', 'parah', 'kalah', 'ketahui', 'telkomsel', 'setia', 'buruk', 'perbaiki', 'bintang', '']</t>
  </si>
  <si>
    <t>['kemaren', 'sore', 'sampe', 'buka', 'telkomsel', 'yaa', 'alasan', 'internet', 'stabil', 'mulu', 'jaringan', 'wifi', 'paket', 'data', 'kebuka', 'aplikasi', 'telkomsel', '']</t>
  </si>
  <si>
    <t>['slmt', 'pagii', 'miminn', 'apk', 'telkomsel', 'erorrr', 'loggin', 'erorr', 'perbaikan', 'tolong', '']</t>
  </si>
  <si>
    <t>['aplikasi', 'parah', 'lemotnya', 'jaringan', 'apapun', 'membukanya', 'butuh', 'belasan', 'menit', 'provider', 'plg', 'mahal', 'busuk', 'stlh', 'bertahun', 'merubah', 'pasca', 'bayar', 'unlimitid', 'kecewa', 'paketan', 'unlimited', 'aplikasi', 'stlh', 'aplikasi', 'ambil', 'kuota', 'utama', 'beda', 'sgn', 'pasca', 'bayar', 'penggunanya', 'sabtu', 'say', 'goodbay', 'gpp', 'hangus', 'mengecewakan', '']</t>
  </si>
  <si>
    <t>['kek', 'apk', 'kebuka', 'udah', 'log', 'log', 'out', 'login', 'seminggu', 'isi', 'paket', 'kuota', 'tinggal', 'brp', 'something', 'wrong', 'sinyal', 'lemah', 'ilang', '']</t>
  </si>
  <si>
    <t>['aplikasi', 'eror', 'perbaiki', 'eror', 'jaringan', 'bagus', 'nonton', 'main', 'game', 'dll', 'masuk', 'aplikasi', 'tertulis', 'jaringan', 'stabil', 'lainya', 'stabil', 'bintang', 'eror', '']</t>
  </si>
  <si>
    <t>['udah', 'aplikasi', 'telkomsel', 'dibuka', 'unstable', 'connection', 'buka', 'aplikasi', 'udah', 'diupdate', 'gitu', 'apl', 'telkomsel', 'emang', 'error', '']</t>
  </si>
  <si>
    <t>['dear', 'telkomsel', 'terhormat', 'pelosok', 'desa', 'membantu', 'masyarakt', 'kelas', 'ekonomi', 'mahal', 'paketan', 'signal', 'buruk', 'lgi', 'derita', 'banget', 'tinggal', 'kampung', 'udah', 'keuangan', 'provder', 'adnya', 'cman', 'telkom', 'sad', 'ditambah', 'bsa', 'kebuka', 'apknya', 'gmna', 'pas', 'buka', 'apk', 'mslah', 'huh']</t>
  </si>
  <si>
    <t>['telkomsel', 'diakses', 'sihh', 'check', 'jaringan', 'internet', 'bagus', 'pakai', 'wifi', 'tetep', 'diakses', 'maunya', 'sihh', 'pulsa', 'dipotong', 'datanya', 'internet', 'pakai', 'operator', 'wifi', 'perusahaan', '']</t>
  </si>
  <si>
    <t>['masuk', 'apk', 'jaringan', 'telkomsel', 'papua', 'jelek', 'bangat', 'jaringan', 'lacar', 'skali', 'saran', 'telkomsel', 'perbaharui', 'jaringan', 'papua', 'mohon', 'maaf', 'salah']</t>
  </si>
  <si>
    <t>['applikasi', 'coxx', 'isi', 'pulsa', 'rb', 'app', 'jamin', 'pulsa', 'masuk', 'annyingg', 'respon', 'ribet', 'suruh', 'assyuuu', 'masak', 'prrusahhaan', 'gede', 'sistem', 'gue', 'beli', 'pulsa', 'donasi', 'pulsa', 'coxx', 'masak', 'telusuri', '']</t>
  </si>
  <si>
    <t>['kemarin', 'selasa', 'rabu', 'aplikasi', 'error', 'ustable', 'connection', 'mohon', 'diperbaiki', 'terima', 'kasih', '']</t>
  </si>
  <si>
    <t>['abis', 'update', 'error', 'layar', 'putih', 'doang', 'unstabble', 'connection', 'click', 'refresh', 'gua', 'refres', 'apapun', 'tetep', 'putih', 'doang', 'benernya', 'telkomsel', '']</t>
  </si>
  <si>
    <t>['aplikasi', 'ukurannya', 'gb', 'buka', 'luuuuemot', 'parah', 'gila', 'refresh', 'refresh', 'ratusan', 'masuk', 'menu', 'engga', 'gitu', 'tetep', 'stag', 'jalan', 'berasa', 'make', 'hape', 'jadul', 'memori', 'fullll', 'haduhhh', 'sekelas', 'telkomsel', 'aplikasi', 'busuk', 'gini', 'kalah', 'provider', 'sebelah', 'mengecewakan', 'sepele', 'kaya', 'gini', 'perhatikan']</t>
  </si>
  <si>
    <t>['woy', 'developer', 'telkomsel', 'kasih', 'jaringan', 'telkom', 'sya', 'sprti', 'nyh', 'msh', 'laku', 'tolong', 'benerin', 'jaringan', 'nyh', 'sya', 'kartu', 'telkom', 'kesini', 'nyaman', 'jaringan', 'nyh', 'paham', '']</t>
  </si>
  <si>
    <t>['seminggu', 'telkomsel', 'beli', 'paket', 'error', 'aplikasi', 'udah', 'update', 'aplikasi', 'tetep', 'error', '']</t>
  </si>
  <si>
    <t>['udah', 'telkomsel', 'something', 'wrong', 'coba', 'udah', 'berkali', 'masuk', 'gitu', 'pemberitahuan', 'mengecewakan', '']</t>
  </si>
  <si>
    <t>['udh', 'pakai', 'kartu', 'udh', 'lam', 'jaringan', 'lelet', 'gimana', 'engk', 'penangulangan', 'app', 'bermasalah', 'telkomsel', 'bangkrut', 'sampe', 'pelangan', 'komplain', 'jaringan', 'internet']</t>
  </si>
  <si>
    <t>['aplikasi', 'nggak', 'akses', 'nggak', 'pakai', 'coba', 'instal', 'ulang', 'menunggu', 'jam', 'perbaikan', '']</t>
  </si>
  <si>
    <t>['mengajukan', 'keluhan', 'turunkan', 'tolong', 'kemarin', 'masuk', 'telkomsel', 'gara', 'gara', 'check', 'tanggal', 'udah', 'ambil', 'mb', 'suruh', 'update', 'udah', 'lakukan', 'udah', 'uninstall', 'install', 'ulang', 'tolong', 'respon', 'bener', 'kasih', '']</t>
  </si>
  <si>
    <t>['open', 'aplikasi', 'try', 'again', 'mulu', 'something', 'went', 'wrong', 'paket', 'malem', 'jaringannya', 'burik', 'beli', 'uang', 'gratis', 'pindah', '']</t>
  </si>
  <si>
    <t>['aplikasi', 'aneh', 'pakai', 'sinyal', 'internet', 'telkomsel', 'kebuka', 'aplikasi', 'operator', 'lancar', '']</t>
  </si>
  <si>
    <t>['telkomsel', 'buka', 'koneksi', 'koneksi', 'bagus', 'banget', 'something', 'went', 'wrong', 'please', 'try', 'again', 'after', 'sometime', 'maksudnya', 'tolong']</t>
  </si>
  <si>
    <t>['login', 'susah', 'clear', 'data', 'udah', 'clear', 'cache', 'udah', 'hapus', 'apk', 'trus', 'download', 'udah']</t>
  </si>
  <si>
    <t>['ayolah', 'pelit', 'pemakaian', 'pulsa', 'gua', 'tembus', 'jta', 'pelit', 'udah', 'update', 'buka', 'koneksi', '']</t>
  </si>
  <si>
    <t>['aplikasinya', 'udah', 'kuota', 'ngambilnya', 'kuota', 'utama', 'pdhal', 'unlimited', 'multimedia', 'aplikasinya', 'susah', 'banget', 'dibuka', 'pdhal', 'sinyal', 'stabil', 'pkek', 'wifi', 'ttepaja', '']</t>
  </si>
  <si>
    <t>['malam', 'telkomsel', 'ngga', 'buka', 'jujur', 'kecewa', 'banget', 'telkomsel', 'wilayah', 'bogor', 'timur', 'jaringan', 'telkomsel', 'ngga', 'mendukung', 'banget', 'streaming', 'nge', 'game', 'tolong', 'secepat', 'perbaiki', 'segi', 'sinyal', 'harga', 'kuota', 'wilayah', 'bogor', 'timur', 'tanks']</t>
  </si>
  <si>
    <t>['aplikasi', 'buka', 'awalny', 'suruh', 'refresh', 'smpe', 'bolak', 'lht', 'sisa', 'kuota', 'smpe', 'mati', 'hidup', 'bolak', 'mode', 'pesawat', 'tetep', 'lht', 'sisa', 'kuota', 'smpe', 'hapus', 'download', 'aplikasi', 'masuk', 'atw', 'login', 'keterangan', 'its', 'wrong', 'smpe', 'berulang', 'ulang', 'kulakukan', 'telkomsel', 'kecewa', 'mahal', 'ssh', 'mending', 'murah', 'aman', '']</t>
  </si>
  <si>
    <t>['kak', 'telkomsel', 'gangguan', 'masukkan', 'tlpn', 'keterangan', 'something', 'went', 'wrong', 'please', 'try', 'agan', 'after', 'sometimes', 'keterangan', 'udah', 'kemarin', '']</t>
  </si>
  <si>
    <t>['aplikasi', 'bagus', 'ojol', 'suka', 'error', 'suka', 'logout', 'log', 'susah', 'masuk', 'angrl', 'angel', 'angel', '']</t>
  </si>
  <si>
    <t>['app', 'eror', 'beli', 'paket', 'sinyal', 'sebagus', 'udah', 'harga', 'mahal', 'tpi', 'koneksi', 'kaya', 'gini', 'parah', 'lagii', 'pemberitahuan', 'sayaa', 'kesel', 'pelayanan', '']</t>
  </si>
  <si>
    <t>['tolong', 'kecewa', 'ngsi', 'pulsa', 'trus', 'beli', 'paket', 'kode', 'dial', 'tetep', 'kesedot', 'pulsanya', 'tolong', 'udh', 'kesekian', 'kalinya', 'udh', 'cape', 'boros', 'duit', 'tolonglah', 'perbaiki', 'ganti', 'rugi', 'kek', 'rb', 'pulsa', 'habis', 'nyalain', 'data', 'digunain', 'kesel', '']</t>
  </si>
  <si>
    <t>['kecewa', 'aplikasi', 'network', 'eror', 'pdhal', 'nonton', 'youtube', 'lancar', 'lancar', 'download', 'kecepatan', '']</t>
  </si>
  <si>
    <t>['aplikasi', 'update', 'buka', 'eror', 'gitu', 'sinyal', 'kadang', 'susah', 'beli', 'paket', 'mahal', 'mahal', 'kualitasnya', 'sampah', 'prioritas', 'pelanggan', 'telkomsel', 'asli', 'menyesal', '']</t>
  </si>
  <si>
    <t>['', 'bener', 'sinyal', 'lemot', 'pengguna', 'telkomsel', 'nyaman', 'gitu', 'nyaman', 'beda', '']</t>
  </si>
  <si>
    <t>['', 'login', 'koneksi', 'internet', 'paket', 'beli', 'paket', 'pesan', 'coba', 'pulsa', 'udh', 'sedot', 'data', 'masuk', 'login', 'maaf', 'sendang', 'kesalahan', 'sistem', '']</t>
  </si>
  <si>
    <t>['mengecewakan', 'kuota', 'nyedot', 'pulsa', 'notifikasi', 'kuota', 'habis', 'pengguna', 'kenakan', 'tarif', 'normal', 'cek', 'kuota', 'gb', 'pulsa', 'ludes', 'tersisa', 'merugikan', '']</t>
  </si>
  <si>
    <t>['gimana', 'login', 'udah', 'akun', 'nomernya', 'sesuai', 'nomer', 'telpon', 'masuk', 'segerah', 'perbaiki', 'kecewakan', 'downloader']</t>
  </si>
  <si>
    <t>['aplikasi', 'lemot', 'sungguh', 'mengecewakan', 'beli', 'paket', 'susah', 'keburu', 'kepotong', 'duluan', 'pulsanya', 'kebeli', 'jam', 'login', 'masuk', 'jam', 'pagi', 'beda', 'ama', 'tetangga', 'sebelah', 'makasihhhh', '']</t>
  </si>
  <si>
    <t>['kenapaaa', 'dibukak', 'cek', 'paket', 'murah', 'beli', 'pulsa', 'telkom', 'gabisa', 'dibukak', 'gagal', 'teruss', 'hangus', 'paketanyaa', 'loading', 'muat', 'ulang', 'muat', 'ulang', 'gabisa', 'suruh', 'nunggu', 'seharian', 'kagak', 'dibuka', 'paketany', 'udah', 'hangus', 'internet', 'internet', 'masuk', 'apk', 'smpai', 'nyewa', 'wifi', 'tetep', 'gabisa', 'tertulis', 'internet', 'apalah', 'tunggu', 'seharian', 'kagak', 'sianying']</t>
  </si>
  <si>
    <t>['apk', 'telkomsel', 'terbuka', 'sihh', 'udah', 'beratus', 'kali', 'dicoba', 'terbukaa', 'sinyal', 'kadang', 'bagus', 'dri', 'pengguna', 'setia', 'telkomsel', 'kesini', 'mengecewakan', 'tolong', 'diperbaiki', 'lahh', '']</t>
  </si>
  <si>
    <t>['kasar', 'kali', 'bermain', 'game', 'sinyal', 'tulisan', 'doang', 'sinyalnya', 'berasa', 'kartu', 'lumayan', 'mahal', 'bandingkan', 'tolong', 'kualitas', 'harganya', 'samakan', 'kecewa']</t>
  </si>
  <si>
    <t>['aplikasi', 'error', 'masuk', 'manual', 'via', 'sinyal', 'internet', 'tempatku', 'ilang', 'coba', 'setting', 'koneksi', 'telpon', 'veronica', 'berubah', 'semoga', 'depannya', 'pelanggan', 'pergi', '']</t>
  </si>
  <si>
    <t>['telkomsel', 'kayak', 'gini', 'masuk', 'telkomsel', 'tolong', 'bantuannya', 'udh', 'bertahun', 'telkomsel', 'kayak', 'gini', 'kejadiannya', 'kecewa', 'banget', 'masuk', 'telkomsel', 'kesalahan', 'mulu', 'emang', 'salah', 'paket', 'doang', 'mahal', 'udah', 'chat', 'telkomsel', 'balesnya', 'nyambung', 'gimana', 'penjelasannya', 'plosok', 'negri', 'cuman', 'telkomsel', 'tolong', 'perbaiki', 'jaringannya', 'beli', 'paket', 'mahal', 'gini', 'rugi', 'banget', '']</t>
  </si>
  <si>
    <t>['telkomsel', 'center', 'mohon', 'dibaca', 'kemarin', 'telkomsel', 'error', 'mlu', 'sampe', 'pdhl', 'aplikasi', 'lancar', 'udh', 'sya', 'restart', 'aplikasi', 'udh', 'instal', 'ulang', 'hapus', 'data', 'tetep', 'error', 'kecewa', 'banget', 'pelanggan', 'setia', 'telkomsel']</t>
  </si>
  <si>
    <t>['mengecewakan', 'skrg', 'telkomsel', 'sinyal', 'parah', 'telkomsel', 'gada', 'duanya', 'taunya', 'parah', 'dibayangkan', 'udah', 'mahal', 'sinyal', 'jelek', 'parah', 'ngerti', 'pdhl', 'suka', 'pakai', 'provider', 'tsel', 'dibanding', 'rela', 'pakai', 'pascabayar', 'skrg', 'mengecewakan', 'skli', 'buka', 'aplikasi', 'tsel', 'blm', 'paket', 'entertaiment', 'dipakai', 'rugi', 'bayar', 'mahal', '']</t>
  </si>
  <si>
    <t>['perbaharui', 'apk', 'telkomsel', 'login', 'gagal', 'terhubung', 'koneksi', 'aneh', 'koneksi', 'tolong', 'admin', 'perbaiki']</t>
  </si>
  <si>
    <t>['didaerah', 'sinyal', 'telkomsel', 'buruk', 'buruk', 'berharap', 'lancar', 'trim', '']</t>
  </si>
  <si>
    <t>['halo', 'developer', 'dibukak', 'tulisan', 'something', 'went', 'wrong', 'please', 'there', 'again', 'after', 'something', 'gitu', 'tolong', 'bantuannya', 'pliss', 'butuh', 'banget', '']</t>
  </si>
  <si>
    <t>['komplen', 'benerin', 'jaringan', 'tetep', 'member', 'diamond', 'prioritas', 'membaik', 'jaringan', 'lokasi', 'emang', 'bener', 'jaringan', 'jelek', '']</t>
  </si>
  <si>
    <t>['parah', 'aplikasi', 'buka', 'kagak', 'update', 'bagus', 'mudah', 'rumit', 'susah', 'masuk']</t>
  </si>
  <si>
    <t>['paket', 'mahal', 'jaringan', 'udah', 'lelet', 'ampun', 'terpaksa', 'hijrah', 'operator', 'sebelah', 'bru', 'kemaren', 'bandingin', 'lasung', 'kartu', 'download', 'cash', 'walet', 'play', 'store', 'internet', 'tsel', 'menit', 'internet', 'operator', 'sebelah', 'hitungan', 'detik']</t>
  </si>
  <si>
    <t>['telkomsel', 'login', 'aplikasi', 'telkomsel', 'sulit', 'update', 'gitu', 'update', 'gmna', 'tanggung', 'jwb', 'masuk', 'aplikasi', 'telkomsel']</t>
  </si>
  <si>
    <t>['telkomsel', 'buka', 'aplikasinya', 'aplikasi', 'force', 'close', 'smartphone', 'nge', 'freeze', 'tolong', 'perbaiki', 'aplikasinya', 'terima', 'kasih']</t>
  </si>
  <si>
    <t>['aplikasi', 'buka', 'internet', 'buka', 'youtube', 'lancar', 'aplikasi', 'bener', 'jngan', 'buktikan', 'harga', 'menentukan', 'kualitas', 'harga', 'mahal', 'kualitas', 'buruk']</t>
  </si>
  <si>
    <t>['nomer', 'masuk', 'tulisanya', 'kesalahan', 'mulu', 'aplikasi', 'eror', 'logout', 'login', 'tolong', 'telkomsel', 'nomer', 'masuk', '']</t>
  </si>
  <si>
    <t>['warning', 'telkomsel', 'kadrun', 'rekanan', 'kerja', 'grapari', 'telkomsel', 'kejadian', 'daerah', 'daerah', 'jual', 'data', 'konsumen', 'modusnya', 'pasang', 'indihome', 'photo', 'ktp', 'orangnya', 'smbl', 'pegang', 'ktp', 'prosedur', 'pegawai', 'rekanan', 'kerja', 'telkomsel', 'pakai', 'kejahatan', 'pinjaman', 'online', 'aneh', 'telkomsel', 'prosedurnya', 'merugikan', 'konsumen', '']</t>
  </si>
  <si>
    <t>['kecewa', 'banget', 'telkomsel', 'pengguna', 'telkomsel', 'setahun', 'jaringan', 'sinyal', 'telkomsel', 'buruk', 'berkali', 'kali', 'komplen', 'hasil', 'ditambah', 'udah', 'apk', 'mytelkomsel', 'dibuka', 'beli', 'kuota', 'apk', 'hemat', 'udh', 'diakses', 'kecewa', '']</t>
  </si>
  <si>
    <t>['haduuh', 'nie', 'aplikasi', 'buka', 'buka', 'tolong', 'secepatnya', 'perbaiki', 'paketan', 'data', 'udah', 'limit', 'sya', 'udah', 'beli', 'paketan', 'telkomsel', '']</t>
  </si>
  <si>
    <t>['gatau', 'cape', 'kayanya', 'kasar', 'udah', 'gatau', 'intinya', 'mytsel', 'sampe', 'tgl', 'msh', 'login', 'gua', 'ogah', 'deh', 'cari', 'cuan', 'paket', 'dial', 'pikir', 'segi', 'alasan', 'ttp', 'jaringan', 'pelayanan', 'bot', 'harga', 'mahal', 'kualitas', 'sampah', 'lucunya', 'msh', 'berpikir', 'ttp', 'layanan', 'mending', 'beralih', 'provider', 'harganya', 'rb', 'ktimbang', 'telkom', 'rb', 'mgkn', 'pengembang', 'optimis', 'melucu', '']</t>
  </si>
  <si>
    <t>['signal', 'tarif', 'sya', 'permasalahkan', 'sbb', 'prnh', 'kompensasi', 'pelanggan', 'update', 'app', 'telkomsel', 'mohon', 'global', 'pakek', 'perangkat', 'jngn', 'cma', 'perangkat', 'terbaru', 'sbb', 'pengguna', 'telkomsel', 'orang', 'berduit', 'sllu', 'gnti', 'perangkat', 'sarankan', 'mnggunakan', 'telkomsel', 'lite', 'sbb', 'app', 'memuaskan', 'sekian', 'terimakasih', 'mohon', 'pertimbangankan']</t>
  </si>
  <si>
    <t>['kemarin', 'login', 'gmn', 'daftar', 'paketan', 'kuota', 'woyyyy', 'nyaman', 'enak', 'aplikasi']</t>
  </si>
  <si>
    <t>['kali', 'merasakan', 'kecewa', 'parah', 'banget', 'isi', 'kuota', 'berkali', 'kali', 'masukan', 'ngak', 'buka', 'keterangan', 'jaringan', 'sibuk', 'coba', 'berkali', 'kali', 'namakan', 'setia', 'penguna', 'pelayanan', 'parah', 'ngak', 'memuaskan']</t>
  </si>
  <si>
    <t>['udah', 'sebenrnya', 'aplikasi', 'gatau', 'kemaren', 'error', 'gitu', 'uninstal', 'ulang', 'login', 'gimana', 'seneng', 'senengnya', 'ikutan', 'game', 'daily', 'login', 'tulisannya', 'something', 'were', 'wrong', 'try', 'again', 'later', 'udah', 'nyoba', 'berkala', 'tetep', 'masuk', 'aplikasi', 'udah', 'bener', 'ratingnya', 'perbaiki']</t>
  </si>
  <si>
    <t>['kecewa', 'aplikasi', 'transaksi', 'pembelian', 'kuota', 'jaringan', 'bagus', 'bermasalah', '']</t>
  </si>
  <si>
    <t>['pengguna', 'telkomsel', 'memasukan', 'telepon', 'klik', 'selesai', 'muncul', 'tulisan', 'something', 'went', 'wrong', 'bagamana', 'mengatasinya', 'terima', 'kasih']</t>
  </si>
  <si>
    <t>['masuk', 'mytelkomsel', 'sampe', 'update', 'versi', 'terbaru', 'uninstal', 'download', 'berkali', 'tetep', 'login', 'ditambah', 'jaringan', 'lelet', 'burik', 'pindah', 'operator', 'kalah', 'operator', 'ecek', 'sinyal', 'kenceng', '']</t>
  </si>
  <si>
    <t>['', 'telkomsel', 'ganti', 'setia', 'telkomsel', 'segi', 'jaringannya', 'kasih', 'bintang', 'buruk', 'kualitasnya', 'kegiatan', 'berbasis', 'online', 'tertunda', 'masuk', 'hilangnya', 'sinyal', 'mendadak', 'suntuk', 'coba', 'game', 'online', 'membanting', 'salah', 'sinyalnya', 'tolong', 'kedepannya', 'ditinjau', 'segi', 'kualitas', 'kecepatan', 'sinyalnya', '']</t>
  </si>
  <si>
    <t>['log', 'out', 'ngecek', 'paket', 'pas', 'login', 'jaringan', 'mendadak', 'lemot', 'apk', 'tolong', 'perbaikin', 'aplikasi']</t>
  </si>
  <si>
    <t>['pengguna', 'setia', 'telkomsel', 'kecewa', 'harga', 'jaringan', 'turun', 'dimana', 'jajal', 'kartu', 'cadangan', 'smartfren', 'lancar', 'total', 'mohon', 'maaff', 'telkomsel', 'balikin', 'sinyal', 'dlu', 'semoga', 'sukses', '']</t>
  </si>
  <si>
    <t>['tolong', 'dibenahi', 'telkomsel', 'ngisi', 'pulsa', 'plsa', 'ribu', 'data', 'pencet', 'idup', 'menit', 'tinggal', 'pulsa', 'total', 'rb', 'tolong', 'samakan', 'kaya', 'kartu', 'lainya', 'merugikan', 'konsumen', 'gtu', 'padahl', 'langanan', 'telkomsel', 'kali', 'kali', 'makan', 'kesini', 'makan', 'jelek', 'pelayanan', 'telkomsel']</t>
  </si>
  <si>
    <t>['heran', 'udah', 'masuk', 'store', 'telkomsel', 'eror', 'refresh', 'eror', 'network', 'aplikasi', 'bermasalah', 'bintang', 'bermasalah', 'jaringannya', 'terima', 'kasih', '']</t>
  </si>
  <si>
    <t>['gimana', 'malu', 'bintang', 'kecewa', 'diperbaiki', 'janji', 'aplikasi', 'login', 'susah', 'banget', 'tertinggal', 'memudahkan', 'pelanggan', 'bertaun', 'telkomsel', 'menurun', 'kualitas', '']</t>
  </si>
  <si>
    <t>['ngerti', 'login', 'masuk', 'login', 'masukan', 'kasih', 'bintang', 'masi', 'uninstal', 'apk', 'mohon', 'maaf']</t>
  </si>
  <si>
    <t>['kartu', 'pakai', 'telkomsel', 'sayang', 'cek', 'sim', 'sim', 'cek', 'aman', 'aman', 'cepat', 'kaya', 'kah', '']</t>
  </si>
  <si>
    <t>['puas', 'massa', 'buka', 'youtobe', 'lancar', 'lancar', 'lancar', 'tiktok', 'lancar', 'kekuatan', 'sinyal', 'ampek', 'kb', 'gilaran', 'apk', 'telkom', 'lelet', 'koneksi', 'stabil', 'telkom', 'udah', 'lelet', 'kalah', 'amah', 'ama', 'axis']</t>
  </si>
  <si>
    <t>['login', 'akun', 'mytelkomsel', 'gabisa', 'yaa', 'bacaan', 'something', 'went', 'wrong', 'please', 'try', 'again', 'sometime', 'gaada', 'salah', 'nomor', 'udah', 'bener', 'tolong', 'jelasin', '']</t>
  </si>
  <si>
    <t>['digiring', 'beralih', 'kartu', 'pra', 'bayar', 'login', 'telkomsel', 'komentar', 'negatif', 'kekecewaan', 'takut', 'beralih', 'gimana', 'mengalami', 'kerugian', 'kekecewaan', 'adakah', 'saran', 'telkomsel', 'gimana', 'kompensasi', 'reward', 'kerugian', 'layanan', '']</t>
  </si>
  <si>
    <t>['pelanggan', 'telkomsel', 'thn', 'kesini', 'sinyal', 'memburuk', 'mendownload', 'stabil', 'down', 'pascabayar', 'kecewa', 'thx']</t>
  </si>
  <si>
    <t>['aneh', 'apl', 'log', 'trus', 'skrng', 'mah', 'sinyal', 'ilang', 'trus', 'pendaratan', 'presidennya', 'nelpon', 'satelit', 'nyampe', 'sinyalnya', 'udh', 'sinyal', 'ilang', 'hadeh', 'ketinggalan', 'brp', 'coba', 'negara', 'laen', '']</t>
  </si>
  <si>
    <t>['ios', 'ganti', 'android', 'bermasalah', 'sinyal', 'bagus', 'aplikasi', 'force', 'close', 'trus', 'sekelas', 'layanan', 'telkomsel']</t>
  </si>
  <si>
    <t>['mahal', 'operator', 'kekuatan', 'jaringannya', 'murah', 'ulasan', 'edit', 'kekecewaan', 'sinyal', 'buruk', 'aplikasi', 'telkomsel', 'dibuka', 'instal', 'ulang', '']</t>
  </si>
  <si>
    <t>['nggak', 'dibuka', 'aplikasi', 'login', 'dicoba', 'berkali', 'kali', 'gagal', '']</t>
  </si>
  <si>
    <t>['udh', 'langganan', 'telkomsel', 'srg', 'ganti', 'nmr', 'ntah', 'knp', 'sinyalny', 'krg', 'kuat', 'yak', 'biasany', 'jelek', 'alihkan', 'ribet', 'btw', 'rumah', 'sby', 'daerah', 'suramadu', 'negthink', 'mikir', 'gr', 'angin', 'laut', 'sinyalnya', 'jelek', 'btw', 'knp', 'apk', 'nambah', 'bsr', 'pikir', 'apk', 'spti', 'trllu', 'sizenya', 'spek', 'rendah', 'msh', 'pakai', 'org', 'spek', 'cape', 'bln', 'hrs', 'update']</t>
  </si>
  <si>
    <t>['disuruh', 'upgrade', 'gagal', 'trus', 'masuk', 'login', 'aplikasi', 'udah', 'pagi', 'trus', '']</t>
  </si>
  <si>
    <t>['paketmau', 'habis', 'sisa', 'internet', 'utama', 'suka', 'putus', 'putus', 'ping', 'berat', 'banget', 'mengecewakan', 'aplikasi', 'telkomsel', 'kagak', 'buka', 'suka', 'eror', 'parah', 'bener', 'aplikasi', 'kebuka', 'buka', 'pulsa', 'ambil', 'niatnya', 'beli', 'paket', 'aplikasi', 'telkomsel', 'profesional', 'mahal', 'diharga', 'fasilitas', 'tolonh', 'diperhatikan']</t>
  </si>
  <si>
    <t>['hello', 'minn', 'setrlah', 'update', 'kenpa', 'log', 'aplikasi', 'coba', 'kasih', 'info', 'kerja', 'mitra', 'telkomsel', 'knpa', 'susahin', '']</t>
  </si>
  <si>
    <t>['sinyalnya', 'parah', 'buka', 'telkomsel', 'apk', 'susahnya', 'ampun', 'tolong', 'perbaiki', 'kecewa', '']</t>
  </si>
  <si>
    <t>['tolong', 'kondisikan', 'kouta', 'setidak', 'pemberitahuan', 'kouta', 'abis', 'satuu', 'tolong', 'dikondisikan', 'apk', 'eror', 'pelangan', 'kecewa', '']</t>
  </si>
  <si>
    <t>['aplikasi', 'dibuka', 'dowload', 'aplikasi', 'cek', 'manual', 'teman', 'mengeluh', '']</t>
  </si>
  <si>
    <t>['aplikasi', 'error', 'sinyal', 'buruk', 'telkomsel', 'sinyal', 'bagus', 'harga', 'kualitas', 'sesuai']</t>
  </si>
  <si>
    <t>['aplikasi', 'stabil', 'susah', 'dibuka', 'buka', 'aplikasi', 'browser', 'cepat', 'tolong', 'diperbaiki', 'kali', 'pakai', 'kecewa', 'terima', 'kasih', '']</t>
  </si>
  <si>
    <t>['promo', 'aplikasi', 'eror', 'coba', 'buka', 'jam', 'something', 'wrong', 'cek', 'pembaruan', 'uda', 'tolong', 'perbaiki', 'kinerja', 'aplikasi', '']</t>
  </si>
  <si>
    <t>['puas', 'aplikasi', 'telkomsel', 'membantu', 'buka', 'aplikasi', 'telkomsel', 'buruan', 'download', 'aplikasi', 'nyesel', 'download', 'aplikasi', 'telkomsel', 'mmbantu', 'memudah', 'kebutuhan', 'yuyu', 'buruan', 'download', 'aplikasi', '']</t>
  </si>
  <si>
    <t>['suka', 'aneh', 'telkomsel', 'main', 'game', 'online', 'ngelag', 'ping', 'kuning', 'pas', 'diyoutube', 'lancar', 'anehnya', 'cek', 'sinyal', 'ping', 'hijau', 'full', 'didalam', 'game', 'ping', 'kuning', 'full', 'mohon', 'diperbaiki', 'kalai', 'diperbaiki', 'maaf', 'pindah', 'operator', 'sebelah']</t>
  </si>
  <si>
    <t>['aplikasi', 'dibuka', 'seisp', 'kali', 'buka', 'muncul', 'tulisan', 'kesalahan', 'silahkan', 'coba', 'sinyal', 'normal', 'dsn', 'deh', 'gmn', 'gitu', 'muncul', 'tulisan', 'jaringan', 'stabil', 'aman', 'jaringan', 'apliksai', 'bobrok', 'kali', '']</t>
  </si>
  <si>
    <t>['buka', 'dibilang', 'something', 'wrong', 'something', 'wrong', 'telkomsel', 'wrong', 'mengecewakan', 'jutaan', 'pelanggan', '']</t>
  </si>
  <si>
    <t>['cunan', 'cari', 'utung', 'doank', 'sinyal', 'perbaikin', 'udah', 'harga', 'mahal', 'sinyal', 'keceng', 'gua', 'penguna', 'setia', 'cecewa', 'ketidak', 'nyamanan', 'monoh', 'ditanggapi']</t>
  </si>
  <si>
    <t>['aplikasi', 'mytelkomsel', 'anjim', 'kadang', 'masuk', 'aplikasi', 'suka', 'sinyal', 'aman', 'aman', 'koneksi', 'buruk', 'mytelkomsel', 'tolong', 'perbaiki', 'coustember', 'kecewe', 'telkomsel', 'kali', 'instal', 'hapus', 'tetep', 'masuk', 'login', 'tolong', 'perbaiki', 'kadang', 'kesel', '']</t>
  </si>
  <si>
    <t>['app', 'telkomsel', 'akun', 'masuk', 'bolak', 'login', 'jwbnya', 'something', 'wrong', 'beli', 'kuota', 'ribet', 'hrs', 'pas', 'login', 'telkomsel', 'udah', 'hapus', 'trus', 'instal', 'ulang', 'tolong', 'dibantu', 'telkomsel', 'pelanggan', 'kesulitan', 'login', 'aplikasi']</t>
  </si>
  <si>
    <t>['kecewa', 'banget', 'banget', 'banget', 'udah', 'suruh', 'masuk', 'gabisa', 'trus', 'udh', 'masuk', 'cuman', 'loading', 'doang', 'beli', 'paket', 'gabisa', 'cuman', 'gambar', 'muter', 'muter', 'doang', 'mending', 'beli', '']</t>
  </si>
  <si>
    <t>['tggl', 'januari', 'aplikasi', 'error', 'anjirr', 'login', 'trending', 'topik', 'twitter', 'aplikasi', 'bloon', 'segitu', 'kagak', 'urus', 'tim', 'tolol', 'gaji', 'gede', 'urus', 'kagak', 'kelar', 'uninstall', 'aplikasi', 'sampah', '']</t>
  </si>
  <si>
    <t>['hello', 'telkomsel', 'keluarkan', 'paket', 'internet', 'unlimited', 'kayak', 'thn', 'kemaren', 'paket', 'internet', 'unlimited', 'telkomsel', 'membeli', 'paket', 'musim', 'covid', 'susah', 'uang', 'gaji', 'tunggu', 'update', 'paket', 'internet', 'unlimited', 'makasih']</t>
  </si>
  <si>
    <t>['aplikasi', 'error', 'update', 'sinyal', 'buruk', 'telkomsel', 'sebentar', 'udah', 'kesini', 'sinyal', 'buruk', 'tolong', 'cuan', 'dipikirin', 'paketan', 'dimahalkan', 'harganya', 'kualitas', 'diperbaiki', '']</t>
  </si>
  <si>
    <t>['udah', 'telkomsel', 'telkomsel', 'buka', 'telkomsel', 'sinyal', 'macet', 'gimana', 'udah', 'beli', 'paket', 'mahal', 'kayak']</t>
  </si>
  <si>
    <t>['update', 'login', 'min', 'respon', 'app', 'verifikasi', 'nomor', 'something', 'went', 'wrong', 'please', 'try', 'again', 'after', 'sometime', 'solusinya', 'gimana', '']</t>
  </si>
  <si>
    <t>['update', 'aplikasi', 'koneksi', 'internet', 'tersedia', 'pas', 'buka', 'aplikasi', 'browsing', 'main', 'game', 'online', 'lancar', 'lancar', 'parah', 'update', 'perbaikan', 'bugs', 'dibanyakin', 'ngk', 'aplikasi', 'operatornya']</t>
  </si>
  <si>
    <t>['kecewa', 'telkomsel', 'masuk', 'telkomsel', 'eror', 'udah', 'lakuin', 'mohon', 'bantuannya', 'operator']</t>
  </si>
  <si>
    <t>['nggak', 'masuk', 'kartu', 'nggak', 'verifikasi', 'kemaren', 'ngga', 'ngecek', 'kuota', 'susah', 'kecewaaaaaa', '']</t>
  </si>
  <si>
    <t>['ngerti', 'telkomsel', 'inget', 'udah', 'bbrapa', 'kuota', 'cepet', 'turun', 'padahl', 'buka', 'youtube', 'aplikasi', 'game', 'makan', 'kuota', 'viu', 'beli', 'premium', 'iklan', 'kartu', 'halo', 'kuota', 'entertainment', 'kuota', 'utama', 'abis', 'barusan', 'telkomsel', 'akses', 'login', 'kuota', 'udah', 'abis', 'gb', 'sms', 'report', 'nyebelin', 'ngerti', 'bad', 'bad', '']</t>
  </si>
  <si>
    <t>['kaga', 'masuk', 'blokir', 'ama', 'server', 'telkomsel', 'kuota', 'buka', 'aplikasi', 'mytelkomsel', 'loading', 'mulu', 'curang', 'banget', 'telkomsel', 'aplikasi', 'ngecek', 'pulsa', 'blokir']</t>
  </si>
  <si>
    <t>['kali', 'beli', 'paket', 'pembayaran', 'via', 'shopee', 'masuk', 'saldo', 'shopee', 'berkurang', 'salah', 'shopee', 'aplikasi', 'aplikasi', 'lemot', 'buka', 'ganti', 'nama', '']</t>
  </si>
  <si>
    <t>['maaf', 'kasih', 'buntang', 'udah', 'sempet', 'ligin', 'nomor', 'pas', 'login', 'kali', 'pakai', 'nomor', 'pakai', 'nomor', 'tolong', 'dikasih', 'petunjuk', '']</t>
  </si>
  <si>
    <t>['tolong', 'sinyal', 'memburuk', 'ganggu', 'bngt', 'maen', 'game', 'online', 'tolong', 'cepat', 'perbaiki', 'lgi', 'telkomjing', 'babi', 'gua', 'gabisa', 'masuk', 'app', 'bngst']</t>
  </si>
  <si>
    <t>['error', 'pas', 'dibuka', 'tertulis', 'koneksi', 'stabil', 'pas', 'cek', 'appp', 'lancar', 'sinyalnya', 'ngebut', 'telkomsel', 'bermasalah']</t>
  </si>
  <si>
    <t>['sekedar', 'saran', 'kualitas', 'layanan', 'ditingkatkan', 'tercepat', 'indonesia', 'jaringan', 'daerah', 'rumah', 'lemot', 'banget', 'terima', 'kasih']</t>
  </si>
  <si>
    <t>['aplikasi', 'abal', 'abal', 'habisin', 'kuota', 'login', 'pakai', 'nomor', 'pakai', 'akun', 'aplikasi', 'gini', 'dipajang', 'play', 'store', 'tdi', 'pakai', 'aplikasi', 'cek', 'pulsa', 'hilang', 'kecewa', '']</t>
  </si>
  <si>
    <t>['kagak', 'login', 'kagak', 'masuk', 'tulisannya', 'something', 'wrong', 'kagak', 'beli', 'paket', 'udah', 'beres', 'diganti', 'ulasannya', 'thanks']</t>
  </si>
  <si>
    <t>['emergency', 'maintenance', 'kasih', 'pesan', 'kek', 'jdinya', 'beli', 'kuota', 'nggk', 'hrs', 'nunggu', 'maintenance', 'apk', 'selesai', 'kuota', 'paket', 'tersedia', 'telkomsel', 'paket']</t>
  </si>
  <si>
    <t>['login', 'udah', 'uninstall', 'instal', 'ulang', 'tetep', 'pdhl', 'internet', 'stabil', 'lancar', 'jaya', 'pas', 'login', '']</t>
  </si>
  <si>
    <t>['kah', 'jaringan', 'telkomsel', 'parah', 'tolong', 'sarankan', 'email', 'kemana', 'lelah', 'mulu', 'benerin', 'nyaman', 'gangguan', 'provider', 'termahal', 'layanan', 'murahan', '']</t>
  </si>
  <si>
    <t>['maaf', 'dikasih', 'rating', 'kemaren', 'aplikasinya', 'gangguan', 'jawabannya', 'peningkatan', 'sistem', 'hello', 'peningkatan', 'sistem', 'sampek', 'jam', 'siang', 'kemaren', 'butuh', 'aplikasi', 'telkomsel', 'ngaktivasi', 'paket', 'layanan', 'money', 'udah', 'diakses', 'pengguna', 'telkomsel', 'setia', 'pelayanannya', 'orang', 'kecewa', '']</t>
  </si>
  <si>
    <t>['tolong', 'perbaikin', 'jaringan', 'daerah', 'depok', 'sinyal', 'suka', 'jumping', 'akses', 'sosmed', 'main', 'games', 'dll', 'sinyal', 'suka', 'turun', 'hape', 'kentang', 'emng', 'suka', 'turun', 'jdi', 'perbaikin', 'jaringan', 'daerah', 'terpencil', 'kecewa']</t>
  </si>
  <si>
    <t>['telkomsel', 'jelek', 'masuk', 'aplikasi', 'eror', 'beli', 'paketan', 'tersembunyi', 'kembalikan', 'gb']</t>
  </si>
  <si>
    <t>['tolong', 'jaringannya', 'knpa', 'lemot', 'download', 'buka', 'apk', 'buffering', 'maen', 'game', 'kseringan', 'jrngnnya', 'hilang', 'trus', 'redeem', 'poin', 'udah', 'nyampe', 'ratusan', 'poin', 'cmn', 'gayanya', 'redeem', 'poin', 'tambahn', 'knpa', 'bsa', 'buka', 'update', 'taik', '']</t>
  </si>
  <si>
    <t>['aplikasi', 'login', 'web', 'internet', 'internet', 'beli', 'kuota', 'persulit', 'jelek', 'banget', 'kualitas']</t>
  </si>
  <si>
    <t>['gabisa', 'masuk', 'aplikasi', 'bermasalah', 'coba', 'tolong', 'perbaiki', 'secepatnya', 'telkomsel', 'pengguna', 'tolong', 'nyaman', 'pengguna', 'kehilangan', 'pengguna', '']</t>
  </si>
  <si>
    <t>['berlangganan', 'bberapa', 'thn', 'perminggu', 'signal', 'jelek', 'paketnya', 'amburadul', 'kadang', 'gabisa', 'pakai', 'mumpung', 'log', 'uninstal', 'balasan', 'masuk', 'link', 'sarankan', 'terimakasi', 'pelayananya', '']</t>
  </si>
  <si>
    <t>['telkomsel', 'ancur', 'jaringanya', 'lemot', 'parah', 'padal', 'jariangn', 'deket', 'towernya', 'app', 'telkomsel', 'dibuka', 'eror', 'defeloper', 'merugikan', 'pengguna', '']</t>
  </si>
  <si>
    <t>['pelanggan', 'telkomsel', 'bicara', 'giliran', 'butuh', 'server', 'down', 'kali', 'down', 'melulu', 'sampe', 'berhari', 'something', 'went', 'wrong', 'please', 'try', 'again', 'after', 'sometimes', 'giliran', 'login', 'website', 'telkomsel', 'tetep', 'internet', 'giliran', 'buka', 'google', 'buka', 'aplikasi', 'tetep', 'lancar', 'telkomsel', 'sehat', 'udah', 'kaya', 'provider', 'tolong', 'referensiin', 'jaringan', 'bagus', 'telkomsel', 'pindah', 'muak', 'jaringan', '']</t>
  </si>
  <si>
    <t>['bobrok', 'aplikasi', 'mytelkomsel', 'login', 'merugikan', 'pelanggan', 'cepat', 'perbaiki', 'kesalahan', 'netizen', 'menghujat', 'telkomsel', '']</t>
  </si>
  <si>
    <t>['kecewaaaaaaa', 'loginnnnn', 'udah', 'dimasukin', 'nomer', 'bisaa', 'something', 'went', 'wrong', 'sinyal', 'fullll']</t>
  </si>
  <si>
    <t>['', 'login', 'aplikasi', 'telkomsel', 'nomor', 'telkomsel', 'pakai', 'berbeda', 'ngeselin', 'udah', 'mahal', 'jaringan', 'pelayanan', 'nol', 'nomor', 'udah', 'dipake', 'orang', 'orang', 'udah', 'ganti', 'operator', 'nama', 'doang', 'gede', 'praktek', 'nol', '']</t>
  </si>
  <si>
    <t>['login', 'aplikasi', 'telkomsel', 'gimana', 'perbaikan', 'merasahkan', 'tolong', 'perbaikannya', '']</t>
  </si>
  <si>
    <t>['keren', 'telkomsel', 'daerah', 'salatiga', 'bagus', 'kah', 'update', 'aplikasi', 'peningkatan', 'jaringan', 'min', 'tolong', 'ass', 'commentar', 'min', 'download', 'game', 'malem', 'tolong']</t>
  </si>
  <si>
    <t>['semoga', 'telkomsel', 'depannya', 'bagus', 'promonya', 'puas', 'promo', 'internet', 'pesan', 'tingkatkan', 'promonya', 'signal', 'kpd', 'the', 'best', 'love', 'you', 'telkomsel', '']</t>
  </si>
  <si>
    <t>['jelek', 'aplikasi', 'login', 'nomor', 'nomor', 'telkomsel', 'tolong', 'perbaikannya', '']</t>
  </si>
  <si>
    <t>['kecewa', 'banget', 'udah', 'coba', 'berkali', 'kali', 'login', 'ngak', 'masuk', 'gimana', 'provider', 'terbagus', 'indonesia', 'kayak', 'gini', 'coba', 'telkomsel', 'mending', 'deh', '']</t>
  </si>
  <si>
    <t>['tolong', 'perbaiki', 'login', 'aplikasi', 'telkomsel', 'udah', 'gua', 'email', 'respon', 'babi', 'emang', 'udah', 'email', 'masuk', 'perkembangan', 'aplikasi', 'biadap', 'cuih']</t>
  </si>
  <si>
    <t>['edit', 'ulasan', 'koneksi', 'stabil', 'kemarin', 'aplikasi', 'mytelkomsel', 'akses', 'telkomsel', 'kayak', '']</t>
  </si>
  <si>
    <t>['jaringan', 'lemah', 'udh', 'tolong', 'tingkatkan', 'app', 'telkomsel', 'koneksi', 'perbaiki', 'krna', 'smw', 'komentar', 'keluhan', 'jaringan', 'buruk']</t>
  </si>
  <si>
    <t>['kecewa', 'banget', 'ganti', 'kartu', 'akun', 'telkomselnya', 'ganti', 'trus', 'pas', 'gua', 'masuk', 'udah', 'masukin', 'nomernya', 'tetep', 'kluar', 'shomething', 'apalah', 'macem', 'login', 'media', 'sosial', 'coba', 'klau', 'kya', 'gini', 'mending', 'gua', 'uninstal']</t>
  </si>
  <si>
    <t>['kyk', 'gini', 'telkomselnya', 'jaringan', 'buruk', 'aplikasi', 'susah', 'beli', 'paket', 'coba', 'telkomsel', 'jaringan', 'nomor', 'seindonesia', 'harga', 'mahal', 'kualitas', 'jaga', 'harga', 'mahal', 'kualitas', 'jaga', '']</t>
  </si>
  <si>
    <t>['kecewa', 'layanan', 'telkomsel', 'jaringan', 'bagus', 'penggunaan', 'telkomsel', 'kecewa', 'mytelkomsel', 'uninstall', 'tetep', 'tolong', 'diperbaiki', 'terimakasih']</t>
  </si>
  <si>
    <t>['kadang', 'login', 'something', 'wrong', 'sinyal', 'paket', 'mahal', 'mahal', 'sinyal', 'aburadul', 'mahal', 'doang', 'kenceng', 'kaga', 'kalah', 'gang', 'samping']</t>
  </si>
  <si>
    <t>['tolong', 'perbaiki', 'aplikasinya', 'kali', 'buka', 'aplikasi', 'sometime', 'wrong', 'menganggu', 'uninstal', 'hapus', 'cache', 'dibuka', 'tolong', 'perbaiki', 'aplikasinya', 'rating', 'bagus', '']</t>
  </si>
  <si>
    <t>['thn', 'pakai', 'telkomsel', 'bukanya', 'sinyal', 'telkomsel', 'jelek', 'kalah', 'indosat', 'smartfren', 'desa', 'smartfren', 'lumayan', 'tekomsel', 'iklannya', 'kecewa', 'udah', 'mahal', 'jelek', '']</t>
  </si>
  <si>
    <t>['pelanggan', 'setia', 'telkomel', 'nomor', 'telkomsel', 'seringkali', 'aplikasi', 'telkomsel', 'dibuka', 'loading', 'terkadang', 'dibutuhkan', 'cek', 'kuota', 'rumah', 'nomor', 'akn', 'habis', 'paket', 'internetnya', 'membeli', 'paket', 'telkomsel', 'nmun', 'terbuka', 'sll', 'muncul', 'pop', 'koneksi', 'stabil', 'coba', 'dibutuhkan', 'membantu', 'mohon', 'concern', 'solusinya', '']</t>
  </si>
  <si>
    <t>['sangaaat', 'sangaaaat', 'sangaaaat', 'kecewa', 'mending', 'tutup', 'balikin', 'telkomsel', 'beli', 'kuota', 'mahal', 'sinyal', 'susah', 'pakcet', 'embel', 'membodohi', 'masyarakat', 'beli', 'paket', 'lol', 'ganti', 'provider']</t>
  </si>
  <si>
    <t>['not', 'gud', 'stiap', 'lapor', 'suruh', 'nunggu', 'jam', 'habis', 'tunggu', 'blm', 'trselesaikan', 'suruh', 'nunggu', 'orang', 'kecewa', 'hati', 'telkomsel', 'nerka', 'menunggumu']</t>
  </si>
  <si>
    <t>['gangguan', 'aplikasinya', 'buka', 'gangguan', 'gimana', 'beli', 'paket', 'gini', 'aplikasi', 'telkomsel', 'tpi', 'jelek', 'banget', 'kaya', 'kualitas', 'telkomsel', 'banget', 'deh']</t>
  </si>
  <si>
    <t>['telkomsel', 'parah', 'jaringan', 'lag', 'rutin', 'kaya', 'emang', 'sanggup', 'tampung', 'pelanggan', 'ngeluarin', 'kartu', 'perdana', 'mengganggu', 'pelanggan', 'thn', 'telkomsel', 'kecewa', 'jaringan', 'setabil', 'tida', 'memuaskan', 'parah', 'tolong', 'perbaiki', 'pindah', 'haluan', 'nyaman', '']</t>
  </si>
  <si>
    <t>['ngechek', 'data', 'loading', 'memuat', 'ulang', 'trus', 'apk', 'hapus', 'download', 'ulang', 'masukin', 'nomerku', 'tolong', '']</t>
  </si>
  <si>
    <t>['maaf', 'kasih', 'bintang', 'beli', 'paket', 'internet', 'tertulis', 'jaringan', 'stabil', 'mencoba', 'membuka', 'youtube', 'lancar', 'lancar', 'tolong', 'perbaiki']</t>
  </si>
  <si>
    <t>['gimana', 'puas', 'buruk', 'gini', 'pelayanannya', 'sinyal', 'jelek', 'app', 'error', 'kecewa', 'bayar', 'kaya', 'gini']</t>
  </si>
  <si>
    <t>['woi', 'paket', 'ribu', 'bogor', 'jaringan', 'kadang', 'stuk', 'kadang', 'lelet', 'kalah', 'ama', 'promo', 'tetangga', 'kenceng', 'abis', 'ngotak', 'lgan', 'app', 'telkomsel', 'error', 'geblek', 'kecewa', 'auto', 'ganti', 'kartu']</t>
  </si>
  <si>
    <t>['', 'edit', 'ulasan', 'kesini', 'parah', 'jaringan', 'aplikasi', 'telkomsel', 'kebuka', 'sumpah', 'kecewa', 'kualitas', 'pelayanan', 'telkomsel', 'harga', 'mahalmu', 'menjamin', 'kualitasmu', 'harga', 'paket', 'data', 'omg', 'gb', 'ribu', 'langsung', 'berubah', 'ribu', 'hitungan', 'detik', 'berubah', 'kejadian', 'disaat', 'pulsa', 'harga', 'ribu', 'isi', 'pulsa', 'langsung', 'berubah', 'ribu', 'jaringan', 'bagus', 'bagusnya', 'tolong', 'tanggung', 'menipu', 'konsumen', 'taunya', '']</t>
  </si>
  <si>
    <t>['apknya', 'jelek', 'jaringannya', 'nelpon', 'nggak', 'paketnya', 'mahal', 'hadeh', 'telkomsel', 'daerah', 'terima', 'gitu']</t>
  </si>
  <si>
    <t>['sinyalmu', 'jelek', 'gada', 'bagus', 'lelet', 'abis', 'main', 'game', 'ngelag', 'mulu', 'main', 'youtube', 'buffering', 'males', 'telkomsel', 'mahal', 'jaringan', 'parah', 'perbaiki', 'jaringanmu', 'suruh', 'perbaiki', 'pengaturan']</t>
  </si>
  <si>
    <t>['intinya', 'telkomsel', 'nga', 'darurat', 'dikit', 'kuota', 'ngehek', 'susah', 'bukanya', 'aplikasi', 'kgak', 'bales', 'mesti', 'balesannya', '']</t>
  </si>
  <si>
    <t>['rampok', 'mah', 'beli', 'kuota', 'mingguan', 'sehari', 'udah', 'abis', 'notifikasi', 'kuota', 'lokal', 'sisa', 'mb', 'menit', 'notifikasi', 'kuota', 'habis', 'cepet', 'bener', 'gb', 'menit', 'cek', 'telkomsel', 'karna', 'alasan', 'jaringan', 'stabil', 'ntar', 'hubungin', 'ujung', 'bayar', 'bener', 'morotin', 'pelanggan', 'doang', 'parah']</t>
  </si>
  <si>
    <t>['pagi', 'nyampe', 'malem', 'sinya', 'buka', 'aplikasi', 'keterangan', 'konesksi', 'stabil', 'silahkan', 'coba', 'jaringan', 'terluas', 'indonesia', 'kampung', 'wajar', 'kota', 'bos', '']</t>
  </si>
  <si>
    <t>['sinyalnya', 'hancur', 'banget', 'beli', 'paket', 'mahal', 'mahal', 'gunanya', 'udah', 'lapor', 'kemana', 'jaringan', 'hancur', 'internet', 'nelfon', 'rusak', 'banget', 'kayak', 'makai', 'kartu', 'murahan', 'gini', 'jaringannya', 'jamin', 'pindah', 'operator', 'mohon', 'jaringannya', 'perbaiki', 'thx']</t>
  </si>
  <si>
    <t>['aplikasi', 'busuk', 'update', 'buruk', 'hapus', 'aplikasi', 'sia', 'sia', 'kurasa', 'pelanggan', 'telkomsel', 'kecewa', 'aplikasi', 'jaringan', 'kayak', 'sampah', 'gue', 'ngeluarin', 'ribu', 'sia', 'sia', 'kartu', 'terpaksa', 'pakai', 'kartu', 'perbaiki', 'jaringan', 'ngaku', 'ngaku', 'mencakup', 'pelosok', 'kota', 'udah', 'jelek', 'jaringanmu', 'harga', 'mahal']</t>
  </si>
  <si>
    <t>['kecewa', 'masuk', 'muter', 'muter', 'doang', 'refresh', 'trus', 'beli', 'paketan', 'susah', 'blm', 'masuk', 'pulsa', 'udah', 'gara', 'loading', '']</t>
  </si>
  <si>
    <t>['fix', 'gajelas', 'jaringan', 'udah', 'tunggu', 'paket', 'mahal', 'kualitas', 'tingkatkan', 'maaf', 'pindah', 'hati', 'terimakasih', 'telkomsel', '']</t>
  </si>
  <si>
    <t>['', 'aplikasi', 'udah', 'hri', 'kaga', 'buka', 'ngecek', 'paket', 'beli', 'paket', 'gimana', 'kasih', 'bintang', 'dlu', 'udah', 'buka', 'tambahin', 'bintang']</t>
  </si>
  <si>
    <t>['tolong', 'mass', 'nomor', 'login', 'udah', 'cobak', 'berkali', 'berhari', 'jugak', 'kecewa', 'berlanggan', 'telkomsel', 'tolong', 'diperbaika', 'mudah']</t>
  </si>
  <si>
    <t>['update', 'aplikasi', 'telkomsel', 'masuk', 'tolong', 'diperhatikan', 'pengguna', 'pascabayar', 'jaringan', 'telokmsel', 'wilayah', 'tasikmalaya', 'ciamis', 'ditingkatkan', 'kualitas', 'jaringannya', 'sinyal', 'bagus', 'wilayah']</t>
  </si>
  <si>
    <t>['apk', 'buka', 'pemberitahuan', 'jaringan', 'stabil', 'buka', 'youtube', 'lancar', 'buka', 'apk', 'telkomsel', 'pemberitahuan', 'gitu', 'udah', 'coba', 'kali']</t>
  </si>
  <si>
    <t>['parah', 'paket', 'unlimited', 'beli', 'pulsa', 'masuk', 'sms', 'pengisian', 'berhasil', 'cek', 'mytelkomsel', 'erorrrrrrr', 'troosssss', 'pas', 'cek', 'pulsanya', 'tinggal', 'kepotongggg', 'kecewa', 'balikin', 'pulsa', 'gua', 'oyy', '']</t>
  </si>
  <si>
    <t>['kirain', 'ngeluh', 'msalah', 'sinyal', 'mimin', 'komen', 'suruh', 'hubi', 'call', 'center', 'dll', 'tetep', 'ngaruh', 'penanganan', 'lambat', 'lemot', 'telkomsel', 'aplikasi', 'telkomsel', 'lemot', 'dibuka', '']</t>
  </si>
  <si>
    <t>['buruk', 'segi', 'jaringan', 'aplikasi', 'tsel', 'udah', 'dipercaya', 'orang', 'perform', 'menurun', 'tolong', 'diperbaiki', 'pelanggan', 'beralih', 'provider', 'thanks', '']</t>
  </si>
  <si>
    <t>['klu', 'event', 'jelaz', 'event', 'hadiah', 'undian', 'info', 'pemenang', 'event', 'promo', 'promo', 'potongan', 'perak', 'mahal', 'paketan', 'jaringan', 'sinyal', 'stabil', 'masuk', 'apk', 'balasan', 'koneksi', 'stabil', 'mohon', 'coba', 'lucu', '']</t>
  </si>
  <si>
    <t>['buka', 'app', 'mytelkomsel', 'unstable', 'connection', 'click', 'refresh', 'diikutin', 'buka', 'pdhal', 'kuota', 'byk', 'sinyal', 'bgs', 'dikota', 'internasional', 'lho', 'masak', 'kuta', 'bali', 'jdi', 'kenken', 'tar', 'bnrn', 'pindah', 'operator', 'layanan', 'jelek', 'tinggalx', 'nti']</t>
  </si>
  <si>
    <t>['cek', 'kuota', 'beli', 'kuota', 'buka', 'aplikasi', 'susah', 'koneksi', 'tersedia', 'kuota', 'buka', 'apk', 'atuh', 'download', 'mending', 'manual', 'masuk', 'apk', 'susah', 'darah', '']</t>
  </si>
  <si>
    <t>['astaga', 'ditipu', 'call', 'center', 'terpaksa', 'pakai', 'tsel', 'halo', 'harganya', 'mahal', 'pakai', 'prabayar', 'kuotanya', 'murah', 'prabayar', 'blokir', 'kartu', 'kartu', 'tindakan', 'pemaksaan', 'pemerasan', 'kecewa', 'tsel', 'mikirin', 'duit', 'pandai', 'menipu', 'costumer']</t>
  </si>
  <si>
    <t>['koneksi', 'lancar', 'pas', 'masuk', 'aplikasi', 'lambat', 'loading', 'refresh', 'aplikasinya', 'lengkap', 'memuat', 'data', 'kecewa', '']</t>
  </si>
  <si>
    <t>['', 'sesuai', 'motonya', 'sinyal', 'luas', 'kuat', 'tsel', 'internet', 'lelet', 'jaringan', 'udah', 'kayak', 'jaringan', 'jaringan', 'mati', 'kalu', 'sedot', 'pulsa', 'internet', 'mati', 'tambahan', 'tsel', 'menyedot', 'data', 'isi', 'kuota', 'tgl', 'tgl', 'habis', 'pemakainya', 'minggu', 'boros', 'pakai', 'kali', 'parah', 'udah', 'lalot', 'nyedot', '']</t>
  </si>
  <si>
    <t>['gila', 'jaringan', 'telkomsel', 'emosi', 'telkomsel', 'terkenal', 'jaringan', 'cepet', 'dimanapun', 'lemot', 'jaringan', 'serasa', 'jaringan', 'lemot', 'banget', 'tolong', 'perbaiki', 'jaringan', 'signal']</t>
  </si>
  <si>
    <t>['tolong', 'komentar', 'langsung', 'tanggapi', 'solusi', 'keluhan', 'lempar', 'email', 'twitter', 'dsb', 'berulang', 'kali', 'download', 'app', 'login']</t>
  </si>
  <si>
    <t>['aplikasi', 'membeli', 'paket', 'internet', 'gagal', 'dicoba', 'logout', 'login', '']</t>
  </si>
  <si>
    <t>['sekrang', 'bnyak', 'ngeluh', 'kualitas', 'signal', 'internet', 'telkomsel', 'tolong', 'respon', 'skrng', 'paket', 'murah', 'kualitas', 'kurangin', 'udah', 'kuat', 'bayar', 'karyawan', 'kah', 'telkomsel', '']</t>
  </si>
  <si>
    <t>['diprobolinggo', 'keselatan', 'wonoasih', 'skrg', 'jaringan', 'telkomsel', 'buruk', 'mohon', 'perbarui', 'pkek', 'kartu', 'telkomsel', 'males', 'ganti', 'ganti', 'krtu']</t>
  </si>
  <si>
    <t>['kekecewaan', 'kalinya', 'telkomsel', 'gara', 'sinyal', 'suka', 'ilang', 'pulsa', 'kesedot', 'anehnya', 'apk', 'login', 'samsek', 'pengen', 'ganti', 'operator', '']</t>
  </si>
  <si>
    <t>['kecewa', 'ama', 'telkomsel', 'buka', 'telkomsel', 'sinyal', 'susah', 'coba', 'coba', 'udah', 'uninstall', 'install', 'kaga', 'buka', 'mdh', 'sinyalnya', 'hilang', '']</t>
  </si>
  <si>
    <t>['pelanggan', 'setia', 'telkomsel', 'taun', 'perubahan', 'udah', 'pindah', 'operator', 'cek', 'data', 'telkomsel', 'leletnya', 'main', 'udah', 'paket', 'datanya', 'mahal', 'bersahabat']</t>
  </si>
  <si>
    <t>['halo', 'kakak', 'buka', 'aplikasi', 'eror', 'cek', 'aplikasi', 'apk', 'down', 'mohon', 'balas', 'butuh', '']</t>
  </si>
  <si>
    <t>['mahal', 'ditambah', 'lemot', 'lengkap', 'deh', 'nasib', 'pelanggan', 'operator', 'negeri', 'masuk', 'msh', 'ngasih', 'bintang', 'bintang', 'buset', 'knp', 'bintang', 'separoh', 'pilihannya', 'parah', 'telkomsel', 'internet', 'klu', 'perbaikan', 'speed', 'internet', 'dapet', 'mbps', 'coba', 'baca', 'koment', '']</t>
  </si>
  <si>
    <t>['pasca', 'bayar', 'kartu', 'hallo', 'limit', 'kemakan', 'paket', 'inet', 'limit', 'rb', 'tagihan', 'limit', 'tambahan', 'udah', 'akses', 'telkomsel', '']</t>
  </si>
  <si>
    <t>['aplikasi', 'parah', 'susah', 'banget', 'log', 'mending', 'hapus', 'aplikasinya', 'konsumen', 'darah', 'harga', 'dinaikkan', 'pelayanan']</t>
  </si>
  <si>
    <t>['main', 'game', 'buka', 'aplikasi', 'buka', 'aplikasi', 'telkomsel', 'pesan', 'koneksi', 'stabil', 'hadehhhh', 'kocak', '']</t>
  </si>
  <si>
    <t>['', 'buka', 'aplikasinya', 'heran', 'berulang', 'kali', 'maunya', 'telkomsel', 'pindah', 'jaringan', 'sebelah', '']</t>
  </si>
  <si>
    <t>['kmarin', 'login', 'beli', 'paket', 'tlp', 'smua', 'koneksi', 'oke', 'bgs', 'wifi', 'indyhome', 'ato', 'telkomsel', 'buka', 'flim', 'apapun', 'lancar', 'login', 'tray', 'again', 'nama', 'eko', 'silahkan', 'cek', 'data', 'kadang', 'rugikan', 'dlm', 'pembelian', 'paket', 'telephone', 'tetep', 'beli', 'orang', 'jawabmu', 'mohon', 'maaf', 'ketidak', 'nyamanan', 'kak', 'perbaiki', 'sistem', '']</t>
  </si>
  <si>
    <t>['app', 'bermasalah', 'berkali', 'kali', 'uninstal', 'ulang', 'instal', 'bermasalah', 'komplain', 'perbaikan', '']</t>
  </si>
  <si>
    <t>['aplikasi', 'yaaa', 'buruk', 'update', 'habis', 'update', 'cek', 'payahh', 'telkomsel', 'kecewa', 'banget', 'kecewa', 'kecewa', 'bangt', 'tolong', 'perbaiki', 'woeeee']</t>
  </si>
  <si>
    <t>['kasi', 'bimtang', 'mohon', 'benahi', 'masuk', 'aplikasi', 'ngg', 'something', 'went', 'wrong', 'buka', 'aplikasi', 'lamcar', 'gagal', 'masuk', 'ngambil', 'stamp', 'min', 'mohon', 'perbaiki', 'trimakasih']</t>
  </si>
  <si>
    <t>['kecewa', 'jaringan', 'telkomsel', 'lelet', 'banget', 'pakai', 'kartu', 'telkomsel', 'jaringan', 'telkomsel', 'kebalikannya', 'buka', 'loding', 'tpi', 'kuota', 'diambilnya', 'pokoknya', 'kecewa', 'banget', 'untung', 'rugi', 'kuota', 'habis', 'buka', 'kebuka', 'udh', 'jam', 'ditunggu', 'loding', '']</t>
  </si>
  <si>
    <t>['bertahun', 'make', 'apl', 'memuaskan', 'tnggal', 'januari', 'buka', 'eror', 'langsung', 'hilang', 'sinyalnya', 'tlg', 'bagusin', 'loading', 'terimakasih', '']</t>
  </si>
  <si>
    <t>['jaringan', 'kacau', 'ping', 'macet', 'blm', 'trlanjur', 'kartu', 'halo', 'mending', 'provider', 'bnyak', 'lbh', 'stabil', 'krna', 'terpaksa', 'pakai', 'krtu', 'udah', 'buang', 'nomor']</t>
  </si>
  <si>
    <t>['masuk', 'tod', 'tulisannya', 'something', 'went', 'wrong', 'unstable', 'connection', 'jaringan', 'bagus', 'pulsa', 'kesedot', 'aplikasi', 'buruk', '']</t>
  </si>
  <si>
    <t>['telkomsel', 'udah', 'bangkrut', 'sinyalnya', 'ancur', 'data', 'paket', 'mahal', 'sinyal', 'buruk', 'udah', 'tutup', 'bisnisnya', 'ganti', 'bisnis', 'jual', 'krupuk', '']</t>
  </si>
  <si>
    <t>['hubungkan', 'jaringan', 'sinyal', 'full', 'jaringan', 'oke', 'telkomsel', 'udah', 'kaya', 'aneh', 'jaringan', 'suka', 'erorr', 'masuk', 'telkomsel', 'susah', 'hubungkan', 'jaringan', 'jaringan', 'oke', 'nyesel', '']</t>
  </si>
  <si>
    <t>['aplikasi', 'payah', 'buka', 'aplikasi', 'susahnya', 'ampun', 'iya', 'buka', 'aplikasi', 'smpe', 'kb', 'sec', 'gila', 'kali', '']</t>
  </si>
  <si>
    <t>['payah', 'telkomsel', 'sinyalnya', 'lemot', 'lemot', 'lemot', 'mati', 'lampu', 'mati', 'sinyalnya', 'pas', 'ngecek', 'paket', 'kuota', 'internet', 'pas', 'login', 'nggak', 'hapus', 'aplikasi', 'telkomselnya', 'instal', 'ulang', 'login', 'nggak', 'nggak', 'ngerti', 'aplikasi', 'telkomsel', 'versi', 'diperbaharui', 'nggak', 'perubahan', 'kalah', 'sinyalnya', 'sinyal', 'lemot', 'sedunia', '']</t>
  </si>
  <si>
    <t>['kesini', 'parah', 'telkomsel', 'isi', 'pulsa', 'telkomsel', 'udah', 'muncul', 'koneksi', 'jaringan', 'buka', 'aplikasi', 'lancar', 'lancar', 'youtube', 'lag', 'lag', 'lancar', 'jaya', 'apk', 'gini', 'doang', 'sanggup', 'jaringannya', 'lucu', 'nyesel', 'download', 'apk', 'taik', 'buruk']</t>
  </si>
  <si>
    <t>['kemaren', 'msk', 'app', 'telkomsel', 'something', 'wrong', 'trs', 'pdhl', 'sinyal', 'bgus', 'buka', 'app', 'buka', 'app', 'telkomsel', 'pdhl', 'cek', 'kuota', 'terpaksa', 'uninstall', 'trs', 'sya', 'reinstall', 'boong', 'msk', 'pkok', 'jelek', 'app', 'telkomsel']</t>
  </si>
  <si>
    <t>['anjirt', 'buka', 'telkomsel', 'kemaren', 'sakit', 'jiwa', 'telkomsel', 'mahal', 'doang', 'payah', 'bangkrut', 'mahalin', 'telkomsel', 'rugi', 'tutup', 'perusahaan', 'lumayan', 'tutup', 'kali', 'telkomsel', '']</t>
  </si>
  <si>
    <t>['login', 'aplikasinya', 'beli', 'paket', 'internet', 'telkomsel', 'parah', 'pelayanan', 'sinyalnya', 'udah', 'setia', 'nggak', 'perbaikan', 'kecewa']</t>
  </si>
  <si>
    <t>['nggak', 'login', 'nggak', 'nggak', 'masuk', 'lgi', 'nggak', 'merespon', 'sinyal', 'bagus', 'tolong', 'perbaiki', '']</t>
  </si>
  <si>
    <t>['kecewa', 'cek', 'kouta', 'siang', 'sampe', 'skrg', 'dibuka', 'alasan', 'interner', 'bermasalah', 'buka', 'app']</t>
  </si>
  <si>
    <t>['buruk', 'sulit', 'log', 'suka', 'log', 'out', 'nggak', 'dipakai', 'koneksi', 'internet', 'nggak', 'sinyal', 'full', 'kuota', '']</t>
  </si>
  <si>
    <t>['masuk', 'aplikasi', 'susah', 'tulisannya', 'something', 'went', 'wrong', 'please', 'try', 'again', 'after', 'sometimes', 'udh', 'coba', 'dilain', 'hapus', 'applikasi', 'restart', 'tulisannya', 'tolong', 'diperbaiki', 'min', 'pengguna', 'setia', 'mytelkomsel', 'terimakasih', '']</t>
  </si>
  <si>
    <t>['udah', 'telkomsel', 'dibuka', 'kuota', 'internet', 'sinyal', 'telkomsel', 'mohon', 'diperbaiki', 'terima', 'kasih']</t>
  </si>
  <si>
    <t>['kah', 'paket', 'internet', 'mahal', 'kalangan', 'gsm', 'indonesia', 'jaringan', 'setimpal', 'uang', 'keluarkan', 'jaringan', 'kkkkkkkk']</t>
  </si>
  <si>
    <t>['aplikasi', 'signal', 'bagus', 'paket', 'internet', 'buka', 'telkomselnya', 'something', 'wrong', 'something', 'wrong', 'beres', 'kerjanya', 'perpanjang', 'paket', 'susah', 'gara', 'gara', 'aplikasi', 'dibuka', 'tolong', 'diperbaiki', 'konsumen', 'kecewa']</t>
  </si>
  <si>
    <t>['knp', 'telkomsel', 'loading', 'muncul', 'koneksi', 'stabil', 'buka', 'aplikasi', 'lancar', 'tolong', 'diperbaiki', 'liat', 'kuota', 'susah', '']</t>
  </si>
  <si>
    <t>['aplikasi', 'telkomsel', 'dibuka', 'kuota', 'habis', 'pasang', 'paket', 'buka', 'aplikasinya', 'pulsa', 'habis', 'tersedot', 'isi', 'berkurang', 'fear', 'telkomsel', 'beli', 'pulsa', 'pelayanan', 'bagus', 'isi', 'pulsa', 'dianggap', 'sampah', 'kecewa', 'pelanggan']</t>
  </si>
  <si>
    <t>['telkomsel', 'dipakai', 'tulisannya', 'unstable', 'conection', 'beli', 'paket', 'aplikasi', 'update', 'update', 'dibuka', 'telkomsel', 'milik', 'adik', 'dipakai', 'kecewa', 'telkomsel', 'trik', 'membeli', 'paket', 'via', 'dial', 'call', 'harga', 'mahal', '']</t>
  </si>
  <si>
    <t>['apk', 'berguna', 'sebenernya', 'trouble', 'gitu', 'dibuka', 'trs', 'sinyalnya', 'nggak', 'sebagus', 'sinyalnya', 'lambat']</t>
  </si>
  <si>
    <t>['kyakny', 'pengalaman', 'pelanggan', 'sinyal', 'ancur', 'buka', 'telkomsel', 'aplikasinya', 'update', 'buka', 'jdi', 'susah', 'ber', 'alih']</t>
  </si>
  <si>
    <t>['app', 'mytsel', 'kecewa', 'aplikasi', 'login', 'something', 'went', 'wrong', 'please', 'try', 'again', 'after', 'sometime', 'udah', 'kesekian', 'kalinya', 'payah', '']</t>
  </si>
  <si>
    <t>['app', 'pakai', 'lancar', 'verifikasi', 'nomor', 'dimasukkan', 'app', 'uninstall', 'download', '']</t>
  </si>
  <si>
    <t>['sinyal', 'dikota', 'pelosok', 'sinyal', 'suka', 'hilang', 'tolong', 'perbaiki', 'jaringannya', 'lemot', 'buka', 'mytelkomsel', 'payah', '']</t>
  </si>
  <si>
    <t>['gua', 'pelanggan', 'telkomsel', 'bapuk', 'lelet', 'telkomsel', 'kelasnya', 'mahal', 'doang', 'beli', 'paket', 'telkomsel', 'loginnya', 'siang', 'ancur', 'ancuran']</t>
  </si>
  <si>
    <t>['coba', 'mohon', 'kembalikan', 'sinyal', 'telkomsel', 'memakai', 'kartu', 'knpa', 'kesini', 'sinyal', 'eror', 'keneksi', 'slalu', 'lelet', 'mohon', 'perbaiki', 'telkomsel', 'main', 'game', 'mobile', 'ripuh', 'sinyal', 'kayak', 'gini', 'trus', 'jangn', 'bintang', 'menurun', '']</t>
  </si>
  <si>
    <t>['', 'deh', 'skarang', 'mao', 'masuk', 'apk', 'ngga', 'iya', 'mah', 'paket', 'giliran', 'buka', 'koneksi', 'buruk', 'koneksi', 'mah', 'bagus', 'apk', 'kah', 'maaf', 'koneksi', 'stabil', 'mohon', 'klik', 'ulang', 'gtuh', 'mah', 'jaringan', 'bagus']</t>
  </si>
  <si>
    <t>['buruk', 'pelayananya', 'serinh', 'error', 'aplikasi', 'telkomselnya', 'ribet', 'klau', 'beli', 'paket', 'internet', 'tolong', 'perbaiki', 'secepat', 'pelayanan', 'aplikasi', 'sinyalnya', '']</t>
  </si>
  <si>
    <t>['lucu', 'ama', 'doi', 'beli', 'paket', 'data', 'unlimited', 'jam', 'giliran', 'paket', 'data', 'abiz', 'unlimited', 'medsos', 'tiktok', 'sampe', 'youtube', 'macet', 'lampu', 'merah', 'tanggal', 'abiz', 'oke', 'emang', 'paket', 'data', 'abiz', 'unlimited', 'medsos', 'tiktok', 'sampe', 'youtube', 'macet', 'paket', 'data', 'msih', 'lancar', 'udeh', 'jalur', 'pantura', 'bintang', 'kecewa', 'pindah', 'operator', 'bye', '']</t>
  </si>
  <si>
    <t>['holla', 'mohon', 'maaf', 'penguna', 'telkomsel', 'udah', 'tapii', 'sinyal', 'telkomsel', 'memburuk', 'jaringannya', 'bagus', 'jaringannya', '']</t>
  </si>
  <si>
    <t>['kecewa', 'tolong', 'telkomsel', 'respon', 'telkomsel', 'jelek', 'banget', 'buka', 'aplikasi', 'tulisan', 'koneksi', 'setabil', 'kota', 'jakarta', 'buka', 'aplikasi', 'telkomsel', 'aplikasi', 'parah', 'perbarui', 'tetep', 'masuk', 'aplikasi', 'buang', 'buang', 'kuota']</t>
  </si>
  <si>
    <t>['apk', 'broken', 'kebuka', 'something', 'wrong', 'login', 'error', 'tinggal', 'desa', 'temuroso', 'keamatan', 'guntur', 'kabupaten', 'demak', 'jawa', 'miskin', 'sinyal', 'kirim', 'pesan', 'susah', 'game', 'ping', '']</t>
  </si>
  <si>
    <t>['operator', 'terbesar', 'indo', 'server', 'aplikasi', 'susah', 'buka', 'woy', 'gedein', 'server', 'woy', 'ambil', 'untungnya', 'doang', 'aplikasi', '']</t>
  </si>
  <si>
    <t>['aplikasinya', 'responsif', 'direfresh', 'menerus', 'buka', 'aplikasi', 'lancar', 'log', 'out', 'tolong', 'perbaiki', '']</t>
  </si>
  <si>
    <t>['kecewa', 'berat', 'sekelas', 'bumn', 'kaya', 'provider', 'parah', 'perbaikan', 'aplikasi', 'kaga', 'becus', 'banget', 'abis', 'jaringan', 'kaya', 'sampah', 'jujur', 'suka', 'telkomsel', 'cepet', 'banget', 'jaringan', 'ampas', 'jaringan', 'internet', 'aplagi', 'aplikasi', 'error', 'gimana', 'bersaing', 'dunia', 'jaringan', 'ampas', 'hilangkan', 'promo', 'perbaiki', 'kualitas', 'jaringan', 'menyalahkan', 'konsumen', 'paham', '']</t>
  </si>
  <si>
    <t>['diperbaiki', 'dibagian', 'startupnya', 'seringkali', 'respond', 'interface', 'full', 'white', 'tombol', 'refresh', 'berguna', 'perubahan', 'refresh', 'tested', 'wifi', 'data', 'deluler', 'indosat', 'telkom', 'tri', '']</t>
  </si>
  <si>
    <t>['aplikasi', 'update', 'susah', 'login', 'paket', 'data', 'internet', 'murah', 'beli', 'beli', 'kualitas', 'jaringan', 'poor', 'daerah', 'kota', 'gimana', 'masuk', 'desa', 'hilang', 'signalnya', 'paket', 'kuota', 'unlimited', 'poor', 'pengguna', 'setia', 'telkomsel', 'coba', 'kartu', 'keluaran', 'telkomsel', '']</t>
  </si>
  <si>
    <t>['login', 'gagal', 'update', 'apk', 'tetep', 'login', 'update', 'tetep', '']</t>
  </si>
  <si>
    <t>['buka', 'app', 'telkomsel', 'butuh', 'koneksi', 'buka', 'doang', 'kuota', 'data', 'bnyak', 'lemot', 'gajelas', 'dibuka', 'memuat', 'ujung', 'unstable', 'connection', 'kurangi', 'iklan', 'beli', 'paket', 'data', 'dipersulit', 'terima', 'kasih', 'udah', 'dibaca', 'buktikan', 'app', 'telkomsell', 'berkualitas', 'gaperlu', 'balas', '']</t>
  </si>
  <si>
    <t>['banget', 'jaringan', 'masak', 'login', 'belik', 'paket', 'bsa', 'dri', 'tdi', 'sampek', 'hapus', 'truss', 'instal', 'bsa', '']</t>
  </si>
  <si>
    <t>['jelek', 'buka', 'pakai', 'paket', 'data', 'pas', 'buka', 'wifi', 'koneksinya', 'bagus', 'reload', 'beli', 'paket', 'data', 'gitu']</t>
  </si>
  <si>
    <t>['', 'telkomsel', 'aktif', 'yhh', 'bust', 'paketan', 'sihh', 'tolong', 'karifikasinya', 'kenpa', 'telkomsel', 'tolong', 'perbaiki', 'terima', 'kek', 'gini', 'aplikasi', '']</t>
  </si>
  <si>
    <t>['sinyal', 'stabil', 'aplikasi', 'kebuka', 'gimana', 'apus', 'aplikasi', 'buka', 'mah', 'buka', 'aplikasi', 'buka', 'aplikasi', 'telkomsel', 'sia', 'download']</t>
  </si>
  <si>
    <t>['telkomsel', 'sinyalnya', 'bagus', 'banget', 'akses', 'sosmed', 'untung', 'pindah', 'kartu', 'langsung', 'lancar', 'harganya', 'murah', 'sinyal', 'bagus', 'untung', 'sabar', 'udah', 'harga', 'mahal', 'sinyalnya', 'bagus', 'harga', 'murah', 'sinyal', 'jelek', 'wajar', 'harga', 'mahal', 'sinyalnya', 'bagus', 'banget']</t>
  </si>
  <si>
    <t>['jaringan', 'telkomsel', 'lelet', 'ginama', 'masuk', 'nomer', 'kesini', 'telkomsel', 'daftar', 'bingung', 'aplikasi']</t>
  </si>
  <si>
    <t>['buruk', 'tolong', 'perbaiki', 'susah', 'login', 'buka', 'apk', 'mesti', 'mati', 'telkomsel', 'bertahun', 'setia', 'tpi', 'memuaskan', 'sinyal', 'jujur', 'terbaik', 'telkomsel', 'cuman', 'apk', 'telkomsel', 'buruk', 'maaf', '']</t>
  </si>
  <si>
    <t>['aplikasi', 'gangguan', 'susah', 'bukanya', 'sinyal', 'kenceng', 'buka', 'wifi', 'gangguan', 'tolong', 'perbaiki', 'aplikasinya']</t>
  </si>
  <si>
    <t>['login', 'gmn', 'ngecek', 'saldo', 'paketan', 'praktis', 'minggu', 'login', 'app', 'mimin', 'mohon', 'kejelasannya']</t>
  </si>
  <si>
    <t>['tolong', 'telkomsel', 'login', 'aplikasi', 'error', 'gimanasih', 'kartu', 'prlayananya', 'gini', 'kecewa', '']</t>
  </si>
  <si>
    <t>['buka', 'aplikasi', 'susahnya', 'ampun', 'signal', 'buka', 'youtobe', 'lancar', 'ajah', 'buka', 'aplikasi', 'ndak', 'keterangan', 'jaringan', 'setabil', 'wedeh', '']</t>
  </si>
  <si>
    <t>['kecewa', 'bangat', 'coba', 'update', 'kunci', 'sisa', 'pulsa', 'paket', 'data', 'habis', 'sedot', 'sisa', 'pulsa', 'kayak', 'aplikasi', 'axisnet', 'rugi', 'bangat', 'pulsa', 'pakai', 'telepon', 'habis', 'sedot', 'mohon', 'dengar', 'keluhan', 'terima', 'kasih']</t>
  </si>
  <si>
    <t>['aplikasi', 'ngga', 'udah', 'download', 'hapus', 'jaringan', 'susah', 'alasan', 'wifi', 'solusi', 'gua', 'beli', 'njirrrr']</t>
  </si>
  <si>
    <t>['download', 'aplikasi', 'erorx', 'kayak', 'jadwal', 'login', 'sinyal', 'kacau', 'pelanggan', 'kecewa']</t>
  </si>
  <si>
    <t>['topup', 'pulsa', 'via', 'mytelkomsel', 'saldo', 'linkaja', 'berkurang', 'pulsa', 'nggak', 'masuk', 'complain', 'jam', 'diproses', 'saldo', 'nggak', 'pulsa', 'nggak', 'bertambah', 'auto', 'uninstal', '']</t>
  </si>
  <si>
    <t>['aplikasi', 'bagus', 'kesini', 'buruk', 'masuk', 'aplikasi', 'gangguan', 'koneksi', 'mengulang', 'berkali', 'kali', 'tolong', 'perbaiki', 'lancar', 'trimakasih']</t>
  </si>
  <si>
    <t>['rame', 'kasih', 'bintang', 'yokk', 'bener', 'buka', 'appnya', 'kuota', 'kesedot', 'banget', 'nyedot', 'ukuran', 'aplikasinya', 'gede', 'saran', 'utamakan', 'kenyamanan', 'pelanggan', 'pengecekan', 'pembelian', 'kuota', 'min', 'kurangi', 'konten', 'promosi', 'aplikasi', 'khusus', 'promosi', '']</t>
  </si>
  <si>
    <t>['aplikasi', 'error', 'jaringan', 'suka', 'hilang', 'tolong', 'performanya', 'ditingkatkan', 'karna', 'provider', 'biaya', 'data', 'murah', 'berkelanjutan', 'merekomendasikan', 'operator', 'sebelah', 'murah', 'kualitas', 'kalah', '']</t>
  </si>
  <si>
    <t>['', 'telkomsel', 'something', 'went', 'wrong', 'please', 'try', 'again', 'after', 'sometime', 'muncul', 'perbaikan', 'sistem', 'aplikasi', 'jaringan', 'telkomsel', 'info', 'palanggan', 'kecewa', '']</t>
  </si>
  <si>
    <t>['mytelkomsel', 'susah', 'diakses', 'telkomsel', 'keluhan', 'disuruh', 'lapor', 'knp', 'elu', 'ngelapor', 'min', 'susahnya', 'tinggal', 'rating', 'turun', 'drastis', 'bnyak', 'keluhan']</t>
  </si>
  <si>
    <t>['sinyal', 'buruk', 'apk', 'aman', 'aman', 'cman', 'apk', 'bermsalah', 'sngat', 'puas', 'apk', 'ujan', 'angin', 'login', 'hapus', 'apk', 'playstore']</t>
  </si>
  <si>
    <t>['jaringan', 'jelek', 'banget', 'parah', 'sesuai', 'harga', 'harga', 'mahal', 'jaringan', 'jelek', 'syang', 'pelanggan', 'setia', 'langsung', 'perbaiki', 'kalaw', 'sinyalnya', 'jelek', 'bukanya', 'diemin']</t>
  </si>
  <si>
    <t>['aplikasi', 'telkomsel', 'login', 'tolong', 'bantu', 'login', 'muncul', 'something', 'went', 'wrong', 'please', 'try', 'again', 'after', 'sometimes']</t>
  </si>
  <si>
    <t>['', 'cepet', 'sinyalnya', 'kadang', 'susah', 'error', 'lelet', 'buka', 'aplikasi', 'error', 'kebuka', 'langsung', 'aplikasi', 'rusak', 'aplikasinya', 'sesuai', '']</t>
  </si>
  <si>
    <t>['disuruh', 'update', 'terooosss', 'koneksi', 'stabil', 'mulu', 'lemot', 'aplikasi', 'error', 'karuan', 'apanya', 'diupdate', 'aplikasi', 'sewajarnya', '']</t>
  </si>
  <si>
    <t>['jaringan', 'buruk', 'dunia', 'kuota', 'mahal', 'jaringan', 'pelayanannya', 'buruk', 'pulsa', 'hilang', 'dipakai', 'update', 'masuk', '']</t>
  </si>
  <si>
    <t>['maaf', 'kasih', 'jaringan', 'telkomsel', 'menentu', 'telkomsel', 'mengedepankan', 'kualitas', 'signal', 'apalgi', 'telkomsel', 'pakai', 'tolong', 'perhatikan', 'trimkasih']</t>
  </si>
  <si>
    <t>['tim', 'telkom', 'aplikasi', 'mytelkomsel', 'error', 'something', 'went', 'wrong', 'bla', 'bla', 'bla', 'pokoknya', 'tulisan', 'something', 'wrong', 'sisa', 'kouta', 'pulsa', 'terimah', 'kasih']</t>
  </si>
  <si>
    <t>['maaf', 'update', 'aplikasi', 'biaa', 'dibuka', 'putih', 'aplikasihnya', 'coba', 'buka', 'restart', 'buka', 'aplikasinya', '']</t>
  </si>
  <si>
    <t>['login', 'telkomsel', 'download', 'pemberitahuan', 'something', 'went', 'wrong', 'please', 'try', 'again', 'after', 'sometime', '']</t>
  </si>
  <si>
    <t>['gimana', 'telkomsel', 'dibuka', 'koneksi', 'mulu', 'peringatan', 'browsing', 'lohhh', 'beli', 'pulsa', 'bolak', 'beli', 'kuota', 'utama', 'pas', 'buka', 'telkomsel', 'koneksi', 'daily', 'check', 'udah', 'stamp', 'besok', 'pas', 'liat', 'daily', 'check']</t>
  </si>
  <si>
    <t>['sinyalnya', 'cepet', 'daerah', 'jakarta', 'timur', 'puas', 'banget', 'tanyak', 'aplikasi', 'telkomsel', 'login', 'nomer', 'solusi', '']</t>
  </si>
  <si>
    <t>['kebiasaan', 'kouta', 'abis', 'pas', 'buka', 'aplikasi', 'error', 'gimana', 'sampe', 'buka', 'udah', 'update']</t>
  </si>
  <si>
    <t>['kirain', 'log', 'grgr', 'belom', 'update', 'terbaru', 'taunya', 'emang', 'danta', 'aplikasinya', 'udah', 'update', 'ttep', 'log', 'down', 'gini', 'teh', 'telkomsel', '']</t>
  </si>
  <si>
    <t>['pagi', 'nggak', 'dibuka', 'aplikasinya', 'udah', 'uninstall', 'download', 'pas', 'masuk', 'konfirmasi', 'telpon', 'nggak', 'masuk', 'masuk', 'loading', 'doang', 'nggak', 'jalan', 'jalan', 'tolong', 'diperbaiki', 'batu', 'kali', 'kecewa', 'aplikasi']</t>
  </si>
  <si>
    <t>['bang', 'udah', 'cek', 'daily', 'telkomsel', 'stamp', 'kuota', 'jelek', 'menu', 'daily', 'check', 'hilang', 'udah', 'berkali', 'sabar', 'daily', 'check', 'gtu', 'ngulang', 'penipu', 'bang', '']</t>
  </si>
  <si>
    <t>['ancur', 'sinyal', 'buka', 'game', 'sinyal', 'stabil', 'buka', 'apk', 'telkomsel', 'doang', 'mahal', 'tpi', 'internet', 'ancur', 'payah', 'kecewa', 'bet', 'pindah', 'paket', 'murah', 'jaringan', 'stabil']</t>
  </si>
  <si>
    <t>['jaringan', 'bagus', 'buka', 'apknya', 'hapus', 'data', 'apknya', 'login', 'beli', 'paket', 'gamemax', 'jga', 'tolong', 'pencerahanya', '']</t>
  </si>
  <si>
    <t>['masuk', 'telkomsel', 'hapus', 'telkomsel', 'jelek', 'skr', 'pengguna', 'setia', 'telkomsel', 'pakai', 'kartu', 'halo', 'simpati', 'kecewa', '']</t>
  </si>
  <si>
    <t>['buruk', 'dibuka', 'telkomselnya', 'coba', 'aplikasi', 'browser', 'someting', 'wrong', 'gimana', 'telkomsel', 'mengecewakan', 'pakai', 'telkomsel', 'parah']</t>
  </si>
  <si>
    <t>['buka', 'mytelkomsel', 'uninstall', 'install', 'ulang', 'buka', 'harian', 'coba', 'kemarin', 'buka', 'pagi', 'harinya', 'hapus', 'install', 'ulang', '']</t>
  </si>
  <si>
    <t>['', 'edit', 'log', 'keterangan', 'something', 'went', 'wrong', 'please', 'try', 'again', 'after', 'sometime', 'mulu', 'jaring', 'pakai', 'tolong', 'perbaiki', '']</t>
  </si>
  <si>
    <t>['akses', 'aplikasi', 'eroor', 'mulu', 'update', 'berat', 'kayak', 'cuman', 'ganti', 'wallpaper', 'updatenya', 'kuota', 'dibawah', 'gb', 'akses', 'aplikasi', 'ayo', 'ditingkatkan', 'aplikasinya', 'kayak', 'operator', 'sebelah', 'minimal', 'operator', 'perusahaan', 'kakak', 'adiknya', 'masak', '']</t>
  </si>
  <si>
    <t>['sinyalnya', 'jelek', 'susah', 'internetan', 'ganti', 'pasca', 'bayar', 'kirain', 'lancar', 'ajj', 'kayak', 'simpati', 'kecewa', 'memuakkan', 'ganti', 'kartu', 'internetan', 'kayak', 'gini', 'bayar', 'beli', 'kuota', 'kartu', '']</t>
  </si>
  <si>
    <t>['cek', 'kuota', 'provider', 'luas', 'kenyataannya', 'ulasan', 'tanggapan', 'karna', 'provider', '']</t>
  </si>
  <si>
    <t>['sial', 'emang', 'udah', 'pakai', 'telkomsel', 'gini', 'login', 'login', 'lapor', 'kagak', 'nyambung', 'nyelesaikan', 'kecewa', 'banget', '']</t>
  </si>
  <si>
    <t>['buka', 'telkomsel', 'muncul', 'koneksi', 'stabil', 'refresh', 'jaringan', 'lancar', 'jaya', 'buka', 'aplikasi', 'oke', '']</t>
  </si>
  <si>
    <t>['kecewa', 'apk', 'erorr', 'login', 'restart', 'udah', 'force', 'close', 'udah', 'install', 'ulang', 'udah', 'login', 'parrahhhhhhhh', 'tolong', 'diperbaiki']</t>
  </si>
  <si>
    <t>['kurangi', 'bintangnya', 'kecewa', 'banget', 'telkomsel', 'aplikasinya', 'lambat', 'feed', 'tolong', 'disederhanakan', 'tampilannya', 'cek', 'pulsa', 'kuota', 'belanja', 'kuota', 'feed']</t>
  </si>
  <si>
    <t>['sinyalnya', 'buruk', 'parah', 'kecewa', 'kecewa', 'perubahan', 'pindah', 'mode', 'manual', 'otomatis', 'telkomsel', 'parah', '']</t>
  </si>
  <si>
    <t>['smenjak', 'siang', 'update', 'knp', 'masuk', 'kebuka', 'tolong', 'perbaiki', 'kasih', 'bintang', 'dlu', 'krna', 'kecewa', 'udh', 'masuk', 'kasih', 'bintang', '']</t>
  </si>
  <si>
    <t>['numpang', 'doank', 'mampir', 'komplain', 'knapa', 'login', 'app', 'mytlkomsel', 'pas', 'app', 'tekan', 'tombol', 'home', 'hilang', 'app', 'layar', '']</t>
  </si>
  <si>
    <t>['ribet', 'banget', 'login', 'udah', 'uninstal', 'instal', 'masuk', 'cobal', 'coba', 'terusssss', 'telkomsel', '']</t>
  </si>
  <si>
    <t>['developer', 'internet', 'melulu', 'pas', 'masuk', 'orang', 'kuota', 'something', 'wrong', 'try', 'again', 'sometime', 'gitu', 'mulu', 'capek']</t>
  </si>
  <si>
    <t>['login', 'app', 'susah', 'mengulang', 'kali', 'sampe', 'bete', 'wifi', 'data', 'cell', 'tolonglah', 'diperbaiki', '']</t>
  </si>
  <si>
    <t>['komplain', 'sinyal', 'jelek', 'paket', 'mahal', 'emang', 'gitu', 'paketnya', 'dimahalin', 'sinyal', 'kualitas', 'perbaikan', 'kemaren', 'masuk', 'sel', '']</t>
  </si>
  <si>
    <t>['aplikasi', 'urus', 'telkomsel', 'payah', 'aplikasi', 'sampah', 'sekelas', 'telkomsel', 'hati', 'hati', 'senasib', 'nokia', 'mayoritas', 'coment', 'negatif']</t>
  </si>
  <si>
    <t>['aplikasi', 'login', 'susah', 'something', 'was', 'wrong', 'udah', 'isi', 'bener', 'tetep', 'tulisan', 'kayak', 'gitu', 'jaringannya', 'buruk', 'trossss', 'maen', 'game', 'nga', 'lag', 'sampe', 'gerakkkk']</t>
  </si>
  <si>
    <t>['kesini', 'aplikasinya', 'pakai', 'internet', 'tsel', 'buka', 'aplikasi', 'telkomsel', 'sampek', 'erar', 'eror', 'mulu', 'cek', 'kuota', 'sampek', 'walah', '']</t>
  </si>
  <si>
    <t>['thn', 'telkomsel', 'kali', 'kecewa', 'telkomsel', 'kmrn', 'jaringan', 'lemot', 'banget', 'upload', 'dokumen', 'lemotnya', 'kebangetan', 'telkomsel', 'mohon', 'diperbaiki']</t>
  </si>
  <si>
    <t>['telkomsel', 'penggunanya', 'kecewa', 'engga', 'perubahan', 'kerjalah', 'serius', 'perbaiki', 'jaringan', 'udah', 'pengguna', 'pindah', 'sebelah', 'gara', 'jaringan', 'engga', 'perubahan']</t>
  </si>
  <si>
    <t>['sehabis', 'logout', 'login', 'apl', 'gimana', 'cek', 'quotanya', 'coba', 'pakai', 'apl', 'dialcall', 'mohon', 'maaf', 'turunkan', 'bintangnya', 'jaringan', 'seringkali', 'bermasalah']</t>
  </si>
  <si>
    <t>['maaf', 'ngasih', 'bintang', 'nggak', 'masuk', 'lagiii', 'something', 'went', 'wrong', 'combo', 'sakti', 'rb', 'gb', 'berubah', 'mohon', 'diperbaikik', 'diatas']</t>
  </si>
  <si>
    <t>['fitur', 'bagus', 'dibuka', 'pakai', 'wifi', 'loadingnya', 'coba', 'pakai', 'data', 'seluler', 'cepat', 'loadingnya', 'kecepatan', 'koneksi', 'sampe', 'kb', 'gitu', 'nyedot', 'kuota', 'gimana', 'isi', 'ulang', 'kuota', 'kuota', 'habis', 'pakai', 'wifi', 'coba', '']</t>
  </si>
  <si>
    <t>['', 'jelek', 'login', 'isa', 'server', 'aplikasi', 'down', 'gitu', 'kasih', 'pemberitahuan', 'sosmed', 'tuntut', 'tuntut', 'bener', 'mahal', 'lemot']</t>
  </si>
  <si>
    <t>['aplikasi', 'berat', 'banget', 'hape', 'udah', 'gitu', 'kadang', 'suka', 'error', 'mulu', 'beda', 'banget', 'aplikasi', 'provider', 'sebelah', 'ringan', 'diandalkan', '']</t>
  </si>
  <si>
    <t>['telkomsel', 'sinyal', 'internetnya', 'hilang', 'meeting', 'pakai', 'teams', 'ujug', 'disconnect', 'teman', 'diberbagai', 'daerah', 'mengalami', 'telkomsel', 'beda', 'terpaksa', 'beralih', 'kartu', 'app', 'log', 'pakai', 'sinyal', 'telkomsel', 'masuk', 'pakai', 'sinyal', 'kartu', 'masuk', 'masuk', 'heran', 'tolong', 'diperbaiki', 'pindah', '']</t>
  </si>
  <si>
    <t>['maksutnya', 'udah', 'diuninstal', 'instal', 'tetep', 'respon', 'something', 'wrent', 'hehhhh', 'maksutnya', 'apaaa', 'sinyal', 'eror', 'maksutnya', 'apaa', 'udah', 'mahal', 'fix', 'ganti', 'kartu']</t>
  </si>
  <si>
    <t>['kecewa', 'banget', 'masuk', 'login', 'masuk', 'masukan', 'nomor', 'telkomsel', 'login', 'ulang', 'parahnya', 'login', '']</t>
  </si>
  <si>
    <t>['perubahan', 'aplikasi', 'cacat', 'berkualitas', 'aplikasi', 'telkomsel', 'berat', 'aplikasi', 'cacat', 'berbohong', 'klaim', 'hadiah', 'check', 'berkualitas', '']</t>
  </si>
  <si>
    <t>['', 'jaringan', 'telkomsel', 'buka', 'aplikasi', 'telkomsel', 'app', 'jaringan', 'stabil', 'alhasil', 'login', 'aplikasi', 'jujur', 'solusi', 'standar', 'kaaaammmmppprrreeeettttt']</t>
  </si>
  <si>
    <t>['kesan', 'aplikasi', 'telkomsel', 'jaringan', 'terbaik', 'diindo', 'mengecewakan', 'sulit', 'login', 'membeli', 'paketan', 'terkomsel', 'pulsa', 'berkurang', 'membuka', 'aplikasi', 'telkomsel', 'memutuskan', 'ganti', 'provider']</t>
  </si>
  <si>
    <t>['sinyal', 'jelek', 'banget', 'kartu', 'keluaran', 'telkomsel', 'satunya', 'loop', 'gada', 'bagus', 'sinyal', 'kota', 'ampe', 'pinggiran', 'sinyal', 'jelek', 'udah', 'dalem', 'gedung', 'parah', 'banget', 'alasan', 'telkom', 'bagus', 'jelek', 'banget', 'sinyalnya', 'kuota', 'alhasil', 'ngandalin', 'wifi', '']</t>
  </si>
  <si>
    <t>['aplikasinya', 'nggak', 'banget', 'susah', 'loginnya', 'loading', 'banget', 'tergolong', 'berat', 'aplikasi', 'ringan', 'mohon', 'maaf', 'jujur', 'telkomsel', 'aplikasi', 'provider', 'sebelah', 'telkomselnya', 'sinyal', 'jelek', 'tinggal', 'desa', 'terpelosok', 'cari', 'sinyal', 'rumah', 'iya', 'sinyalnya', 'kehalang', 'plafon', 'genteng', 'rumah', 'harga', 'mahal', 'kualitasnya', 'sebanding', '']</t>
  </si>
  <si>
    <t>['aktifkan', 'paket', 'internet', 'reguler', 'jam', 'gb', 'tolong', 'penjelasan', 'telkomsel', 'terimakasih', '']</t>
  </si>
  <si>
    <t>['buka', 'beli', 'paket', 'malam', 'paket', 'combo', 'masalahx', 'telkomsel', 'ngaco', 'krg', 'coba', 'profider', 'udah', 'ganti', 'kartu', 'lok', 'gini', 'trus', 'telkomsel']</t>
  </si>
  <si>
    <t>['telkomsel', 'signal', 'full', 'buka', 'telkomsel', 'maen', 'game', 'stabil', 'kecewa']</t>
  </si>
  <si>
    <t>['semakiin', 'burukkk', 'mengecewakan', 'udh', 'langganan', 'huh', 'sinya', 'eror', 'ngam', 'login', 'app', 'telkomsel', 'mah', 'daftarin', 'paketan', 'emosi', 'giliran', 'daftar', 'udah', 'kepotong', 'paketan', 'ngak', 'masukk', 'meyebalkann', '']</t>
  </si>
  <si>
    <t>['jujur', 'sya', 'pengguna', 'telkomsel', 'kali', 'sya', 'sgt', 'kecewa', 'kendala', 'sinyal', 'bagus', 'mohon', 'perbaiki', 'jaringannya']</t>
  </si>
  <si>
    <t>['paket', 'habis', 'pas', 'beli', 'ehh', 'aplikasi', 'eror', 'koneksi', 'buruk', 'padalah', 'udah', 'wifi', 'rumah', 'pribadi', 'help', 'telkomsel', '']</t>
  </si>
  <si>
    <t>['membantu', 'pembelian', 'paket', 'data', 'internet', 'dipermudah', 'aplikasi', 'harga', 'paket', 'kuota', 'harga', 'bersaing', 'provider', 'terimakasih', '']</t>
  </si>
  <si>
    <t>['maaf', 'kurangi', 'sinyal', 'bagus', 'tetep', 'gakbs', 'buka', 'tolong', 'tanggapi', 'perbaiki', 'ktnya', 'ter', 'ter', 'indonesia', 'keluhan', 'konsumen', 'tanggapi', 'kecewalah', '']</t>
  </si>
  <si>
    <t>['jaringan', 'menurun', 'hpdi', 'kerja', 'keras', 'panas', 'karna', 'desa', 'kota', 'tabanan', 'denpasar', 'bener', 'kecewa', 'harga', 'lumayan', 'pesaing', 'kenyamanan', 'konsumen', 'prhtungkan', 'mohon', 'memperbaiki', 'trimakasi']</t>
  </si>
  <si>
    <t>['login', 'gagal', 'mulu', 'udah', 'cek', 'gagal', 'masuk', 'aduhhh', 'gimana', 'telkomsel', 'kesini', 'aneh', '']</t>
  </si>
  <si>
    <t>['kuota', 'habis', 'pulsa', 'tersisa', 'langsung', 'ludes', 'sepersekian', 'detik', 'semenit', 'pokoknyaa', 'langsung', 'ludes', 'fitur', 'pulsa', 'safe', 'mending', 'beli', 'kuota', 'bayar', 'pakek', 'pembayaran', 'online', 'pokoknya', '']</t>
  </si>
  <si>
    <t>['operator', 'telekomunikasi', 'terbesar', 'indonesia', 'kenyataannya', 'jaringan', 'sinyal', 'lelet', 'ping', 'stabil', 'dipakai', 'nge', 'game', 'auto', 'ping', 'merah', 'ms', 'sampah', 'aplikasi', 'tsel', 'tdak', 'terbuka', 'harga', 'paket', 'data', 'mahal', 'situ', 'serius', 'operator', 'terbesar', 'plat', 'merah', 'malu', 'in']</t>
  </si>
  <si>
    <t>['aplikasi', 'jelek', 'banget', 'kadang', 'buka', 'udah', 'nunggu', 'tetep', 'sinyal', 'bagus', 'pulsa', 'ilang', 'konfirmasi', 'kadang', 'jaringan', 'down', 'gua', 'ganti', 'operator', 'main', 'kaya', 'gin', '']</t>
  </si>
  <si>
    <t>['halo', 'telkomsel', 'aplikasi', 'telkomsel', 'bermasalah', 'menerus', 'login', 'knapa', 'mohon', 'penjelasannya', 'udah', 'pengguna', 'telkomsel']</t>
  </si>
  <si>
    <t>['kesekian', 'kalinya', 'install', 'uninstall', 'aplikasi', 'bingung', 'kali', 'masuk', 'akun', 'masuk', 'coba', 'pakai', 'sms', 'terima', 'smsnya', 'signal', 'melemah', 'tolong', 'diperbaiki', 'cust', 'nyaman', 'thanks']</t>
  </si>
  <si>
    <t>['versi', 'mengerti', 'tujuan', 'maksud', 'aplikasi', 'terupdate', 'disaat', 'aplikasi', 'loading', 'takdapat', 'terbuka', 'normal', '']</t>
  </si>
  <si>
    <t>['login', 'aplikasi', 'udah', 'masukin', 'nomer', 'gagal', 'verifikasi', 'udah', 'hapus', 'aplikasi', 'udah', 'install', 'tetep', 'udah', 'pasang', 'copot', 'aplikasi', 'kali', 'tetep']</t>
  </si>
  <si>
    <t>['wey', 'lapet', 'ndak', 'masuk', 'app', 'telkomsel', 'udah', 'uinstall', 'ndak', 'sinyal', 'bagus', 'niat', 'ndak', 'app', '']</t>
  </si>
  <si>
    <t>['mengecewakan', 'membuka', 'aplikasi', 'muncul', 'koneksi', 'internet', 'stabil', 'main', 'game', 'lancar', 'bingung', 'cek', 'kuota', 'gimana', '']</t>
  </si>
  <si>
    <t>['kecewa', 'aplikasi', 'karna', 'proses', 'aplikasi', 'lemot', 'error', 'update', 'macet', 'udah', 'kek', 'gini', 'perbaiki', 'tolong', 'percepat', 'prosesnya', 'gausah', 'muter', 'muter']</t>
  </si>
  <si>
    <t>['gue', 'edit', 'telkomsel', 'berulah', 'jaringannya', 'lelet', 'beli', 'paket', 'mahal', 'mahal', 'internet', 'connection', 'habis', 'aplikasinya', 'error', 'masuk', 'something', 'went', 'wrong', 'please', 'try', 'again', 'later', 'pokoknya', 'kesel', 'bet', 'buang', 'buang', 'uang', '']</t>
  </si>
  <si>
    <t>['', 'telkomsel', 'aplikasinya', 'musiman', 'kadang', 'lancar', 'kadang', 'lola', 'kaya', 'produk', 'rusak', 'gitu', 'signal', 'telkomsel', 'stabil', 'pas', 'hujan', 'terkenal', 'kartu', 'highclass', 'skrg', 'mah', 'udh', 'jeroannya', 'kek', 'bgini', 'highclass', 'tolong', 'perbaiki', '']</t>
  </si>
  <si>
    <t>['jelek', 'banget', 'aplikasi', 'registrasi', 'data', 'jaringan', 'lancar', 'keterangannya', 'jaringan', 'bermasalah', 'coba', 'apl', 'nda', 'beli', 'paket', 'omg', 'astafiruloh', 'apl', 'orang', 'kaya', 'kah', 'papua', 'tersiksa', 'beli', 'data', 'mahal', 'beli', 'paket', 'indosat', 'smartfren', 'dll', 'telkomsel', 'dimahalin', 'astafiruloh', 'dimana', 'keadilan', '']</t>
  </si>
  <si>
    <t>['try', 'again', 'try', 'again', 'mulu', 'aplikaai', 'udah', 'updet', 'tpi', 'try', 'agan', 'sinyal', 'game', 'youtube', 'lancar', 'tpi', 'buka', 'telkomsel', 'try', 'again', 'rusak', 'kali', 'alikasinya', 'min', '']</t>
  </si>
  <si>
    <t>['apalah', 'kirim', 'gift', 'telkom', 'bayar', 'shopeepay', 'saldo', 'potong', 'pulsanya', 'masuk', 'proses', 'bolak', 'suruh', 'suruh', 'lakuin', 'skrg', 'masuk', 'pulsa', 'ribet', 'telkomsel', 'permudah']</t>
  </si>
  <si>
    <t>['berharap', 'telkomsel', 'keluasan', 'penguna', 'menukar', 'poin', 'bentuk', 'apapun', 'penukaran', 'poin', 'saldo', 'link', 'semoga', 'telkomsel', 'maju', 'apalah', 'poin', 'tukarkan', 'terkena', 'batas', 'limit', 'sekian', 'terimakasih']</t>
  </si>
  <si>
    <t>['sgt', 'disayangkan', 'pemilik', 'pelanggan', 'terbesar', 'pelayanannya', 'pengguna', 'paket', 'internet', 'telpon', 'expired', 'sms', 'expired', 'sms', 'berkali', 'kali', 'konyol', 'pulsa', 'dicaplok', 'pdhal', 'paket', 'pencurian', 'tenggang', 'hrsnya', 'paket', 'berhenti', 'dinyatakan', 'selesai', '']</t>
  </si>
  <si>
    <t>['kecewa', 'banget', 'dimana', 'kartu', 'telkomsel', 'lupa', 'taruh', 'dimana', 'lapor', 'kartunya', 'udah', 'melewati', 'tenggang', 'kartu', 'sekli', 'sms', 'otomatis', 'memperpanjang', 'aktif', 'ndk', 'trus', 'dialihkan', 'prabayar', 'karna', 'cantik', 'kali', '']</t>
  </si>
  <si>
    <t>['cek', 'kuota', 'berat', 'banget', 'loadingnya', 'aplikasi', 'enteng', 'pas', 'dibuka', 'kadang', 'suka', 'logout', 'appsnya', 'pas', 'masuk', 'login', 'ulang', 'verifikasi', 'ulang', 'cek', 'sisa', 'data', 'tap', 'muncul', 'kerangan', 'koneksi', 'stabil', 'aplikasi', 'berjalan', 'mulus', 'jaringan', 'udah', 'gitu', 'pas', 'diclose', 'eror', 'halaman', 'utama', 'apps', 'udah', 'update']</t>
  </si>
  <si>
    <t>['telkomsel', 'kemaren', 'buka', 'ngecek', 'kouta', 'data', 'pulsa', 'appk', 'telkomsel', 'udah', 'apded', 'play', 'stor', 'mohon', 'bantu']</t>
  </si>
  <si>
    <t>['nggak', 'jls', 'update', 'susah', 'login', 'udh', 'jaringan', 'koneksi', 'stabil', 'walah', 'perbaiki', 'paket', 'gb', 'masak', 'koneksi', 'stabil', 'jhancok']</t>
  </si>
  <si>
    <t>['masuk', 'eror', 'males', 'apk', 'mempermudah', 'mlh', 'konslet', 'otak', 'perbaiki', 'sampe', 'bsk', 'ganti', 'operator', 'laen', 'titik', '']</t>
  </si>
  <si>
    <t>['jaringan', 'buruk', 'disulawesi', 'tenggara', 'kuita', 'mahal', 'komplen', 'paket', 'darurat', 'aktif', 'mengaktifkanya', 'bahaya', 'telkomsel', 'mencuri', 'pulsa', 'pelanggan']</t>
  </si>
  <si>
    <t>['', 'banget', 'apk', 'kuota', 'sinyal', 'kenceng', 'apk', 'update', 'dibilang', 'jaringan', 'moga', 'perbaikin', 'kek', 'gini', 'jdi', 'nyaman', 'pke', 'mytelkomsel']</t>
  </si>
  <si>
    <t>['ios', 'android', 'abis', 'update', 'dipake', 'login', 'perusahaan', 'selular', 'terbesar', 'indonesia', 'klaimnya', 'aplikasi', 'alakadarnya', 'hayolah', 'telkomsel', '']</t>
  </si>
  <si>
    <t>['bagus', 'update', 'aplikasi', 'jelek', 'tbah', 'bagus', 'masuk', 'perkataan', 'something', 'wrong', 'try', 'again', 'emang', 'apanya', 'salah', 'update', 'udh', 'pulsa', 'trs', 'apanya', 'salah', 'pokoknya', 'kecewa', 'aplikasi', 'mohon', 'diperbaiki', '']</t>
  </si>
  <si>
    <t>['kecewa', 'banget', 'telkomsel', 'buka', 'jaringan', 'bagus', 'kendala', 'suruh', 'coba', 'kecewa', 'banget', 'mohon', 'perbaiki', 'terima', 'kasih', '']</t>
  </si>
  <si>
    <t>['aplikasi', 'telkomsel', 'eror', 'ngecek', 'status', 'pulsa', 'data', 'paket', 'internet', 'eror', 'sinyal', 'sulit', 'pusat', 'kota', 'tasik', 'kurangi', 'bintangnya', 'perbaikan', 'pelanggan', 'pelanggan', 'setia', 'telkomsel', 'mempertimbangkan', 'beralih', '']</t>
  </si>
  <si>
    <t>['min', 'login', 'login', 'kartu', 'pindah', 'upaya', 'login', 'gagal', 'aplikasi', 'telkomsel', 'download', 'ulang', 'tolong', 'respon', 'min', 'kecewa', 'terima', 'kasih']</t>
  </si>
  <si>
    <t>['bloon', 'banget', 'siih', 'pakai', 'mytelkomsel', 'cek', 'paket', 'data', 'login', 'pengguna', 'giliran', 'masukin', 'terdaftar', 'nyesel', 'pakai', 'mytelkomsel', 'perbaiki', '']</t>
  </si>
  <si>
    <t>['pemakain', 'bertahun', 'sinyal', 'buruk', 'rasanyamau', 'pindah', 'langganan', 'udah', 'minggu', 'sinyal', 'parah', 'perbaiki', 'minggu', 'sinyal', 'buruk', 'pindah', 'langganan']</t>
  </si>
  <si>
    <t>['masuk', 'aplikasi', 'loading', 'teruuuuusss', 'tulisan', 'koneksi', 'stabil', 'internet', 'wifi', 'lancar', 'aplikasi', 'dihapus', 'login', 'ulang', 'error', 'kecewa', 'pakai', 'aplikasi', 'mending', 'indosat']</t>
  </si>
  <si>
    <t>['maaf', 'turunin', 'ratingnya', 'masuk', 'aplikasinya', 'masuk', 'notif', 'something', 'wrong', 'masuk', 'update', 'koneksinya', 'oke', 'coba', 'masuk', 'wifi', 'kuota', 'data', 'tetep', 'masuk', 'udah', 'coba', 'unistal', 'pasang', 'tetep', 'masuk', 'tolong', 'solusinya', 'secepatnya', 'developer', '']</t>
  </si>
  <si>
    <t>['asli', 'perusahaan', 'negri', 'kualitas', 'buka', 'appnya', 'jelek', 'coba', 'pakai', 'wifi', 'dampak', 'perusahaan', 'kebanyakan', 'dikorupsi', 'bagus', 'hancur', 'pantasnya', 'usaha', 'kualitas', 'barang', 'bagus', '']</t>
  </si>
  <si>
    <t>['aplikasi', 'sinyalnya', 'sinyal', 'aplikasi', 'barusan', 'update', 'dibuka', 'tetep', 'putih', 'doank', 'niat', 'aplikasi', 'hapus', 'aplikasinya', 'ngapain', 'aplikasi']</t>
  </si>
  <si>
    <t>['knp', 'tiyap', 'buka', 'app', 'telkomsel', 'sulit', 'banget', 'ganguan', 'kah', 'pdhl', 'tyap', 'paket', 'slalu', 'ambil', 'rb', 'perbulan']</t>
  </si>
  <si>
    <t>['kartu', 'sinyal', 'langsung', 'jelek', 'beli', 'kartu', 'bagus', 'jelek', 'bosan', 'ganti', 'kartu', 'tolong', 'solusinya', 'kecewakan', 'konsumen', '']</t>
  </si>
  <si>
    <t>['paket', 'internet', 'mahal', 'gua', 'pelanggan', 'setia', 'telkomsel', 'udah', 'thn', 'kesini', 'mahal', 'njing', 'paket', 'internet', 'mahal', 'turun', 'turun', 'ganti', 'kartu', 'indosat', 'paketannya', 'murah', 'murah', 'emang', 'sinyalnya', 'gapapa', 'mahal']</t>
  </si>
  <si>
    <t>['telkomsel', 'trobelnya', 'udah', 'mahal', 'trobel', 'disesuaikan', 'kualitas', 'harga', 'berbanding', 'terbalik', 'parahnya', 'respon', 'perbaikan', 'sekian', 'komplain', '']</t>
  </si>
  <si>
    <t>['astaga', 'telkomsel', 'mahal', 'sinyalnya', 'lelet', 'sinyal', 'orang', 'plosok', 'towernya', 'dibelakang', 'rumah', 'apn', 'udh', 'diganti', 'jaringan', 'ama', 'kaya', 'plosok', 'tolong', 'donk', 'tingkatin', 'kayak', 'gara', 'gara', 'dihack', 'orang', 'dimurahin', 'dimurahin', 'sinyalnya', 'keganggu', 'pindah', '']</t>
  </si>
  <si>
    <t>['log', 'saha', 'something', 'wrong', 'mengganggu', 'karna', 'membeli', 'kuota', 'mengecek', 'kuota', '']</t>
  </si>
  <si>
    <t>['hello', 'mytelkomsel', 'kena', 'covid', 'kah', 'jaringan', 'telkom', 'lemot', 'buka', 'aplikasinya', 'stuck', 'loading', 'simple', 'ribet', 'promo', 'kaga', 'lancar', 'tolong', 'diperbaiki', 'secepatnya', 'terimakasih', '']</t>
  </si>
  <si>
    <t>['susah', 'buka', 'aplikasi', 'sinyal', 'down', 'nge', 'loading', 'aplikasi', 'buka', 'aplikasi', 'lancar', 'aplikasi', 'telkomsel', 'rutin', 'update', 'tolong', 'perbaiki', 'susah', 'cek', 'kuota', 'pulsa', 'buka', 'aplikasi', 'loading']</t>
  </si>
  <si>
    <t>['aplikasi', 'buka', 'jaringan', 'error', 'mohon', 'perbaiki', 'pengguna', 'hallo', 'mengontrol', 'pemakaian', 'biaya', 'telp', 'kuota', '']</t>
  </si>
  <si>
    <t>['login', 'nda', 'sihh', 'udah', 'pakai', 'apk', 'masuk', 'pas', 'masuk', 'tolong', 'solusinya', 'bantu', '']</t>
  </si>
  <si>
    <t>['aplikasi', 'telkomsel', 'membeli', 'paket', 'internet', 'coba', 'dicoba', 'logout', 'login', '']</t>
  </si>
  <si>
    <t>['aplikasinya', 'koq', 'susah', 'akses', 'aneh', 'cek', 'paket', 'kuota', 'disitu', 'tertulis', 'gb', 'knp', 'langsung', 'habis', 'pemakaian', 'normal', 'buka', 'aplikasi', 'aplikas', 'akses', 'malas', 'konfirmasi', 'lhaah', 'kecewa', 'telkomsel', 'koq', '']</t>
  </si>
  <si>
    <t>['bertambah', 'aplikasi', 'mytelkomsel', 'komentar', 'buruk', 'bener', 'aplikasi', 'mytelkomsel', 'tolol', 'parah', '']</t>
  </si>
  <si>
    <t>['aplikasi', 'dibuka', 'tolong', 'dipercepat', 'peningkatan', 'sistemnya', 'isi', 'paket', 'disana', 'harganya', 'masuk', 'akal', 'direktur', 'astra']</t>
  </si>
  <si>
    <t>['kesini', 'katro', 'aplikasi', 'logout', 'giliran', 'login', 'error', 'verifikasi', 'sms', 'kadang', 'detek', '']</t>
  </si>
  <si>
    <t>['tsel', 'provider', 'bangga', 'karna', 'kecepatannya', 'semenjak', 'korona', 'tsel', 'lemot', 'kesini', 'parah', 'sinyalnya', 'cek', 'kuota', 'aps', 'telkomsel', 'gabisa', 'udah', 'kaya', 'gitu', 'karna', 'sinyalnya', 'lemah', 'ngerti', 'kaya', 'gitu', 'gini', 'modelnya', 'males', 'provider', 'cengkareng', 'jakbar', '']</t>
  </si>
  <si>
    <t>['masuk', 'nomor', 'udah', 'bener', 'nomor', 'udah', 'hapus', 'aplikasi', 'telkomsel', 'udah', 'emang']</t>
  </si>
  <si>
    <t>['please', 'aplikasi', 'berat', 'banget', 'udah', 'kaya', 'pubg', 'orang', 'ganti', 'error', 'aplikasi', 'baca', 'review', 'komplain', 'ganti', 'orang', '']</t>
  </si>
  <si>
    <t>['dear', 'developer', 'apk', 'buka', 'aplikasi', 'someting', 'went', 'wrong', 'please', 'try', 'agan', 'later', 'speed', 'jalan', 'kbps', 'apk', 'update', 'terbaru', 'gitu', 'maunya', 'bangke', 'emang']</t>
  </si>
  <si>
    <t>['unistal', 'enam', 'kali', 'download', 'hapus', 'download', 'apk', 'dibuka', 'gimna', 'ngecheck', 'sisa', 'kuota', 'beli', 'paketan', 'emang', 'download', 'apk', 'data', 'sungguh']</t>
  </si>
  <si>
    <t>['simpati', 'sinyal', 'anjim', 'anjim', 'banget', 'jelek', 'ampun', 'tolong', 'laporan', 'keluhan', 'kunjung', 'perbaiki', 'sinyal', 'kaya', 'gini', 'pas', 'kebakaran', 'tempo', 'sinyal', 'mah', 'keluhan', 'ancurrrr', '']</t>
  </si>
  <si>
    <t>['izin', 'keluhan', 'telkomsel', 'tolong', 'login', 'akun', 'memakai', 'aplikasi', 'masak', 'coba', 'login', 'sistem', 'sibuk', 'menerus', 'terimakasih', 'perhatian']</t>
  </si>
  <si>
    <t>['min', 'beli', 'paket', 'combo', 'sakti', 'ngak', 'notif', 'gangguan', 'sinyal', 'dsb', 'beli', 'paket', 'coba', 'berulang', 'kali', 'coba', 'paket', 'omg', '']</t>
  </si>
  <si>
    <t>['operator', 'sinyal', 'jelek', 'trus', 'kecewa', 'udh', 'kuotanya', 'mahal', 'download', 'aplikasi', 'beli', 'kuota', 'kecewa', 'banget', 'beli', 'pulsa', 'potong', '']</t>
  </si>
  <si>
    <t>['bln', 'beli', 'paketan', 'unlimited', 'kuota', 'utama', 'habis', 'buka', 'aplikasi', 'wesing', 'pengguna', 'aplikasi', 'kecewa', '']</t>
  </si>
  <si>
    <t>['log', 'nomor', 'sya', 'beli', 'kartu', 'maksudnya', 'ngecek', 'paketan', 'app', 'mytelkomsel', 'ajah', 'kecewa', 'banget', 'telkomsel', 'ngerampas', 'duit', 'orang', 'trus', 'gonta', 'ganti', 'kartu', 'trus', 'update', 'log', '']</t>
  </si>
  <si>
    <t>['beta', 'udah', 'penuh', 'maksudnya', 'gue', 'buka', 'telkomsel', 'knpa', 'tolong', 'telkomsel', 'mohon', 'buka', 'telkomsel', 'lagipas', 'buka', 'muncul', 'something', 'wrong', 'gue', 'hapus', 'instal', 'telkomsel', 'ehh', 'pas', 'buka', 'login', 'trus', 'gue', 'baca', 'playstore', 'tulisan', 'telkomsel', 'tulisan', 'program', 'beta', 'penuh', 'tolong', 'mksudnya', 'program', 'beta', 'penuh', 'abis', 'make', 'aplikasi', 'telkomsel', 'tolong']</t>
  </si>
  <si>
    <t>['bli', 'paket', 'telkomsel', 'buka', 'telkomsel', 'slalu', 'jaringan', 'delete', 'trus', 'download', 'tetep', 'data', 'habis', 'pulsa', 'udh', 'keisi', 'takut', 'pulsa', 'sedot', 'tolong', 'pencerahanya', 'kaka']</t>
  </si>
  <si>
    <t>['kasih', 'bintang', 'karna', 'org', 'baikk', 'telkom', 'knp', 'error', 'mulu', 'pas', 'buka', 'aplikasi', 'something', 'wet', 'wrong', 'apalah', 'sinyal', 'lancar', 'coba', 'sadar', 'hidupin', 'dataaa', '']</t>
  </si>
  <si>
    <t>['habis', 'diupdate', 'error', 'dibuka', 'jaringan', 'lelet', 'parah', 'hujan', 'dikit', 'mati', 'lampu', 'lelet', 'langsung', 'jaringan', 'edge', 'udah', 'harga', 'paket', 'mahal', 'kualitas', 'jaringan', 'bobrok', 'mending', 'pindah', 'operator', 'sebelah', 'gini', '']</t>
  </si>
  <si>
    <t>['kirain', 'doang', 'ngerasa', 'sinyalnya', 'ancur', 'pengguna', 'beda', 'promo', 'beda', 'harga', 'utamain', 'pengguna', 'lupakan', '']</t>
  </si>
  <si>
    <t>['aplikasi', 'lemot', 'internet', 'lambat', 'gitu', 'sisa', 'paket', 'unlimited', 'gabisa', 'diakses', 'parah', 'soak']</t>
  </si>
  <si>
    <t>['poin', 'sekrang', 'tinggal', 'kosong', 'ntah', 'kemana', 'perginya', 'marah', 'ketawain', 'pindah', 'indihome', 'daerah', 'terjangkau', 'indihome', 'telkomsel', 'mahal', 'iya', 'kualitas', 'jaringan', '']</t>
  </si>
  <si>
    <t>['knpa', 'dri', 'kmrn', 'pasang', 'paket', 'disney', 'hostar', 'gangguan', 'sistem', 'mao', 'sampe', 'gangguan', 'sistem', 'coba', 'pasang', 'paket', 'tlg', 'cepat', 'perbaiki', 'karyawan']</t>
  </si>
  <si>
    <t>['aplikasi', 'dibukak', 'koneksi', 'stabil', 'refresh', 'berkali', 'kali', 'masak', 'plus', 'jga', 'gitu', 'wifi', 'speed', 'mbps', 'gjg', 'mending', 'versi', 'pakai', 'gaming', 'udah', 'lelet', 'perbaiki', 'user', 'pindah', 'provider', 'sebelah']</t>
  </si>
  <si>
    <t>['error', 'beli', 'telkomsel', 'error', 'ulasan', 'apk', 'bagus', 'mohon', 'aplikator', 'merespon', 'perbaiki', 'kendalanya', '']</t>
  </si>
  <si>
    <t>['operator', 'telkomsel', 'tolong', 'perbaiki', 'deh', 'buka', 'telkomsel', 'tulisan', 'unstable', 'connection', 'click', 'refresh', 'udah', 'refresh', 'sinyal', 'lancar', 'why', 'please', 'fix', 'again', '']</t>
  </si>
  <si>
    <t>['jari', 'pegal', 'masuk', 'suruh', 'tutup', 'aplikasi', 'aplikasinya', 'lambat', 'respon', 'man', 'duit', 'uda', 'masuk', 'linkaja', 'signal', 'lancar', 'susah', 'masuk', 'aplikasi', 'tolong', 'perbaiki', 'thank', '']</t>
  </si>
  <si>
    <t>['aplikasi', 'telkomsel', 'fair', 'disaat', 'bonus', 'chek', 'harian', 'dibuka', 'error', 'timbang', 'buang', 'data', 'uninstal', 'aplikasinya', 'beres', 'habis', 'perkara', 'fair', 'gitu', '']</t>
  </si>
  <si>
    <t>['telkomsel', 'eror', 'kah', 'kali', 'beli', 'paket', 'saldo', 'bnyak', 'beli', 'paket', '']</t>
  </si>
  <si>
    <t>['eror', 'telkomsel', 'sampe', 'bersihin', 'data', 'aplikasi', 'uninstal', 'instal', 'ttp', 'eror', 'transaksi', 'susah', 'ribet', 'eror', '']</t>
  </si>
  <si>
    <t>['sulit', 'masuk', 'akun', 'telkomsel', 'udah', 'masukin', 'slalu', 'tertulis', 'something', 'wrong', 'bbrpa', 'kali', 'instal', 'ulang', 'ttp', 'telkomsel', 'mudah', 'beli', 'paket', 'data', 'ribet', 'telkomsel']</t>
  </si>
  <si>
    <t>['pas', 'buka', 'aplikasi', 'pulsa', 'terpotong', 'pulsa', 'beli', 'paketan', 'combo', 'sakti', 'akibat', 'pemberitahuan', 'update', 'aplikasi', 'pas', 'data', 'hidup', 'nungguin', 'apknya', 'bermasalah', 'menguras', 'data', 'apk', 'update', 'huuu']</t>
  </si>
  <si>
    <t>['buka', 'telkomsel', 'error', 'trus', 'dri', 'kmarin', 'perbaikan', 'gmana', 'cek', 'kuota', 'susah', 'beli', 'paket', 'susah', 'tolonglah', 'perbaiki']</t>
  </si>
  <si>
    <t>['aplikasi', 'telkomsel', 'login', 'update', 'versi', 'terbaru', 'login', 'gangguan', 'koneksi', 'internet', 'tolong', 'diperbaiki', 'aplikasi', 'telkomsel']</t>
  </si>
  <si>
    <t>['pindah', 'instal', 'apk', 'mytelkomsel', 'login', 'udah', 'bener', 'sinyal', 'aman', 'apk', 'terbaru', 'gabisa', 'login', 'tulisannya', 'somthing', 'whent', 'mulu', '']</t>
  </si>
  <si>
    <t>['jaringan', 'telkomsel', 'buruk', 'paketnya', 'mahal', 'jaringan', 'buruk', 'jaringan', 'plus', 'jaringannya', 'buruk', 'beli', 'paket', 'ganti', 'smartfren', 'jaringannya', 'stabil', 'paketnya', 'murah', 'pertahanin', 'diturunin', 'untung', 'gitu', 'pingin', 'untung', 'buntung', 'entar', '']</t>
  </si>
  <si>
    <t>['kecewa', 'barusan', 'update', 'apk', 'mytelkomsel', 'masuk', 'udah', 'uninstal', 'instal', 'masuk', 'apk', 'gima', 'kecewa', 'bener', '']</t>
  </si>
  <si>
    <t>['tolong', 'perbaiki', 'tingkatin', 'kadang', 'jaringan', 'bagus', 'susah', 'masuk', 'bkan', 'susah', 'emang', 'masuk', 'apk', 'promo', 'mnyluruh', 'pilih', 'kasih', 'org', 'iri', 'harga', 'paket', 'skrang', 'tolong', 'jngn', 'sperti', 'terusss']</t>
  </si>
  <si>
    <t>['diupdate', 'jelek', 'beli', 'pulsa', 'membeli', 'paket', 'pulsa', 'habis', 'tinggal', 'seribu', 'berhenti', 'berlangganan', 'telkomsel']</t>
  </si>
  <si>
    <t>['permisi', 'minn', 'niat', 'sya', 'pakek', 'telkom', 'jaringannya', 'enak', 'cepet', 'daerah', 'aplikasinya', 'yaampunnn', 'ngeselin', 'parah', 'buka', 'aplikasi', 'tulisan', 'something', 'wrong', 'please', 'check', 'later', 'cuman', 'liat', 'paket', 'tinggal', 'susah', 'pakek', 'aplikasi', 'aplikasi', 'diperbarui', 'jelek', 'minn', 'tolong', 'diperbaiki', 'aplikasinya', 'alhamdulillah', 'sya', 'udah', 'pakek', 'telkomsel', 'jengkel', 'aplikasinya', 'susah', 'masuk', '']</t>
  </si>
  <si>
    <t>['app', 'berguna', 'banget', 'beli', 'data', 'combo', 'sakti', 'menghemat', 'banget', 'error', 'gabisa', 'masuk', 'udah', 'isi', 'pulsa', 'niatnya', 'beli', 'paket', 'data', 'gabisa', 'masuk', 'taulah']</t>
  </si>
  <si>
    <t>['beli', 'tambahan', 'kuota', 'aplikasi', 'telkomsel', 'gangguan', 'pelanggan', 'kartu', 'hallo', 'signal', 'kenceng', 'sejagad', 'raya', 'kecewa', 'skali']</t>
  </si>
  <si>
    <t>['speed', 'internetnya', 'stabil', 'layaknya', 'saran', 'harga', 'paket', 'internet', 'dinaikin', 'speed', 'internetnya', 'stabil', 'harga', 'paket', 'internetnya', 'murah', 'tpi', 'speednya', 'stabil', '']</t>
  </si>
  <si>
    <t>['', 'jaringan', 'mengalami', 'kendala', 'error', 'cek', 'pulsa', 'kuota', 'mobile', 'banking', 'aplikasi', 'koneksi', 'telkomsel', 'mengalami', 'error', 'tolong', 'perbaiki', 'error']</t>
  </si>
  <si>
    <t>['buka', 'app', 'tsel', 'coba', 'berkala', 'gagal', 'jam', 'normal', 'lancar', 'kecewanya', 'nomornya', 'dipasang', 'pulsa', 'kesedot', 'suruh', 'hub', 'bot', '']</t>
  </si>
  <si>
    <t>['pagi', 'beli', 'kuota', 'internet', 'mytelkomsel', 'keterangan', 'system', 'error', 'occured', 'kuotaku', 'uda', 'tinggal', 'mb', 'rencana', 'pergi', 'rumah', 'sakit', 'ngga', 'kuota', 'abis', 'jalan', 'gmn', 'pesen', 'ojol', 'hmm', 'skg', 'logout', 'mytelkomsel', 'login', 'uda', 'waduuuhh', '']</t>
  </si>
  <si>
    <t>['singyal', 'digit', 'digit', 'buka', 'youtube', 'support', 'game', 'gini', 'aktivitas', 'susah', 'plis', 'respond', '']</t>
  </si>
  <si>
    <t>['', 'ngerti', 'sumpah', 'isi', 'pulsa', 'kuota', 'unlimited', 'langsung', 'deh', 'beli', 'pulsa', 'beli', 'kuota', 'unlimited', 'ehh', 'pulsa', 'masuk', 'kuota', 'unlimited', 'hilang', 'kemana', 'banget', 'gituloh', 'pas', 'promo', 'kuota', 'murah', 'ilang', 'pas', 'beli', 'buka', 'apknya', 'tulisan', 'kesalahan', 'jaringan', 'coba', 'kecewa', 'bet']</t>
  </si>
  <si>
    <t>['susah', 'banget', 'login', 'udh', 'kemarin', 'pulsa', 'nggak', 'masuk', 'pas', 'belanja', 'telkomsel', 'kecewa', 'banget', 'jaringan', 'bagus', 'login', 'susah', '']</t>
  </si>
  <si>
    <t>['jaringan', 'telkomsel', 'gangguan', 'log', 'aplikasi', 'beli', 'kuota', 'gangguan', 'bayar', 'mahal', 'terpaksa', 'pindah', 'jaringan', 'kecewa', 'tolong', 'diperbaiki', '']</t>
  </si>
  <si>
    <t>['haduuuuh', 'telokomsel', 'buka', 'udah', 'restart', 'mulu', 'udah', 'jaringan', 'telkomsel', 'terkadang', 'hilang', 'kecewa', 'telkomsel', '']</t>
  </si>
  <si>
    <t>['min', 'telkomsel', 'sayaa', 'beli', 'paket', 'min', 'bacaan', 'coba', 'cek', 'koneksi', 'jaringan', 'jaringan', 'full', 'paket', 'gmna', 'min', 'udah', 'internet', 'min', 'knpaa', 'yaa', 'kalii', 'lohh', 'kecewa', 'beli', 'paket', '']</t>
  </si>
  <si>
    <t>['benerin', 'sinyal', 'mudah', 'tower', 'nyawa', 'taruhan', 'maap', 'risih', 'telkomsel', 'kalah', 'provider', 'telkomsel', 'lelet', 'provider', 'lancar', 'rodanya', 'berputar', 'sabar', 'pengguna']</t>
  </si>
  <si>
    <t>['paket', 'unlimited', 'tik', 'tok', 'maxstream', 'dll', 'nggk', 'kepake', 'cuman', 'gimana', 'unlimited', 'tersedia', 'maxstream', 'coba', 'nonton', 'disney', 'hotsar', 'nggk', 'gimana']</t>
  </si>
  <si>
    <t>['diawal', 'bagus', 'uda', 'haru', 'gabisa', 'dipake', 'uninstall', 'install', 'ttep', 'gabisa', 'aneh', 'pdhl', 'sisa', 'pulsa', 'trs', 'isi', 'pulsa', 'gapake', 'aplikasi', 'msti', 'uda', 'auto', 'apk']</t>
  </si>
  <si>
    <t>['aplikasi', 'unfaedah', 'pengguna', 'telkomsel', 'aplikasi', 'dibuka', 'error', 'tukar', 'poin', 'saldo', 'link', 'ditukar', 'voucher', 'belanja', 'sampah', 'langsung', 'php']</t>
  </si>
  <si>
    <t>['boss', 'sinyal', 'telkomsel', 'jelek', 'desa', 'terpencil', 'biaya', 'paket', 'mahal', 'provider', 'memakai', 'jasa', 'provider', 'provider', 'buka', 'telkomsel', 'sinyal', 'udah', 'boss', 'udah', 'restart', 'berulang', 'hasilnya']</t>
  </si>
  <si>
    <t>['', 'telkomsel', 'banggakan', 'pemakai', 'telkomsel', 'bangga', 'desa', 'keburukan', 'jaringan', 'anehnya', 'kota', 'parah', 'tolong', 'perbaikannya', 'karna', 'pemakainnya', 'telkomsel', 'indo', 'tolong', 'jatuhkan', 'reting', 'karna', 'kecewa', '']</t>
  </si>
  <si>
    <t>['login', 'susah', 'jaringan', 'jarang', 'stabil', 'main', 'game', 'tolong', 'benahi', 'buru', 'pasang', 'game', 'jaman', 'esport', 'stabilkan', 'jaringan', 'terima', 'kasih', '']</t>
  </si>
  <si>
    <t>['signal', 'buruk', 'aplikasi', 'telkomsel', 'dibuka', 'pindah', 'pascabayar', 'afa', 'prioritas', 'signal', 'buruk', '']</t>
  </si>
  <si>
    <t>['upgrade', 'log', 'aplikasi', 'berkali', 'kali', 'instal', 'ulang', 'aplikasi', 'tolong', 'perbaiki', 'membeli', 'paket', 'aplikasi', 'thank', 'you']</t>
  </si>
  <si>
    <t>['gila', 'payah', 'aplikasi', 'pas', 'buka', 'aplikasi', 'muncul', 'dibilang', 'jaringan', 'stabil', 'wifi', 'jaringan', 'bagus', 'cek', 'cepet', 'telfon', 'banding', 'aplikasi', 'ngapain', 'aplikasi', '']</t>
  </si>
  <si>
    <t>['weh', 'napa', 'apps', 'beli', 'paket', 'iya', 'sklinya', 'beli', 'cmn', 'megabit', 'sec', 'skrg', 'parahnya', 'bsa', 'download', 'sumpah', 'tilep', 'duit', 'negara', 'gmna', 'paket', 'isinya', 'mahal', 'smua']</t>
  </si>
  <si>
    <t>['aplikasi', 'burik', 'situ', 'perusahan', 'kaya', 'aplikasi', 'gini', 'becus', 'error', 'error', 'hapus', 'instal', 'sabda', 'beginiian', 'something', 'went', 'wrong', 'please', 'try', 'again', 'after', 'sometime', 'pakai', 'giniian', 'monyet', '']</t>
  </si>
  <si>
    <t>['aplikasinya', 'ngecek', 'sisa', 'kuota', 'interner', 'nunggu', 'menit', 'kelar', 'tpi', 'buka', 'google', 'discord', 'game', 'iya', 'sampel', 'kepotong', 'pulsa', 'gue', 'gagal', 'cek', 'internet', 'heran']</t>
  </si>
  <si>
    <t>['kali', 'masuk', 'kendala', 'sinyal', 'jaringan', 'stabil', 'youtube', 'lancar', 'login', 'mytsel', 'udah', 'diupdate', 'emosi', 'ngebug', 'gimana', 'min', '']</t>
  </si>
  <si>
    <t>['membeli', 'paket', 'aplikasi', 'login', 'tulisan', 'something', 'went', 'wrong', 'mohon', 'dibantu']</t>
  </si>
  <si>
    <t>['bener', 'simpati', 'pengguna', 'simpati', 'sampe', 'ganti', 'nomor', 'tetep', 'milih', 'simpati', 'skrg', 'kacau', 'masuk', 'mytelkomsel', 'beli', 'paket', 'ngabisin', 'pulsa', 'rb', 'doang', 'masuk', 'kaga', 'kecewa']</t>
  </si>
  <si>
    <t>['apk', 'busuk', 'nmr', 'login', 'udah', 'jaringan', 'turun', 'merugikan', 'kualitas', 'receh', 'harga', 'selangit', 'telkomsel', 'tua', 'berkembang', 'merugikan', 'orang', '']</t>
  </si>
  <si>
    <t>['something', 'wrong', 'please', 'try', 'again', 'after', 'sometimes', 'hape', 'busuk', 'app', 'telkomselnya', 'busuk', 'pindah', 'hape', 'login', 'app', 'nnti', 'dikomplen', 'bilangnya', 'gangguan', 'kah', 'bambank', '']</t>
  </si>
  <si>
    <t>['parah', 'telkomsel', 'kemarin', 'beli', 'kuota', 'coba', 'uninstall', 'trus', 'install', 'ulang', 'pas', 'masuk', 'parah', 'sinyal', 'bagus', 'perbaikin', 'pelanggan', 'kesal', '']</t>
  </si>
  <si>
    <t>['kesini', 'app', 'beres', 'deh', 'login', 'butuh', 'berhari', 'gagal', 'plis', 'dibenerin', 'mempermudah', 'emosi', 'penggunanya', '']</t>
  </si>
  <si>
    <t>['aplikasi', 'login', 'aplikasi', 'takut', 'rugi', 'langsung', 'suruh', 'pengguna', 'beli', 'paket', 'ngasih', 'harga', 'murah', 'mytelkomsel', 'buka', 'nyesel', 'instal', '']</t>
  </si>
  <si>
    <t>['telkomsel', 'buka', 'alasanya', 'jaringannya', 'buka', 'apk', 'lancar', 'tolong', 'gimana', '']</t>
  </si>
  <si>
    <t>['koq', 'susah', 'siih', 'buka', 'inii', 'apps', 'update', 'udah', 'buka', 'kuota', 'data', 'udah', 'coba', 'wifi', 'udah', 'tulisannya', 'koneksi', 'stabil', 'gimanaa', 'siih', 'telkomsel', '']</t>
  </si>
  <si>
    <t>['tolong', 'diperbaiki', 'udah', 'kuota', 'wifi', 'buka', 'apknya', 'tulisannya', 'koneksi', 'eror', 'sinyal', 'lancar', 'banget', 'coba', 'youtube', 'bisaa', 'gimana', 'besok', 'sekolah', '']</t>
  </si>
  <si>
    <t>['telkomsel', 'terhormat', 'aplikasinya', 'nggak', 'buka', 'kemarin', 'lancar', 'lancar', 'jaringannya', 'suka', 'jelek', 'tolong', 'dengarkan', 'keluh', 'kesah', 'pengguna', 'telkomsel', 'perbaiki', 'rusak', 'telkomsel', 'pengguna', 'puas']</t>
  </si>
  <si>
    <t>['aplikasi', 'login', 'pop', 'something', 'went', 'wrong', 'please', 'try', 'again', 'after', 'sometime', 'udah', 'mah', 'jaringan', 'busuk', 'ditambah', 'aplikasinya', 'bl', 'tolong', 'pelayanan', 'ditingkatin', 'diturunin', 'gini', 'pelanggan', 'kapok', 'bl', '']</t>
  </si>
  <si>
    <t>['kecewa', 'login', 'error', 'cek', 'paket', 'embel', 'embel', 'kaya', 'ringkes', 'intinya', 'kecewa', 'area', 'maluku', 'utara', 'operator', 'telkomsel', 'itupun', 'jaringan', 'jarang', 'bagus', 'main', 'game', 'lancar']</t>
  </si>
  <si>
    <t>['kecewa', 'aplikasi', 'mytelkomsel', 'dimuat', 'ulang', 'sinyal', 'bagus', 'daily', 'check', '']</t>
  </si>
  <si>
    <t>['masuk', 'trus', 'daftar', 'pakai', 'klu', 'dwonload', 'aplikasi', 'telkomsel', 'pulsa', 'rb', 'udah', 'dwonload', 'masuk', 'pulsa', 'kecewa']</t>
  </si>
  <si>
    <t>['aplikasi', 'mytelkomsel', 'loading', 'halaman', 'home', 'coba', 'instal', 'ulang', 'login', 'buka', 'aplikasi', 'mytelkomsel', 'kecepatan', 'internetnya', 'mb', 'mytelkomsel', 'aktifkan', 'mohon', 'infonya', '']</t>
  </si>
  <si>
    <t>['aduh', 'login', 'suka', 'tulisan', 'something', 'when', 'wrong', 'please', 'try', 'again', 'after', 'sometime', 'udah', 'kaya', 'gitu', 'nunggu', 'coba', 'aduhhhh']</t>
  </si>
  <si>
    <t>['aplikasi', 'engga', 'berfungsi', 'hapus', 'aplikasi', 'eror', 'aneh', 'provider', 'ternama', 'pelayanan', 'pengguna', 'gratis', 'lho', 'parah', 'ganti', 'axiata']</t>
  </si>
  <si>
    <t>['beli', 'pulsa', 'top', 'gagal', 'udah', 'konek', 'akun', 'google', 'game', 'pdahal', 'pulsa', 'harga', 'voucher', 'pulsa', 'tolong', 'solusi', 'kasih', 'pulsa', 'harga', 'voucher', 'tulisan', 'emng', 'beli', 'kuota', 'doang', 'pulsa', '']</t>
  </si>
  <si>
    <t>['apk', 'trlkomsel', 'kebuka', 'login', 'masuk', 'dri', 'kemarin', 'tolong', 'coba', 'diperbaiki', 'update', 'masuk', '']</t>
  </si>
  <si>
    <t>['dri', 'tanggal', 'januari', 'error', 'melulu', 'aplikasi', 'check', 'ntar', 'giliran', 'udah', 'notifikasi', 'maaf', 'check', 'terlewat', 'aneh', 'gini', 'buka', 'aplikasi', 'lancar', 'knpa', 'telkomsel', 'notif', 'jaringan', 'stabil', '']</t>
  </si>
  <si>
    <t>['gimana', 'yaa', 'udah', 'coba', 'uninstall', 'install', 'tetep', 'masuk', 'apliaksinya', 'yaa', 'payah', 'bener', 'something', 'wrong', 'something', 'wrong', 'deh']</t>
  </si>
  <si>
    <t>['kecewa', 'ditawari', 'suruh', 'ganti', 'kartu', 'hallo', 'prabayar', 'login', 'dimy', 'telkomsel', 'tolong', 'diperbaiki', 'update', 'rantingnya']</t>
  </si>
  <si>
    <t>['jaringannya', 'aplikasinya', 'masuk', 'jaringan', 'lelet', 'syukur', 'masuk', 'seharian', 'nunggu', 'intinya', 'jaringan', 'aplikasi', 'jaringan', 'hancur', 'jaringan', 'pindah', 'jaringan', '']</t>
  </si>
  <si>
    <t>['aplikasinya', 'kadang', 'kadang', 'buka', 'pas', 'masuk', 'trus', 'kali', 'kirim', 'link', 'masuk', 'masuk', 'chek', 'trus', 'pas', 'ambil', 'bonus', 'kuota', 'error', 'trus', 'tulisan', 'masuk', 'aplikasi', '']</t>
  </si>
  <si>
    <t>['aplikasi', 'beli', 'paket', 'susah', 'coba', 'hapus', 'trus', 'download', 'login', 'tulisan', 'something', 'went', 'wrong', 'please', 'try', 'againt', 'after', 'sometime', 'udh', 'dicoba', 'brapa', 'kali', 'apk', 'taiii', '']</t>
  </si>
  <si>
    <t>['kecewa', 'masuk', 'karna', 'jaringan', 'terusan', 'eror', 'beli', 'pulsa', 'membeli', 'paketan', 'disney', 'tolong', 'perbaiki']</t>
  </si>
  <si>
    <t>['login', 'please', 'check', 'your', 'connection', 'mulu', 'tes', 'aplikasi', 'lancar', 'streaming', 'lancar', 'mohon', 'perbaiki']</t>
  </si>
  <si>
    <t>['aplikasinya', 'suka', 'close', 'kecewa', 'sinyal', 'udah', 'bertaon', 'taon', 'sinyal', 'telkomsel', 'knp', 'kacau', '']</t>
  </si>
  <si>
    <t>['aplikasi', 'buka', 'aplikasinya', 'tulisan', 'koneksi', 'stabil', 'silahkan', 'coba', 'jaringan', 'bagus', 'dipakai', 'youtube', 'lancar', 'update', 'mohon', 'perbaikannya', 'pls', 'kayak', 'gini']</t>
  </si>
  <si>
    <t>['masuk', 'aplikasi', 'telkomsel', 'uninstal', 'instal', 'ulang', 'update', 'masuk', 'pakai', 'nomor', 'telfon', 'mengecewakan', '']</t>
  </si>
  <si>
    <t>['kecewa', 'peforma', 'sms', 'hotoffer', 'pulsa', 'terisi', 'paket', 'dibeli', 'informasi', 'mengeceeakan', 'pelanggan', 'harga', 'mahal', 'pelayanan', '']</t>
  </si>
  <si>
    <t>['perbaiki', 'aplikasi', 'login', 'jaringan', 'jelek', 'woo', 'jaringan', 'telkomsel', 'udah', 'bagus', 'login', 'perusahaan', 'sampe', 'lelet', 'gini', 'penanganannya', 'adehch', 'kecewa', 'berat', '']</t>
  </si>
  <si>
    <t>['sinyalnya', 'buruk', 'kadang', 'kadang', 'ilang', 'lho', 'kesel', 'kecewa', 'banget', 'udah', 'mahal', 'jaringannya', 'kecewa', 'banget', 'telkomsel', 'app', 'buka', 'pdhal', 'sinyal', 'full', '']</t>
  </si>
  <si>
    <t>['kecewa', 'telkomsel', 'ngeluarin', 'applikasi', 'support', 'jaringannya', 'parah', 'parah', 'parah', 'tanda', 'telkomsel', 'pelanggan', 'kecewa', 'kehilangan', 'pelanggan', 'perbaiki', '']</t>
  </si>
  <si>
    <t>['barusan', 'membeli', 'paket', 'data', 'aplikasi', 'mytelkomsel', 'eror', 'mohon', 'diperbaiki', 'apanya', 'bermasalah', 'pengguna', 'telkomsel', 'kali', 'beli', 'terima', 'kasih', 'perhatiannya', 'semoga', 'ngk', 'eror']</t>
  </si>
  <si>
    <t>['', 'ampun', 'kali', 'aplikasi', 'telkomsel', 'gangguan', 'ngapa', 'ngapain', 'error', 'instal', 'ulang', 'ckckck', 'udah', '']</t>
  </si>
  <si>
    <t>['aplikasinya', 'dibuka', 'udah', 'isi', 'pulsa', 'sia', 'beli', 'paketan', 'disesuaikan', 'harga', 'kualitas', 'layanan', 'mahal', 'emg', 'bagus', 'udah', 'mahal', 'lemot', 'error', 'mohon', 'diperbaiki']</t>
  </si>
  <si>
    <t>['habis', 'pembaharuan', 'login', 'sich', 'payah', 'paketan', 'habis', 'cepat', 'diperbaiki', 'uninstal', 'download', 'laya', 'gini', 'mending', 'pindah', 'operator', 'seluler']</t>
  </si>
  <si>
    <t>['kecewaaaa', 'jaringan', 'lelet', 'ufh', 'mahal', 'lelet', 'pernh', 'kaya', 'gini', 'kali', 'dikecewakan', 'telkomsel', 'makasiih', 'yaa', 'buang', 'kartu', 'ganti', 'teman', 'udh', 'ganti', 'udh', 'telkomsel', 'telkomsel', 'buurruukkk', '']</t>
  </si>
  <si>
    <t>['aplikasi', 'telkomsel', 'dipake', 'tbtb', 'logout', 'login', 'gagal', 'internet', 'paket', 'internet', 'sinyal', 'lancar', 'login', 'aplikasi', 'gagal', 'gimana', 'donk', '']</t>
  </si>
  <si>
    <t>['kelogout', 'pas', 'login', 'ulang', 'tulisan', 'something', 'went', 'wrong', 'coba', 'intinya', 'disuruh', 'login', 'ntar', 'udah', 'sehari', 'sampe', 'uninstall', 'ulang', 'tetep', 'gitu', 'heran', 'udah', 'paket', 'beda', 'menit', 'doang', '']</t>
  </si>
  <si>
    <t>['login', 'masuk', 'aplikasi', 'udah', 'uninstal', 'instal', 'tetep', 'login']</t>
  </si>
  <si>
    <t>['adlh', 'pelanggan', 'telkomsel', 'lumayan', 'jaringan', 'telkomsel', 'knp', 'ancur', 'sinyal', 'knp', 'internet', 'lelet', 'telkomsel', 'lempar', 'sono', 'tolong', 'perbaiki', 'jaringan']</t>
  </si>
  <si>
    <t>['aplikasi', 'eror', 'freeze', 'slalu', 'disconect', 'data', 'full', 'tolong', 'developer', 'fix', 'bug', 'device', 'oppo', '']</t>
  </si>
  <si>
    <t>['signal', 'buruk', 'stabil', 'banget', 'kena', 'ujan', 'down', 'kena', 'angin', 'down', 'bagus', 'menang', 'mahal', 'kuota', 'kuota', 'jebakan', 'laporan', 'admin', 'telkomsel', 'mendengar', 'bualan', 'kosong', 'ganti', 'smarfren']</t>
  </si>
  <si>
    <t>['sinyal', 'hilang', 'timbul', 'dilapor', 'siveronika', 'balas', 'bot', 'mulu', 'ditelpn', 'csnya', 'perubahan', 'mengecewakan', 'sekelas', 'telkomsel', 'perbaikannya', '']</t>
  </si>
  <si>
    <t>['perbaiki', 'sistemnya', 'beli', 'paket', 'pemberitahun', 'maaf', 'gangguan', 'sistem', 'perbaikan', 'lambat', 'pagi', 'butuh', 'paket', 'keperluan', 'kerja']</t>
  </si>
  <si>
    <t>['login', 'masukan', 'nomor', 'masuk', 'aplikasi', 'tolong', 'respon', 'kecewa', 'banget', 'dahh']</t>
  </si>
  <si>
    <t>['voucher', 'telkomsel', 'beli', 'dimasukkan', 'kartu', 'aktif', 'coba', 'hubungi', 'telkomsel', 'menunggu', 'bermenit', 'tlpn', 'diputus', 'gimana', '']</t>
  </si>
  <si>
    <t>['aplikasi', 'error', 'melulu', 'update', 'diperhatikan', 'diupdate', 'bener', 'error', 'provider', '']</t>
  </si>
  <si>
    <t>['hei', 'makan', 'gaji', 'buta', 'aplikasimu', 'nggak', 'buka', 'verifikasi', 'nomor', 'login', 'pelanggan', 'telkomsel', 'kecewa', '']</t>
  </si>
  <si>
    <t>['sinyak', 'lemot', 'ngelebihin', 'kartu', 'tri', 'apk', 'mytelkomsel', 'eror', 'perbaikan', 'untun', 'wilayah', 'metro', 'lampung', 'woy', 'kota', 'pormo', 'paket', 'murah', 'jga', 'sinyal', 'lemot', '']</t>
  </si>
  <si>
    <t>['parah', 'perbaikan', 'buka', 'aplikasi', 'internetnya', 'lancar', 'jaya', 'aplikasi', 'maaf', 'gangguan', 'sistem', 'cek', 'koneksi', 'ulangi', 'transaksi', '']</t>
  </si>
  <si>
    <t>['app', 'kebuka', 'kuota', 'jalan', 'berat', 'buka', 'emosi', 'rencana', 'beli', 'kuota', 'isi', 'pulsa', 'beli', 'kuota', 'pas', 'beli', 'kuota', 'pulsa', 'disuruh', 'pakai', 'mode', 'pembayaran', 'anjim', 'sia', 'pulsa', 'jim', '']</t>
  </si>
  <si>
    <t>['mengecewakan', 'masuk', 'telkomsel', 'susah', 'beli', 'paket', 'sesuai', 'harga', 'tertera', 'notifikasi', 'sms', 'telkomsel']</t>
  </si>
  <si>
    <t>['peringkat', 'platinum', 'keuntungan', 'boong', 'parah', 'mahal', 'pilihan', 'paket', 'fitur', 'omg', 'unlimited', 'udh', '']</t>
  </si>
  <si>
    <t>['kecewaaaaaaa', 'ampun', 'aplikasi', 'lemot', 'ram', 'gb', 'promo', 'ngasih', 'menu', 'hot', 'offer', 'sesuai', 'diberitahu', 'sms', '']</t>
  </si>
  <si>
    <t>['knapa', 'masuk', 'akun', 'sulit', 'pket', 'data', 'sulit', 'masuk', 'akun', 'tolong', 'perbaiki', 'pelanggan', 'kecewa', 'akun', 'anjink']</t>
  </si>
  <si>
    <t>['lemot', 'loading', 'mulu', 'aplikasi', 'ringan', 'makan', 'kuota', 'buka', 'halaman', 'berat', 'close', 'otomatis', 'berjalan', 'latar', '']</t>
  </si>
  <si>
    <t>['aplikasi', 'pakai', 'buka', 'koneksi', 'internet', 'stabil', 'download', 'kecepatan', 'internet', 'mb', 'parah', 'telkomsel', 'tolong', 'perbaiki', 'aplikasi', 'telkomsel', 'min']</t>
  </si>
  <si>
    <t>['membuka', 'aplikasi', 'data', 'loading', 'kbps', 'loading', 'bercanda', 'aplikasi', 'jaringan', 'sistem', 'bobrok', 'pelanggan', 'telkomsel', 'promo', 'paket', 'murah', 'mahal', 'mahal', 'mahal', 'kemana', 'paket', 'darurat', 'kemana', 'sistem', 'point', 'gunanya', 'point', 'ditukar', 'apapun', 'ditukar', 'undian']</t>
  </si>
  <si>
    <t>['apk', 'update', 'log', 'nomer', 'terdaftar', 'ganti', 'mencoba', 'log', 'dngn', 'log', 'nasib', 'poin', 'gimana', 'update', 'pengguna', 'telkomsel', 'tpi', 'log', 'aplikasi', 'telkomsel', 'susah', 'alias', 'mending', 'update', 'simple', 'memudahkan', '']</t>
  </si>
  <si>
    <t>['hai', 'telkomsel', 'kabarmu', 'doakan', 'cerita', 'masuk', 'telkomsel', 'gangguan', 'tolong', 'kasih', 'pengganggu', 'jalan', 'masuk', 'tolong', 'singkirkan', 'pengganggu', 'menghadapi', 'tolong', 'hubungi', 'hadapi', 'pengganggu', 'oke', '']</t>
  </si>
  <si>
    <t>['kecewa', 'langganan', 'paketnya', 'dinaikin', 'harganya', 'gila', 'mahal', 'mending', 'sinyal', 'kencang', 'down', 'game', 'lag', 'ping', 'turun', 'kalah', 'kompetitor', 'indosat', 'paketan', 'murah', 'stabil', 'kecewa', 'pelanggan', 'telkomsel', 'kecewa', 'beralih', '']</t>
  </si>
  <si>
    <t>['beli', 'kuota', 'gagal', 'alasannya', 'sinyal', 'udh', 'coba', 'uninstal', 'instal', 'pas', 'masuk', 'telkomsel', 'alesan', 'sinyal', 'nonton', 'youtube', 'lancar', 'kocak', 'aplikasi', 'masuk', 'aplikasi', 'jelek', 'udah', 'kayak', 'masuk', 'deep', 'web', 'nyusahin']</t>
  </si>
  <si>
    <t>['ngecek', 'kuota', 'susah', 'padalah', 'aplikasinya', 'udah', 'sampe', 'versi', 'masuk', 'koneksi', 'buruk', 'aolikasi', 'lainya', 'lancar', 'buka', 'aplikasinya']</t>
  </si>
  <si>
    <t>['tolong', 'bantuanaya', 'kanapa', 'daftar', 'aplikasi', 'telkomsel', 'pas', 'udah', 'masukin', 'telpon', 'klik', 'lanjuatkan', 'gagal', 'coba']</t>
  </si>
  <si>
    <t>['parah', 'telkomsel', 'jaringan', 'uda', 'stabil', 'leletnya', 'ampun', 'login', 'aplikasi', 'susah', 'uda', 'wifi', 'payah', 'kali', 'masuknya', 'kecewa', 'bos', '']</t>
  </si>
  <si>
    <t>['aplikasinya', 'bagus', 'ter', 'log', 'out', 'akun', 'log', 'berulang', 'kali', 'mencoba', 'keuntungan', 'aplikasi', 'menarik', 'sayangnya', 'pengembangan', 'aplikasi', 'buruk', '']</t>
  </si>
  <si>
    <t>['paket', 'boros', 'mahal', 'susah', 'login', 'aplikasi', 'telkomsel', 'data', 'aplikasi', 'sesuai', 'tertera', 'gb', 'dpt', 'sms', 'kuota', 'habis', 'telkomsel', '']</t>
  </si>
  <si>
    <t>['isi', 'paket', 'tanggal', 'aktif', 'tanggal', 'ceritanya', 'mengikuti', 'tanggal', 'isi', 'paket', 'buka', 'apk', 'ngga', '']</t>
  </si>
  <si>
    <t>['pas', 'update', 'aplikasi', 'pas', 'masuk', 'nunggu', 'tunggu', 'masuk', 'tolong', 'tanggapi', 'yahh']</t>
  </si>
  <si>
    <t>['mengecewakan', 'akun', 'sya', 'kluar', 'login', 'ulang', 'kartu', 'bermasalah', 'applikasinya', 'eror', 'kartu', 'dipakai', 'telfon', 'internetan', 'erorr', 'tolong', 'perbaiki', 'hadeehhh', '']</t>
  </si>
  <si>
    <t>['something', 'went', 'wrong', 'mulu', 'tulisannya', 'beli', 'paket', 'data', 'kesel', 'jaringan', 'udah', 'direfresh', 'semoga', 'cepat', 'membaik', 'kasih', 'bintang']</t>
  </si>
  <si>
    <t>['knpa', 'dri', 'sya', 'daftar', 'paket', 'nda', 'tembus', 'system', 'eror', 'mulu', 'knpa', 'plis', 'karna', 'pagi', 'sya', 'daftar', '']</t>
  </si>
  <si>
    <t>['min', 'terbantu', 'jaringan', 'telkomsel', 'tibatiba', 'jaringan', 'sinyal', 'hilang', 'gangguan', 'menyebabkan', 'jaringan', 'terputus', 'status', 'jaringan', 'silang', 'mohon', 'bantuannya', 'yaa', 'terimakasih']</t>
  </si>
  <si>
    <t>['tolong', 'knp', 'masuk', 'membeli', 'kuota', 'jaringan', 'lancar', 'nge', 'lag', 'telkomsel', 'tolong', 'perbaiki', 'kesalahan', 'tolong', 'telkomsel', 'mengambalikan', 'jaringan', 'terimakasih']</t>
  </si>
  <si>
    <t>['ngerti', 'telkomsel', 'buruk', 'pelayanan', 'membuka', 'aplikasinya', 'pakai', 'wifi', 'pelayanan', 'salah', 'perusahaan', 'operator', 'terbesar', 'indonesia', 'mengecewakan', '']</t>
  </si>
  <si>
    <t>['', 'telkomsel', 'parah', 'daftar', 'masuk', 'nggak', 'daftar', 'masuk', 'merugikan', 'ekonomis', 'cobalah', 'dipercepat', 'fleksibel', 'berdaya', 'saing', 'ekonomis', 'klu', 'asik', 'bermasalah', 'kayak', 'gini', 'majunya', '']</t>
  </si>
  <si>
    <t>['terimakasih', 'telkomsel', 'membetulkan', 'aplikasi', 'berkat', 'membeli', 'kuota', 'unlimited', 'youtube', 'menonton', 'kompetisi', 'mlbb', 'semangat', 'kontingen', 'indonesia', 'rrq', 'hoshi', 'alter', 'ego', 'vivarrq']</t>
  </si>
  <si>
    <t>['', 'allah', 'aplikasi', 'susah', 'banget', 'buka', 'ampe', 'bolak', 'uninstall', 'bilangnya', 'koneksi', 'stabil', 'buka', 'app', 'lancar', 'coba', 'deh', 'dibenerin', '']</t>
  </si>
  <si>
    <t>['buka', 'tsel', 'kesalahan', 'info', 'tlg', 'diperbaiki', 'udah', 'mahal', 'signal', 'lelet', 'pelayanan', 'brooo']</t>
  </si>
  <si>
    <t>['tinggalkan', 'telkomsel', 'sinyal', 'aplikasi', 'jelek', 'buka', 'aplikas', 'check', 'kouta', 'something', 'wrong', 'maksud', 'udh', 'bubar', 'provider', 'telmkomsel', 'bagus', 'kartu', 'sinyal', 'stabil', 'enak', 'kaya', 'telkomsel', 'main', 'game', 'kuning', 'jaringan', 'maksud', 'ancur', 'udh', 'mah', 'paket', 'mahal', 'jelek', 'fakta', '']</t>
  </si>
  <si>
    <t>['kali', 'login', 'telkomsel', 'eror', 'lapor', 'nomor', 'masukan', 'nomor', 'masukan']</t>
  </si>
  <si>
    <t>['kecewa', 'telkomsel', 'skrg', 'nonton', 'yutub', 'streaming', 'lancar', 'kadang', 'suka', 'lag', 'main', 'game', 'online', 'mlbb', 'bentar', 'lag', 'nyaman', 'sinyal', 'telkomsel', 'skrg', 'mengecewakan', 'sinyalnya', 'perubahan', 'sinyal', 'kuat', 'perbaiki', 'komentar']</t>
  </si>
  <si>
    <t>['ulasan', 'login', 'aplikasi', 'telkomsel', 'mohon', 'perbaikan', 'berulang', 'kali', 'login', 'login']</t>
  </si>
  <si>
    <t>['masukkan', 'nmor', 'aplikasi', 'yagg', 'beres', 'coba', 'udh', 'coba', 'bsa', 'smpai', 'skrang', 'mohon', 'bntuan', 'kak']</t>
  </si>
  <si>
    <t>['pakai', 'skrg', 'error', 'buka', 'dihapus', 'download', 'ulang', 'masuk', 'aplikasinya', 'kacau', '']</t>
  </si>
  <si>
    <t>['kecewa', 'login', 'pulsa', 'kesedot', 'paket', 'buka', 'pas', 'log', 'jaringan', 'aneh']</t>
  </si>
  <si>
    <t>['ngisi', 'pulsa', 'cepek', 'trus', 'beli', 'combo', 'gb', 'trus', 'sisanya', 'rb', 'kesini', 'ngga', 'dipake', 'ntar', 'sisa', 'saldo', 'noooolll', 'penasaran', 'berkurang', 'gimana', 'kurangnya', 'angka', 'penuh', 'penuh', 'perak', 'langsung', 'rb', 'kemano', 'nian', 'peginyo', 'saldo']</t>
  </si>
  <si>
    <t>['buka', 'aplikasinya', 'telkomsel', 'mesti', 'kayak', 'eror', 'gitu', 'udah', 'beli', 'paket', 'data', 'mesti', 'masuk', 'aplikasi', 'telkomsel', 'tolong', 'kak']</t>
  </si>
  <si>
    <t>['telkomsel', 'nggak', 'nyaman', 'mahal', 'jaringan', 'nyaman', 'koneksi', 'slalu', 'setabill', 'udah', 'konci', 'jaringan', 'nggak', 'perubahan', 'kasi', 'bintang', 'baca', 'udah', 'bertahun', 'pakek', 'telkomsel', 'kecewa', 'koneksi', 'setabil', 'mahal', '']</t>
  </si>
  <si>
    <t>['jaringan', 'lelet', 'aplikasi', 'telkomsel', 'dibuka', 'telkomsel', 'terbelakang', 'provider', 'komenan', 'org', 'balas', 'bot', 'admin']</t>
  </si>
  <si>
    <t>['dibuka', 'aplikasinya', 'coba', 'jaringan', 'bagus', 'update', 'udah', 'bersihin', 'cache', 'hape', 'udah', 'udah', 'dibuka']</t>
  </si>
  <si>
    <t>['hank', 'aplikasi', 'butuh', 'banget', 'maaf', 'kak', 'bla', 'bla', 'bla', 'bla', 'terserahlah', 'sampe', 'hank']</t>
  </si>
  <si>
    <t>['paket', 'mahal', 'sinyal', 'jelek', 'telkom', 'bagus', 'sinyalnya', 'kadang', 'beli', 'paket', 'kuota', 'gagal', 'masuk', 'app', 'telkom', 'kadang', 'tolong', 'perbaiki', 'gini', 'mending', 'pindah', 'kartu']</t>
  </si>
  <si>
    <t>['bagus', 'praktis', 'mudah', 'beli', 'kuota', 'dll', 'cmn', 'sllu', 'bermasalah', 'jaringan', 'internet', 'buka', 'app', 'tsel', 'jaringan', 'kuotaa', 'bagus', 'jaringan', 'bagus', 'kebuka', 'mohon', 'perbaikannya', 'terima', 'kasih']</t>
  </si>
  <si>
    <t>['sinyal', 'susah', 'lelet', 'buka', 'telkomsel', 'susah', 'ampun', 'tolong', 'perbaiki', 'telkomsel', 'sesulit']</t>
  </si>
  <si>
    <t>['', 'error', 'gimama', 'min', 'smlm', 'masuk', 'aplikasi', 'reload', 'mulu', 'data', 'selular', 'wifi', 'error', 'suruh', 'reload', 'mulu', 'min', 'nyuruh', 'kirim', 'email', 'email']</t>
  </si>
  <si>
    <t>['haduuhh', 'telkomsel', 'skrng', 'knp', 'yaakk', 'jaringan', 'smkin', 'smkin', 'buriq', 'apk', 'telkomsel', 'nambah', 'nyusahin', 'update', 'nambah', 'bagus', 'ngerusak', 'haduh', 'dahlaaahh', 'kecewa', 'sii', 'tolong', 'yaa', 'telkomsel', 'jan', 'kecewa', 'nii', 'makasiiii', '']</t>
  </si>
  <si>
    <t>['jaringannya', 'lelet', 'paket', 'mahal', 'beli', 'paket', 'sebukan', 'kali', 'gb', 'gb', 'seharga', 'bonus', 'paket', 'murah']</t>
  </si>
  <si>
    <t>['aplikasinya', 'dibuka', 'something', 'wrong', 'coba', 'coba', 'koneksi', 'internet', 'daily', 'check', 'dibuka', 'sengaja', 'kayaknya', 'denganmu', 'telkomsel', '']</t>
  </si>
  <si>
    <t>['kagak', 'masuk', 'telkomsel', 'pagi', 'unstable', 'connection', 'kuota', 'signal', 'udah', 'restart', 'bolak', 'udah', 'mofe', 'airplane', 'bolak', 'hadehh']</t>
  </si>
  <si>
    <t>['sagat', 'kecewa', 'pelanggan', 'telkosel', 'udh', 'ber', 'internet', 'stabil', 'main', 'game', 'gelag', 'sinyalnya', 'stabil', 'jakarta', 'kampung', 'aplikasi', 'telkomsel', 'eror', 'buka', 'emang', 'baikan', 'sinyal', 'perawatan', 'kasih', 'promo', 'doang', '']</t>
  </si>
  <si>
    <t>['kali', 'telkomsel', 'hasil', 'mengecewakan', 'jaringan', 'lambat', 'merugikan', 'karna', 'kartu', 'ojek', 'inline', 'penolakan', 'otomatis', 'karna', 'jaringan', 'stabill', 'telkomsel', 'tolong', 'perbaiki', 'jaringan', '']</t>
  </si>
  <si>
    <t>['trobel', 'gan', 'telkomsel', 'aplikasi', 'telkomsel', 'buka', 'gan', 'gan', 'mohon', 'perbaiki', 'maaf', 'potong', 'bintang', 'gan', '']</t>
  </si>
  <si>
    <t>['aplikasi', 'bagus', 'beli', 'masuk', 'keluhan', 'sinyal', 'terkadang', 'download', 'kadang', 'tembus', 'mbps', 'kadang', 'kbps']</t>
  </si>
  <si>
    <t>['gimana', 'min', 'login', 'udah', 'update', 'kemarin', 'udah', 'login', 'edit', 'bintangnya', 'ayuk', 'kasih', 'solusinya', 'min', 'betewe', 'udah', 'coba', 'min', 'didua', 'ttp', 'login', '']</t>
  </si>
  <si>
    <t>['aplikasinya', 'kemarin', 'buka', 'buka', 'koneksi', 'internet', 'stabil', 'koneksi', 'internet', 'bagus', 'kuota', 'buka', 'tolong', 'cek', 'kuota', 'beli', 'paket', 'internet', 'susah', '']</t>
  </si>
  <si>
    <t>['', 'jaringan', 'stabil', 'aplikasi', 'buka', 'aplikasi', 'facebook', 'intagram', 'youtube', 'lancar', 'lancar', '']</t>
  </si>
  <si>
    <t>['saran', 'telkomsel', 'kunci', 'pulsa', 'terpotong', 'kompel', 'hilangnya', 'pulsa', 'sia', 'sia', 'terima', 'kasih']</t>
  </si>
  <si>
    <t>['aplikasiny', 'parah', 'lemot', 'eror', 'beli', 'kuota', 'susah', 'masuknya', 'trus', 'sinyalnya', 'lemah', 'sya', 'hallo', 'simpati', 'keluarga', 'rumah', 'simpati', 'beli', 'modem', 'orbitnya', 'ampun', 'tolong', 'perhatian', '']</t>
  </si>
  <si>
    <t>['restart', 'reinstall', 'mytelkomseljya', 'aplikasi', 'tampilan', 'aplikasi', 'tulisan', 'something', 'wrong', 'udah', 'sinyal', 'stabil', 'ditambah', 'aplikasinya', 'labil', 'bintang', 'sesuai', 'biaya', 'dikeluarkan', 'sesuai', 'ekseptasi', 'costumer', 'dirugikan', '']</t>
  </si>
  <si>
    <t>['tolong', 'aplikasinya', 'perbaharui', 'lelet', 'dibuka', 'beraat', 'banget', 'aplikasinya', 'pemakaian', 'kali', 'jengkel', 'please', 'respon', '']</t>
  </si>
  <si>
    <t>['kecewa', 'aplikasinya', 'eror', 'jaringan', 'internet', 'berfungsi', 'aplikasi', 'aplikasi', 'telkomsel', 'nggak', 'tersambung', 'internet', 'data', 'internet', 'pakai', 'kartu', 'telkomsel', 'tolong', 'perbaiki', 'aplikasi']</t>
  </si>
  <si>
    <t>['udah', 'pakai', 'aplikasi', 'telkomsel', 'murah', 'cerita', 'org', 'dpt', 'unlimited', 'murah', 'tolong', 'operator', 'paket', 'murah', 'merasakan', 'paket', 'murah', 'kayak', 'nyari', 'uang', 'gaji', 'pas', 'bayar', 'kuota', 'perbulan', 'ratusan', 'ribu', 'itupun', 'mohon', 'pengertian']</t>
  </si>
  <si>
    <t>['app', 'telkomsel', 'susah', 'diakses', 'buka', 'lemot', 'eror', 'masukin', 'app', 'susah', 'isi', 'pulsa', 'tersedot', 'maketkan', 'data', 'app', 'mohon', 'diperbaiki', '']</t>
  </si>
  <si>
    <t>['asalamualaikum', 'nanya', 'login', 'telkomsel', 'pas', 'masukin', 'nomor', 'telkomsel', 'terverifikasi', 'terverifikasi', 'tolong', 'gimana', '']</t>
  </si>
  <si>
    <t>['kuota', 'mahal', 'mahal', 'koneksi', 'sperti', 'air', 'beres', 'beresnya', 'mending', 'ush', 'paket', 'mahal', 'deh', 'koneksi', 'bener', 'gua', 'tinggal', 'sukabagun', 'daerah', 'palembang', 'instal', 'ulang', 'telkomsel', 'kendala', 'log', 'mulu', 'something', 'went', 'wrong', 'mulu', 'operator', 'terbesar', 'indo', 'gini', 'sistemnya', 'bobrok']</t>
  </si>
  <si>
    <t>['woy', 'kgk', 'masuk', 'aplikasi', 'semalem', 'kartu', 'harganya', 'doang', 'mahal', 'teratasi', 'sbagai', 'pengguna', 'sungguh', 'kecewa', 'tolong', 'cepat', 'diperbaiki', '']</t>
  </si>
  <si>
    <t>['login', 'susah', 'paketan', 'full', 'buka', 'app', 'enak', 'tolong', 'perbaiki', 'login', 'tulisan', 'something', 'went', 'wrong', '']</t>
  </si>
  <si>
    <t>['', 'sinyal', 'kota', 'demak', 'turirejo', 'aplikasi', 'error', 'buka', 'paket', 'internet', 'kumayan', 'ketengan', 'bagus', 'login', 'ribet', 'apkikasi', 'kartu', 'device', 'ribet', 'hai', 'kak', 'mohon', 'maaf', 'ketidak', 'nyamananya', 'keluhan', 'kaka', 'team', 'terkait', 'tindak', 'lanjuti', 'basiiiii', 'bangkeeeee', 'melulu', '']</t>
  </si>
  <si>
    <t>['telkomsel', 'mmg', 'cerita', 'kmarin', 'bln', 'des', 'pulkam', 'keluarga', 'komunikasi', 'vicall', 'lancar', 'provider', 'menjangkau', 'pelosok', 'nusantara', 'trimks', 'telkomsel', 'semoga', 'terdpn', 'jaya', '']</t>
  </si>
  <si>
    <t>['', 'allah', 'urgent', 'ambil', 'paket', 'kuota', 'bisaa', 'jaringan', 'pulsa', 'kesedot', 'ampun', '']</t>
  </si>
  <si>
    <t>['sumpah', 'jelek', 'apk', 'masuk', 'masuk', 'ditulis', 'something', 'went', 'wrong', 'pleaae', 'try', 'again', 'later', 'udh', 'berkali', 'kali', 'hapus', 'download', 'trus', 'cabut', 'simcard', 'tetep', 'staga', 'tolong', 'diperbaiki', 'dibantu']</t>
  </si>
  <si>
    <t>['jaringan', 'memburuk', 'telfon', 'signalnya', 'hilang', 'lokasi', 'surabaya', 'kecewa']</t>
  </si>
  <si>
    <t>['telkomsel', 'lemot', 'kirim', 'verifikasi', 'banget', 'beli', 'paket', 'banget', 'masuk', 'telkomsel', 'lemot', 'tolong', 'perbaiki']</t>
  </si>
  <si>
    <t>['buka', 'aplikasi', 'telkomsel', 'update', 'uninstal', 'install', 'uninstall', 'install', 'tetep', 'enggk', 'masuk', 'aplikasi', 'something', 'went', 'wrong', 'please', 'try', 'again', 'after', 'sometime', '']</t>
  </si>
  <si>
    <t>['tolong', 'server', 'dikondisikan', 'sibuk', 'ketledor', 'aplikasi', 'sel', 'error', 'server', 'pafajal', 'udah', 'pakek', 'vpn', 'dsj', 'udah', 'reinstal', '']</t>
  </si>
  <si>
    <t>['masalahkah', 'beli', 'paket', 'semalam', 'coba', 'instal', 'login', 'keterangannya', 'something', 'went', 'wrong', 'solusinya', 'beli', 'pulsa', 'banking', 'semalam', 'masuk', 'mohon', 'bantuannya']</t>
  </si>
  <si>
    <t>['halo', 'kak', 'admin', 'maaf', 'bintang', 'kedepannya', 'tolong', 'diperbaiki', 'perihal', 'kestabilan', 'sinyal', 'aplikasi', 'telkomsel', 'mengalami', 'eror', 'kemarin', 'membeli', 'paket', 'data', 'tolong', 'diperbaiki', 'kak']</t>
  </si>
  <si>
    <t>['kesini', 'jelek', 'banget', 'jaringannya', 'hujan', 'internet', 'kebuka', 'mahal', 'paketan', 'bulanan', 'tolong', 'diperbaiki']</t>
  </si>
  <si>
    <t>['kecewa', 'aktifkan', 'kuota', 'ketengan', 'youtube', 'unlimited', 'pembayaran', 'pakai', 'pulsa', 'linkaja', 'hilang', 'perbaiki', 'gini', 'nggak', 'update', '']</t>
  </si>
  <si>
    <t>['hijrah', 'bertahan', 'layanan', 'buruk', 'kualitasnya', 'karna', 'kepaksa', 'udah', 'pengen', 'deh', 'ganti', 'provider', 'harga', 'sebanding', 'kualitas', 'kesini', 'ancur', 'sinyal', 'ilang', 'aplikasi', 'cuman', 'kebanyakan', 'gaya', 'susah', 'dipake', 'nge', 'down', 'mulu', 'bingung', 'mikir', 'provider', 'parah', 'parah', 'parah', 'bintang', 'separo']</t>
  </si>
  <si>
    <t>['tolong', 'dri', 'telkomsel', 'aplikasi', 'diperbaiki', 'daftar', 'telkomsel', 'bermasalah', 'jaringan', 'pdahal', 'dsni', 'jaringan', 'tolong', 'dri', 'telkomsel', 'perbaiki', 'aplikasi']</t>
  </si>
  <si>
    <t>['', 'telkomsel', 'dibuka', 'mengganggu', 'cek', 'kuota', 'pulsa', 'susah', 'paketan', 'udah', 'abis', 'beli', 'kuota', 'susah', 'tolong']</t>
  </si>
  <si>
    <t>['telkomsel', 'buruk', 'harga', 'kualitas', 'sebanding', 'pengguna', 'telkomsel', 'kecewa', 'berniat', 'ganti', 'provider']</t>
  </si>
  <si>
    <t>['update', 'kemarin', 'buka', 'aplikasi', 'eror', 'jaringan', 'buka', 'website', 'lancar', 'kualitas', 'pelayanan', 'telkomsel', 'buruk', 'harganya', 'mahal', '']</t>
  </si>
  <si>
    <t>['paket', 'mahal', 'mahal', 'jaringan', 'susah', 'ngelag', 'ngelag', 'kuota', 'belajar', 'rp', 'gb', 'cariin', 'menelusuri', 'sms', 'notifikasi', 'masuknya', 'playstore', 'aplikasi', 'telkomsel', 'tipu', 'tipu', 'paket', 'unlimited', 'max', 'udah', 'coba', 'digantiin', 'combo', 'combo', 'mahalnya', 'mintak', 'ampun', 'tolonglah', 'kembalikan', 'paket', 'unlimited', 'max', 'tolonglah', 'dimurahin', 'yakk', 'ganti', 'kartu', '']</t>
  </si>
  <si>
    <t>['aplikasinya', 'dibuka', 'refresh', 'mulu', 'pdhl', 'online', 'aplikasi', 'berat', 'lancar', 'paket', 'internet', 'mahal', 'jaringan', 'hilang', 'berpikir', 'niat', 'ganti', 'provider', 'kecewa', 'kualitas', 'sesuai', 'harga', 'perbaikan', 'jaringan', 'parah', 'ganti', 'provider', 'jalan', 'terbaik', 'maaf', '']</t>
  </si>
  <si>
    <t>['update', 'login', 'delete', 'download', 'berkali', 'login', 'tolong', 'kecewa', '']</t>
  </si>
  <si>
    <t>['', 'telkomsel', 'area', 'jateng', 'eror', 'dibuka', 'kecewa', 'bug', 'diperbaiki', 'pelayanan', 'memuaskan', 'kecewa', '']</t>
  </si>
  <si>
    <t>['kecewa', 'aplikasi', 'memakai', 'kartu', 'simpati', 'memakai', 'telkomsel', 'kendala', 'kemaren', 'aplikasinya', 'log', 'out', 'masuk', '']</t>
  </si>
  <si>
    <t>['something', 'went', 'wrong', 'please', 'try', 'again', 'after', 'sometime', 'update', 'gitu', 'sampe', 'jam', 'admin', 'semoga', 'mules', 'mules', 'sklian', 'kantor', 'mules', 'mules', 'ambyar', 'ambyar', 'deh', 'nanggung', 'huhhh', 'kesel', 'beli', 'telkomsel', 'diskon', 'gangguan', 'melulu', '']</t>
  </si>
  <si>
    <t>['', 'telkomsel', 'berat', 'lemot', 'enak', 'cepat', 'ringan', 'telkomsel', 'lite', 'dibuka', 'kembalikan', 'versi', 'pilih', 'pilih', 'pelit', 'berlaku', 'paket', 'internet', 'pedek', 'pedek', 'plus', 'mahal', 'mahal', 'harganya']</t>
  </si>
  <si>
    <t>['mohon', 'maaf', 'rate', 'kurangi', 'pakai', 'lancar', 'masuk', 'aplikasi', 'telkomsel', 'error', 'koneksi', 'stabil', 'lucu', 'rincian', 'jaringan', 'bagus', 'ping', 'lancar', 'salah', 'hpku', 'ato', 'kartunya', '']</t>
  </si>
  <si>
    <t>['login', 'dimasukan', 'sesuai', 'lelet', 'app', 'udh', 'upgrade', 'versi', 'terbaru', 'mohon', 'min', 'cek', 'spt', '']</t>
  </si>
  <si>
    <t>['update', 'dibuka', 'tulisan', 'error', 'connection', 'unstable', 'koneksi', 'lancar', 'lancar', 'dipake', 'browsing']</t>
  </si>
  <si>
    <t>['cek', 'kuota', 'kuota', 'coba', 'unnistal', 'aplikasi', 'telkomsel', 'unduh', 'harapan', 'kog', 'login', 'yakk', 'nomor', 'udah', 'tolong', 'kecewa', 'banget', 'sihh', '']</t>
  </si>
  <si>
    <t>['skrg', 'telkomsel', 'gini', 'log', 'kuota', 'mohon', 'diperbaikin', 'apk']</t>
  </si>
  <si>
    <t>['jelek', 'masuk', 'apliaksi', 'telkomel', 'eror', 'udh', 'dimasukin', 'nomer', 'teleponnya', 'disuruh', 'nunggu', 'rekomendasi', 'milih', 'ganti', 'kartu', 'jelek', 'banget', 'kecewa', 'banget']</t>
  </si>
  <si>
    <t>['update', 'aplikasinya', 'eror', 'berulang', 'kali', 'login', 'nomor', 'login', 'aplikasinya', 'menghubungkan', 'aplikasi', 'akun', 'media', 'sosial', 'login', 'tolong', 'perbaiki', 'terima', 'kasih', '']</t>
  </si>
  <si>
    <t>['udah', 'butuh', 'app', 'merugikan', 'isi', 'pulsa', 'uang', 'masuk', 'pulsanya', 'abis', 'update', 'buka', 'appnya', 'diharapkan', 'app', '']</t>
  </si>
  <si>
    <t>['mohon', 'tanggapi', 'terkait', 'login', 'telkomsel', 'something', 'went', 'wrong', 'please', 'try', 'again', 'sometime', 'berulang', 'kali', 'coba', 'masuk', 'uninstal', 'diinstal', 'tolong', 'tindaki']</t>
  </si>
  <si>
    <t>['kesel', 'login', 'something', 'wrong', 'mulu', 'aplikasi', 'bagus', 'modal', 'maunya', 'cari', 'untung', 'customer', 'dikorbanin', '']</t>
  </si>
  <si>
    <t>['kecewa', 'beli', 'paket', 'masuk', 'telkomsel', 'beli', 'dial', 'posisi', 'darurat', 'pelayanannya', 'pindah', 'provider']</t>
  </si>
  <si>
    <t>['jaringan', 'jelek', 'aplikasi', 'error', 'telfon', 'customer', 'service', 'ngga', 'solusi', 'ngabisin', 'pulsa', 'harga', 'mahal', 'ngga', 'sesuai', 'pelayanan', 'jaringan', 'tawarkan', '']</t>
  </si>
  <si>
    <t>['januari', 'apk', 'tsel', 'error', 'ktnya', 'unstable', 'connection', 'click', 'refresh', 'pdhl', 'kuota', 'gua', 'maaih', 'bnyk', 'jaringan', 'gua', 'stabil', 'daaann', 'udh', 'berulang', 'kali', 'gua', 'refresh', 'tolong', 'diperbaiki', 'gua', 'jugk', 'ngeliat', 'sisa', 'kuota', 'gua', 'gua', 'jugk', 'bli', 'paket', 'bulanan', 'berlakuny', 'hbs', 'buruan', 'perbaiki', 'klok', 'gua', 'dimarahin', 'guru', 'gua', 'ggr', 'paket', 'internet', 'hbs', 'gua', 'salahin', 'elo', '']</t>
  </si>
  <si>
    <t>['masuk', 'aplikasi', 'disuruh', 'login', 'buka', 'aplikasi', 'loadingnya', 'banget', 'beli', 'paket', 'something', 'went', 'wrong', 'perusahaan', 'sehebat', 'gini', 'aplikasi', 'buluk', 'bad', 'banget', '']</t>
  </si>
  <si>
    <t>['kasih', 'bintang', 'maaf', 'edit', 'ulasan', 'update', 'aplikasi', 'telkomsel', 'buruk', 'tolong', 'perbaiki', 'terimakasih']</t>
  </si>
  <si>
    <t>['log', 'telkomsel', 'something', 'wrong', 'gimana', 'belu', 'quota', 'gimana', 'beli', 'pulsa', 'serah', 'udah', 'kyk', 'gini']</t>
  </si>
  <si>
    <t>['indonesia', 'maju', 'jaringan', 'internetnya', 'kaya', 'gini', 'teruntuk', 'telkomsel', 'mengabdi', 'indonesia', 'tolong', 'perbaiki', 'jaringannya', 'pelanggan', 'uang', 'melupakan', 'kepuasan', 'pelanggan', 'tolong', 'bawa', 'nama', 'masyarakat', 'indonesia', 'iklan', 'promo', 'cari', 'untung', 'jaringan', 'internet', 'kuwalitasnya', 'kurangi', 'terimakasih', '']</t>
  </si>
  <si>
    <t>['aplikasi', 'busuk', 'udah', 'beli', 'paket', 'kuota', 'keluarga', 'gb', 'gagal', 'tulisan', 'berhasil', 'pulsa', 'dasar', 'masuk', 'aplikasi', 'hapus', 'becus', 'aplikasi']</t>
  </si>
  <si>
    <t>['aplikasi', 'uda', 'perbarui', 'ngga', 'uda', 'uninstall', 'instal', 'masukin', 'nomor', 'ngga', 'kesalahan', 'uda', 'instal', 'berkali', 'masi', 'ngga', '']</t>
  </si>
  <si>
    <t>['login', 'telkomsel', 'engga', 'udh', 'isi', 'pulsa', 'ngambil', 'paket', 'data', 'abis', 'pulsa', 'tolong', 'jaringan', 'perbaiki', 'udh', 'bertahan', 'telkomsel', 'jni', 'jaringan', 'jelek', '']</t>
  </si>
  <si>
    <t>['login', 'jaringan', 'stabil', 'pdhl', 'dsni', 'tolong', 'perbarui', 'pakai', 'app', '']</t>
  </si>
  <si>
    <t>['', 'kasih', 'bintang', 'telkomsel', 'aplikasinya', 'ringan', 'kasih', 'bintang', 'aplikasi', 'info', 'iklan', 'berat', 'dibuka', 'info', 'dibuka', 'maximal']</t>
  </si>
  <si>
    <t>['aplikasi', 'bagus', 'masuk', 'tulisan', 'koneksi', 'stabil', 'sinyal', 'kb', 'kb', 'tulisan', 'koneksi', 'stabil', 'aneh', '']</t>
  </si>
  <si>
    <t>['udah', 'kemarin', 'masuk', 'aplikasi', 'telkomsel', 'slalu', 'tulisan', 'something', 'wrong', 'beli', 'paket', 'dll', 'mudah', 'dibikin', 'pusing', 'pdhal', 'masuk', 'aplikasi', 'sinyal', 'kendala', 'kesini', 'beres']</t>
  </si>
  <si>
    <t>['kuota', 'berlaku', 'belinya', 'tgl', 'tgl', 'bambank', 'aplikasi', 'lelet', '']</t>
  </si>
  <si>
    <t>['maaf', 'kasih', 'bintang', 'daily', 'check', 'kumpulkan', 'stamp', 'hadiah', 'pas', 'tukar', 'penukaran', 'mengurangi', 'nggak', 'tukar', 'tolong', 'telkomsel', 'pas', 'tukar', 'stamp', 'hadiah', 'disuruh', 'ngurangin', 'help', '']</t>
  </si>
  <si>
    <t>['masuk', 'mytelkomsel', 'tulisan', 'something', 'went', 'wrong', 'please', 'try', 'again', 'sinyal', 'lancar', 'masuk', 'login', 'kayak', 'gitu', 'mulu', 'telkomsel']</t>
  </si>
  <si>
    <t>['mytelkomsel', 'gmna', 'gua', 'download', 'apk', 'ujung', 'dibuka', 'alasan', 'jaringan', 'gua', 'uninstal', 'trus', 'gua', 'ngasih', 'solusi', 'pas', 'gua', 'download', 'lgi', 'login', 'taik', 'tolong', 'mytelkomsel', 'diperbanyakin', 'gua', 'alamin', 'karna', 'gua', 'login', 'kyk', 'gini']</t>
  </si>
  <si>
    <t>['aplikasi', 'error', 'kah', 'kemarin', 'buka', 'cek', 'pembaharuan', 'sistem', 'uninstall', 'instal', 'eeh', 'log', 'tolong', 'cek', 'kesalahannya', 'tolong', 'perbaiki', 'ribet', 'cek', 'kuota', 'manual', '']</t>
  </si>
  <si>
    <t>['kecewa', 'tenang', 'error', 'ehh', 'aplikasi', 'pas', 'login', 'udh', 'coba', 'berkali', 'tetep', 'masuk', 'lagii', '']</t>
  </si>
  <si>
    <t>['knpa', 'paket', 'internet', 'nggk', 'bln', 'gtu', 'maksimal', 'terkadang', 'beli', 'paket', 'cepat', 'habis', 'beli', 'paket', 'kadang', 'nggk', 'adain', 'aktif', 'paketnya', 'bln']</t>
  </si>
  <si>
    <t>['kecewaaaaa', 'bangetttt', 'login', 'gabisa', 'teruuuusssss', 'kemarin', 'something', 'went', 'wrong', 'please', 'try', 'again', 'after', 'sometime', 'trus', 'ane', 'buka', 'chrome', 'muncul', 'tulisan', 'koneksi', 'internet', 'logikanya', 'gada', 'koneksi', 'buka', 'chrome', 'gabisaaa', 'gimana', 'plis', 'jelasin', '']</t>
  </si>
  <si>
    <t>['ironis', 'koar', 'koar', 'jaringannya', 'terbaik', 'senusantara', 'tpi', 'mengecewakan', 'logo', 'penuh', 'tpi', 'paket', 'melimpah', 'sinyal', 'full', 'tpi', 'brosing', 'jalan', 'mengecewakan']</t>
  </si>
  <si>
    <t>['pas', 'login', 'after', 'something', 'maintance', 'jaringan', 'stabil', 'membeli', 'paket', 'data', 'login', 'berguna', 'aplikasi', 'hapus', 'zaman', 'call']</t>
  </si>
  <si>
    <t>['pengguna', 'telkomsel', 'kecewa', 'telkomsel', 'serba', 'mahal', 'jaringan', 'lelet', 'apk', 'telkomsel', 'apk', 'rusak', 'login', 'tolonglah', 'diperbaiki']</t>
  </si>
  <si>
    <t>['mohon', 'bantuan', 'min', 'login', 'masuk', 'mengecek', 'kouta', 'min', 'mohon', 'kenyamanannya', 'min', '']</t>
  </si>
  <si>
    <t>['pas', 'beli', 'kuotanya', 'dibilangnya', 'gangguan', 'jaringan', 'jaringan', 'lancar', 'hapus', 'download', 'aplikasinya', 'pas', 'login', 'tetep', 'dibilang', 'gangguan', 'jaringan', 'tolong', 'jaringan', 'lancarr', 'lancar', 'ajaaaaaaa', 'uda', 'kemarin', 'gabisa', '']</t>
  </si>
  <si>
    <t>['telkomsel', 'khusus', 'simpati', 'jaringan', 'knpa', 'yaa', 'stabil', 'dibuka', 'aplikasi', 'telkomsel', 'jaringan', 'mendukung', '']</t>
  </si>
  <si>
    <t>['pemakai', 'bagus', 'lancar', 'login', 'persulit', 'masuk', 'metode', 'ribet', 'kecewa', 'pelayanan', 'apk', 'parah', 'cepat', 'lambat', 'memuaskan', '']</t>
  </si>
  <si>
    <t>['assalamualaikum', 'bertnya', 'gbisa', 'login', 'telkomsel', 'pdahal', 'pengguna', 'setia', 'telkomsel', 'log', 'out', 'gabisa', 'login', '']</t>
  </si>
  <si>
    <t>['hallo', 'admin', 'apk', 'telkomsel', 'dri', 'beli', 'paket', 'tpi', 'membayar', 'disitu', 'sorry', 'system', 'error', 'occurred', 'please', 'check', 'your', 'connection', 'and', 'repeat', 'the', 'transaction', 'later', 'seharian', 'sdah', 'coba', 'berulang', 'kali', 'coba', 'kemarin', 'coba', 'hapus', 'apk', 'install', 'login', 'disitu', 'something', 'went', 'wrong', 'please', 'try', 'again', 'after', 'sometime', 'tolong', 'penjelasan', '']</t>
  </si>
  <si>
    <t>['kecewa', 'berat', 'telkomsel', 'aplikasi', 'telkomsel', 'eror', 'mulu', 'jaringan', 'bagus', 'kadang', 'beraktivitas', 'sinyal', 'full', 'lelet', 'tolong', 'koreksi', 'pelanggan', 'telkomsel', 'betah']</t>
  </si>
  <si>
    <t>['telkomsel', 'gajelas', 'login', 'doang', 'gabisa', 'something', 'went', 'wrong', 'maunya', 'apasih', 'udh', 'make', 'wifi', 'something', 'went', 'wrong', 'sumpah', 'gajelas', 'udah', 'mahal', 'gajelas', 'tutup']</t>
  </si>
  <si>
    <t>['login', 'apk', 'kasih', 'bintang', 'apk', 'membantu', 'dlm', 'transaksi', 'skrg', 'terpaksa', 'dikasih', 'bintang', '']</t>
  </si>
  <si>
    <t>['app', 'dibuka', 'coba', 'update', 'balum', 'uninstall', 'install', 'reset', 'ganti', 'jaringan', 'blm', 'gimana', 'check', 'hangus', '']</t>
  </si>
  <si>
    <t>['sinyal', 'buruk', 'jaringan', 'lemot', 'udah', 'gitu', 'mahal', 'lengkap', 'kecewa', 'banget', 'telkomsel', 'aplikasi', 'mytelkomsel', 'lemot', 'banget', 'dibukanya', '']</t>
  </si>
  <si>
    <t>['knpa', 'telpon', 'mati', 'mati', 'mulu', 'bsru', 'detik', 'mati', 'udah', 'byar', 'paket', 'sbulan', 'all', 'operator', 'ulasan', 'jaringan', 'knapa', 'cek', 'telkomsel']</t>
  </si>
  <si>
    <t>['beli', 'paket', 'kuota', 'aplikasi', 'telkomsel', 'sinyal', 'bagus', 'wifi', 'tetep', 'masuk', 'login', 'parahhhhh', '']</t>
  </si>
  <si>
    <t>['aplikasi', 'eror', 'login', 'membeli', 'paket', 'internet', 'paket', 'aplikasi', 'teklomsel', 'telkomsel', 'mohon', 'diperbaiki', '']</t>
  </si>
  <si>
    <t>['aduh', 'gimana', 'sich', 'aplikasi', 'maaf', 'ulasan', 'edit', 'habis', 'dipuji', 'kwalitas', 'memble', 'udah', 'top', 'rb', 'isi', 'kuota', 'akalin', 'uninstal', 'pas', 'download', 'login', 'harga', 'sesuai', 'kwalitas', 'sebelah', 'lancar', 'lho']</t>
  </si>
  <si>
    <t>['login', 'aneh', 'ngcek', 'kuota', 'something', 'went', 'wrong', 'ngerti', 'kadang', 'sinyal', 'amburadul', 'tinggal', 'kota']</t>
  </si>
  <si>
    <t>['jelek', 'kecewa', 'beli', 'paket', 'bermasalah', 'masuk', 'aplikasi', 'gagal', 'alasan', 'sinyal', 'bagus', 'sinyal', 'bagus', '']</t>
  </si>
  <si>
    <t>['bagus', 'lancar', 'transaksi', 'pulsa', 'paket', 'data', 'update', 'kesel', 'hadeh', 'bingung', 'gabisa', 'dial', 'paket', 'tsel', 'dial', '']</t>
  </si>
  <si>
    <t>['aplikasi', 'log', 'transaksi', 'somtimes', 'wwnt', 'wrong', 'terdesak', 'beli', 'kuota', 'uas']</t>
  </si>
  <si>
    <t>['sinyal', 'internet', 'full', 'wifi', 'bagus', 'masuk', 'aplikasi', 'cek', 'pulsa', 'dll', 'susah', 'ampun', 'tolong', 'paket', 'mahal', 'internet', 'lelet', 'jagan', 'siput', 'terkena', 'stroke', 'makasih', 'jujur', 'kecewa', 'banget', 'bagus', '']</t>
  </si>
  <si>
    <t>['ping', 'jaringanmu', 'kalah', 'harga', 'mahal', 'diandalkan', 'dibanggakan', 'telkomsel', 'terlanjur', 'pokok', 'sekian', 'gitu', '']</t>
  </si>
  <si>
    <t>['aplikasi', 'error', 'connection', 'koneksi', 'bagus', 'bagusnya', 'mohon', 'diperbaiki', 'kedepannya', 'pelanggan', 'nyaman', 'aplikasi', '']</t>
  </si>
  <si>
    <t>['', 'jan', 'pke', 'pket', 'mlm', 'daily', 'check', 'kupon', 'check', 'msk', 'tgh', 'mlm', 'mpe', 'hmpir', 'jm', 'bsa', 'bsa', 'check', 'bsa', 'msk', 'tlkmsel', 'pdhl', 'bka', 'youtube', 'bsa', 'aneh', 'sabotage', 'spy', 'bsa', 'check', 'shg', 'kupon', 'hngus', 'stlh', 'nulis', 'tgh', 'mlm', 'bsa', 'msk', 'tlkmsel', 'aneh', '']</t>
  </si>
  <si>
    <t>['jaringan', 'taik', 'bayar', 'udah', 'mahal', 'mahal', 'main', 'game', 'lag', 'aplikasi', 'update', 'jaringan', 'kaya', 'taik', 'udah', 'lock', 'only', 'geser', 'stabil', 'kecewa', 'banget', 'sumpah', 'provider', 'ternama', 'indonesia', 'jaringan', 'lag', 'belom', 'stabil', 'iklan', 'kaya', 'iya', 'iya', 'pas', 'coba', 'blm', 'stabil', 'gimmick', 'doang']</t>
  </si>
  <si>
    <t>['lbih', 'mudah', 'buka', 'aplikasi', 'olshop', 'notabene', 'lbih', 'byk', 'produk', 'membutuhkan', 'koneksi', 'lbih', 'load', 'gambar', 'data', 'lbih', 'berat', 'kyknya', 'developer', 'berpengalaman', 'smart', '']</t>
  </si>
  <si>
    <t>['aplikasi', 'terkendala', 'koneksi', 'kuota', 'sinyal', 'bagus', 'buka', 'aplikasi', 'lancar', 'coba', 'pakai', 'wifi', 'data', 'gabisa', 'telkomsel', 'kemunduran', 'drpd', 'kemajuan', 'capek', 'mas', '']</t>
  </si>
  <si>
    <t>['kmrn', 'skrg', 'buka', 'jaringan', 'erro', 'beli', 'paket', 'cek', 'pls', 'parah', 'telkomsel']</t>
  </si>
  <si>
    <t>['kerja', 'petinggi', 'karyawan', 'urus', 'aplikasi', 'error', 'login', 'pikir', 'keuntungan', 'bisnismu', 'provider', 'nasional', 'hargai', 'konsumen', 'mengeluarkan', 'mengharapkan', 'pelayanan', 'memuaskan']</t>
  </si>
  <si>
    <t>['jelek', 'login', 'mohon', 'diperbaiki', 'muncul', 'notifikasi', 'login', 'masuk', 'aplikasi', '']</t>
  </si>
  <si>
    <t>['pembaruan', 'buruk', 'logging', 'susah', 'tolong', 'pantau', 'tolong', 'telkomsel', 'sesederhana', 'gaya', '']</t>
  </si>
  <si>
    <t>['', 'beli', 'paket', 'susah', 'gaboleh', 'beli', 'paketnya', 'gausah', 'munculkan', 'opsinya', 'terselamatkan', 'anak', 'usaha', 'bumn', 'coba', 'kelas', 'voda', 'masuk', 'bts', 'bnyak', 'say', 'gudbye', 'udah', 'faakkkklahh', 'install', 'aplikasi', 'berguna', 'menuh', 'in', 'ram', 'memori', 'ajaa']</t>
  </si>
  <si>
    <t>['hmmm', 'ubah', 'fakta', 'mulu', 'bukti', 'udh', 'ngakuin', 'kesalahan', 'telkomsel', 'pas', 'berdasarkan', 'laporan', 'bla', 'bla', 'bla', 'hadehh', 'data', 'asli', 'bukti', 'ngelak']</t>
  </si>
  <si>
    <t>['kemarin', 'lancar', 'pas', 'login', 'tulisan', 'something', 'went', 'wrong', 'please', 'try', 'again', 'after', 'sometime', 'nomor', 'jaringan', 'stabil']</t>
  </si>
  <si>
    <t>['redeem', 'poin', 'berhasil', 'mohon', 'maaf', 'persediaan', 'voucher', 'habis', 'nantikan', 'program', 'telkomsel', 'poin', 'niat', 'program', 'udah', 'check', 'giliran', 'tukar', 'paraaaahhh', 'parah', 'apiklasi', 'suka', 'error', 'lemot', 'karuan', 'tukar', 'poin']</t>
  </si>
  <si>
    <t>['jaringan', 'telkomsel', 'menurun', 'kualitas', 'bandingkan', 'ayo', 'telkomsel', 'tingkatkan', 'layanan', 'susah', 'banget', 'buka', 'aplikasi', 'telkomsel', 'perbaiki', '']</t>
  </si>
  <si>
    <t>['update', 'eror', 'clear', 'data', 'eror', 'masuk', 'kadang', 'nyalain', 'datanya', 'selecao', 'buka', 'aplikasinya', 'pulsa', 'kepotong', 'jaringannya', 'lambat', 'banget']</t>
  </si>
  <si>
    <t>['knapa', 'lemot', 'banget', 'tolong', 'telkomsel', 'pelangganya', 'nggak', 'kabur', 'dii', 'perbaiki', 'smp', 'sampe', 'umur', 'telkomsel', 'gini', 'sapa', 'stay', 'stelah', 'update', 'aplikasi', 'paket', 'promo', 'hilang', 'gimana']</t>
  </si>
  <si>
    <t>['parah', 'telkomsel', 'ngelag', 'parah', 'berat', 'banget', 'aplikasi', 'beli', 'paket', 'keburu', 'abis', 'paketan', 'ampe', 'kesedot', 'pulsa', 'gua', 'sialan', 'bener', 'parah', 'kaya', 'orang', 'bloon', 'gua', 'ampe', 'gua', 'hapus', 'gua', 'download', 'ulang', 'make', 'wifi', 'make', 'hotspot', 'orang', 'kaga', 'parah', 'banget', 'aplikasi', '']</t>
  </si>
  <si>
    <t>['maaf', 'kak', 'kasih', 'bintang', 'karna', 'pengguna', 'telkomsel', 'bnyak', 'knapa', 'jaringan', 'bertambah', 'upgrade', 'bertambah', 'orng', 'knapa', 'jelek', 'sinyal', 'kmarin', 'coba', 'beli', 'paket', 'combo', 'unlimited', 'aplikasi', 'telkomsel', 'karna', 'gagal', 'jaringan', 'apalah', 'coba', 'maksud', 'butuh', 'paket', 'skrng', 'kgk', 'sungguh', 'kecewa', 'udh', 'sinyal', 'ngedrop', 'skrng', 'beli', 'paket', 'aduuh', '']</t>
  </si>
  <si>
    <t>['abis', 'update', 'kaga', 'dibuka', 'gimana', 'cek', 'kuota', 'udah', 'gitu', 'sinyal', 'ilang', 'mahal', 'doang', 'sinyal', 'ilang']</t>
  </si>
  <si>
    <t>['selamat', 'pagi', 'mytelkomsel', 'login', 'semalam', 'tolong', 'telkomsel', 'ditindaklanjuti', '']</t>
  </si>
  <si>
    <t>['kasih', 'bintang', 'aplikasi', 'isa', 'dibuka', 'something', 'went', 'wrong', 'dataku', 'normal', 'koneksiku', 'bagus', 'aplikasi', 'ganti', 'kartu', 'kedepan', 'perbaikan', 'peningkatan', 'not', 'even', 'reliable', 'all', 'trully', '']</t>
  </si>
  <si>
    <t>['haddeuuhhhh', 'update', 'login', 'gimana', 'update', 'lancar', 'stabil', 'mah', 'boro', 'login', 'kagak', 'error', 'mulu', 'udah', 'update', 'balikinn', 'versi', 'verryy', 'badddddd']</t>
  </si>
  <si>
    <t>['telkomsel', 'bukaa', 'muncul', 'unstoppable', 'connection', 'mah', 'main', 'game', 'mah', 'bagus', 'jam', 'malem', 'refres', 'jaringan', '']</t>
  </si>
  <si>
    <t>['dear', 'telkomsel', 'login', 'app', 'menampilkan', 'there', 'something', 'wrong', 'koneksi', 'stabil', 'udah', 'seminggu', '']</t>
  </si>
  <si>
    <t>['kasih', 'bintang', 'merugikan', 'aplikasi', 'poin', 'hilang', 'jarang', 'redeem', 'poin', 'daily', 'check', 'buka', 'aplikasinya', 'gagal', 'check', 'ketiga', 'member', 'gold', 'platinum', 'pindah', 'silver', 'tolong', 'perbaiki', 'sekian', 'terimakasih', '']</t>
  </si>
  <si>
    <t>['aplikasi', 'stabil', 'orientasinya', 'profit', 'belaka', 'memperbaiki', 'layanan', 'sistem', 'badan', 'usahanya', 'diganti', '']</t>
  </si>
  <si>
    <t>['login', 'tulisan', 'something', 'went', 'wrong', 'please', 'try', 'again', 'sometime', 'mohon', 'bantuan', 'terima', 'kasih', '']</t>
  </si>
  <si>
    <t>['maaf', 'kasih', 'bintang', 'app', 'telkomsel', 'error', 'update', 'koneksi', 'jaringan', 'lemot', 'video', 'call', 'whatsapp', 'terputus', 'lancar', 'tlp', 'pulsa', 'putus', 'ruangan', 'paket', 'data', 'telkomsel', 'mahal', 'dibandingkan', 'provider', 'pelayanan', 'memuaskan', 'telkomsel', 'tolong', 'perbaiki', 'kualitas', 'layananmu', '']</t>
  </si>
  <si>
    <t>['maaf', 'bos', 'kasih', 'bintang', 'pas', 'masuk', 'aplikasi', 'ngga', 'masukin', 'nomor', 'tulisannya', 'something', 'when', 'wrong', 'aneh', 'banget', 'mohon', 'solusinya', 'membutuhkan', 'aplikasi']</t>
  </si>
  <si>
    <t>['telkomsel', 'pas', 'riset', 'ulang', 'trus', 'download', 'telkomsel', 'log', 'tulisannya', 'bermasalah', 'mulu', 'knapa', '']</t>
  </si>
  <si>
    <t>['gimana', 'sihhhhhh', 'gua', 'download', 'aplikasi', 'mudah', 'lihat', 'saldo', 'kuota', 'fitur', 'pembelian', 'paket', 'telkomsel', 'buka', 'aplikasi', 'leletnya', 'ampun', 'pdahal', 'udah', 'aplikasinya', 'mbanget', 'lelet', '']</t>
  </si>
  <si>
    <t>['kadang', 'fast', 'respon', 'kadang', 'lemot', 'kadang', 'cepet', 'buka', 'jarang', 'banget', 'refresh', 'pembelian', 'tersedia', 'alasan', 'promosi', 'cepet', 'giliran', 'beli', 'cek', 'tersedia', 'media', 'pembayaran', 'jarang', 'tersedia', 'pulsa', 'hidup', 'daerahnya', 'pelosok', 'aplikasi', 'ovo', 'gimana', 'selebihnya', 'unlimited', 'ketengan', 'langganan', '']</t>
  </si>
  <si>
    <t>['buka', 'wajib', 'uninstal', 'trs', 'download', 'applikasinya', 'dibuka', 'sinyal', 'whatt', 'perasaan', 'sinyal', 'applikasi', 'error', 'ckck']</t>
  </si>
  <si>
    <t>['kali', 'membeli', 'paket', 'mengalami', 'gangguan', 'sistem', 'membeli', 'paket', 'mohon', 'telkomsel', 'memperbaiki', 'gangguan', 'sistem', '']</t>
  </si>
  <si>
    <t>['mohon', 'diperjelas', 'aplikasinya', 'buka', 'youtube', 'lancar', 'buka', 'aplikasi', 'telkomsel', 'try', 'again', 'pakek', 'sinyal', 'ndak', 'pakek', 'wifi', '']</t>
  </si>
  <si>
    <t>['aplikasi', 'update', 'parah', 'aplikasi', 'masuk', 'nomor', 'udah', 'jaringan', 'jelek', 'pelayanan', 'ikutan', 'jelek', '']</t>
  </si>
  <si>
    <t>['permisi', 'telkomsel', 'bosnya', 'sekedar', 'paket', 'operator', 'jam', 'contoh', 'beli', 'jam', 'wib', 'wib', 'esoknya', 'jam', 'paket', 'telkomsel', 'nnjam', 'contoh', 'beli', 'jam', 'wib', 'wib', 'jam', 'masuk', 'akal', 'menguras', 'mah', 'harganya', 'mahal', 'korupsi', 'sesuai', 'bos', 'kasian', 'orang', 'pelosok', 'telkomsel', 'pelosok', 'harga', 'paket', 'mahal', 'tolonglah', 'bos', 'perhatikan', '']</t>
  </si>
  <si>
    <t>['app', 'busuk', 'gua', 'login', 'aneh', 'perbaiki', 'rugi', 'costomer', 'bos', 'ngelayanin', 'pelanggan', 'aduh', 'harga', 'sebanding', 'pelayanan', 'mah', 'heran', 'app', 'login', 'jaringan', 'bafuk', 'harga', 'mahal', 'bener', 'yaaa', 'cape', 'ati', 'kdg', 'darah', 'coba', 'perbaiki', 'perbaiki', 'sebanding', 'harga', 'pelayanan', 'bossssss']</t>
  </si>
  <si>
    <t>['sinyalnya', 'perbaikan', 'parah', 'ganti', 'aplikasi', 'dibuka', 'wifi', 'sinyal', 'error', 'gimana', 'memperpanjang', 'internet', 'tolong', 'jaringan', 'ditingkatkan']</t>
  </si>
  <si>
    <t>['telkomsel', 'parah', 'kuota', 'buka', 'aplikasi', 'mytelkomsel', 'aneh', 'tarif', 'mahal', 'pindah', 'kartu']</t>
  </si>
  <si>
    <t>['telkomsel', 'tolong', 'perbaiki', 'apk', 'telkomsel', 'mengalami', 'gangguan', 'internet', 'pelanggan', 'telkomsel', 'terganggu', 'puas', 'layanan', 'telkomsel']</t>
  </si>
  <si>
    <t>['min', 'sinyal', 'kesini', 'buruk', 'bagus', 'hujan', 'pemadaman', 'listrik', 'sinyalnya', 'istimewa', 'banget', 'mohon', 'perbaikannya', 'secepatnya', 'min', 'konsumen', 'kecewa', 'pindah', 'operator', 'sekian', 'makasih']</t>
  </si>
  <si>
    <t>['', 'pelanggan', 'setia', 'telkom', 'paket', 'habis', 'beli', 'telkom', 'pakai', 'jaringan', 'wifii', 'ngak', 'pakai', 'data', 'gimana', 'biaya', 'mohon', 'bantunnya', 'terimakasih']</t>
  </si>
  <si>
    <t>['mahal', 'paketan', 'telkomsel', 'daerah', 'jawa', 'pilihan', 'sperti', 'jawa', 'udah', 'ganti', 'sperti', 'ibukota', 'bnyk', 'opsi', 'operator', 'mumpuni', 'mahal', 'salam', 'pelanggan', '']</t>
  </si>
  <si>
    <t>['apk', 'login', 'udah', 'uninstal', 'download', 'sampek', 'tetep', 'login', 'apk', 'nyenengin', 'konsumen', 'kesel', 'asw']</t>
  </si>
  <si>
    <t>['aplikasi', 'login', 'gagal', 'sampah', 'untung', 'pakeq', 'server', 'murah', 'mutu', '']</t>
  </si>
  <si>
    <t>['', 'januari', 'jam', 'subuh', 'asli', 'jaringan', 'telkomsel', 'area', 'makassar', 'lelet', 'bar', 'jaringanx', 'bayar', 'mahal', 'kartu', 'halo', 'tolong', 'ditingkatkan']</t>
  </si>
  <si>
    <t>['halo', 'telkomsel', 'tanggal', 'januari', 'telkomsel', 'gangguan', 'gimana', 'kesini', 'ngaco', 'sinyalnya', 'lelet', 'mohon', 'diperbaiki', 'masuk', 'aplikasi', 'mytelkomsel', 'sumpah', 'ngecewain', 'terimakasih']</t>
  </si>
  <si>
    <t>['halo', 'update', 'aplikasi', 'telkomsel', 'update', 'buka', 'muncul', 'verifikasi', 'nomor', 'nomor', 'terdaftar', 'verifikasi', 'ulang', 'masukan', 'nomor', 'gagal', 'nggak', 'login', 'kecewa', 'banget', 'gua', 'pembaruan', 'nggak', 'amburadul', 'jaringannya', 'hancur', '']</t>
  </si>
  <si>
    <t>['aplikasi', 'membantu', 'menghambat', 'login', 'pas', 'beli', 'paket', 'internet', '']</t>
  </si>
  <si>
    <t>['telkomsel', 'parah', 'sinyalnya', 'bagusan', 'tri', 'kuota', 'murah', 'bersahabat', 'tri', 'simpati', 'main', 'game', 'gara', 'pke', 'telkomsel', 'sinyal', 'rank', 'turun', 'bukanya', 'bagus', 'not', 'good', 'check', 'kuotaku', 'udh', 'isi', 'paket', 'kuota', 'bulanan', 'bagus', 'mengecewakan', 'percaya', 'liat', 'bandingkan', 'paket', 'tri', 'bersahabat', 'banget', 'banding', 'telkomsel', '']</t>
  </si>
  <si>
    <t>['saran', 'telkomsel', 'model', 'paketan', 'pasca', 'bayar', 'mohon', 'dicantumkan', 'tampilan', 'nominalnya', 'ditulis', 'rp', 'orang', 'terjebak', 'mohon', 'perhatikan', 'orang', 'awam', 'telkomsel', 'detail', 'informasi', 'pemesanan']</t>
  </si>
  <si>
    <t>['', 'something', 'went', 'wrong', 'please', 'try', 'again', 'after', 'sometime', 'kalimat', 'dapet', 'boa', 'egang', 'njir', 'hadeuhh', 'udah', 'parah', 'aseli', 'bener', 'kecewa', 'abis', 'provider', 'tlksel', 'iya', 'jng', 'keluhan', 'kirim', 'email', 'jelasin', 'orng', 'permslhan', 'gmna', 'solusi', '']</t>
  </si>
  <si>
    <t>['kali', 'ngerasain', 'aplikasi', 'ngeselin', 'login', 'berkali', 'kali', 'something', 'twrong', 'please', 'try', 'again', 'gagal', 'smpe', 'kpn', 'login', '']</t>
  </si>
  <si>
    <t>['aplikasi', 'telkomsel', 'klu', 'beli', 'kuota', 'pulsa', 'gangguan', 'solusi', 'penggunanya', 'solusi', 'terbaik', 'ganti', 'gsm', 'telkomsel', 'solusi', 'terbaik', 'susah', 'menghambat', 'kerjaan', 'sinyal', 'gangguan', 'putus', 'alasan', 'sistem', 'eror', 'alasan', 'ngak', 'pinter', 'cari', 'solusi', 'terbaik', 'buruk', '']</t>
  </si>
  <si>
    <t>['masuk', 'menu', 'paket', 'internet', 'menu', 'lancar', 'aktifkan', 'paket', 'susah', 'masuk', '']</t>
  </si>
  <si>
    <t>['jam', 'gua', 'ngutak', 'ngatik', 'aplikasi', 'login', 'lakukan', 'iya', 'hape', 'gua', 'bakar', 'telkomsel', 'meresahkan', 'bund', 'kalah', 'kartu', 'rakyat']</t>
  </si>
  <si>
    <t>['gimana', 'aplikasi', 'pas', 'butuh', 'kuota', 'dibuka', 'kadang', 'ngebug', 'informasi', 'pembelian', 'tolong', 'perbaiki', 'top', 'ribu', 'ilang', 'masuk', 'gimana', '']</t>
  </si>
  <si>
    <t>['', 'aplikasi', 'berat', 'kebuka', 'android', 'versi', 'jaringan', 'stabil', 'udah', 'gini', 'perbaikan', 'perusahaan', 'telekomunikasi', 'plat', 'merah', '']</t>
  </si>
  <si>
    <t>['apl', 'telkomsel', 'maunya', 'udh', 'hapus', 'dwld', 'gagal', 'login', 'dwld', 'lancar', 'kacau', 'telkomsel', '']</t>
  </si>
  <si>
    <t>['parah', 'telkomsel', 'mending', 'hapus', 'aplikasi', 'loadingnya', 'ammpuuuuuuuuuuuuunnnnnnnn', 'seharian', 'kebuka', 'ngecek', 'gimna', 'kebuka', 'pulsa', 'rampas', '']</t>
  </si>
  <si>
    <t>['jaringan', 'bagus', 'buka', 'aplikasi', 'buka', 'aplikasi', 'mytelkomsel', 'reload', 'trus', 'alhasil', 'data', 'gwa', 'kmakan', 'trus', 'lihat', 'pulsa', 'doang', 'aplikasi', 'mending', 'uninstall']</t>
  </si>
  <si>
    <t>['', 'telkomsel', 'refresh', 'melulu', 'isi', 'kuota', 'via', 'telkomsel', 'sulitnya', 'ampun', 'jaringan', 'lelet', 'kecewa', '']</t>
  </si>
  <si>
    <t>['jaringan', 'simpati', 'kuota', 'mahal', 'sim', 'card', 'jalannya', 'pelan', 'kaya', 'kura', 'kura', 'masuk', 'app', 'mytelkomselnya', 'susah', '']</t>
  </si>
  <si>
    <t>['bener', 'kecewa', 'jaringan', 'internet', 'telkomsel', 'khsusnya', 'simpati', 'stabilitas', 'suka', 'eror', 'main', 'game', 'indikator', 'sinyal', 'penuh', 'area', 'bagus', 'nyaman', 'ganti', 'kartu', 'males', 'nomor', 'dipakai', 'rindu', 'jaringan', 'telkomsel', 'tim', 'pengembang', 'mohon', 'diperbaiki', 'pelanggan', 'bertahan', 'salam']</t>
  </si>
  <si>
    <t>['lemot', 'bat', 'app', 'murahan', 'enak', 'proses', 'inget', 'telkomsel', 'bumn', 'ign', 'rusak', 'citra', 'bumn', 'pelayanannya', 'ditingkatkan']</t>
  </si>
  <si>
    <t>['kecewa', 'beli', 'paket', 'omg', 'dapet', 'opsinya', 'pakai', 'operator', 'langganan', 'telkomsel', '']</t>
  </si>
  <si>
    <t>['cek', 'sisa', 'paket', 'pulsa', 'aplikasi', 'internet', 'acces', 'reload', 'berkali', 'kali', 'perubahan', 'mode', 'airplane', 'server', 'down', 'aplikasinya', 'internetan', 'berjalan', 'normal', 'maaf', 'update', 'edit', 'aplikasi', 'normal', 'thank', 'the', 'tense', '']</t>
  </si>
  <si>
    <t>['aplikasi', 'daftar', 'masuk', 'susah', 'nomer', 'nomer', 'pinjem', 'orang', 'facebook', 'hubungannya', '']</t>
  </si>
  <si>
    <t>['taun', 'telkomsel', 'kemarin', 'dapet', 'ajakan', 'beli', 'paket', 'unmilited', 'harga', 'seterusny', 'unmilited', 'bahagia', 'pas', 'abis', 'durasi', 'paketin', 'aneh', 'pas', 'paket', 'unmilited', 'jaringan', 'lancar', 'pas', 'beli', 'obral', 'harga', 'rb', 'leeltnya', 'ampun', 'kalah', 'ama', 'jaringan', 'kecewa', 'tolong', 'telkomsel', 'kartu', 'terkenal', 'adakan', 'harga', 'murah', 'paket', 'unmilited', 'ancurin', 'harapan', 'pengguna']</t>
  </si>
  <si>
    <t>['kecewa', 'banget', 'telkomsel', 'jaringannya', 'kacau', 'parah', 'ngerti', 'udah', 'gitu', 'login', 'ngerti', 'angkat', 'tangan', 'kecewa', 'beli', 'kuota', 'duit', 'cari', 'duit', 'gampang', 'jaringan', 'kayk', 'gini', 'percaya', 'pakai', 'telkomsel', 'uda', 'paketnya', 'mahal', 'mengecewakan']</t>
  </si>
  <si>
    <t>['pelanggan', 'setia', 'telkomsel', 'kecewa', 'sinyal', 'buka', 'youtube', 'nggak', 'kuota', 'gb', 'tolong', 'telkomsel', 'memperbaiki', 'sinyal', 'rumah', 'gondang', 'jirapan', 'masaran', 'sragen', '']</t>
  </si>
  <si>
    <t>['login', 'berkali', 'kali', 'instal', 'pulsa', 'terpotong', 'terpakai', 'internet', 'konfirmasi', 'pemilik', 'selular', 'memotong', 'pulsa', 'utama', 'mengaktifkan', 'paket', 'sinyal', 'hilang', 'telkomsel', '']</t>
  </si>
  <si>
    <t>['assalamualaikum', 'maaf', 'telkomsel', 'telkomsel', 'buruk', 'sinyal', 'paket', 'internet', 'aplikasi', 'telkomsel', 'buka', 'mohon', 'perbaiki', 'semuanyaaaaaa']</t>
  </si>
  <si>
    <t>['log', 'log', 'out', 'log', 'gabisa', 'ribet', 'banget', 'aplikasi', 'apasih', 'banget', 'telkomsel', 'jaringannya', 'buruk', 'udah', 'mahal', 'sinyalnya', 'berasa', 'kyk', 'dipelosok']</t>
  </si>
  <si>
    <t>['login', 'gapernah', 'logout', 'akun', 'banget', 'log', 'out', 'aplikasi', 'gabisa', 'login', 'udah', 'ulang', 'berkali', 'kali', 'sampe', 'reinstall', 'telkomsel', 'tetep', 'gabisa', 'mohon', 'diperbaiki']</t>
  </si>
  <si>
    <t>['lemot', 'banget', 'login', 'login', 'ulang', 'berlangganan', 'paket', 'kuota', 'dibayar', 'mohon', 'diperbaiki', '']</t>
  </si>
  <si>
    <t>['kecewa', 'login', 'nomer', 'berkali', 'kali', 'dicoba', 'orang', 'pusing', 'versi', 'terbaru', 'pokoknya', 'kecewa', 'berat', 'pesan', 'download', 'teman', 'teman', '']</t>
  </si>
  <si>
    <t>['gimana', 'masak', 'log', 'aneh', 'aplikasi', 'jelek', 'banget', 'dikirim', 'link', 'masuk', 'diklik', 'balek', 'halaman', 'verifikasi', 'gitu', 'mulu', 'belasan', 'link', 'verif', 'tetep', 'masuk', 'kecewa', 'syg', 'kuota', 'dowload']</t>
  </si>
  <si>
    <t>['aplikasi', 'sesat', 'udah', 'provider', 'mahal', 'gangguan', 'jaringan', 'terusan', 'download', 'login', 'nomer', 'something', 'when', 'wrong', 'kntl', 'anjg', 'beres', 'not', 'respond']</t>
  </si>
  <si>
    <t>['pelanggan', 'telkomsel', 'kecewa', 'update', 'udah', 'login', 'jaringan', 'susah', 'main', 'game', 'lag', 'dsb', 'semoga', 'tingkatkan']</t>
  </si>
  <si>
    <t>['bener', 'aplikasinya', 'tolong', 'benerin', 'udah', 'bayarnya', 'mahal', 'provider', 'bug', 'ahahha', 'login', 'main', 'game', 'kuota', 'berhenti']</t>
  </si>
  <si>
    <t>['maaf', 'telkomsel', 'knp', 'hujan', 'lelet', 'pdhal', 'telkomsel', 'anti', 'hujan', 'skrg', 'beda', 'tolong', 'perbaiki', 'beli', 'kouta', 'murahan', 'beli', 'mahal', 'lelet', 'mending', 'pke', 'kartu', 'sebelah', 'cepat', 'lelet']</t>
  </si>
  <si>
    <t>['aplikasi', 'susah', 'dibuka', 'something', 'wrong', 'mulu', 'buka', 'aplikasi', 'signal', 'kuotanya', 'buka', 'telkomsel', 'mahal', 'doang', 'timbal', 'baliknya']</t>
  </si>
  <si>
    <t>['pemakai', 'telkomsel', 'kuliatas', 'menurun', 'signal', 'kualitas', 'internet', 'mengecewakan', 'dijaman', 'serba', 'internet', 'app', 'mytelkomsel', 'bngt', 'gangguan', 'kecewa', 'tolong', 'dev', 'baca', 'ditangani', 'komen', 'intinya', 'keluhan', 'kualitas', 'koneksi', 'internet', 'tolong', 'diperbaiki', '']</t>
  </si>
  <si>
    <t>['login', 'sinyal', 'udah', 'bagus', 'login', 'tolong', 'perbaiki', 'update', 'bagus', 'berguna', 'apknya', '']</t>
  </si>
  <si>
    <t>['kecewa', 'pakai', 'telkomsel', 'kesini', 'jaringan', 'buruk', 'kota', 'tolong', 'perbaikan', 'jaringan', 'penambahan', 'harga', 'paket', 'internet', 'tolong', 'daerah', 'bekasi', 'perbaiki', 'jaringannya', 'trimakasih']</t>
  </si>
  <si>
    <t>['buka', 'aplikasi', 'skrg', 'kebanyakan', 'loading', 'tolong', 'perbaiki', 'sinyal', 'sebagus', 'skrg', 'apk', 'mytelkomsel', 'buka', '']</t>
  </si>
  <si>
    <t>['kebanyakan', 'ngaco', 'kau', 'admin', 'perbaiki', 'sinyal', 'maaf', 'maaf', 'maaf', 'becus', 'kerja', 'admin', 'perbaiki', 'sinyal', 'telkomsel', 'peovinsi', 'riau', 'kecamatan', 'pinggir', 'maaf', 'ngerti', '']</t>
  </si>
  <si>
    <t>['aman', 'aman', 'telkomsel', 'isi', 'ulang', 'pas', 'buka', 'aplikasinya', 'error', 'pas', 'coba', 'login', 'nomernya', 'gabisa', 'login', '']</t>
  </si>
  <si>
    <t>['kuota', 'flash', 'slalu', 'didahulukan', 'pemakaiannya', 'kuota', 'lokal', 'jaringan', 'daerah', 'beli', 'kuota', 'udah', 'gitu', 'kuota', 'lokal', 'jaringannya', 'stabil', 'sia', 'hargamu', 'mahal', 'operator', 'jaringan', 'murahan', 'sengaja', 'kasih', 'bintang', 'baca', 'orang']</t>
  </si>
  <si>
    <t>['sorry', 'kecewa', 'bngt', 'aplikasi', 'habis', 'update', 'down', 'aplikasi', 'bintang', 'turunin', 'perbaiki', 'bintang', 'dpt', '']</t>
  </si>
  <si>
    <t>['applikasi', 'error', 'karenakan', 'login', 'nomor', 'telkomsel', 'login', 'link', 'mohon', 'perbaiki', 'applikasi', 'pengguna', 'telkomsel', 'menggunakannya', 'mohon', '']</t>
  </si>
  <si>
    <t>['maaf', 'min', 'login', 'aplikasi', 'pas', 'sinyal', 'wifi', 'susah', 'ampun', 'engga', 'login', 'kondisi', 'quota', 'abis', 'wifinya', 'ngebut', 'udah', 'coba', 'cear', 'cache', 'instal', 'ulang', 'aplikasi', 'engga', 'ngaruh', 'mohon', 'solusinya']</t>
  </si>
  <si>
    <t>['email', 'beles', 'kak', 'skrng', 'masuk', 'telkomsel', 'restart', 'mode', 'manual', 'udah', 'minggu', 'kecewa', 'provider', 'telkomsel', 'memakai', 'provider', 'sayang', 'mengecewakan', '']</t>
  </si>
  <si>
    <t>['aplikasi', 'masuk', 'udah', 'masukin', 'nomer', 'gagal', 'mulu', 'telkomsel', 'tolong', 'sinyal', 'benerin', 'kesini', 'lemot', 'udah', 'bagus', 'kyak', 'dlu', 'banget', 'ganti', 'bintang', 'like', 'telkomsel', 'lgi', 'kecewa', 'telkomsel', 'udah', 'terimakasih']</t>
  </si>
  <si>
    <t>['kecewa', 'kali', 'telkomsel', 'pulsa', 'habis', 'paket', 'tersisa', 'trus', 'aplikasinya', 'eror', 'dibuka', 'aplikasi', 'telkomsel', 'kondisi', 'eror', '']</t>
  </si>
  <si>
    <t>['beli', 'paket', 'internet', 'gb', 'khusus', 'malam', 'bisadi', 'mlm', 'gunta', 'ganti', 'gunta', 'ganti', 'jarigan', 'gitu', 'mutar', 'mutar', 'kecewa', 'tingkat', 'dewa', '']</t>
  </si>
  <si>
    <t>['telkom', 'babbii', 'beli', 'paket', 'mahal', 'mahal', 'jaringan', 'kaya', 'monyet', 'setan', 'tukang', 'tipuu', 'anjinggg', 'sumpahin', 'bangkrut', 'bangsaatt', 'saranin', 'telkomsel', 'mending', 'dibeli', 'kaya', 'taee', 'komplain', 'bejibun', 'diperbaiki', 'maaf', 'beli', 'paket', 'gaa', 'maaf', 'duit', 'anjingg', '']</t>
  </si>
  <si>
    <t>['telkomsel', 'buruk', 'peket', 'mahal', 'jaringan', 'lemot', 'sumpah', 'bertahun', 'gue', 'telkomsel', 'buruk', 'beli', 'paket', 'beli', 'pulsa', 'aplikasi', 'kadang', 'suka', 'troble', 'aplikasi', 'pembayaran', '']</t>
  </si>
  <si>
    <t>['tolong', 'perbaiki', 'kali', 'cek', 'pulsa', 'smlm', 'sms', 'pemberitahuan', 'pulsa', 'masuk', 'isi', 'maketin', 'data', 'teruntuk', 'apknya', 'buka', 'bacaannya', 'jaringan', 'stabil', 'refresh', 'kali', 'jaringan', 'bagus', 'tolong', 'perbaiki', 'kecewa']</t>
  </si>
  <si>
    <t>['maunya', 'telkomsel', 'apasih', 'aneh', 'daftar', 'internet', 'ampe', 'puluhan', 'kali', 'tetep', 'giliran', 'daftar', 'nelfon', 'call', 'center']</t>
  </si>
  <si>
    <t>['mahal', 'lelet', 'pulsa', 'kepotong', 'beli', 'paket', 'paket', 'masuk', 'paket', 'habis', 'pulsa', 'dihabisin', 'pulsa', 'sisa', 'ribu', 'kemakan', 'gara', 'paket', 'habis', 'dihubungi', 'teman', 'skolah', 'reuni', 'apapun', 'udah', 'gue', 'ganti', 'kartu', 'nyaaa', '']</t>
  </si>
  <si>
    <t>['sumpah', 'provider', 'kesel', 'harga', 'tarifnya', 'doang', 'mahal', 'sinyal', 'sesuai', 'harga', 'sia', 'sia', 'beli', 'paket', 'data', 'mahal', 'banget', 'error', 'beda', 'provider', 'sebelah', 'maaf', 'doang', 'kelarin', 'gimana', '']</t>
  </si>
  <si>
    <t>['gimana', 'udah', 'login', 'aplikasi', 'telkomselnya', 'jaringgan', 'hilang', 'tolong', 'perbaiki', 'aplikasi', 'jaringgannya']</t>
  </si>
  <si>
    <t>['jir', 'banting', 'sinyal', 'telkomsel', 'lelet', 'banget', 'gua', 'udah', 'tahan', 'tahan', 'nahan', 'amarah', 'terbendung', 'benerin', 'sinyal', 'lambat', 'banget', 'gua', 'nge', 'game', 'lag', 'ampun', 'sumpah', 'provider', 'kali', 'mengecewakan', 'gua', 'sakit', 'hati', 'gua', 'provider', 'gimana', 'harga', 'kartu', 'perdananya', 'ngotak', 'bisagua', 'terima', 'sinyalnya', 'bagus', 'harga', 'kartunya', 'mahal', 'harga', 'kuotanya', 'mahal', 'sinyal', 'lelet', 'selelet', 'lelet', '']</t>
  </si>
  <si>
    <t>['lakukan', 'login', 'telkomsel', 'udah', 'login', 'kehapus', 'login', 'kesalahan', '']</t>
  </si>
  <si>
    <t>['kecewa', 'sinyal', 'bagus', 'bagus', 'stabil', 'kadang', 'bagus', 'habis', 'sinyal', 'stabil', 'membantu', 'balas', 'gpp', 'gua', 'balas', 'bot', 'balasan', 'pelayanan', 'buruk', 'harga', 'mahal', 'kualitas', 'sinyal', 'murah', 'bener', 'bro', '']</t>
  </si>
  <si>
    <t>['gila', 'parah', 'sinyal', 'hahaha', 'buka', 'aplikasi', 'telkomsel', 'loading', 'mlu', 'pdhl', 'tinggal', 'jabodetabek', 'fix', 'mesti', 'ganti', 'provider', 'bye', 'bye', 'pelanggan', 'setia', 'udh', 'kecewa']</t>
  </si>
  <si>
    <t>['pengguna', 'telkomsel', 'komplain', 'harga', 'puas', 'pelayanan', 'telkomsel', 'berubah', 'tarif', 'sinyal', 'aplikasi', 'telkomsel', 'beli', 'paket', 'internet', 'beli', 'beli', 'corporate', 'beli', 'kusus', 'gojek', 'paket', 'beli', 'telkomsel']</t>
  </si>
  <si>
    <t>['maap', 'ganti', 'ulasan', 'sinyal', 'stabil', 'parahnya', 'mytelkomsel', 'buka', 'udah', 'versi', 'terbaru']</t>
  </si>
  <si>
    <t>['', 'sel', 'mantap', 'tunggu', 'promo', 'paket', 'murah', 'beli', 'paket', 'internet', 'gb', 'ribu', 'berharap', 'telkomsel', 'kasih', 'paket', 'thank', 'sel']</t>
  </si>
  <si>
    <t>['jelek', 'aplnya', 'bagus', 'banget', 'banget', 'suruh', 'masuki', 'nomor', 'telepon', 'masuki', 'nomornya', 'eror', '']</t>
  </si>
  <si>
    <t>['login', 'telkomsel', 'susah', 'miris', 'ngeliat', 'paketan', 'sperti', 'sebanding', 'kualitas']</t>
  </si>
  <si>
    <t>['tolong', 'diperbaiki', 'stop', 'langganan', 'paket', 'darurat', 'memaksa', 'pulsa', 'orang', 'kena', 'sedot', 'cek', 'sesuai', 'pilihan', 'berhenti', '']</t>
  </si>
  <si>
    <t>['gila', 'telkomsel', 'blom', 'sehari', 'kouta', 'peras', 'ampir', 'cuman', 'liat', 'youtube', 'main', 'doank', 'youtube', 'teertera', 'aplikasi', 'unlimited', 'gila', 'paket', 'combo', 'sakti', 'silahkan', 'cek', 'youtube', 'unlimited', 'tpi', 'makn', 'kouta', 'utama', '']</t>
  </si>
  <si>
    <t>['notif', 'internetmax', 'pdhl', 'beli', 'disuruh', 'update', 'pas', 'update', 'msk', 'akun', 'gimana']</t>
  </si>
  <si>
    <t>['lelet', 'kali', 'aplikasinya', 'ribet', 'kali', 'bolak', 'masuk', 'buruk', 'kali', 'kualitas', 'aplikasi', 'pakai', 'handphone', 'ram', 'maunya', 'disesuaikan', 'kuliatasnya', 'jaringan', 'terbilang', 'terbaik', 'aplikasinya', 'lelet', 'memadai', 'bolak', 'eror', 'terhambat', 'kegitan', 'konsumen', 'perkara', 'aplikasi', 'orang', 'bekerjanya', 'handphone', 'susah', '']</t>
  </si>
  <si>
    <t>['telkomsel', 'udah', 'jelek', 'mah', 'saran', 'rugi', 'beli', 'paket', 'mahal', 'mahal', 'jaringan', 'kaya', 'kartu', 'taiii', 'mening', 'smartfreen', 'jaringan', 'udah', 'dimana', 'maen', 'game', 'lag', 'kaya', 'telkomsel', 'udah', 'jelek', 'cuih', '']</t>
  </si>
  <si>
    <t>['aplikasi', 'telkomsel', 'login', 'daftar', 'ulang', 'buka', 'login', 'daftar', 'login', 'daftar', 'nyusahin', 'pelanggan', 'mnggunakan', 'app', 'telkomsel', 'habis', 'daftar', 'buruk', 'pelayanannya']</t>
  </si>
  <si>
    <t>['gimana', 'telkomsel', 'jelek', 'pelayanan', 'buka', 'aplikasi', 'sulitnya', 'mati', 'emosi', 'aplikasi', 'update', 'ngak', 'bener', 'ditambah', 'sinyalnya', 'ngedrop', 'gini', 'pelanggan', 'kabur']</t>
  </si>
  <si>
    <t>['apalah', 'jaringan', 'lelet', 'pakai', 'kartu', 'telkom', 'jaringan', 'kalah', 'axis', 'tolonglah', 'perbaiki', 'jaringannya', 'pengguna', 'nyaman', 'jaringan', 'lelet', 'terusan', '']</t>
  </si>
  <si>
    <t>['aplikasi', 'buruk', 'boong']</t>
  </si>
  <si>
    <t>['kecewaaaa', 'sinyal', 'telkomsel', 'turun', 'drastis', 'jam', 'wib', 'keatas', 'susah', 'pindah', 'jaringan', 'otomatis', 'manual', 'pakai', 'telkomsel', 'diwilayah', 'mohon', 'ditanggapi', 'ditingkatkan', 'telkomsel', 'telkomsel', 'kebanggaan', 'tolong', 'abaikan', 'pelangganmu', 'terimakasih']</t>
  </si>
  <si>
    <t>['parah', 'emang', 'login', 'download', 'udah', 'kirim', 'link', 'pencet', 'link', 'login', 'akun', 'google', 'facebook', 'tetep', 'sinyal', 'udah', 'tolong', 'kasih', 'gimana', '']</t>
  </si>
  <si>
    <t>['kasih', 'bintang', 'tolong', 'app', 'perbaiki', 'crash', 'error', 'login', 'nomor', 'nomor', 'operator', 'telkomsel', 'tolong', 'diperbaiki', 'harap', 'kedepannya', 'mengecewakan', '']</t>
  </si>
  <si>
    <t>['mohon', 'maaf', 'kecewe', 'beli', 'kuota', 'ketengan', 'unlimited', 'instagram', 'nggak', 'beli', '']</t>
  </si>
  <si>
    <t>['sinyal', 'menurun', 'alami', 'telkomsel', 'daerah', 'terkenal', 'provider', 'sinyal', 'terbaik', 'sesuai', 'harga', 'ntah', 'kyk', 'gini', 'edit', 'ikuti', 'diarahkan', 'sinyalnya', 'mambaik', 'berkendala', 'jaringan', 'bermain', 'game', 'daya', 'serap', 'internetnya', 'emang', 'dibanding', 'sosmed', 'telkomsel', 'saran', 'mengoptimalkan', 'jaringan', 'bermain', 'game', '']</t>
  </si>
  <si>
    <t>['pengalaman', 'aplikasi', 'buruk', 'gagal', 'memuat', 'halaman', 'koneksi', 'bermasalah', 'logout', 'login', 'terkadang', 'pesan', 'masuk', 'verifikasi', 'kualitas', 'aplikasi', 'dibandingkan', 'aplikasi', 'operator', 'oot', 'sinyal', 'jelek', 'rto']</t>
  </si>
  <si>
    <t>['top', 'pulsa', 'masuk', 'masuk', 'ditambah', 'jaringan', 'jelek', 'udah', 'paketnya', 'mahal', 'jaringan', 'jelek', 'harga', 'sesuai', 'kualitas']</t>
  </si>
  <si>
    <t>['jelek', 'applikasi', 'hati', 'beli', 'pulsa', 'applikasi', 'beli', 'pulsa', 'bayar', 'pakai', 'shoppepay', 'bayar', 'brpa', 'bayar', 'pakai', 'shoppepay', 'tulis', 'potong', 'koin', 'total', 'pembayaran', 'potong', 'koin', 'shoppe', 'shoppe', 'pay', 'bayar', 'pulsa', 'parah', 'app', 'jelek', '']</t>
  </si>
  <si>
    <t>['mengecewakan', 'telkomsel', 'harga', 'paketan', 'mahal', 'jaringan', 'lemot', 'coba', 'restart', 'device', 'kondisi', 'cuaca', 'mendung', 'hujan', 'parah', 'koneksinya', '']</t>
  </si>
  <si>
    <t>['kesini', 'buruk', 'jaringan', 'sinyal', 'telkomsel', 'bagus', 'nambah', 'burruk', 'kota', 'tolong', 'perbaiki', 'kendala', 'mohon', 'maaf', 'terimakasih', '']</t>
  </si>
  <si>
    <t>['gila', 'telkomsel', 'jelek', 'skg', 'sehari', 'kali', 'hilang', 'sinyalnya', 'maen', 'game', 'kalah', 'mulu', 'bener', 'uda', 'mah', 'kuota', 'mahal', 'masi', 'gini', 'trus', 'mending', 'ganti', 'males', '']</t>
  </si>
  <si>
    <t>['jaringan', 'telkomsel', 'otak', 'udah', 'pakai', 'telkomsel', 'tapai', 'pas', 'pindah', 'kota', 'jaringan', 'bagus', 'depok', 'jawa', 'barat', '']</t>
  </si>
  <si>
    <t>['simpati', 'down', 'paraahhh', 'sinyalnua', 'simpati', 'semenjak', 'indihome', 'masuk', 'rumah']</t>
  </si>
  <si>
    <t>['telkomsel', 'plissss', 'harga', 'kuotamu', 'muahal', 'tetep', 'pilih', 'telkomsel', 'jaringannya', 'kuat', 'lemotttt', 'beli', 'gb', 'seminggu', 'kepake', 'jaringannya', 'lemot', 'banget', 'alhasil', 'pas', 'seminggu', 'sisa', 'hangus', 'tolong', 'perbaiki', 'wilayah', 'kec', 'pameungpeuk', 'kab', 'bandung', 'asli', 'pindah', 'hati', '']</t>
  </si>
  <si>
    <t>['jaringan', 'kaya', 'gini', 'mending', 'turunin', 'deh', 'harga', 'paketan', 'harga', 'pakrtan', 'internet', 'mahal', 'jaringan', 'jelek', 'banget', 'mending', '']</t>
  </si>
  <si>
    <t>['bagus', 'aplikasi', 'cuman', 'paket', 'data', 'entertainment', 'gamesmax', 'dikit', 'paket', 'games', 'playernya', 'roblox', 'clash', 'clans', 'call', 'duty', 'mobile']</t>
  </si>
  <si>
    <t>['maaf', 'kali', 'kecewa', 'telkomsel', 'paket', 'data', 'susah', 'jaringan', 'hilang', 'berubah', 'kecewa', 'banget']</t>
  </si>
  <si>
    <t>['nanya', 'knapa', 'pulsa', 'dipotong', 'trus', 'stlh', 'cek', 'balasannya', 'cma', 'biaya', 'gprs', 'tlp', 'disebabkan', 'biaya', 'gprs', 'pdhl', 'pke', 'wifi', 'data', 'matikan', 'trs', 'disuru', 'operator', 'unreg', 'blsn', 'berlaku', 'sktr', 'skrg', 'smp', 'pulsa', 'kepotong', 'heran', 'cek', 'ato', 'telkomsel', 'blsnnya', 'sllu', 'biaya', 'gprs', 'tolong', 'solusinya', 'pdhl', 'sllu', 'pke', 'telkomsel', 'operator', 'lbh', 'murah', '']</t>
  </si>
  <si>
    <t>['kali', 'jaringannya', 'masalh', 'bayar', 'mahal', 'internet', 'lancar', 'uda', 'bayar', 'mahal', 'buka', 'apapun', 'lelet', '']</t>
  </si>
  <si>
    <t>['telkomsel', 'gimana', 'udah', 'beli', 'pulsa', 'trus', 'daftar', 'paket', 'maxstream', 'iflix', 'pulsa', 'berkurang', 'rupiah', 'kemana', 'ilangnya', 'trus', 'terpaksa', 'beli', 'pulsa', 'daftar', 'kuota', 'giliran', 'udah', 'daftar', 'gabisa', 'nonton', 'iflix', 'udah', 'abis', 'uang', 'ribu', 'gunain', 'dirugikan', 'balikin', 'pulsa', 'ngga', 'tanggung', '']</t>
  </si>
  <si>
    <t>['perampok', 'pulsa', 'dapet', 'sms', 'penggunaan', 'tarif', 'normal', 'pulsa', 'tersedot', 'total', 'alibi', 'telkomsel', 'jaringan', 'stabil', 'memotong', 'pulsa', 'utama', 'sense', 'telkomsel', 'yaa', 'perusahaan', 'segede', 'layanan', 'recovery', 'pulsa', 'emang', 'sengaja', 'let', 'whistle', 'blow', 'hati', 'telkomsel', 'pastikan', 'pulsa', 'sesuai', 'nominal', 'sisa', 'dirampok', '']</t>
  </si>
  <si>
    <t>['telkomsel', 'gimana', 'server', 'beli', 'kuota', 'unlimited', 'nggak', 'pakai', 'menipu', 'pelanggan', 'lambat', 'laun', 'pelanggan', 'tolong', 'perbaiki', 'server']</t>
  </si>
  <si>
    <t>['telkomsel', 'semuan', 'kota', 'lelet', 'kota', 'kalimantan', 'selatan', 'kecamatan', 'tapin', 'lokasi', 'mesjid', 'irsyadul', 'ibat', 'jrngn', 'parah', 'lelet', 'butuh', 'jrngan', 'untung', 'membantu', 'korban', 'banjir', 'karimantan', 'selatan', 'warga', 'kalsel', 'butuh', 'banget', 'koneksi', 'jaringan', 'bagus', 'karna', 'berkomonikasi', 'bantu', 'donasi', 'korban', 'banjir', 'harap', 'pengertiannya', 'sob', 'tolong', 'bantu', 'secepatnya', 'banjir', 'parah', '']</t>
  </si>
  <si>
    <t>['', 'perusahan', 'pelayanannya', 'chat', 'costumer', 'care', 'medsos', 'telkomsel', 'auto', 'robot', 'gunanya', 'live', 'chat', 'ujung', 'grapari', 'store', 'sekelas', 'bumn', 'mendominasi', 'offline', 'store', 'sytem', '']</t>
  </si>
  <si>
    <t>['harga', 'kuota', 'nga', 'sebanding', 'kuota', 'males', 'beli', 'trus', 'jaringannya', 'nga', 'stabil', 'main', 'game', 'jaringan', 'langsung', 'down', 'harap', 'harga', 'kuota', 'internet', 'permurah', 'jaringannya', 'perlancar']</t>
  </si>
  <si>
    <t>['telkomsel', 'serba', 'mahal', 'bonus', 'gratis', 'harga', 'paket', 'mencekik', 'banget', 'jaringannya', 'stabil', 'murah', 'super', 'unlimitide', 'pokok', 'memuaskan', 'pelanggan', 'jaringan', 'mudah', 'ditempat', 'pakek', 'telkomsel', 'not', 'bireuen', 'aceh', 'tolong', 'telkomsel', 'kasih', 'harga', 'paketnya', 'mendukung', 'kalangan', 'jaringan', 'luas', 'harga', 'paketnya', 'super', 'mahal', '']</t>
  </si>
  <si>
    <t>['telkomsel', 'menjengkelkan', 'paketan', 'udah', 'setia', 'percaya', 'telkomsel', 'kecepatan', 'download', 'telegram', 'diturunkan', 'drastis', 'lelet', 'kayak', 'siput', 'edan', 'pandemi', 'kayak', 'gini', 'layanan', 'internet', 'dibutuhkan', 'memuaskan', 'semoga', 'pelanggan', 'sabar', 'meninggalkan', '']</t>
  </si>
  <si>
    <t>['log', 'aplikasi', 'mohon', 'dipermudah', 'jarang', 'orang', 'android', 'menelpon', 'kartu', 'dipake', 'telkomsel', 'khusus', 'nelpon', 'hemat', 'batterai', 'aplikasinya', 'android', 'pastinya', '']</t>
  </si>
  <si>
    <t>['penguna', 'telkomsel', 'hancur', 'jaringan', 'kecewa', 'bagus', 'jaringan', 'pemakaian', 'pulsa', 'jt', 'bosssssss', 'jaringan', 'burukkkkkkkkkk', 'penguna', 'telkomsel', 'puas', 'jaringanya', 'kampung', 'wajar', 'boss', 'kota', 'lohhhh', 'penguna', 'telkomsel', 'beralih', 'jaringan', 'bukanya', 'bagus', 'burukkk', 'buka', 'youtube', 'loadingnya', 'parahhhhh']</t>
  </si>
  <si>
    <t>['main', 'efootball', 'pes', 'kalah', 'gara', 'sinyal', 'telkomsel', 'menyambungkan', 'posisi', 'unggul', 'skor', 'tetep', 'nyatakan', 'kalah', 'sambungan', 'terputus', 'kali', 'rugikan', 'sinyal', 'provider', 'lelet', 'kayak', 'selamat', 'tinggal', 'telkomsel', 'pindah', 'provider', '']</t>
  </si>
  <si>
    <t>['pulsa', 'dipotong', 'data', 'hidup', 'minggu', 'pulsa', 'dipotong', 'alasan', 'data', 'darurat', 'perbaiki', 'rugi', 'ratusan', 'ribu', 'semenjak', 'telkomsel']</t>
  </si>
  <si>
    <t>['promo', 'kuota', 'beli', 'pajangan', 'mytelkomsel', 'kapok', 'telkomsel', 'mahal', 'doang', 'mending', 'tetangga', 'sebelah', 'paket', 'murah', 'stabil', 'real', 'highspeed']</t>
  </si>
  <si>
    <t>['', 'terhormat', 'telkomsel', 'sbg', 'pengguna', 'setia', 'telkomsel', 'kecewa', 'signal', 'telkomsel', 'lemah', 'hilang', 'signalnya', 'andalan', 'tpi', 'susah', 'mohon', 'tolong', 'perbaiki', 'jaringan', 'signal', 'telkomsel']</t>
  </si>
  <si>
    <t>['tolong', 'tower', 'gardu', 'jaringannya', 'pengguna', 'telkomsel', 'jelek', 'mencari', 'jaringan', 'ganti', 'operator', 'kecewa', 'mengganggu', 'pekerjaan', '']</t>
  </si>
  <si>
    <t>['sinyal', 'jelek', 'paraahhh', 'upload', 'lamaaaaaaaaaaaaaaaaaaaa', 'banget', 'udah', 'pindah', 'sinyal', 'bentar', 'trus', 'lemot', 'mode', 'pesawat', 'menit', 'bagus', 'bentar', 'lemot', 'gitu']</t>
  </si>
  <si>
    <t>['lepas', 'bintang', 'kecewa', 'knp', 'paket', 'cocot', 'hilangin', 'tolong', 'kembaliin', 'paket', 'unlimited', 'harga', 'harga', 'terima', 'kasih', '']</t>
  </si>
  <si>
    <t>['setia', 'telkomsel', 'semoga', 'telkomsel', 'terbaik', 'semoga', 'jaringannya', 'dimanapun', 'bagus', 'mempermudah', 'pelanggannya', 'berkomunikasi', '']</t>
  </si>
  <si>
    <t>['andai', 'papua', 'operator', 'udh', 'pindah', 'dri', 'ngeselin', 'banget', 'operator', 'merah', 'berasa', 'bobrok']</t>
  </si>
  <si>
    <t>['telkomsel', 'mahal', 'menang', 'signal', 'doank', 'terlajur', 'pakai', 'nomor', 'udah', 'sayang', 'buang', 'beli', 'pulsa', 'aktif', 'seandainya', 'jual', 'aktif', 'beli', 'aktif', 'semoga', 'perubahan', 'memanjakan', 'customer', 'edit', 'skor', 'bintang', '']</t>
  </si>
  <si>
    <t>['', 'kali', 'lapor', 'kali', 'kecewa', 'perbaikan', 'sinyalnya', 'jelek', 'pengguna', 'pascabayar', 'prioritas', 'bayar', 'rb', 'kuota', 'laporan', 'lapor', 'ylki', 'pengen', 'main', 'main', 'gara', 'gara', 'operator', 'aktivitas', 'internet', 'dirugikan', 'telkomsel', 'bakar', 'uang', 'sia', 'sia', 'jaringan', 'sampah', '']</t>
  </si>
  <si>
    <t>['yth', 'mytelkomsel', 'mohon', 'maaf', 'pembelian', 'paket', 'data', 'paket', 'data', 'siang', 'paket', 'data', 'malam', 'anak', 'bergadang', '']</t>
  </si>
  <si>
    <t>['ass', 'nanya', 'instal', 'telkomsel', 'ktak', 'sms', 'msk', 'selamat', 'paket', 'pulsa', 'rp', 'tlh', 'aktif', 'cek', 'plznya', 'maksudnya', 'gimana', 'mhn', 'penjelasannya', '']</t>
  </si>
  <si>
    <t>['memakai', 'app', 'tolong', 'kecewa', 'pengguna', 'app', 'terimakasih', 'tongkat', 'kualitas', 'app', 'data', 'keluarkan', 'pengguna', 'app', 'telkomsel', 'terimakasih', 'selamat', 'malam', '']</t>
  </si>
  <si>
    <t>['', 'kota', 'main', 'ngelag', 'udh', 'mahal', 'beli', 'jngn', 'pelit', 'sma', 'jaringan', 'beli', 'mahal', 'bagus', 'kecewa', 'konsumen', 'pantes', 'ratting', 'depelover', 'perbaiki', 'lgi']</t>
  </si>
  <si>
    <t>['woy', 'telkomsel', 'program', 'bener', 'donk', 'program', 'kuota', 'keluarga', 'susah', 'banget', 'beli', 'nelpon', 'kuota', 'habis', 'expired', 'gitu', 'orang', 'udah', 'kuota', 'internet', 'donk', 'beli', 'gimana', 'pinter', 'banget', 'merancang', 'programnya', 'beli', 'pilihannya', 'doank', 'pas', 'klik', 'suruh', 'link', 'app', 'mytelkomsel', 'lahh', 'bohong', 'perbaiki', 'donk', 'woyy', 'layanannya', 'namanya', 'operator', 'plat', 'merah', 'kayak', 'gini', 'kinerjanya', 'sedih', 'udah', 'bayar', 'pajak']</t>
  </si>
  <si>
    <t>['sinyal', 'telkomsel', 'jelek', 'dipake', 'meet', 'google', 'meet', 'susah', 'udah', 'beli', 'kuota', 'sisi', 'pulsa', 'aktifin', 'data', 'tersedot', 'pulsanya', 'data']</t>
  </si>
  <si>
    <t>['sorry', 'kasih', 'bintang', 'jaringan', 'lag', 'mulu', 'game', 'lag', 'nonton', 'youtube', 'lag', 'tolong', 'diperbaiki', 'mengeluh', 'respon', 'lambat', 'udah', 'beli', 'paket', 'gamemax', 'log', 'game', 'gini', 'trus', 'ndak', 'kuat', 'cok']</t>
  </si>
  <si>
    <t>['sinyalnya', 'parah', 'patah', 'mulu', 'kecewa', 'banget', 'pengguna', 'udah', 'berlangganan', 'sinyal', 'kesini', 'jelek', 'buka', 'game', 'online', 'lemot', 'ampun']</t>
  </si>
  <si>
    <t>['telkomsel', 'perbaikin', 'jaringan', 'paketan', 'mahal', 'jaringan', 'lemot', 'teman', 'gua', 'pakai', 'three', 'jaringan', 'lancar', 'gua', 'pakai', 'telkomsel', 'main', 'mobile', 'legand', 'mobile', 'legand', 'buka', 'youtube', 'lemot', 'tolong', 'perbaikin', 'gua', 'pelanggan', 'beli', 'paketan', 'kaya', 'gini', 'gua', 'pindah', 'provaider', 'three', 'tolong', 'perbaikin', 'lokasi', 'bekasi', 'utara', 'sektor', 'blok', 'kel', 'bahagia', 'kec', 'babelan', 'kab', 'bekasi', '']</t>
  </si>
  <si>
    <t>['parah', 'pakai', 'beli', 'kuota', 'pendidikan', 'google', 'meet', 'kepake', 'kuota', 'utama', 'habis', 'kuota', 'utama', 'kuota', 'belajar', 'google', 'meet', 'gakepake', '']</t>
  </si>
  <si>
    <t>['pelanggan', 'pengguna', 'setia', 'akui', 'telkomsel', 'mudah', 'penggunaan', 'sinyalnya', 'stabil', 'nggak', 'kaya', 'daerah', 'pelosok', 'ditingkatkan', 'pelayanan', 'mohon', 'maaf', 'sekedar', 'saran', 'terimakasih', '']</t>
  </si>
  <si>
    <t>['beralih', 'kartu', 'halo', 'jaringan', 'parah', 'provider', 'parahnya', 'telkomsel', 'menjamin', 'kualitas', 'internet', 'menurun', 'pengguna', 'inovatif', 'menjaga', 'kualitasnya', 'kuota', 'gratis', 'membayar', 'tolong', 'hargai', 'konsumennya', 'buka', 'aplikasi', 'telkomsel', 'menit', 'terbuka', 'muter', '']</t>
  </si>
  <si>
    <t>['paket', 'murah', 'telkomsel', 'khusus', 'nomor', 'pelanggan', 'terpilih', 'kesal', 'pilih', 'pelanggan', 'setia', 'telkomsel', 'kecewa', 'muda', 'han', 'pertimbangan', 'kasih', 'bintang', 'terimakasih', '']</t>
  </si>
  <si>
    <t>['admin', 'pagi', 'daftar', 'paket', 'unlimited', 'facebook', 'bayar', 'aplikas', 'dana', 'aplikasi', 'dana', 'pemberitahuan', 'sukses', 'pembayaran', 'trus', 'pas', 'cek', 'telkomsel', 'masuk', 'datanya', 'kah', 'tolong', 'perbaiki', 'aplikasinya', '']</t>
  </si>
  <si>
    <t>['tolong', 'provider', 'terbesar', 'terbaik', 'indonesia', 'upgrade', 'bts', 'pengguna', 'speed', 'upload', 'download', 'berkurang', 'didaerah', 'kabupaten', 'lemot', 'jaringan', 'internet', '']</t>
  </si>
  <si>
    <t>['panduan', 'coba', 'jaringan', 'otomatis', 'manual', 'automatis', 'perubahan', 'jaringan', 'lemot', 'lelet', 'mengecewakan', 'klu', 'dlm', 'perubahan', 'mohon', 'maap', 'walupun', 'pelanggan', 'telkomsel', 'terpaksa', 'pindah', 'operator', 'lancar', 'sinyal', 'jaringanya', 'perhatiannya', 'terimakasih', '']</t>
  </si>
  <si>
    <t>['hallo', 'telkomsel', 'paket', 'combo', 'sakti', 'boros', 'youtobe', 'sampe', 'jam', 'kualitas', 'habis', 'mb', 'skrang', 'maksudnya', 'kali', 'pelanggan', 'telkomsel', 'sampe', 'kaya', 'gini', 'pemakain', '']</t>
  </si>
  <si>
    <t>['kenapah', 'ancur', 'jaringan', 'bukanya', 'pelihara', 'ngusingin', 'udah', 'modal', 'perbaikan', 'mahal', 'jaringan', 'bagus', 'sampi', 'kapn', 'jaringan', 'jelek']</t>
  </si>
  <si>
    <t>['sinyalnya', 'lemot', 'beli', 'paketan', 'mahal', 'mahal', 'jaringannya', 'lemot', 'ngegeme', 'server', 'terputus', 'mulu', 'udah', 'tetep', 'lemot', 'coba', 'deh', 'gausah', 'twitter', 'gausah', 'email', 'ribet']</t>
  </si>
  <si>
    <t>['layanan', 'telkomsel', 'kesini', 'buruk', 'kecepatannya', 'ngimbang', 'ngimbangin', 'provider', 'kelas', 'mahalnya', 'notifnya', 'kecepatannya', '']</t>
  </si>
  <si>
    <t>['telkomsel', 'jaringannya', 'gini', 'down', 'nggak', 'download', 'udah', 'berkali', 'kali', 'tetep', 'nggak', 'perbaikan', 'nggak', 'percaya', 'bacain', 'balasan', 'tpihak', 'telkomsel', 'bilangnya', 'suruh', 'menghubungi', 'udah', 'dihubungi', 'nggak', 'perbaikan', '']</t>
  </si>
  <si>
    <t>['minggu', 'jam', 'beli', 'paket', 'data', 'swadaya', 'gojek', 'gb', 'hrg', 'rb', 'sampe', 'skrg', 'msh', 'dlm', 'proses', 'cepat', 'berhasil', 'tolong', 'segerakan', 'berhsl', 'postingan', 'hapus', '']</t>
  </si>
  <si>
    <t>['sms', 'promo', 'combo', 'sakti', 'suruh', 'buka', 'link', 'suruh', 'donlot', 'apdet', 'telkomsel', 'udah', 'lakuin', 'hasilnya', 'nol', 'promonya', 'nyesel', 'nipu']</t>
  </si>
  <si>
    <t>['sinyal', 'telkomsel', 'lemot', 'udah', 'telkomsel', 'skrg', 'mmg', 'udah', 'kecewa', 'harga', 'mahal', 'kualitas', 'rendahan']</t>
  </si>
  <si>
    <t>['telkomsel', 'jaya', 'sinyal', 'lemah', 'kesel', 'teguran', 'pemakai', 'telkomsel', 'perbaikan', 'jaringan', '']</t>
  </si>
  <si>
    <t>['jaringan', 'jelek', 'harga', 'paketan', 'sampe', 'rb', 'gmna', 'kaya', 'ganti', 'operator', 'setia', 'telkomsel', 'ngaco']</t>
  </si>
  <si>
    <t>['min', 'apk', 'masuk', 'paket', 'coba', 'hospot', 'wifi', 'tetangga', 'tetep', 'tulisan', 'unstable', 'connection', 'click', 'refresh', 'pencet', 'refresh', 'tetep', 'min', '']</t>
  </si>
  <si>
    <t>['daftar', 'paket', 'unlimited', 'pulsa', 'kesedot', 'php', 'konsumenlah', 'paket', 'murah', 'abis', 'daftar', 'pulsa', 'kepotong', 'pulsa', 'safe', 'kesedot', 'payah']</t>
  </si>
  <si>
    <t>['bintang', 'harga', 'telkomsel', 'turun', 'menguntungkan', 'pengguna', 'bintang', '']</t>
  </si>
  <si>
    <t>['nilai', 'bintang', 'menurutku', 'telkomsel', 'pemberian', 'nilai', 'minus', 'kasih', 'paketan', 'mahal', 'sesuai', 'kualitas', '']</t>
  </si>
  <si>
    <t>['kesini', 'parah', 'sinyal', 'jelek', 'knapa', 'poinku', 'hangus', 'aplikasi', 'sia', 'ngumpupin', 'poin', 'ambil', 'pemberitahuan', 'sedanglan', 'sinyal', 'jelek', '']</t>
  </si>
  <si>
    <t>['hai', 'devoloper', 'history', 'pembelian', 'dihapus', 'langganan', 'kuota', 'omg', 'kagak', 'dibeli', 'perbaikin', 'kecewa', 'update', 'kali', '']</t>
  </si>
  <si>
    <t>['', 'kuota', 'habis', 'pas', 'tambahan', 'kuota', 'program', 'daily', 'checkin', 'telkomsel', 'tolong', 'aktif', 'kuotanya', 'terima', 'kasih', 'telkomsel', '']</t>
  </si>
  <si>
    <t>['sinyal', 'telkomsel', 'memburuk', 'sumpah', 'apapun', 'menyenangkan', 'pelanggan', 'pelanggan', 'setia', 'telkomsel', 'kecewa', 'koneksi', 'buruk', 'udah', 'minggu', 'kabar', 'membaiknya', 'tolong', 'hargai', 'penggan', 'setia', 'telkomsel', '']</t>
  </si>
  <si>
    <t>['telkomsel', 'bagus', 'indonesia', 'kualitas', 'jaringan', 'after', 'servis', 'promo', 'merchant', 'promo', 'telkomsel', 'poin', 'berguna', 'program', 'daily', 'check', 'bagus', 'poin', 'kuota', 'gratis', 'promo', 'menarik', 'hebat', 'telkomsel']</t>
  </si>
  <si>
    <t>['kecewaaaaaa', 'bangeeeeet', 'makannya', 'edit', 'ulasan', 'aplikasinya', 'bagus', 'telkomsel', 'nggak', 'bagus', 'amburadul', 'jaringannya', 'udah', 'mahal', 'leellleeet', 'banget', 'kalah', 'sebelah', 'ngaku', 'operator', 'seluler', 'raksasa', 'perbaikin', 'kecuali', 'dibilang', 'operator', 'seluler', 'ecek', 'ecek', 'yaa', 'papa', 'tuban', 'jawa', 'timur', 'indonesai', 'pengembang', 'tolong', 'ulasan', 'operator', '']</t>
  </si>
  <si>
    <t>['suka', 'aplikasi', 'telkomsel', 'deily', 'chek', 'login', 'tukar', 'murah', 'banget', 'dipakai', 'nonton', 'video', 'vio', 'nonton', 'tiktok', 'sepuasnya', 'nyedut', 'paket', 'internet', '']</t>
  </si>
  <si>
    <t>['parah', 'jaringannya', 'ngasih', 'promo', 'kuota', 'game', 'login', 'bener', 'perbaiki', 'kualitas', 'jaringan', 'ngomongin', 'kuota', 'murah', '']</t>
  </si>
  <si>
    <t>['pelanggan', 'telkomsel', 'kecewa', 'jaringan', 'telkomsel', 'stabil', 'sinyal', 'down', 'main', 'ngelag', 'parah', 'pakai', 'telkomsel', 'pindah', 'operator']</t>
  </si>
  <si>
    <t>['kasih', 'bintang', 'mohon', 'koreksi', 'data', 'ktp', 'bocor', 'nomor', 'kenal', 'terdaftar', 'data', 'klu', 'data', 'telkomsel', 'bertanggung', 'harap', 'telkomsel', 'ketat', 'data', 'nik', 'konsumen', 'perketat', 'sistem', 'penyimpanan', 'data', 'konsumen', 'bocor', 'salah', 'bertanggung', 'semoga', 'telkomsel', 'terpercaya', 'berjuta', 'juta', 'konsumen', '']</t>
  </si>
  <si>
    <t>['perbaikan', 'aplikasinya', 'nyaman', 'semangat', 'pelayanan', 'optimal', 'yaa', '']</t>
  </si>
  <si>
    <t>['cape', 'cape', 'cek', 'pas', 'ambil', 'hadiah', 'kuotanya', 'gagal', 'maaf', 'poin', 'tolong', 'min', 'dibantu', 'diperbaiki', 'komputernya', 'nggak', 'mengecewakan', 'pelanggan', '']</t>
  </si>
  <si>
    <t>['sinyal', 'parah', 'internet', 'loading', 'sinyal', 'parah', 'sinyal', 'setabil', 'penuh', 'bar', 'hilang', 'sinyal', 'tinggal', 'kota', 'jaringan', 'kota', 'lelet', 'bener', 'udah', 'harga', 'paket', 'mahal', 'kualitas', 'jaringan', 'internet', 'lelet', 'perubahan', 'perbaikan', 'sinyalnya', 'pindah', 'operator', '']</t>
  </si>
  <si>
    <t>['good', 'job', 'suka', 'aplikasi', 'telkomsel', 'keuntungannya', 'cek', 'transaksi', 'mudah', 'praktis', 'jual', 'beli', 'pulsa', 'oke', '']</t>
  </si>
  <si>
    <t>['pakai', 'telkomsel', 'telkomsel', 'tergantikan', 'mudah', 'mudahan', 'kedepannya', 'telkomsel', 'benefit', 'kemudahan', 'pelanggan', 'setianya', '']</t>
  </si>
  <si>
    <t>['sinyal', 'telkomsel', 'stabil', 'internetnya', 'jaringan', 'internet', 'hilang', 'kadang', 'sinyal', 'super', 'lemot', 'paketan', 'internet', 'mahal', 'banget', 'kualitas', 'sinyal', 'parah', 'ancur', 'seimbang', 'harga', 'paketan', 'internet', 'mahal', 'sinyal', 'paket', 'combo', 'sakti', 'telkomsel', 'kartu', 'telkomsel', 'emag', 'kartu', 'pilihan', 'khusus', 'combo', 'sakti']</t>
  </si>
  <si>
    <t>['repot', 'masuk', 'login', 'loginnya', 'error', 'login', 'verifikasi', 'buruk', 'bagus', 'versi', 'menyediakan', 'pembaruan', 'pembaruan', 'buruk', 'versi', '']</t>
  </si>
  <si>
    <t>['', 'pecinta', 'telkomsel', 'jaringannya', 'kuat', 'bagus', 'dimana', 'knp', 'jaringannya', 'buruk', 'buffering', 'cape', 'nunggunya', 'telkomsel', 'tlg', 'diperbaiki', 'jaringannya', '']</t>
  </si>
  <si>
    <t>['bagus', 'fungsi', 'hadiah', 'kuota', 'internet', 'daily', 'check', 'rugi', 'kuota', 'aktif', 'trims', '']</t>
  </si>
  <si>
    <t>['gue', 'kecewa', 'telkomsel', 'gue', 'kirain', 'sinyal', 'cepat', 'buka', 'internet', 'jelek', 'udh', 'capek', 'capek', 'gue', 'bayar', 'kuota', 'beda', 'ama', 'keluarga', 'gue', 'negeri', 'dimana', 'cepat', 'banget', 'buka', 'internet', 'huu', 'tolong', 'tingkatkan', 'org', 'senang', 'bkn', 'org', 'rugi', '']</t>
  </si>
  <si>
    <t>['pelayana', 'jaringan', 'internet', 'ngebut', 'kendala', 'main', 'game', 'mlbb', 'suka', 'nge', 'lak', 'setabil', 'jaringan', 'mohon', 'tinjau', 'telkomsel', 'mantap', '']</t>
  </si>
  <si>
    <t>['operator', 'telkomsel', 'app', 'ringan', 'mudah', 'app', 'berat', 'kadang', 'gagal', 'dibuka', 'dlm', 'jaringan', 'spesifikasi', '']</t>
  </si>
  <si>
    <t>['developer', 'tolol', 'sinyal', 'otak', 'buka', 'line', 'lemot', 'gimana', 'paketan', 'ngelag', 'cuaca', 'cerah', 'ngelag', 'mendung', 'ngelag', 'harga', 'bintang', 'kualitas', 'bintang']</t>
  </si>
  <si>
    <t>['operator', 'jaringan', 'terburuk', 'harga', 'paket', 'mahal', 'operator', 'seandainya', 'jaringan', 'operator', 'ditempat', 'tinggalku', 'ganti', 'kartu', 'membuang', 'kartu', 'telkomselku']</t>
  </si>
  <si>
    <t>['telkomsel', 'bagus', 'sampah', 'mahal', 'doang', 'lelet', 'sesuai', 'harga', 'jaringan', 'sebelah', 'kuat', 'telkomsel', 'kalah', 'sampah']</t>
  </si>
  <si>
    <t>['tolong', 'sinyal', 'game', 'mobile', 'legend', 'diperbaiki', 'pengguna', 'kartu', 'halo', 'menyesal', 'migrasi', 'sinyal', 'nge', 'game', 'nggak', 'diperbaiki', 'menutup', 'berhenti', 'berlangganan', 'kartu', 'halo', 'sekian', 'terimakasih', 'tolong', 'dipertimbangkan']</t>
  </si>
  <si>
    <t>['emng', 'mafia', 'hati', 'batu', 'paket', 'mahal', 'mahal', 'setia', 'telkomsel', 'februari', 'laag', 'parah', 'laag', 'game', 'lag', 'parah', 'babi', 'beli', 'unlimited', 'habiskan', 'gb', 'gimana', 'jaringan', 'lag', 'parah', 'lemot', 'pulsa', 'tetep', 'kepotong', 'kouta', 'sedot', 'pulsa', 'emng', 'mafia', 'semoga', 'dibalas', 'iya', 'rp', 'perorang', 'indonesia', 'mikir', 'semoga', 'dibalas', 'kuasa', 'tuhan']</t>
  </si>
  <si>
    <t>['parahhhhhh', 'beli', 'unlimited', 'sinyal', 'bagus', 'kesini', 'mlh', 'bokbrok', 'trssss', 'aza', 'loading', 'bwt', 'streaming', 'udh', 'kuat', 'diturunin', 'mkn', 'parahhhhhh', 'telkomsel', 'kyk', 'gini', 'digadang', 'gadang', 'plg', 'top', '']</t>
  </si>
  <si>
    <t>['apps', 'mytelkomsel', 'aplikasi', 'device', 'berbeda', 'aplikasi', 'berat', 'force', 'close', 'harap', 'memperbaiki', '']</t>
  </si>
  <si>
    <t>['maaf', 'telkomsel', 'poin', 'tinggal', 'kemarin', 'kemarin', 'poin', 'pertukaran', 'pembelian', 'mohon', 'penjelasannya', '']</t>
  </si>
  <si>
    <t>['telkomsel', 'sarankan', 'fitur', 'kunci', 'kuota', 'sebelah', 'pulsa', 'hangus', 'lupa', 'matiin', 'data', 'semoga', 'saran', 'terima', 'buatkan', 'fitur', '']</t>
  </si>
  <si>
    <t>['memakai', 'telkomsel', 'sadar', 'harga', 'menentukan', 'kualitas', 'indonesia', 'wilayah', 'barat', 'boss', 'bagusin', 'jaringan', 'timur', 'terkhusus', 'daerah', 'perbatasan', 'jualnya', 'mahal', 'disana', 'kualitas', 'sampah', 'ambil', 'keuntungan', 'dibagusin', 'disana', 'sopan', 'bot', 'dilarang', 'komen', 'ngasih', 'bintang', 'bot', '']</t>
  </si>
  <si>
    <t>['', 'pengguna', 'data', 'telkomsel', 'turun', 'drastis', 'admin', 'blz', 'ulasan', 'coba', 'berfikir', 'rasakan', 'data', 'internet', 'telkomsel']</t>
  </si>
  <si>
    <t>['kasih', 'bintang', 'jaringan', 'stabil', 'chat', 'via', 'telegram', 'alhamdulilah', 'jaringan', 'stabil', 'ngerti', 'knp', 'seminggu', 'kemarin', 'sinyal', 'ancur', 'chat', 'telkomsel', 'bantu', 'coba', 'telegram', 'langsung', 'thx', '']</t>
  </si>
  <si>
    <t>['telkomsel', 'parah', 'mati', 'lampu', 'sinyal', 'mati', 'paketan', 'termahal', 'laen', 'sinyal', 'terparah', 'laen', 'diperbaiki', 'sinyalnya', 'kartu', 'telkomsel', '']</t>
  </si>
  <si>
    <t>['maaf', 'kasi', 'bintang', 'kecewa', 'signal', 'stabil', 'wilayah', 'indonesia', 'timur', 'kususnya', 'maluku', 'main', 'game', 'apapun', 'kendala', 'signal', 'stabil', 'tolong', 'perbaiki', 'terima', 'kasih']</t>
  </si>
  <si>
    <t>['harga', 'mahal', 'jaringan', 'lelet', 'banget', 'main', 'game', 'susah', 'pakai', 'jaringan', 'stabil', 'menang', 'nama', 'doang', '']</t>
  </si>
  <si>
    <t>['keluarga', 'gue', 'telkomsel', 'semenjak', 'jaringan', 'jdi', 'ancur', 'gini', 'pindah', 'indosat', 'suka', 'kartu', 'rakyat', 'bagus', 'sinyal', 'murah', 'ahkkk', 'kecewa', 'berat', 'sayang', 'bintang', 'mines', 'udah', 'gue', 'kasih', 'ama', 'telkomsel']</t>
  </si>
  <si>
    <t>['paket', 'mahal', 'jaringan', 'miskuin', 'bapuk', 'anjim', 'jaringan', 'internet', 'telkomsel', 'ngk', 'sesuai', 'ama', 'harga', 'paket', 'data', 'tolong', 'kesel', 'pelanggan', 'tolong', 'perbaiki', 'lgi', '']</t>
  </si>
  <si>
    <t>['udh', 'minggu', 'jaringannya', 'jelek', 'muter', 'muter', 'haduuh', 'tolong', 'diperbaiki', 'edit', 'allah', 'udh', 'jaringan', 'telkomsel', 'kaga', 'bener', 'bener', 'muter', 'paketan', 'unlimited', 'udh', 'jam', 'jaringan', 'anak', 'ampe', 'nangis', 'liat', 'youtube', 'gabisa', 'gabisa', 'jualan', 'online', 'numpang', 'wifi', 'tetangga', 'mohon', 'diperbaiki', 'sekeluarga', 'pindah', 'haluan']</t>
  </si>
  <si>
    <t>['suka', 'pakai', 'telkomsel', 'jaringan', 'rumah', 'jaringan', 'susah', 'rumah', 'tolong', 'perbaiki', '']</t>
  </si>
  <si>
    <t>['tolonglah', 'telkomsel', 'jaringan', 'desa', 'suka', 'maju', 'sunggal', 'kabupaten', 'deli', 'serdang', 'perbaiki', 'penggunanya', 'jaringannya', 'lelet', 'parah', 'sia', 'sia', 'beli', 'paket', 'mahal', 'mahal', 'pergunakan', 'sia', 'sia', 'beli', 'paket', 'mahal', 'mahal', 'tolong', 'respon', 'terima', 'kasih', '']</t>
  </si>
  <si>
    <t>['', 'app', 'tsel', 'kagk', 'rugi', 'rugi', 'harga', 'kuota', 'internet', 'mahal', 'kualitas', 'jaringan', 'internet', 'sampah', 'sesuai', 'harga', 'mahal']</t>
  </si>
  <si>
    <t>['kartu', 'gua', 'kartu', 'gila', 'murah', 'banget', 'ampe', 'temen', 'ngiri', 'kartu', 'gua', 'sebulan', 'plus', 'unlimited', 'sosmed', 'youtube', 'dll', 'jaringan', 'bagusin', 'daerah', 'sumatera', 'khusus', 'lampung', 'internet', 'kadang', 'suka', 'susah', 'sinyal', 'tanks', 'tsel']</t>
  </si>
  <si>
    <t>['bintang', 'kesel', 'gua', 'aplikasi', 'cek', 'isi', 'kouta', 'wifi', 'kebuka', 'jaringan', 'telkomsel', 'kalah', 'provider', 'astaga', 'jjur', 'ane', 'kecewa', 'pelayanan', 'telkomsel', 'jaringan', 'bagus', 'byk', 'masukan', 'dicuekin', 'syg', 'telkomsel', 'ayo', 'donk', 'bangkit', 'telkomsel', 'jaringan', 'bener', 'terbaik', 'buktikan', '']</t>
  </si>
  <si>
    <t>['koneksi', 'lambat', 'kecewa', 'telkomsel', 'sekelas', 'telkomsel', 'lambat', 'provider', 'capek', 'hati', 'keleletan', '']</t>
  </si>
  <si>
    <t>['telkomsel', 'jaringan', 'buruk', 'maen', 'game', 'teman', 'sya', 'mengeluhkan', 'bgtu', 'sya', '']</t>
  </si>
  <si>
    <t>['buka', 'aplikasinya', 'banget', 'kadang', 'langsung', 'otomatis', 'lemot', 'beli', 'paket', 'internet', 'udah', 'langsung', 'lakukan', 'berulang', 'kali', 'dulunya', 'pernh', 'kek', 'gini']</t>
  </si>
  <si>
    <t>['jaringan', 'bagus', 'maaf', 'januari', 'ditelp', 'call', 'center', 'telkomsel', 'info', 'kuota', 'untk', 'mahasiswa', 'gb', 'harga', 'rb', 'sebulan', 'hihihi', 'udah', 'senang', 'kirain', 'kuota', 'sebulan', 'dpt', 'chat', 'kuota', '']</t>
  </si>
  <si>
    <t>['sinyal', 'telkomsel', 'jelek', 'banget', 'paketin', 'gb', 'susah', 'ganti', 'operator', 'kapok', 'gua', 'telkomsel', 'harga', 'mahal', 'sinyal', 'kuat', 'mahal', 'iya', 'sinyal', 'suk']</t>
  </si>
  <si>
    <t>['puas', 'sel', 'jaringan', 'banget', 'promo', 'kuata', 'all', 'net', 'pelit', 'nelpon', 'seharian', 'cuman', 'pokok', 'keren', 'dehh', 'tolong', 'sms', 'difilter', 'nyaman', 'kirim', 'sms']</t>
  </si>
  <si>
    <t>['paket', 'internet', 'berubah', 'ubah', 'kartu', 'kartu', 'grapari', 'nomor', 'karna', 'hilang', 'pengaruh', 'paket', 'combo', 'sakti', 'unlimited', 'gag', 'muncul', 'paket', 'unlimited', 'hilang', '']</t>
  </si>
  <si>
    <t>['promo', 'habis', 'iklan', 'pembelian', 'kartu', 'perndana', 'belom', 'transaksi', 'tanggal', 'desember', 'resi', 'wc', 'notif', 'gimana', 'gitu', '']</t>
  </si>
  <si>
    <t>['telkomsel', 'sinyal', 'habis', 'hujan', 'kecewa', 'telkomsel', 'paket', 'lumayan', 'mahal', 'nelpon', 'mahal', 'banget', 'puas', 'kartu', 'telkomsel']</t>
  </si>
  <si>
    <t>['kecewa', 'kalaw', 'beli', 'paketan', 'sesuai', 'beli', 'kuota', 'tgl', 'abis', 'masak', 'tgl', 'kalaw', 'bukti', 'cuman', 'kalaw', '']</t>
  </si>
  <si>
    <t>['sekedar', 'info', 'download', 'aplikasi', 'buka', 'aplikasi', 'sedot', 'kuota', 'menerus', 'layar', 'quota', 'abis', 'colong', '']</t>
  </si>
  <si>
    <t>['jaringan', 'seluler', 'ter', 'ampas', 'udah', 'bayar', 'mahal', 'low', 'signal', 'ampun', 'udah', 'nyoba', 'nyari', 'terbuka', 'sampe', 'tiang', 'tiang', 'pemanjer', 'tetep', 'kaga', 'kbps', 'saking', 'low', 'sinyal', 'ngumpulin', 'tugas', 'nunggu', 'jam', 'kelar', 'ngirim', 'file', 'tugas', 'kena', 'penurunan', 'nilai', 'gegara', 'telat', 'ngumpulin', 'akibat', 'low', 'sinyal', '']</t>
  </si>
  <si>
    <t>['jaringan', 'telkomsel', 'suka', 'berubah', 'jaringan', 'kawasan', 'area', 'menggangu', 'main', 'game', 'performa', 'jaringan', 'telkomsel', 'buruk', 'hemmmm', 'jaringan', 'sebelah', 'kaya', 'indsat', 'kulitas', 'jaringan', 'buruk', '']</t>
  </si>
  <si>
    <t>['pengalaman', 'pribadi', 'netral', 'maksud', 'menjatuhkan', 'manapun', 'beli', 'kuota', 'combo', 'sakti', 'gb', 'seharga', 'pagi', 'pemakaian', 'bermain', 'game', 'online', 'surfing', 'google', 'kuota', 'habis', 'gb', 'menitan', 'habis', 'fikir', 'seboros', 'kuota', 'telkomsel', 'pemakain', 'logis', 'habis', 'jam']</t>
  </si>
  <si>
    <t>['telkomsel', 'eror', 'jaringannya', 'lemot', 'dlu', 'sinyal', 'tnpa', 'lemot', 'dikit', 'gangguan', 'sinyal', 'internet', 'ilng', 'pas', 'ujan', 'mati', 'lampu', 'tolong', 'perbaiki', 'kedepanya', 'lbih', 'lgi', 'buruk', 'sma', 'kartu', 'bgus', 'kartu', '']</t>
  </si>
  <si>
    <t>['kurangi', 'bintangnya', 'bintang', 'kasih', 'bintang', 'kuota', 'harganya', 'mahal', 'pakai', 'lokal', 'daerah', 'sinyalnya', 'lemot', 'kesini', 'kualitas', 'sinyalnya', 'bagus', 'lemot', 'parah']</t>
  </si>
  <si>
    <t>['kau', 'apakan', 'jaringan', 'parah', 'malem', 'parah', 'gara', 'jaringan', 'jelek', 'gabisa', 'login', 'game', 'main', 'ajg', 'kuota', 'doank', 'mahal', 'jaringannya', 'murahan', 'kalah', 'ama', 'smartfren', 'kecewa', 'udah', 'jaringan', 'mentok', 'kb', 'mohon', 'perbaiki', 'jaringn', 'kuota', 'doank', 'mahal', 'jaringan', 'murahan', 'perubahan', 'mending', 'kartu']</t>
  </si>
  <si>
    <t>['payah', 'ngak', 'diupdate', 'aplikasi', 'mytelkomsel', 'ngak', 'dipakai', 'udah', 'gede', 'makan', 'ram', 'update', 'habisin', 'kuota', 'cocoknya', 'berlangganan', 'wifi', '']</t>
  </si>
  <si>
    <t>['pulsa', 'simpati', 'sedot', 'kenarin', 'pulsa', 'kuota', 'pas', 'paketiin', 'saldonya', 'tinggal', 'sial', 'telkomsel', 'korupsi', 'udh', 'byk', 'pakai', 'penipuan', 'simpati', 'tolong', 'perbaiki', 'sistem', 'telkomsel', 'udh', 'mehong', 'kualitasnya', 'bgs', 'kecewakan', 'pelanggan', 'tks']</t>
  </si>
  <si>
    <t>['pengen', 'marah', 'kecewa', 'telkomsel', 'narik', 'pulsa', 'udah', 'kali', 'terulang', 'kemaren', 'isi', 'pulsa', 'ribu', 'pakai', 'udah', 'tarik', 'saldo', 'nol', 'rupiah', 'udh', 'kek', 'gini', 'isi', 'pulsa', 'sia', 'tarik', 'doang']</t>
  </si>
  <si>
    <t>['jaringan', 'tsel', 'suka', 'ilang', 'ilangan', 'tsel', 'jaringan', 'bagus', 'trus', 'paketan', 'knp', 'mahal', 'dapet', 'paket', 'promo', 'apapun', 'lihat', 'teman', 'teman', 'paketannya', 'murah', 'kekurangannya', 'nomor', 'beda', 'paketan', 'jaringannya', '']</t>
  </si>
  <si>
    <t>['gini', 'min', 'mohon', 'diperbaiki', 'jaringan', 'telkomsel', 'setia', 'telkom', 'jelek', 'jaringannya', 'mohon', 'diperbaiki', 'paket', 'doang', 'mahal', 'kualitas', 'sinyal', 'zonk', '']</t>
  </si>
  <si>
    <t>['kasih', 'bintang', 'jaringan', 'telkomsel', 'gaje', 'suka', 'ilang', 'ilang', 'main', 'game', 'susah', 'mantap', '']</t>
  </si>
  <si>
    <t>['sinyal', 'udah', 'hujan', 'listrik', 'padam', 'udah', 'kek', 'hantu', 'main', 'ilang', 'promo', 'paket', 'tolong', 'diubah', 'kasian', 'orang', '']</t>
  </si>
  <si>
    <t>['pas', 'main', 'game', 'ngelag', 'parah', 'banget', 'udah', 'game', 'kalah', 'karna', 'lag', 'padahl', 'youtube', 'lancar', 'lancar', 'tolong', 'perbaiki', 'sinyal', 'secepatnya', 'kali', 'kalah', 'jaringan', 'buruk', '']</t>
  </si>
  <si>
    <t>['gimana', 'kartu', 'ngomong', 'karna', 'sangking', 'kesel', 'ngegame', 'sinyal', 'ngelak', 'sinyal', 'harganya', 'bumi', 'matahari', '']</t>
  </si>
  <si>
    <t>['jaringan', 'kedepan', 'parah', 'baca', 'komentar', 'postingan', 'telkomsel', 'mengeluhkan', 'jaringan', 'buruk', 'tpi', 'perubahan', 'jaringan', 'telkomsel', 'menanggapi', 'pelanggan', 'jaringan', '']</t>
  </si>
  <si>
    <t>['sekian', 'mytelkomsel', 'kubaca', 'keterangan', 'aplikasi', 'kompatible', 'android', 'jenis', 'tablet', 'suka', 'pakai', 'tablet', 'alhamdulillah', 'status', 'gold', 'lancar', 'lsncar', 'transaksi', 'pulsa', 'tukar', 'poin', 'dlsb', 'mytelkomsel', 'berjalan', 'menu', 'kirim', 'hadiah', 'berkali', 'kali', 'proses', 'klik', 'lanjutkan', 'diam', 'bergeming', 'telkomsel', '']</t>
  </si>
  <si>
    <t>['telkomsel', 'tolong', 'kasi', 'ngunci', 'pulsa', 'kesedot', 'mulu', 'pulsa', 'pas', 'beli', 'kuota', 'apk', 'mesti', 'kesedot', 'ngerugiin', 'meresahkan', 'pelajar', 'pulsa', 'membeli', 'kuota', 'uang', 'terkuras', 'berkali', 'kali', 'kondisi', 'era', 'pandemi', 'sulit', '']</t>
  </si>
  <si>
    <t>['aplikasinya', 'lemot', 'emang', 'uji', 'publikasi', 'emang', 'tester', 'versi', 'beta', '']</t>
  </si>
  <si>
    <t>['beli', 'paketan', 'dipakai', 'max', 'beli', 'paket', 'telepon', 'operator', 'minggu', 'berfungsi', 'sia', 'sisa', 'pulsa', 'terpotong', 'habis', 'dipakai', 'telepon', 'pulsa', 'telepon', 'habis', 'konfirmasi', 'apapun', 'applikasinya', 'eror']</t>
  </si>
  <si>
    <t>['kecewa', 'beli', 'kuota', 'ketengan', 'youtube', 'telkomsel', 'memasang', 'kuota', 'kode', 'dial', 'coba', 'pakai', 'telkomsel', 'setelahh', 'coba', 'berhasil', 'buka', 'youtube', 'gimana', 'diperbaiki', 'sia', 'beli', 'pulsa', '']</t>
  </si>
  <si>
    <t>['tolong', 'signal', 'diperbaiki', 'daerah', 'denpasar', 'bali', 'signal', 'hilang', 'akses', 'signal', 'mentok', 'btang', '']</t>
  </si>
  <si>
    <t>['', 'gua', 'nggak', 'kasih', 'rating', 'nggak', 'rating', 'komentarnya', 'nggak', 'posting', 'telkomsel', 'buruknya', 'mahal', 'lelet', 'pulsa', 'habis', 'hilang', 'kemana', 'pokoknya']</t>
  </si>
  <si>
    <t>['kecewa', 'banget', 'sumpah', 'kemarin', 'sms', 'telkom', 'masuk', 'paket', 'murah', 'telkom', 'pas', 'unduh', 'dicari', 'udah', 'isi', 'pulsa']</t>
  </si>
  <si>
    <t>['loginnya', 'susah', 'ribet', 'berbelit', 'via', 'link', 'sms', 'nunggu', 'berlama', 'gampang', 'logout', 'otomatis', 'kartu', 'sim', 'terpasang', '']</t>
  </si>
  <si>
    <t>['telkomsel', 'kecewa', 'sistem', 'telkomsel', 'beli', 'paket', 'malam', 'disana', 'tertera', 'jam', 'pagi', 'jam', 'udah', 'habis', 'pulsa', 'kejadian', 'berkali', 'kali', 'pertanggungjawaban', 'telkomsel', 'pulangkan', 'pulsa', 'udah', 'ngak', 'bener', 'telkomsel', '']</t>
  </si>
  <si>
    <t>['mempermudah', 'transaksi', 'membantu', 'informasi', 'data', 'fokus', 'peningkatan', 'performa', 'jaringan', 'kota', 'surabaya', 'jaringannya', 'masuk', 'pelosok', 'mohon', 'diperhatikan']</t>
  </si>
  <si>
    <t>['saran', 'laporan', 'permasalahan', 'tolong', 'transaksi', 'pulsa', 'paket', 'pulsa', 'pesan', 'masuk', 'dikotak', 'pesan', 'sms', 'aplikasi', 'telkomsel', 'mengisi', 'pulsa', 'masuk', 'cek', 'pesan', 'bukti', 'transaksi', 'konfirmasi', 'kemana', 'perginya', 'pulsa', 'berkurang', 'masuk']</t>
  </si>
  <si>
    <t>['gimana', 'liat', 'kuota', 'omg', 'aplikasi', 'beli', 'pulsa', 'beli', 'paket', 'ketik', 'permintaan', 'proses', 'simpati', 'gimana', 'customer', 'berlangganan', 'kartu', 'simpati', 'kali', 'udah', 'simpati']</t>
  </si>
  <si>
    <t>['kecewa', 'banget', 'kartu', 'perdana', 'telkomsel', 'udh', 'ngumpulin', 'poin', 'ulang', 'parah', 'kecewa', 'banget', 'paket', 'malem', 'pas', 'jam', 'paket', 'utama', 'kena', 'sistem', 'kaya', 'gimana', 'mah', 'udh', 'kecewa', 'banget', '']</t>
  </si>
  <si>
    <t>['masukan', 'pelanggan', 'setia', 'telkomsel', 'sinyal', 'telkomsel', 'lelet', 'lemot', 'jakarta', 'utara', 'tepatnya', 'wilayah', 'rusun', 'waduk', 'pluit', 'penjaringan', 'tlg', 'pantau', 'koq', '']</t>
  </si>
  <si>
    <t>['telkomsel', 'kembalikan', 'uang', 'ribu', 'beli', 'paket', 'pagi', 'uang', 'transfer', 'paket', 'masuk', 'parah', 'telkomsel', 'hati', 'hati', 'beli', 'paket', 'data', 'telkomsel', 'uang', 'ambil', 'paket', 'data', 'masuk']</t>
  </si>
  <si>
    <t>['kesini', 'sinyal', 'jelek', 'pembelian', 'pulsa', 'poin', 'poin', 'terkumpulpun', 'hilang', 'kemana', 'disayangkan', 'sorry']</t>
  </si>
  <si>
    <t>['sinyal', 'jelek', 'komplain', 'telpon', 'solusi', 'jawabanya', 'silahkan', 'gerai', 'telpon', 'gitu', 'woyy', 'cek', 'nomer', 'bayar', 'bangkrut', 'kasih', 'bintang', 'minus', 'ngga', 'nilai', 'bintang', 'bagus', 'telkomsel', '']</t>
  </si>
  <si>
    <t>['tolong', 'diperbaiki', 'telkomsel', 'suka', 'nyolongin', 'pulsa', 'isi', 'pulsa', 'rb', 'trus', 'lupa', 'matikan', 'data', 'dipaketin', 'pas', 'cek', 'pulsa', 'langsung', 'rp', 'bener', 'kecawa', '']</t>
  </si>
  <si>
    <t>['', 'gimana', 'standar', 'bagus', 'bgus', 'jelek', 'jelek', 'sebelnya', 'sinyal', 'ilang', 'ujan', 'dlm', 'ruangan', 'kadang', 'buka', 'yutup', 'muter', 'muter', 'yowislah', 'podo', 'bae', '']</t>
  </si>
  <si>
    <t>['', 'gimana', 'telkomsel', 'gua', 'masukin', 'voucher', 'tulisan', 'layanan', 'sibuk', 'wtf', 'gua', 'coba', 'ulang', 'ampe', 'ratusan', 'kali', 'masuk', 'vouchernya', 'coba', 'gaada', 'tindakan', 'perbaiki', 'kek', 'rugi', 'gua', 'beli', 'voucherrr', 'kmprts']</t>
  </si>
  <si>
    <t>['kartu', 'telkomsel', 'terhormat', 'harga', 'mahal', 'kartu', 'contohnya', 'indosat', 'tri', 'dll', 'heran', 'kemajuan', 'telkomsel', 'pesat', 'pelosok', 'pelosok', '']</t>
  </si>
  <si>
    <t>['pengguna', 'telkomsel', 'lumayan', 'pakai', 'telkomsel', 'dapet', 'paket', 'combo', 'sakti', 'oke', 'gpp', 'dapet', 'paket', 'combo', 'pas', 'isi', 'paket', 'data', 'harga', 'mahal', 'harga', 'menit', 'harga', 'beres', 'update', 'telkomsel', 'poin', 'udh']</t>
  </si>
  <si>
    <t>['ngecewain', 'lemoottt', 'banget', 'mending', 'indosat', 'fredom', 'internet', 'kenceng', 'telkomsel', 'makain', 'lemotttt', 'kecewaaaaa', 'blok', '']</t>
  </si>
  <si>
    <t>['pagar', 'sinyal', 'penuh', 'jaringan', 'lelet', 'kalah', 'operator', 'sebelah', 'pagar', 'sinyalnya', 'stabil', 'paketan', 'murah', 'murah', 'maaf', 'telkomsel', 'memuaskan', 'trima', 'kasih']</t>
  </si>
  <si>
    <t>['', 'ngomong', 'turun', 'turun', 'perbaiki', 'twitter', 'keluhan', '']</t>
  </si>
  <si>
    <t>['hadeuhh', 'sinyal', 'parah', 'harga', 'kualitas', 'seimbang', 'perbaikan', 'kalah', 'laen', '']</t>
  </si>
  <si>
    <t>['star', 'tambahin', 'parah', 'maaf', 'pengguna', 'telokmsel', 'ganti', 'nomer', 'kesini', 'kecewa', 'jaringan', '']</t>
  </si>
  <si>
    <t>['harga', 'paket', 'mahal', 'main', 'lag', 'banggakan', 'jaringan', 'terluas', 'kota', 'lag', 'hutan', 'terimakasih', 'telkomsel', 'love', 'youuu']</t>
  </si>
  <si>
    <t>['kasih', 'bintangnya', 'harga', 'paketan', 'internet', 'mahal', 'jaringan', 'kek', 'kentut', 'lemot', 'main', 'game', 'online', 'ping', 'bagusnya', 'merah', 'jaringan', 'simpati', 'cem', 'jaringan', 'sampah', 'berguna', 'kecewa', 'bos', '']</t>
  </si>
  <si>
    <t>['pelanggan', 'setia', 'telkomsel', 'nomor', 'barusan', 'ulasan', 'buruk', 'ping', 'smarhtphone', 'down', 'parah', 'buruk', '']</t>
  </si>
  <si>
    <t>['', 'liat', 'org', 'gubris', 'status', 'jaringan', 'tanganin', 'uang', 'hasil', 'service', 'darah', 'keluarga', 'nanah', 'ulas', 'bahas', 'temukan', 'jalan', 'kendala', 'infokan', 'cuaca', 'buruk', 'tangerang', 'gangguan', 'jaringan', 'respect', 'cust', 'pengguna', 'org', 'abis', 'beli', 'data', 'trus', 'jaringan', 'karna', 'mumpuni', 'jaringan', 'smart', 'info', 'komunikasi', '']</t>
  </si>
  <si>
    <t>['jaringan', 'jelek', 'banget', 'siang', 'malam', 'lag', 'tarus', 'sinyal', 'buka', 'status', 'lemot', 'banget', 'sinyalnya', 'tolong', 'perbaikan', 'sinyal', 'lemot', 'udah', 'lancar', 'kasi', 'bintang', 'deh', '']</t>
  </si>
  <si>
    <t>['ganti', 'kartu', 'make', 'telkomsel', 'bagus', 'parah', 'jaringan', 'telkomsel', 'hapus', 'aplikasinya', 'pelayanan', 'bagus', 'uda', 'bayar', 'mahal', 'mahal', '']</t>
  </si>
  <si>
    <t>['sinyal', 'ampunnn', 'suka', 'lemot', 'tinggal', 'udah', 'daerah', 'kota', 'pedalaman', 'hutan', 'ato', 'gunung', 'tolong', 'perbaiki', 'kualitas', 'jaringannya', 'mahalnya', 'sinyalnya', 'kalah', '']</t>
  </si>
  <si>
    <t>['pemakai', 'kartu', 'halo', 'tagihan', 'tertulis', 'bln', 'anehnya', 'pas', 'bayar', 'tagihan', 'dwit', 'maaf', 'bintangnya', 'kurangin', 'jaringannya', 'jelek', 'tolong', 'perbaiki', '']</t>
  </si>
  <si>
    <t>['hallo', 'kanapa', 'jaringan', 'sinyal', 'telkomsel', 'jelek', 'banget', 'bayarnya', 'mahal', 'sinyal', 'jelek', 'kuotanya', 'cepet', 'habis', 'telkomsel', 'udah', 'minggu', 'telkomsel', 'kemaren', 'kemaren', 'bagusbanget', 'sinyalnya', 'kayak', 'taik']</t>
  </si>
  <si>
    <t>['telkomsel', 'identik', 'kartu', 'sultan', 'mohon', 'maaf', 'jaringannya', 'disekolahin', 'badung', 'sumpah', 'kalah', 'jauuuuuuuuhhhhhh', 'jaringan', 'tri', 'stabil', 'jaringannya', 'daerah', 'subang', 'mahal', 'doang', 'jaringannya', 'ngilang', 'ngilang', '']</t>
  </si>
  <si>
    <t>['ditengah', 'kota', 'sinyal', 'nge', 'lag', 'udah', 'mode', 'pesawatkan', 'hidupkan', 'ulang', 'hpnya', 'tetep', 'nge', 'lag', 'niat', 'provider', 'indihome', 'nge', 'lag', 'telkomsel', 'nge', 'lag', 'harga', 'kuota', 'mahal', 'liatin', 'buffering', 'muter', 'doang', '']</t>
  </si>
  <si>
    <t>['jaringan', 'ter', 'kuat', 'coba', 'cek', 'kualitas', 'jaringan', 'daerah', 'perkotaan', 'tower', 'grapari', 'telkomsel', 'lihat', 'status', 'susah', '']</t>
  </si>
  <si>
    <t>['jaringan', 'jelek', 'banget', 'kali', 'bagus', 'dimana', 'tempatnya', 'kesini', 'jelek', 'banget', 'jarinfan', 'ganggu', 'banget', 'orang', 'asik', 'main', 'game', 'bela', 'in', 'beli', 'paket', 'mahal', 'kualitas', 'jaringan', 'mengecewakan', 'tolong', 'perbaiki', 'min', 'gini', 'orang', 'ganti', 'layanan', 'kartu', 'kartu', 'sinyal', 'bagus', 'kaya', 'gini', 'mengecewakan', 'lapangan', 'tetep', 'ajah', 'jelek', '']</t>
  </si>
  <si>
    <t>['tolong', 'telkomsel', 'sms', 'pop', 'mengganggu', 'muncul', 'berkali', 'kali', 'tulisan', 'berlangganan', 'ppadahal', 'pengen', 'berlangganan', 'live', 'streaming', 'langsung', 'endlive', 'gara', 'sms', 'mengganggu', 'promo', 'harga', 'mahal', 'jaringan', 'parah', 'provider', 'jelek', 'telkomsel']</t>
  </si>
  <si>
    <t>['telkomsel', 'lombok', 'lombok', 'jaringan', 'internet', 'super', 'buruk', 'beli', 'kuota', 'omg', 'leleeeeeeeeeeet', 'mati', 'not', 'responding', 'jaringan', 'internet', 'capek', 'ngakalinya', 'hidup', 'matikan', 'mode', 'peswat', 'jaringan', 'buruk', 'pelanggan', 'beralih', 'operator', 'mohon', 'diperbaiki', 'jaringannya', 'terima', 'kasih', '']</t>
  </si>
  <si>
    <t>['aplikasi', 'memakan', 'daya', 'buka', 'telkomsel', 'tutup', 'aplikasi', 'cuman', 'tombol', 'home', 'muncul', 'status', 'bar', 'aplikasi', 'daya', '']</t>
  </si>
  <si>
    <t>['heran', 'nomor', 'pakai', 'paket', 'data', 'daftar', 'mahal', 'nomor', 'lainya', 'prnah', 'dpt', 'promo', 'apapun', 'hrus', 'bli', 'beratus', 'ratus', 'ribu', 'pulsa', 'kuota', 'setara', 'nomor', 'hrganya', 'rb', '']</t>
  </si>
  <si>
    <t>['telkomsel', 'dimanapun', 'sinyal', 'penuh', 'lemot', 'swkarang', 'kaya', 'pantes', 'paket', 'murah', 'jaringan', 'internet', 'kacau', 'plis', 'telkom', 'kembalikan']</t>
  </si>
  <si>
    <t>['ricuh', 'ahh', 'mending', 'liat', 'mending', 'sinyal', 'lemot', 'paksa', 'pengaturan', 'kuotanya', 'mahhhal', 'banget', 'hah', 'sabar', 'mending', 'beli', 'warnet', 'murah', '']</t>
  </si>
  <si>
    <t>['paketan', 'mahal', 'jaringan', 'parah', 'pisan', 'jelek', 'paketan', 'mb', 'menit', 'langsung', 'kb', 'muncul', 'siang', 'sungguh', 'konsisten', 'idam', 'jaringam', 'bagus']</t>
  </si>
  <si>
    <t>['telkomsel', 'kemarin', 'aktifin', 'unlimited', 'chat', 'game', 'pas', 'maketin', 'ilang', 'telkomsel', 'udah', 'telkomsel', 'sumpah', 'telkomsel', '']</t>
  </si>
  <si>
    <t>['bos', 'gimana', 'sinyal', 'telkomsel', 'parah', 'banget', 'semenjak', 'indihome', 'desa', 'desa', 'parah', 'abisss', 'lari', 'operator', 'tolong', 'infonya', 'pelanggan', 'kecewa', 'akibat', 'ulah', 'oknum', 'samakan', 'bisnis', 'boss', '']</t>
  </si>
  <si>
    <t>['aduh', 'udah', 'banget', 'telkomsel', 'ngerasain', 'pulsa', 'potong', 'trus', 'ngisi', 'pulsa', 'udah', 'potong', 'udah', 'males', 'bolak', 'ngisi', 'pulsa', 'potong', 'trus', 'ngeselin', 'cepet', 'perbaiki', 'gini', 'trus', 'ngerugiin', '']</t>
  </si>
  <si>
    <t>['beli', 'pulsa', 'sms', 'bukti', 'pembelianpun', 'masuk', 'nominal', 'beli', 'chek', 'telkomsel', 'nominal', 'pulsa', 'tinggal', 'hilang', 'pulsa', '']</t>
  </si>
  <si>
    <t>['', 'kerasa', 'simpati', 'saksi', 'hidup', 'smpe', 'skrg', 'pny', 'anak', 'byk', 'crita', 'dlewatin', 'nomor', 'saksi', 'perjalanan', 'hidup', 'nemenin', 'trmks', 'simpati', 'msh', 'andalan', '']</t>
  </si>
  <si>
    <t>['berkali', 'diprank', 'provider', 'kuota', 'unlimited', 'omg', 'kuota', 'utama', 'habis', 'unlimited', 'jalan', 'beli', 'jalan', 'jalan', 'beli', 'kuota', 'games', 'unlimited', 'diprank', 'kuota', 'utama', 'habis', 'games', 'kebuka', 'maunya', 'dikasih', 'promo', 'ceria', 'gb', 'jaringan', 'turun', 'daritadi', 'sisa', 'pulsa', 'diembat', 'kecewa', 'provider', 'berurusan', 'pindah', 'provider', 'urusan', 'banking', 'dll', 'tinggalkan']</t>
  </si>
  <si>
    <t>['telkomsel', 'parah', 'sinyal', 'bagus', 'von', 'seluler', 'taruk', 'samping', 'tes', 'von', 'mlah', 'hubungi', 'sibuk', 'banget', 'telkomsel', 'kadang', 'tibah', 'ilang', 'sinyal', 'lemah', 'paya', 'telkomsel', 'udah', 'bayar', 'bahal', 'memuaskan', 'pelangan', '']</t>
  </si>
  <si>
    <t>['bagus', 'aplikasi', 'inih', 'lgi', 'downlod', 'sms', 'sya', 'downlod', 'aplikasi', 'telkomsel', 'dlm', 'sya', 'pulsa', 'rb', 'bnr', 'hoax', 'ajh']</t>
  </si>
  <si>
    <t>['min', 'jelek', 'banget', 'jaringan', 'parah', 'banget', 'top', 'jaringan', 'skrng', 'edan', 'jelek', 'ampun']</t>
  </si>
  <si>
    <t>['kawatir', 'terpencil', 'kota', 'berhubungan', 'kluarga', 'teman', 'sinyal', 'telkomsel', 'terjangkau', 'trimakasih', 'telkomsel', '']</t>
  </si>
  <si>
    <t>['jaringan', 'internet', 'lambat', 'jelek', 'susah', 'akses', 'internet', 'hidup', 'dijaman', 'batu', 'jaringan', 'diperbaiki', 'beralih', 'operator']</t>
  </si>
  <si>
    <t>['', 'knp', 'aktif', 'data', 'jalan', 'data', 'sisa', 'giga', 'terulang', 'aktif', 'mohon', 'diperbaiki', 'terkadang', 'menerus', 'menyebabkan', 'pindah', 'kelain', 'hati', '']</t>
  </si>
  <si>
    <t>['min', 'koneksi', 'stabil', 'mulu', 'pdhl', 'sinyal', 'bagus', 'paketan', 'udah', 'update', 'sma', 'trs', 'coba', 'wifi', 'koneksi', 'stabil', 'gitu', 'trs', 'tolong', 'perbaiki', 'min', '']</t>
  </si>
  <si>
    <t>['beli', 'kartu', 'paket', 'data', 'telkomsel', 'ditambah', 'isi', 'pulsa', 'pas', 'download', 'aplikasi', 'telkomsel', 'saldo', 'pulsa', 'kouta', 'paket', 'habis', 'aneh', 'sampe', 'menit', 'beli', 'kartu', 'paket', 'abis', 'kouta', 'pulsa', 'udh', 'beli', 'mahal', 'mahal', 'kecewa']</t>
  </si>
  <si>
    <t>['kesini', 'konsisten', 'jaringan', 'telkom', 'udah', 'mahal', 'jaringan', 'susah', 'bener', 'taiklah', 'cari', 'untungnya', 'tolonglah', 'perbaiki', 'jaringanya', 'kasiahan', 'konsumen', 'gini', 'panas', 'batrai', 'cepet', 'habis', '']</t>
  </si>
  <si>
    <t>['kecewa', 'jaringan', 'telkomsel', 'beli', 'mahal', 'jaringan', 'karuan', 'buruk', 'buka', 'game', 'kualitas', 'jaringan', 'telkomsel', 'menurun', 'buruk', 'tolong', 'respon', '']</t>
  </si>
  <si>
    <t>['telkomsel', 'jaringan', 'internetnya', 'jelek', 'banget', 'daerah', 'kepahiang', 'bengkulu', 'harga', 'paket', 'mahal', 'sejagad', 'tpi', 'jaringan', 'jelek', 'abis', 'kalah', 'kecepatan', 'kartu', 'telkomsel', 'lelet', 'banget', 'dech', 'telkomsel', 'larang', 'keluarga', 'telkomsel', 'kualitas', 'jaringan', 'jelek', 'jelek', 'jelek']</t>
  </si>
  <si>
    <t>['telkomsel', 'jaringan', 'internet', 'jelek', 'udah', 'paketan', 'internet', 'mahal', 'jaringan', 'setabil', 'kalauseperti', 'mending', 'nyari', 'jaringan', '']</t>
  </si>
  <si>
    <t>['telkomsel', 'buruk', 'kualitasnya', 'kalah', 'provider', 'kaya', 'indosat', 'udh', 'gitu', 'harganya', 'mahal', 'banget', 'nyesel', 'beli', 'telkomsel', 'mending', 'ganti', 'provider', 'paraaaaahh', 'uninstall', 'apk']</t>
  </si>
  <si>
    <t>['tolonglah', 'keringanan', 'kenyamanan', 'pelanggan', 'telkomsel', 'berlangganan', 'telkomsel', 'harga', 'kuota', 'mahal', 'turunin', 'harganya', 'kasian', 'duwit', 'mah', 'nggak', 'jaringan', 'buruk', 'nggak', 'nyaman', 'banget', 'mohon', 'pengertian']</t>
  </si>
  <si>
    <t>['pakai', 'kartu', 'halo', 'karna', 'suka', 'nonton', 'drakor', 'mengecewakan', 'app', 'maxstream', 'aplikasi', 'bermutu', 'kek', 'gitu', 'udah', 'lemot', 'jaringan', 'jelek', 'beli', 'paket', 'akses', 'kayak', 'langsung', 'akses', 'viu', 'langsung', 'akses', 'viu', 'nggak', 'kartu', 'migrasi', 'halo']</t>
  </si>
  <si>
    <t>['bermain', 'game', 'online', 'kartu', 'telkomsel', 'ditengah', 'permainan', 'sinyal', 'jelek', 'hilang', 'pengguna', 'game', 'online', 'merugikan', 'teman', 'tim', 'mohon', 'penanganannya', '']</t>
  </si>
  <si>
    <t>['nyedot', 'pulsa', 'ngotak', 'tdi', 'malem', 'isi', 'pulsa', 'beli', 'kuota', 'ketengan', 'mb', 'hbs', 'kuota', 'ketenganga', 'abis', 'lgsg', 'matiin', 'datanya', 'pagi', 'cek', 'pulsa', 'beli', 'kuota', 'ketengan', 'tinggal', 'belajar', 'kuota', 'belajar', 'cht', 'doang']</t>
  </si>
  <si>
    <t>['fungsi', 'mudah', 'pilihan', 'paket', 'kuota', 'paket', 'telepon', 'banyaknya', 'promo', 'kuota', 'harga', 'semoga', 'terdepan', 'mempertahankan', 'terbaik']</t>
  </si>
  <si>
    <t>['telkomsel', 'membeli', 'paket', 'nelpon', 'internet', 'nomor', 'muncul', 'maaf', 'membeli', 'produk', 'beli', 'paket', 'hemat', 'biaya', 'pulsa', 'bos', 'beli', 'paket', 'pulsa', 'alog', 'diamond', 'beli', 'bayar', 'langsung', 'bon', 'ngutang', 'mohon', 'maaf', 'kesal', 'butuh', 'solusi', '']</t>
  </si>
  <si>
    <t>['dear', 'telkomsel', 'memiliki', 'pelanggan', 'terbsesar', 'indonesia', 'kecewa', 'layanan', 'situasi', 'genting', 'kampung', 'akibat', 'gempa', 'bumi', 'jaringan', 'telkomsel', 'down', 'diakses', 'jaringan', 'membarikan', 'kontribusi', 'berkabar', 'mama', 'kontribusi', 'ditengah', 'bencana', 'keuntungan', 'kejar', 'sdangkan', 'keluarga', 'smapai', 'inipun', 'blm', 'dapatkan', 'kabarnya', '']</t>
  </si>
  <si>
    <t>['telkomsel', 'paketnya', 'mahal', 'paket', 'data', 'sms', 'nelpon', 'dll', 'solusi', 'masyarakat', 'jaringannya', 'buruk', 'paketnya', 'semurah', 'axis', 'im', 'theree', 'tolonglah', 'masyarakat', 'menikmati', 'paket', 'murah', 'kecewa', 'telkomsel', 'mencekik', 'masyarakat', '']</t>
  </si>
  <si>
    <t>['udah', 'mantap', 'kendala', 'masuk', 'penggunaan', 'daya', 'kembangkan', 'aplikasi', 'telkomsel', 'memudahkan', 'pengguna', 'sekian', 'terimakasih', '']</t>
  </si>
  <si>
    <t>['aneh', 'paket', 'combo', 'sakti', 'nomor', 'telkomsel', 'suami', 'combo', 'sakti', 'apl', 'suami', 'merata', 'promosi', 'mohon', 'perbaiki']</t>
  </si>
  <si>
    <t>['tolong', 'akses', 'web', 'diperbaiki', 'diperluas', 'tutup', 'akses', 'web', 'bermanfaat', 'masak', 'iya', 'ruang', 'guru', 'kena', 'internet', 'anak', 'belajarnya', 'tolong', 'pikirkan', 'memblokir', 'situs', '']</t>
  </si>
  <si>
    <t>['kualitas', 'memurun', 'peralihan', 'signal', 'signal', 'notif', 'bar', 'signal', 'akses', 'internet', '']</t>
  </si>
  <si>
    <t>['mantap', 'telkomsel', 'kauta', 'murah', 'terima', 'kasih', 'telkomsel', 'sayang', 'update', 'memori', 'hpq', 'maklum', 'jadul', '']</t>
  </si>
  <si>
    <t>['pelanggan', 'telkomsel', 'kabur', 'tolong', 'perbaiki', 'kedepan', 'buruk', 'telkomsel', 'jaringan', 'paket', 'udah', 'mahal', 'sinyal', 'buruk', 'terima', 'kasih']</t>
  </si>
  <si>
    <t>['memudahkan', 'min', 'appnya', 'semenjak', 'update', 'buka', 'beli', 'paket', 'tolong', 'bantu', 'min']</t>
  </si>
  <si>
    <t>['kasih', 'bintang', 'karna', 'sinyal', 'telkomsel', 'support', 'prioritas', 'support', 'glite', '']</t>
  </si>
  <si>
    <t>['operator', 'gaib', 'aktifkan', 'paket', 'data', 'pulsa', 'kepotong', 'alasannya', 'sinyalnya', 'sinyalnya', 'berharap', 'cust', 'beli', 'pulsa', 'pulsanya', 'habis', 'terpotong', 'moga', 'halal', 'berkah', 'rejekinya', '']</t>
  </si>
  <si>
    <t>['tolong', 'telkomsel', 'memperbaiki', 'sinyal', 'puas', 'layanan', 'jaringan', 'stabil', 'kecewa', 'membeli', 'mahal', 'mahal', 'paket', 'kuota', 'sinyalnya']</t>
  </si>
  <si>
    <t>['parah', 'beli', 'paket', 'mahal', 'sinyalnya', 'ilang', 'buka', 'web', 'kerjaan', 'menghambat', 'pekerjaan', 'alhasil', 'ganti', 'kartu', 'buka', 'web', 'beli', 'paket', 'bulanan', '']</t>
  </si>
  <si>
    <t>['telkomsel', 'paket', 'beda', 'region', 'pindah', 'lokasi', 'kartu', 'buang', 'pelayanan', 'kayak', 'gitu', 'ribet', 'telkomsel', 'ribet', 'mending', 'kartu', 'telkomsel', 'buang']</t>
  </si>
  <si>
    <t>['lemot', 'download', 'data', 'mb', 'nampil', 'hape', 'panas', 'aplikasi', 'sebenernya', 'rating', 'dikasih', 'minus', 'aplikasi', 'rating', 'minus', 'telkomsel', 'segitu', 'besarnya', 'sewa', 'developer', 'aplikasi', 'bagus', '']</t>
  </si>
  <si>
    <t>['alhamdulillah', 'ganti', 'provider', 'smartfren', 'hasilnya', 'mengecewakan', 'masyarakat', 'berpindah', 'provider', 'bagus', 'ngeluh', 'karna', 'jaringan', 'telkomsel', 'segeralah', 'pindah', 'provider', 'bagus', 'dikota', 'kehancuranmu', 'dirimu']</t>
  </si>
  <si>
    <t>['', 'simpati', 'jelek', 'main', 'game', 'parah', 'game', 'duellink', 'konek', 'muter', 'trus', 'pakai', 'provider', 'diluar', 'sel', 'mah', 'login', 'game', 'yugioh', 'alamat', 'nyari', 'provider', '']</t>
  </si>
  <si>
    <t>['kuota', 'data', 'telkoms', 'kemarin', 'beli', 'jaringannya', 'hancur', 'kota', 'mahal', 'pelayanan', 'buruk', 'belinya']</t>
  </si>
  <si>
    <t>['telkomsel', 'parah', 'harga', 'pulsa', 'telkomsel', 'punyaku', 'mahal', 'orang', 'harganya', 'murah', 'contoh', 'paket', 'omg', 'gb', 'rp', 'paket', 'omg', 'gb', 'rp', 'telkomsel', 'parah']</t>
  </si>
  <si>
    <t>['program', 'promo', 'apk', 'mahal', 'combo', 'sakti', 'temen', 'tolong', 'lengkapi', '']</t>
  </si>
  <si>
    <t>['sumpah', 'bener', 'rin', 'sinyalnya', 'parah', 'mendingan', 'jual', 'ajh', 'kartu', 'murah', 'paket', 'udh', 'lumayan', 'mahal', 'belinya', 'sinyal', 'bener', 'rin', 'ush', 'jualan', 'mending', 'smartfren', 'lancar', 'parah', 'kecewa', 'bngt', 'simpati', 'mlhan', 'giniin', '']</t>
  </si>
  <si>
    <t>['kesel', 'paket', 'mahal', 'kesel', 'karna', 'sinyal', 'buruk', 'tolong', 'jaringan', 'perbaiki', 'susah', 'akses', 'apapun', 'jaringan', 'buruk', '']</t>
  </si>
  <si>
    <t>['sinyal', 'baguusss', 'beneeraanann', 'beneraann', 'jeeleeeeeeekkkkkkkkkkkk', 'saammpaaahhhh']</t>
  </si>
  <si>
    <t>['parah', 'kemarin', 'beli', 'paket', 'games', 'max', 'mobile', 'legend', 'kode', 'voucher', 'diamondnya', 'tolonglah', 'ditindak', 'lanjuti', '']</t>
  </si>
  <si>
    <t>['telkomsel', 'sinyalnya', 'bagus', 'melambat', 'secepat', 'perbaikan', 'mohon', 'informasinya', 'terimakasih', '']</t>
  </si>
  <si>
    <t>['tolong', 'perbaiki', 'signal', 'bertahun', 'simpati', 'telkomsel', 'signal', 'bagus', 'hujan', 'parah', 'ganti', 'provider', '']</t>
  </si>
  <si>
    <t>['telkomsel', 'koq', 'sinyalnya', 'lemot', 'banget', 'tinggal', 'perkotaan', 'daerah', 'karawang', 'pedalaman', 'halo', 'halo']</t>
  </si>
  <si>
    <t>['pocer', 'unlimited', 'apps', 'mohon', 'pocer', 'kuota', 'setahun', 'unlimited', 'bos', 'apps', 'indonesia', 'trus', 'memakai', 'telkomsel']</t>
  </si>
  <si>
    <t>['ribet', 'banget', 'masuk', 'aplikasi', 'verifikasi', 'sms', 'magic', 'link', 'masuk', 'auto', 'simpan', 'device', 'merepotkan', 'butuh', 'cepat', 'isi', 'kuota', '']</t>
  </si>
  <si>
    <t>['beli', 'kuota', 'kode', 'dial', 'tulisan', 'terimakasih', 'permintaan', 'proses', 'tolong', 'perbaiki', 'harap', 'petugas', 'telkomsel', 'membaca', 'ulasan', 'terimakasih']</t>
  </si>
  <si>
    <t>['tolong', 'perbaiki', 'jaringan', 'didaerah', 'majene', 'pamboang', 'kel', 'lalampanua', 'bgus', 'cek', 'data', 'telkomsel', 'susah', 'parah', 'bagus', '']</t>
  </si>
  <si>
    <t>['maaf', 'kasi', 'bintang', 'kali', 'klik', 'link', 'nggak', 'masuk', 'sinyalnya', 'berubah', 'akses', 'internet', 'apapun', 'sulit', 'semoga', 'kedepannya', 'kualitas', 'sinyalnya', 'diperhatikan', 'didaerah', 'pelosok', 'telkomsel', 'satunya', 'penyedia', 'layanan']</t>
  </si>
  <si>
    <t>['telkomsel', 'parah', 'isi', 'kota', 'habis', 'seharus', 'abis', 'jam', 'segini', 'udh', 'abis', 'pulsa', 'kesedot', 'abis', 'kecewa', 'telkomsel', 'pemakaian', 'greb', 'doang', 'gangguan', '']</t>
  </si>
  <si>
    <t>['tolong', 'kelen', 'perbaiki', 'kualitas', 'jaringan', 'telkomsel', 'sementang', 'jaringan', 'buruk', 'kayak', 'gini', 'malu', 'provider', 'bagus', 'jaringanya', 'sia', 'bayar', 'mahal', '']</t>
  </si>
  <si>
    <t>['telkomsel', 'sinyal', 'payah', 'banget', 'kyk', 'telkomsel', 'sinyal', 'lambat', 'support', 'bermain', 'game', 'lag', 'sinya', 'kecewa', 'telkomsel', 'paket', 'data', 'mahal', 'kualitas', 'sinyalnya', 'dropppp', 'kalah', 'operator', 'telkomsel', 'kencang', 'sinyalnya', 'kecewa', '']</t>
  </si>
  <si>
    <t>['aplikasi', 'burik', 'buka', 'aplikasi', 'loading', 'nyedot', 'data', 'sebanyaknya', 'tampil', 'informasi', 'paket', 'udah', 'hapus', 'data', 'chache', '']</t>
  </si>
  <si>
    <t>['jaringan', 'kalah', 'saing', 'provider', 'layanan', 'cepat', 'murah', 'kecewa', 'kartu', 'peningkatan', 'cuman', 'monopoli', 'pasar', '']</t>
  </si>
  <si>
    <t>['', 'telkomsel', 'down', 'tolong', 'telkomselll', 'mohon', 'diperbaiki', 'sinyalnya', 'belajar', 'daring', 'sinyalnya', 'kadang', 'jelek', 'haduuuh', 'parah', 'semoga', 'cepat', 'perbaiki', '']</t>
  </si>
  <si>
    <t>['paket', 'combosakti', 'rp', 'rb', 'kuota', 'gb', 'cek', 'aktifkan', 'skrg', 'mytelkomsel', 'outlet', 'bit', 'mtsel', 'skb', 'cek', 'telkomsel', 'suka', 'bohong', 'hati', 'hati', 'telkomsel', 'menipu', 'pelanggan', '']</t>
  </si>
  <si>
    <t>['masukkan', 'nomor', 'ulang', 'masuk', 'kadang', 'susah', 'masuk', 'tolong', 'perbaiki', 'appnya', 'sinyalnya', 'ngelaggg', 'bayar', 'mahal']</t>
  </si>
  <si>
    <t>['terhormat', 'jaringan', 'telkomsel', 'lelett', 'berasa', 'kirain', 'kayak', 'gtu', 'telkomsel', 'jelek', 'udah', 'telkomsel', 'emng', 'dlu', 'jaringan', 'beradaptasi', 'dimanapun', 'tempatnya', 'bener', 'bner', 'duagaan', 'tlong', 'kenyamanan', 'respon', 'positif', 'terkait', 'jaringan', 'bner', 'bner', 'down', '']</t>
  </si>
  <si>
    <t>['tolong', 'ditingkatkan', 'layanan', 'jaringan', 'telkomsel', 'jaringan', 'telkomsel', 'puas', 'penggunaan', 'jaringan', 'internet', 'jaringan', 'telepon', 'seluler', 'mohon', 'ditingkatkan', 'bpk', 'pengguna', 'jaringan', 'mengeluh', 'thanks', '']</t>
  </si>
  <si>
    <t>['parah', 'telkomsel', 'menghabisi', 'pulsa', 'kuota', 'saldo', 'dipake', 'akses', 'internet', 'data', 'sim', 'provider', 'muncul', 'sms', 'mengakses', 'internet', 'tarif', 'non', 'paket', 'info', 'tsel', 'data', 'tarif', 'hemat', 'beli', 'paket', 'internet', 'tsel', '']</t>
  </si>
  <si>
    <t>['udah', 'sinyal', 'jelek', 'isi', 'pulsa', 'ngapa', 'ngapain', 'kesedot', 'tulisan', 'harga', 'ribu', 'ribu', 'tulisan', 'berlaku', 'cuman', 'bener', 'woy', 'namanya', 'penipuan', 'pantasan', 'ngeluh', '']</t>
  </si>
  <si>
    <t>['tolong', 'kartu', 'udh', 'nonaktifkan', 'pulsa', 'tekurang', 'apasi', 'tertera', 'januari', 'pemakaian', 'kartunya', 'mati', 'nge', 'bug', 'parah', 'meresahkan', 'dri', 'kemaren', 'pulsa', 'rb', 'eee', 'sisi', '']</t>
  </si>
  <si>
    <t>['tolong', 'telkomsel', 'ditambahin', 'fitur', 'top', 'game', 'karna', 'aplikasi', 'fitur', 'top', 'game', 'tolong', 'telkomsel', 'ditambahin', '']</t>
  </si>
  <si>
    <t>['heh', 'tolong', 'kouta', 'unlimited', 'multimedia', 'sosmed', 'games', 'chat', 'music', 'youtube', 'kouta', 'liat', 'kesedot', 'kouta', 'tolong', 'woy', 'beli', 'multimedia']</t>
  </si>
  <si>
    <t>['layanan', 'telkomsel', 'nikmati', 'kalangan', 'pilihan', 'paket', 'bervariatif', 'terjangkau', 'jga', 'byk', 'promo', 'pokonya', 'telkomsel', 'top', 'deh', 'terimakasih', 'telkomsel', 'semangat', '']</t>
  </si>
  <si>
    <t>['jaringan', 'jelek', 'mohon', 'tingkatkan', 'bnyak', 'mengeluh', 'kenap', 'paked', 'nelpon', 'jadibmhal', 'pakai', '']</t>
  </si>
  <si>
    <t>['bagus', 'layanan', 'promonya', 'beli', 'balasnya', 'koneksi', 'gagal', 'silahkan', 'coba', 'coba', 'ttp', '']</t>
  </si>
  <si>
    <t>['paketan', 'unlimited', 'kuota', 'kuota', 'habis', 'sinyalnya', 'susah', 'bgtttttttttttttt', 'giliran', 'paketan', 'unlimited', 'kuota', 'kuota', 'habis', 'gampang', 'sinyalnya', 'yaa', 'sales', 'marketingnya', 'kek', 'gitu', '']</t>
  </si>
  <si>
    <t>['kecewa', 'berat', 'pas', 'blm', 'pulsa', 'harga', 'promo', 'murah', 'pulsa', 'isi', 'beli', 'paket', 'harga', 'berubah', 'mahal', 'promo', 'hilang', 'tertipu']</t>
  </si>
  <si>
    <t>['pas', 'diperbarui', 'login', 'pas', 'kasih', 'masuk', 'nomor', 'login', 'coba', 'masukan', 'nomor', 'link', 'login', 'klik', 'linknya', 'masuk', 'susah', 'yaaah', 'suka', 'apk', 'apknya', 'mengecewakan', 'coba', 'bgmana', 'nich', 'dikasih', 'ulasan', 'direspon', 'login', 'tulisan', 'your', 'season', 'has', 'expired', 'please', 'login', 'again', 'pas', 'update', 'muncul', '']</t>
  </si>
  <si>
    <t>['wajar', 'tertarik', 'kuota', 'ketengan', 'youtube', 'harganya', 'murah', 'dipake', 'youtube', 'dibuka', 'giliran', 'beli', 'kuota', 'internet', 'reguler', 'buka', 'youtube', 'lancar', 'tolong', 'bohongi', 'konsumen', 'promo', 'bohongan', 'harga', 'paketnya', 'murah', 'promo', 'dihapus', 'daftar', '']</t>
  </si>
  <si>
    <t>['tolong', 'cuman', 'read', 'perbaiki', 'kendalanya', 'jaringan', 'tolong', 'cepat', 'tanggap', 'lambat', 'laun', 'pelanggan', 'kecewa', '']</t>
  </si>
  <si>
    <t>['kecewa', 'telkomsel', 'promo', 'kuota', 'internet', 'mahal', 'mahal', 'pengguna', 'setia', 'telkomsel', 'masak', 'dikasih', 'promo', 'mahal', '']</t>
  </si>
  <si>
    <t>['mahal', 'kadang', 'susah', 'sinyal', 'pulsa', 'kesedot', 'dipake', 'bangun', 'tidur', 'pulsa', 'udah', 'ilang', 'nol', 'nol', 'nol', 'nyesek']</t>
  </si>
  <si>
    <t>['sulit', 'log', 'akun', 'harga', 'sinyal', 'kalah', 'bersaing', 'fitur', 'seadanya', 'tolong', 'perbaiki', '']</t>
  </si>
  <si>
    <t>['telkomsel', 'jembutttt', 'seminggu', 'jaringannya', 'lemot', 'harga', 'kuotanya', 'mahal', 'jaringan', 'diperbaiki', 'karyawannya', 'niat', 'nggak', 'kerjanya', 'makan', 'gaji', 'buta', 'karyawannya', 'penyelewengan', 'jaringan', 'sinyal', 'thn', 'customer', 'kali', 'komplain', 'sprti', 'telkomsel']</t>
  </si>
  <si>
    <t>['alasan', 'kasih', 'bintang', 'provider', 'telkomel', 'buruk', 'sinyal', 'down', 'losing', 'signal', 'koneksi', 'lainya', 'pelayanan', 'telkomsel', 'buruk', 'bandingkan', 'provider']</t>
  </si>
  <si>
    <t>['membeli', 'kuota', 'internetmax', 'siang', 'lancar', 'lancar', 'malam', 'kuota', 'pakai', 'kuota', 'tersisa', 'rugi']</t>
  </si>
  <si>
    <t>['kecewa', 'telkomsel', 'parah', 'nsp', 'aktif', 'terdaftar', 'klik', 'daftar', 'pencet', 'tombol', 'apapun', 'telpon', 'sabar', 'sabar', 'cek', 'dikabarin', 'blum', 'dikbrin', 'klu', 'ditelpon', 'sabar', 'nomor', 'cantik', 'klu', 'isi', 'pulsa', 'lsung', 'habis', 'karna', 'lsung', 'otomatis', 'perpanjang', 'nsp', 'kaga', 'isi', 'pulsa', 'nsp', 'aktif', 'yuk', 'rame', 'kartu', '']</t>
  </si>
  <si>
    <t>['paket', 'unlimited', 'max', 'ilang', 'make', 'telkomsel', 'make', 'pas', 'ilangin', 'kenpa', 'gabisa', 'aktifin', 'paket', 'gb', 'suruh', 'aktifin', 'gb', 'tolong', 'perbaiki', 'telkomsel', 'nyiapin', 'indonesia', 'kebanyakan', 'tolong', 'hargain', 'customer', 'sampe', 'maki', 'kaya', 'provider', 'sebelah', 'ahhhh']</t>
  </si>
  <si>
    <t>['tolong', 'paket', 'extra', 'unilimed', 'usahakan', 'jngn', 'sampe', 'hilang', 'keselamatan', 'kenyamanan', 'rakyat', 'berusaha', 'bertahan', 'kartu', 'telkomsel', 'sekian', 'terimakasih', '']</t>
  </si>
  <si>
    <t>['alasan', 'gua', 'download', 'aplikasi', 'karna', 'gua', 'akses', 'gua', 'coba', 'muncul', 'tulisan', 'khusus', 'pengguna', 'loop', 'kartu', 'gua', 'loop', 'gitu', '']</t>
  </si>
  <si>
    <t>['parah', 'itele', 'komsel', 'gua', 'kasih', 'bintang', 'baca', 'jaringan', 'data', 'kek', 'nt', 'jam', 'pagi', 'ampe', 'jam', 'malem', 'lemot', 'banget', 'sampe', 'cek', 'paket', 'itele', 'komsel', 'susah', 'loading', 'mulu', 'udah', 'ham', 'malem', 'lumayan', 'lancar', 'keknya', 'emang', 'setting', 'itele', 'komsel', 'siang', 'kbps', 'diturunin', 'layanan', 'sepenuhnya', 'namanya', 'parah', 'banget', 'dech', 'pokok', 'parah', '']</t>
  </si>
  <si>
    <t>['gmna', 'ngisi', 'pulsa', 'paket', 'ketengan', 'ribu', 'dapet', 'gb', 'msh', 'sisa', 'kuota', 'mb', 'pulsa', 'sisanya', 'ilang', 'aduh', 'kacau', 'tolong', 'perbaiki', 'astaga', '']</t>
  </si>
  <si>
    <t>['harga', 'mahal', 'kuota', 'standar', 'sinyal', 'stabil', 'alasan', 'template', 'mohon', 'maaf', 'kak', 'perbaikan', 'peningkatan', 'jaringan', 'mahal', 'pelayanan', 'bagus', 'udh', 'mahal', 'tpi', 'pelayanan', 'nol', 'oiya', 'jgan', 'terobsesi', 'jaringan', 'standar', 'kualitasnya', 'frekuensi', 'akui', '']</t>
  </si>
  <si>
    <t>['udah', 'telkomsel', 'jaringan', 'standar', 'kadang', 'cepet', 'kadang', 'lambat', 'kali', 'kecewa', 'poin', 'poin', 'sisa', 'poin', 'hilang', 'kemana', 'saatttttt']</t>
  </si>
  <si>
    <t>['ekstra', 'unlimited', 'hilang', 'pakai', 'hemat', 'hilang', 'gitu', 'suka', 'kesel', 'udah', 'beli', 'pulsa', 'bingung', 'tolong', 'dibenahi', 'plis', 'banget', 'hemat', 'boros', 'ekstra', 'unlimited', 'hilang', '']</t>
  </si>
  <si>
    <t>['sumpah', 'maksud', 'telkomsel', 'kali', 'pulsa', 'sedot', 'rb', 'pas', 'isi', 'pulsa', 'beli', 'kuata', 'darurut', 'masak', 'pas', 'pulsa', 'sms', 'trimah', 'kasih', 'andah', 'mengembalikan', 'pulsa', 'darurat', 'rb', 'kpn', 'minjam', 'parah', 'telkomsel', 'diam', 'tipu', 'jga', 'aplikasi', 'sedot', 'pulsa', 'tolong', 'comen', 'liad', 'admin', 'telkomsel', 'keluhan', 'trimah']</t>
  </si>
  <si>
    <t>['aktivasi', 'paket', 'pulsa', 'terpotong', 'paket', 'aktif', 'data', 'transaksi', 'keesokan', 'aplikasi', 'refresh', 'paket', 'aktifkan', 'hilang', 'data', 'transaksinya', 'hilang', 'pulsa', 'habis', 'karna', 'buka', 'telkomsel', 'tolong', 'sekelas', 'nama', 'telkomsel', 'app', 'bug', 'merugikan', '']</t>
  </si>
  <si>
    <t>['super', 'lelet', 'ampun', 'kuota', 'mahal', 'sesuai', 'jaringan', 'jaminan', 'sinyal', 'jelasssssss', 'super', 'lelet', 'hallo', 'telkomsel', 'banget', 'sinyalnya', 'lelet', 'ampunnnnnn', '']</t>
  </si>
  <si>
    <t>['berharap', 'kartu', 'perdana', 'telkomsel', 'paketan', 'internet', 'murah', 'mimpi', 'mahal', 'signal', 'jelek', '']</t>
  </si>
  <si>
    <t>['knp', 'masuk', 'udah', 'update', 'masuk', 'langsung', 'dicoba', 'berkali', 'kali', 'trs', 'sumpah', 'jelek', 'tolong', 'diperbaiki']</t>
  </si>
  <si>
    <t>['semenjak', 'memasuki', 'jaringan', 'telkomsel', 'parah', 'sumpah', 'jengkel', 'provider', 'jujur', 'jaringan', 'mengganggu', 'pengguna', 'android', '']</t>
  </si>
  <si>
    <t>['mending', 'pakai', 'kartu', 'im', 'jaringan', 'bagus', 'memakai', 'kartu', 'telkomsel', 'jaringan', 'cap', 'terluas', 'mahal', 'jaringannya', 'jelek', 'pindah', 'kartu', 'im', 'sinyal', 'telkomsel', 'jelek', 'bermain', 'game', 'aplikasi', 'mutar', 'telkomsel', 'payah', 'jaman', 'jaringan', 'terluas']</t>
  </si>
  <si>
    <t>['telkomsel', 'jaringan', 'kentang', 'jaringan', 'bagus', 'mengecewakan', 'liat', 'ranting', 'mytelkomsel', 'play', 'store', 'bintang', 'bingtang', 'kecewa', 'telkomsel', 'memperbaiki', 'jaringan', 'untungan', 'pelanggan', '']</t>
  </si>
  <si>
    <t>['harga', 'paket', 'mahal', 'jaringan', 'kenceng', 'parah', 'internetan', 'lancar', 'jam', 'sisanya', 'buffering', 'doang', 'tolonglah', 'seltekomsell', 'ngecewain', 'pelanggan']</t>
  </si>
  <si>
    <t>['peduli', 'gua', 'combo', 'sakti', 'kek', 'combo', 'dukun', 'kek', 'jaringan', 'gapernah', 'stabil', 'pakek', 'main', 'game', 'sumpah', 'indoor', 'pakek', 'kaya', 'dlu', 'kestabilan', 'parah', 'tri', 'hujan', 'hilang', 'tsel', 'tri', 'bagus', 'parah', 'tri']</t>
  </si>
  <si>
    <t>['', 'migrasi', 'kartu', 'hallo', 'mengecewakan', 'kuota', 'internet', 'msh', 'byk', 'dpakai', 'limit', 'pemakaiannya', 'bertambah', 'byk', 'mubazirnya', 'telp', 'sms', 'kpake', 'prabayar', 'gmn', '']</t>
  </si>
  <si>
    <t>['petugas', 'telkomsel', 'mohon', 'pengertian', 'sinyal', 'provininsi', 'kalimantan', 'selatan', 'kab', 'kota', 'kec', 'pulau', 'laut', 'selatan', 'tanjung', 'seloka', 'pagi', 'sore', 'jaringan', 'slow', 'malam', 'lancar', 'malam', 'tolong', 'perbaiki', 'sistem', 'jaringan', 'tower', 'daerah', 'salah', 'mohon', 'maaf']</t>
  </si>
  <si>
    <t>['telkomsel', 'apk', 'dibuka', 'udah', 'jaringan', 'lancar', 'tinggal', 'apk', 'dibuka', 'tolong', 'cepat', 'diperbaiki', 'beli', 'paket', 'apk', 'telkomsel', 'udah', 'diperbaiki', 'kasih', 'bintang', '']</t>
  </si>
  <si>
    <t>['tolong', 'telkomsel', 'telkomsel', 'jaringan', 'lemot', 'engak', 'ketulungan', 'posisi', 'tower', 'telkomsel', 'pajangan', 'nelpon', 'terkait', 'sampek', 'bosen', '']</t>
  </si>
  <si>
    <t>['telkomsel', 'fitur', 'lock', 'pulsa', 'nggak', 'menghindari', 'penggunaan', 'pulsa', 'mengakses', 'internet', 'kmrn', 'udah', 'beli', 'paket', 'internet', 'pulsa', 'sisa', 'rban', 'sms', 'info', 'klw', 'pulsa', 'mengakses', 'internet', 'disarankan', 'memakai', 'paket', 'darurat', 'dibayar', 'pas', 'dicek', 'paket', 'internet', 'kuotanya', 'gb', 'pas', 'dicek', 'pemakaian', 'pulsa', 'kepakai', 'mengakses', 'internet', 'situ', 'perusahaan', 'maling', 'smpai', 'karyawan', 'mkn', 'gaji', 'haram']</t>
  </si>
  <si>
    <t>['cek', 'kuota', 'gagal', 'taik', 'diloading', 'penawaran', 'ngeluh', 'internetnya', 'letoy', 'pliss', 'lahh', 'cek', 'kuota', 'susah', 'njink']</t>
  </si>
  <si>
    <t>['jaringan', 'kuat', 'perkotaan', 'masak', 'sinyal', 'pedalaman', 'duanya', 'pakai', 'simcard', 'telkomsel', 'kecewa', 'jaringan', 'internet', 'telkomsel', 'jaringan', 'internet', 'telkomsel', 'mengecewakan', 'turun', '']</t>
  </si>
  <si>
    <t>['busuk', 'bged', 'sinyal', 'buka', 'aplikasi', 'mytelkomsel', 'leletnya', 'ampun', 'pdhal', 'diatas', 'jaringan', 'leletnya', 'telkomsel', 'menang', 'mahal', 'doank', '']</t>
  </si>
  <si>
    <t>['jaringan', 'internetnya', 'menjangkau', 'kepulauan', 'masalembu', 'kab', 'sumenep', 'jatim', 'pemerintah', 'menekan', 'pendidikan', 'berjalan', 'pandemi', 'via', 'daring', 'online', 'pimpinan', 'telkomsel', 'tolonglah', 'ditingkatkan', 'kualitas', 'sinyal', 'internetnya', 'indonesia', '']</t>
  </si>
  <si>
    <t>['', 'isi', 'pulsa', 'labgsung', 'diblokir', 'telkomsel', 'maksa', 'banget', 'isi', 'pulsa', 'isi', 'terseralahhh', 'pemerasaaannnnn', '']</t>
  </si>
  <si>
    <t>['gunain', 'kartu', 'telkomsel', 'mohon', 'maaf', 'jaringan', 'kendala', 'utama', 'lemot', 'tolong', 'perbaiki', 'terima', 'kasih', 'telkomsel', 'moga', 'acc']</t>
  </si>
  <si>
    <t>['telkomsel', 'pelit', 'iya', 'dialy', 'login', 'hilang', 'pas', 'dpt', 'paket', 'telkomsel', 'mohon', 'kembalikan', 'pulsa', 'mengambil', 'paket', 'darurat', 'isi', 'pulsa', 'malh', 'kesedot', 'mohon', 'kembalikan', 'pulsa', 'telkomsel', '']</t>
  </si>
  <si>
    <t>['jaringan', 'super', 'lelet', 'diatasnya', 'super', 'jeleknya', 'jaringan', 'telkomsel', 'berhari', 'bagusnya', 'ganti', 'operator', 'lumayan', 'bagus', '']</t>
  </si>
  <si>
    <t>['sinyal', 'tolong', 'tingkatkan', 'promonya', 'doang', 'gembor', 'gemborin', 'pelanggan', 'mengadukan', 'bot', 'suruh', 'bales', 'pegawai', 'telkomsel', 'dilimpahkan', 'bot', '']</t>
  </si>
  <si>
    <t>['orang', 'counter', 'kartu', 'perdana', 'beli', 'khusus', 'wilayah', 'jabodetabek', 'sinyal', 'internetnya', 'kaya', 'gunung', '']</t>
  </si>
  <si>
    <t>['harga', 'paket', 'mahal', 'sesuai', 'jaringan', 'bagus', 'harga', 'mahalin', 'internetnya', 'stabil', 'ping', 'daerah', 'tangerang', 'parah', 'masuk', 'kota', '']</t>
  </si>
  <si>
    <t>['ntah', 'knp', 'sinyal', 'telkomsel', 'buruk', 'tgl', 'desember', 'sinyal', 'hancur', 'sgt', 'mengganggu', 'komunikasi', 'bisnis', 'beli', 'paket', 'data', 'mahal', 'terbuang', 'sia', 'sia', 'email', 'telkomsel', 'tlg', 'ditanggapi', 'keluhan', 'sinyal', 'telkomsel', 'msh', 'hancur', 'sprti', 'pindah', 'provider', 'krna', 'telkomsel', 'layak', '']</t>
  </si>
  <si>
    <t>['paket', 'mahal', 'jaringan', 'lemot', 'rugi', 'udah', 'jaman', 'jaringan', 'kaya', 'gni', 'kayanya', 'ganti', 'sim', 'crad', 'gb', 'lumayan', 'jaringan', 'bagus', 'bantu', 'liat', 'bintang', 'brbicara']</t>
  </si>
  <si>
    <t>['buruk', 'beli', 'kuota', 'mahal', 'sinyal', 'uda', 'uda', 'sebulan', 'beralih', 'menyesal', 'main', 'game', 'sinyal', 'nol', 'giliran', 'sinyal', 'solusinya', 'donk', 'min', '']</t>
  </si>
  <si>
    <t>['terima', 'kasih', 'telkomsel', 'udah', 'menemani', 'jaringan', 'lemot', 'pandemi', 'cari', 'uang', 'susah', 'paket', 'data', 'promonya', '']</t>
  </si>
  <si>
    <t>['sinyal', 'parah', 'tanggerang', 'allah', 'susah', 'internetan', 'main', 'games', 'loading', 'mahal', 'doang', 'paketan', 'ganti', 'kartu', 'udah', 'telkomsel', 'lahh', '']</t>
  </si>
  <si>
    <t>['promosi', 'pembeliannya', 'dikasih', 'dibatas', 'fitur', 'pulsa', 'kesedot', 'kekurangan', 'sinyal', 'bagus']</t>
  </si>
  <si>
    <t>['ngga', 'apk', 'bagus', 'ngga', 'blum', 'cobain', 'dowloand', 'trus', 'cuman', 'bintang', 'apk', 'bagus', 'tambahin', 'bintangnya', '']</t>
  </si>
  <si>
    <t>['aplikasi', 'telkomsel', 'gangguan', 'gatau', 'telkomsel', 'jaringannya', 'kaya', 'kartu', 'bersahabat', 'banget', 'dapet', 'susah', 'bayar', 'paketan', 'mahal', 'gabisa', 'konek', '']</t>
  </si>
  <si>
    <t>['parah', 'suport', 'sinyal', 'mulu', 'kembalikan', 'sinyal', 'paket', 'gamesmax', 'game', 'masuk', 'gamenya', 'malas', 'pakek', 'telkomsel', 'sinyal', 'kayak', 'gini']</t>
  </si>
  <si>
    <t>['bangke', 'telkomsel', 'payah', 'uda', 'isi', 'pulsa', 'tuk', 'tukar', 'promo', 'unlimited', 'ehh', 'pulza', 'terpotong', 'ngga', 'aktifkan', 'data', 'apapun', 'wifi', 'tuk', 'aktifkan', 'promo', 'terpotong', 'biaya', 'transaksi', 'anjayyyyy', 'kerja', 'jujur', 'kasih', 'penjelasan', 'terpotong', '']</t>
  </si>
  <si>
    <t>['paket', 'unlimited', 'main', 'pubg', 'kuota', 'gemya', 'main', 'doang', 'main', 'pubg', 'tolong', 'diperbaiki', 'kasih', 'bintang', 'terimakasih']</t>
  </si>
  <si>
    <t>['aplikasi', 'telkomsel', 'bagus', 'penawaran', 'harga', 'murah', 'paket', 'internet', 'tingkatkan', 'jaringan', 'akses', 'internetnya', 'orang', 'pakai', 'aplikasi', 'mengeluh', 'trmks', '']</t>
  </si>
  <si>
    <t>['aplikasi', 'bagus', 'rekomen', 'kasih', 'rating', 'rendang', 'sinyal', 'jelek', 'tolong', 'tolol', 'sinyal', 'jelek', 'komplain', 'telkomsel', 'jaringan', 'app', 'maki', 'maki', 'nyambung', 'cuk']</t>
  </si>
  <si>
    <t>['telkomsel', 'boong', 'iya', 'iya', 'iya', 'iya', 'telkomsel', 'beli', 'diamond', 'hahai']</t>
  </si>
  <si>
    <t>['aduhhh', 'telkomsel', 'sinyalnya', 'nggak', 'stabil', 'nggak', 'kayak', 'nggak', 'stabil', 'tolong', 'telkomsel', 'perbaiki', 'sinyalnya', '']</t>
  </si>
  <si>
    <t>['tolong', 'turunin', 'harga', 'kuota', 'internet', 'mingguan', 'telkomsel', 'karna', 'pandemi', 'nyari', 'duit', 'susah', 'tolong', 'kuota', 'warnet', 'jam', 'memudahkan', 'tolong', 'fitur', 'kunci', 'pulsa', 'tersisa', 'aplikasi', 'terpakai', 'habis', 'lupa', 'menonaktifkan', 'data', 'seluler', '']</t>
  </si>
  <si>
    <t>['aplikasinya', 'penilaian', 'standby', 'nmr', 'akses', 'clear', 'data', 'masukkan', 'ulang', 'ngulang', 'diakses', 'update', 'keluhan', 'diatas', 'berkurang']</t>
  </si>
  <si>
    <t>['telkomsel', 'bangkrut', 'tarif', 'duit', 'pelanggan', 'diembat', 'perbaiki', 'layanan', 'jaringan', 'harga', 'tarif', 'bintang', 'pelayanan', 'kelas', 'kaki', 'hadiah', 'point', 'sampah', 'hadiah', 'point', 'perbaikilah', 'kaya', 'perusahaan', 'amatiran', 'narik', 'untung', 'doang', 'mikirin', 'layanan', 'bengini', 'pindah', 'bumn', 'duit', 'rakyat', 'modal', 'perusahaan', 'kerja', 'profesional']</t>
  </si>
  <si>
    <t>['gimana', 'paket', 'rb', 'gb', 'unlimited', 'youtube', 'tetep', 'kena', 'kuota', 'utamanya', 'ujung', 'habis', 'youtube', 'download', 'mohon', 'kasih', 'penjelasannya']</t>
  </si>
  <si>
    <t>['pengguna', 'telkomsel', 'beli', 'paket', 'sinyal', 'skrng', 'gapernah', 'stabil', 'tolong', 'perhatikan', 'sampe', 'pengguna', 'telkomsel', 'pindah', 'kelain', 'provider', '']</t>
  </si>
  <si>
    <t>['buruk', 'layananan', 'internet', 'telkomsel', 'lelet', 'hilang', 'koneksi', 'perbaiki', 'pelanggan', 'beralih', 'layanan', 'jaringan', 'mengecewakan', '']</t>
  </si>
  <si>
    <t>['maaf', 'bintang', 'berhubung', 'jaringan', 'lemot', 'kasih', 'tolong', 'perbaiki', 'ntar', 'pelangan', 'kabur']</t>
  </si>
  <si>
    <t>['min', 'nanya', 'metode', 'pembayaran', 'telkomsel', 'tulisan', 'tersedia', 'maksudnya', 'mohon', 'saranya', '']</t>
  </si>
  <si>
    <t>['sinyal', 'telkomsel', 'kemana', 'suka', 'ngilang', 'arah', 'kirain', 'sinyal', 'ribet', 'suka', 'ngilang', 'tolong', 'telkomsel', 'perbaiki', 'sinyal', 'jaringan', 'internetnya', 'kuota', 'beli', 'gratisan', 'gratisan', 'terserah', 'sinyal', 'jaringan', 'jelek', 'kuota', 'beli', 'gratis', 'konter', '']</t>
  </si>
  <si>
    <t>['beli', 'voucer', 'sulit', 'masukkan', 'kode', 'maaf', 'sistem', 'sibuk', 'instal', 'telkomsel', 'loading', 'telkomsel', 'lite', 'pilih', 'isi', 'ulang', 'data', 'aplikasi', 'terhenti', 'mahal', 'mengecewakan', 'telkomsel', 'saingan', 'fitur', 'app', 'lengkap', 'mudah', 'isi', 'paket', 'data', 'bonusnya', 'pulsa', 'save', 'dll', 'telkomsel', 'pelanggan', 'kabur', 'mengecewakan']</t>
  </si>
  <si>
    <t>['paket', 'nelpon', 'telkomsel', 'mahal', 'masak', 'nelpon', 'detik', 'habiskan', 'telkomsel', 'beda', 'detik', 'sesuai', 'kebutuhan', 'gitu', 'orang', 'bergaji', 'spele', 'uang', 'apanya', 'petani', 'miskin', 'menambah', 'mempersulit', 'urusan', '']</t>
  </si>
  <si>
    <t>['pulsa', 'reguler', 'paket', 'kuota', 'internet', 'isi', 'pulsa', 'reguler', 'mengakses', 'internet', 'dipakai', 'pulsa', 'reguler', 'non', 'paket', 'paket', 'internet', 'mohon', 'penjelasannya']</t>
  </si>
  <si>
    <t>['singkatan', 'populer', 'asing', 'ditelinga', 'dlm', 'aplikasi', 'org', 'senior', 'butuh', 'tiktok', 'apps', 'butuh', 'kuota', 'utama', '']</t>
  </si>
  <si>
    <t>['telkomsel', 'ajar', 'mencuri', 'pulsa', 'paketan', 'internet', 'otomatis', 'perpanjang', 'pulsa', 'semestinya', 'perpanjangan', 'internet', 'rb', 'pulsa', 'rb', 'namanya', 'mencuri', 'telkomsel', 'untung', 'provider', 'telkomsel', 'tinggalkan', '']</t>
  </si>
  <si>
    <t>['mudah', 'bagus', 'udah', 'telkomsel', 'sinyal', 'telkomsel', 'ditempat', 'susah', 'telpon', 'reguler', 'susah', 'mohon', 'dicek', 'kendala', 'terimakasih']</t>
  </si>
  <si>
    <t>['sinyal', 'kartu', 'mahal', 'tpi', 'sinyal', 'busuk', 'udah', 'telkomsel', 'kasi', 'sinyal', 'busuk', 'benerin', 'woyy', 'orang', 'kegiatan', 'butuh', 'sinyal', '']</t>
  </si>
  <si>
    <t>['pademangan', 'jakarta', 'utara', 'sinyal', 'bagus', 'koneksi', 'internet', 'ampas', 'udah', 'telpon', 'tindak', 'lanjuti', 'game', 'bagus', 'indosat', 'paket', 'murah', 'kebalik', 'mahal', 'sesuai', 'cuk']</t>
  </si>
  <si>
    <t>['kirim', 'pulsa', 'pulsa', 'sisa', 'kirim', 'ngga', 'pas', 'kirim', 'nominal', 'berkurang', 'rupiah', 'mode', 'pesawat', 'paket', 'chat', 'omg', 'pas', 'data', 'pulsa', 'kepotong', 'telkom', 'ngambil', 'untung', 'kebangetan', '']</t>
  </si>
  <si>
    <t>['perbaiki', 'bug', 'jaringan', 'kuota', 'gamemax', 'login', 'nggk', 'main', 'download', 'data', 'mentok', 'diloby', 'doang', 'matchmaking', 'gb', 'login', 'ama', 'mantengin', 'loby', 'taik', 'sebenernya', 'paket', 'gamemax', 'digunain', 'nggk', 'rilis', '']</t>
  </si>
  <si>
    <t>['telkomsel', 'lemot', 'hujan', 'dikit', 'udah', 'gangguan', 'buka', 'buka', 'udah', 'susah', 'udah', 'hujan', 'tolong', 'telkomsel', 'cari', 'solusinya']</t>
  </si>
  <si>
    <t>['sinyalnya', 'jelek', 'banget', 'dimana', 'mahal', 'mah', 'tetep', 'mahal', 'kalah', 'kasih', 'harga', 'murah', 'sinyalnya', 'membaik', 'tsel', '']</t>
  </si>
  <si>
    <t>['sinyal', 'jelek', 'banget', 'asli', 'kartu', 'simpati', 'jelek', 'telkomsel', 'tumben', 'parahnya', 'ganti', 'kartu', 'lemot', 'kinta', 'ampun', '']</t>
  </si>
  <si>
    <t>['aplikasi', 'aktifkan', 'paket', 'jawabannya', 'pulsa', 'taik', 'taik', 'aplikasi', 'ampassss']</t>
  </si>
  <si>
    <t>['hay', 'kaka', 'maaf', 'kasih', 'bintang', 'bener', 'bener', 'rugi', 'pulsa', 'kesedot', 'terambil', 'mengupdate', 'mengunci', 'pulsa', 'tersedot', 'terambil', 'terimakasih']</t>
  </si>
  <si>
    <t>['telkomsel', 'nyedot', 'saldo', 'pulsa', 'mulu', 'udah', 'sisa', 'saldo', 'dibabat', 'abis', 'mikir', 'kepake', 'trus', 'lupa', 'kejadian', 'tolong', 'perbaiki']</t>
  </si>
  <si>
    <t>['tesel', 'gimna', 'sinyalnya', 'jelek', '']</t>
  </si>
  <si>
    <t>['provider', 'buruk', 'sinyal', 'kagak', 'kuota', 'mahal', 'capek', 'bayar', 'mahal', 'miskin', 'sinyal', 'nggk', 'percaya', 'nggk', 'diperbaiki', 'dijamin', 'turun', 'reputasi', 'telkomsel', 'buruk']</t>
  </si>
  <si>
    <t>['harganya', 'mahal', 'kualitasnya', 'ampas', 'iya', 'kota', 'jaringan', 'ilang', 'gara', 'gara', 'telkomsel', 'gua', 'nge', 'game', 'afk', 'iya', 'game', 'jaringan', 'ilang', 'tolong', 'perbaiki', 'harga', 'sebanding', 'kualitas']</t>
  </si>
  <si>
    <t>['sinya', 'telkomsel', 'ampass', 'kadang', 'hilang', 'jaringan', 'ngak', 'stabil', 'ditengah', 'kota', 'dipelosok', 'ngeluh', 'sinyal', 'gimana', 'merekaa', 'disana', 'masuk', 'musim', 'penghujan', 'bye', 'bye', '']</t>
  </si>
  <si>
    <t>['screenshoot', 'bukti', 'jaringan', 'pke', 'telkomsel', 'bener', 'buriiikk', 'kuota', 'buang', 'gara', 'kepake', 'jaringan', 'buriik', 'kebuang', 'sia', 'sia', 'habis', 'kuota', 'internet', 'mengikuti', 'aktif', 'kartu', 'mending', '']</t>
  </si>
  <si>
    <t>['jaringan', 'lelet', 'paket', 'mahal', 'menjamin', 'kualitas', 'bagus', 'nyesal', 'terpaksa', 'pakai', 'telkomsel']</t>
  </si>
  <si>
    <t>['koneksi', 'internetnya', 'buruk', 'telkomsel', 'bela', 'paket', 'mahal', 'lancar', 'kebalikanya', '']</t>
  </si>
  <si>
    <t>['telkomsel', 'ancur', 'kartu', 'mahal', 'jaringan', 'jelek', 'tolong', 'diperbaiki', 'apapun', 'nyaman', 'karna', 'jaring', 'lemot', 'buruk', 'tutup', 'tutup']</t>
  </si>
  <si>
    <t>['udah', 'telkomsel', 'udah', 'udah', 'banget', 'nomor', 'kesinj', 'telkomsel', 'udah', 'kaya', 'sinyalnya', 'jelek', 'banget', 'bagus', 'tolong', 'admin', 'perbaiki', 'jaringannya', 'males', 'ngapa', 'ngapain', 'maen', 'games', 'males', 'moet', 'tolong', 'perbaiki', '']</t>
  </si>
  <si>
    <t>['paket', 'doang', 'mahal', 'kualitas', 'sinyal', 'ancur', 'parah', 'udah', 'telkomsel', 'main', 'game', 'online', 'ping', 'udah', 'gitu', 'ngasih', 'promo', 'paket', 'murah', 'mending', 'ganti', 'provider', 'deh']</t>
  </si>
  <si>
    <t>['buka', 'aplikasinya', 'wifi', 'loading', 'kebuka', 'buka', 'sinyal', 'jelek', 'macem', 'aneh', 'aplikasi', 'usang', 'uang', 'aplikasinya', 'basi', 'loading', 'heran', 'hapus', 'trus', 'instal', 'tetep', 'rusak', 'kerjaan', 'operatornya']</t>
  </si>
  <si>
    <t>['sepuluh', 'pakai', 'telkomsel', 'kesini', 'sinyalnya', 'jelek', 'lelet', 'kalah', 'provider', 'buang', 'kartu', 'sayang', 'dibuang', 'sayang', 'uang', 'mubadziiiiir', 'recommended']</t>
  </si>
  <si>
    <t>['assalamualaikum', 'telkomsel', 'milik', 'indonesia', 'jaringan', 'pelit', 'tolong', 'perluas', 'warga', 'indonesia', 'perhatikan', 'warga', 'tinggal', 'perkampungan', 'membutuhkan', 'sinyal', 'berkomunikasi', 'terimakasih', '']</t>
  </si>
  <si>
    <t>['jaringannya', 'bagus', 'jaringannya', 'buruk', 'malam', 'jam', 'jam', 'buruk', 'kayak', 'udah', 'jatah', 'buruk', 'tolong', 'perbaiki', 'jaringan', 'paket', 'data']</t>
  </si>
  <si>
    <t>['sii', 'signal', 'telkomsel', 'lambat', 'kaya', 'siput', 'kecewa', 'kaya', 'super', 'ngebut', 'kaya', 'jet', 'kaya', 'bajaj', 'tolong', 'perbaiki', 'signalnya', 'unlimitet', 'kaya', 'gini', 'kasih', 'bintang', 'tolong', 'perbaiki', '']</t>
  </si>
  <si>
    <t>['telkomsel', 'jaringannya', 'lelet', 'setabil', 'youtube', 'macet', 'beli', 'paketan', 'unlimited', 'youtube', 'browser', 'leletnya', 'ampun', 'males', 'telkomsel', 'jaringannya', 'kaya', 'gini', 'mending', 'ganti', 'kartu', 'enak', 'jaringannya', 'lelet', 'kartu', '']</t>
  </si>
  <si>
    <t>['telkomsel', 'dimana', 'sinyalnya', 'jelekkah', 'ditempat', 'plosok', 'sinyalnya', 'bagus', 'kesini', 'ndak', 'andelin', '']</t>
  </si>
  <si>
    <t>['rugi', 'beli', 'kuota', 'mahal', 'mahal', 'kuota', 'utama', 'gb', 'gb', 'kuota', 'lokal', 'pakai', 'alias', 'sinyal', 'jelek', 'kuota', 'unlimited', 'syarat', 'kuota', 'habis', 'lokasi', 'aktifasi', 'kartu', 'tetep', 'jelek', 'sinyal', 'udah', 'kontak', 'ngobrol', 'bot', 'muter', 'penjelasan', 'membantu', 'udah', 'coba', 'saran', 'gada', 'berhasil', 'suruh', 'pindah', 'prioritas', 'jaringan', 'pindah', 'sim', 'sim', 'pindah', 'aktif', 'nonaktif', 'mode', 'pesawat', 'gada', 'ngaruh', 'kecewa']</t>
  </si>
  <si>
    <t>['ujan', 'ujan', 'tetep', 'lemot', 'paket', 'mahal', 'sesuai', 'internet', 'lambat', 'ngahuleung', 'alias', 'buffering', 'bayar', 'ratusan', 'ribu', 'payah', 'niat', 'benerin', '']</t>
  </si>
  <si>
    <t>['masuk', 'jaringan', 'telkomsel', 'taik', 'operator', 'jaringan', 'tercepat', 'indonesia', 'jaringan', 'full', 'buka', 'sttus', 'mutar', 'trus', 'ngegame', 'ngelag', 'tolonggggglh', 'perbaiki', 'jaringan', 'kuota', 'kuota', 'kuota', 'mahal', 'jaringan', 'kaya', 'taik', '']</t>
  </si>
  <si>
    <t>['aplikasi', 'error', 'login', 'tab', 'dialy', 'check', 'menghilang', 'mengulang', 'login', 'kesekian', 'kalinya', '']</t>
  </si>
  <si>
    <t>['jaringan', 'aplikasi', 'mytelkomsel', 'benerin', 'aplikasi', 'nyedot', 'kuota', 'banget', 'mbps', 'buka', 'aplikasi', 'mytelkomsel', 'merestrart', 'panas', 'buka', 'aplikasi', 'doang']</t>
  </si>
  <si>
    <t>['telkomsel', 'jelek', 'jaringannya', 'bayar', 'mahal', 'kualitas', 'pelayanan', 'penangannya', 'buka', 'susah', 'jaringannya', 'pekerja', 'coba', 'rekrut', 'pekerja', 'berkualitas', 'rekrut', 'pekerja', 'tutup', 'perusahaan', '']</t>
  </si>
  <si>
    <t>['asli', 'keliatan', 'bohongnya', 'beli', 'paket', 'paket', 'gb', 'tpi', 'paketnya', 'masuk', 'pulsa', 'sedot', 'pulsa', 'laporan', 'paket', 'masuk', 'pulsa', 'laporan', 'pulsa', 'mencukupi', 'membeli', 'paket', 'combo', 'gb', 'keliatan', 'bohongnya', '']</t>
  </si>
  <si>
    <t>['tolong', 'sinyalnya', 'diperbaiki', 'daerah', 'cikarang', 'selatan', 'bekasi', 'internetnya', 'lemot', 'bengeetttttt', 'bayar', 'mahal', 'lemot', '']</t>
  </si>
  <si>
    <t>['maksud', 'tujuan', 'membagi', 'kuota', 'lokal', 'kuota', 'internet', 'pekerjaan', 'kota', 'kuota', 'lokal', 'terpakai', 'tolonglah', 'pengguna', 'telkomsel', 'kuota', 'lokal', 'kuota', 'internet', 'kuota', 'lokal', 'tepakai', 'kecewa', 'parah', 'mengecewakan', 'auto', 'ganti', 'provider']</t>
  </si>
  <si>
    <t>['heran', 'aplikasi', 'masuk', 'login', 'udah', 'login', 'udah', 'loading', 'lelet', 'mahal', 'iya', 'jaringan', 'burik', 'telkomsel', 'telkomsel', '']</t>
  </si>
  <si>
    <t>['thnks', 'telkomsel', 'telkomsel', 'menyediakan', 'fitur', 'pinjaman', 'pulsa', 'bayar', 'kredivo', 'program', 'prioritas', 'customer', 'pengguna', 'setia', 'telkomsel', 'syarat', 'contoh', 'syarat', 'customer', 'setia', 'telkomsel', 'pakai', 'kartu', 'pengguna', 'durasi']</t>
  </si>
  <si>
    <t>['memprihatinkan', 'bund', 'telkomsel', 'beli', 'paket', 'nungguin', 'menit', 'saran', 'semoga', 'telkomsel', 'pilihan', 'terbaik', 'masyarakat', 'indonesia', 'love', 'you', 'but', 'hate', 'you', 'telkomsel']</t>
  </si>
  <si>
    <t>['eehh', 'niat', 'internet', 'mahal', 'beli', 'paket', 'sinyal', 'jelek', 'perbaiki', 'lahh', 'udah', 'belajar', 'online', 'sinyal', 'burik', 'arghhh', 'gausah', 'kartu', 'deh', 'sinyal', 'gini', 'meresahkan', 'warga', 'ganti', 'kartu', 'sumpah', 'miris', 'bat', 'belajar', 'kah', 'masuk']</t>
  </si>
  <si>
    <t>['udah', 'update', 'aplikasi', 'ngga', 'terbuka', 'knp', 'jdi', 'layar', 'putih', 'trs', 'abis', 'tolong', 'hrs', 'hapus', 'download', 'ulang', '']</t>
  </si>
  <si>
    <t>['soree', 'mimin', 'kwalitas', 'telkomsel', 'skrng', 'orng', 'telkomsel', 'harga', 'provider', 'kali', 'handphone', 'thn', 'kartu', 'telkomsel', 'skrng', 'ganti', 'ganti', 'nomer', 'telfkomsel', 'semangkin', 'semangkin', 'mahal', 'knpa', 'mahal', 'skrng', 'sesuai', 'kwalitas', 'jaringnya', 'terimakasih', 'semoga', 'saran', 'kritikan', 'kwalitas', 'kedepanya']</t>
  </si>
  <si>
    <t>['sinyal', 'jelek', 'susah', 'lemot', 'kecewa', 'bngt', 'kartu', 'sultan', 'kartu', 'bagus', 'gini', 'pas', 'jelek', 'pas', 'bagus']</t>
  </si>
  <si>
    <t>['promonya', 'beli', 'kadaluarsa', 'dibeli', 'sukanya', 'pembelian', 'proses', 'mulu', 'gimana', 'telkomsel', 'gini', 'gue', 'rugi', 'udah', 'top', 'pulsa', 'beli']</t>
  </si>
  <si>
    <t>['gimana', 'udh', 'beli', 'kuota', 'ketengan', 'tiktok', 'unlimited', 'data', 'trs', 'pas', 'liat', 'tiktok', 'pulsa', 'kesedot', 'mohon', 'bantuannya', 'terimakasih', '']</t>
  </si>
  <si>
    <t>['aplikasi', 'telkomsel', 'bagus', 'kecewa', 'telkomsel', 'kuota', 'internet', 'mahal', 'jaringan', 'internet', 'hancur', 'buka', 'internet', 'rumah', 'jaringan', 'diluar', 'rumah', 'hancurnya', 'rumah', 'semoga', 'pelanggan', 'telkomsel', 'hilang', 'beralih', 'kartu', '']</t>
  </si>
  <si>
    <t>['woe', 'telkomsel', 'coba', 'jaringan', 'koneksi', 'internet', 'stabilin', 'sinyal', 'bagus', 'stabil', 'parah', 'ampun', 'gara', 'gara', 'telkomsel', 'nilai', 'pelajaran', 'mines', 'diaanggap', 'meng', 'hadiri', 'pelajaran', 'daring', 'kayak', 'gini', 'anggab', 'bolos', 'sekolah', 'daring']</t>
  </si>
  <si>
    <t>['bagus', 'sinyal', 'promonya', 'beli', 'paket', 'promo', 'suka', 'terkendala', 'pembelian', 'proses', 'sms', 'konfirmasi', 'paket', 'cepet', 'sprti', '']</t>
  </si>
  <si>
    <t>['aplikasi', 'bagus', 'puas', 'pelayanan', 'terima', 'kasih', 'mytelkomsel', 'smoga', 'sukses', 'pelayanan', '']</t>
  </si>
  <si>
    <t>['', 'telkomsel', 'susah', 'buka', 'loadingnya', 'giliran', 'udah', 'bilangnya', 'aplikasih', 'merespon', 'perbaiki', 'sinyal', 'susah', 'banget', 'buka', 'aplikasinya', 'tolong', 'perbaiki', '']</t>
  </si>
  <si>
    <t>['telkomsel', 'sinyal', 'stabil', 'iklannya', 'asli', 'jelek', 'daerah', 'cikarang', 'maen', 'game', 'buka', 'app', 'telkomselnya', 'haris', 'minjem', 'wifi', 'caffe', 'udah', 'lag', 'kompensasi', 'cek', 'coba', 'daerah', 'cikarang', 'gimana', 'sinyalnya', 'thx']</t>
  </si>
  <si>
    <t>['', 'apk', 'lemot', 'isi', 'ulang', 'gangguan', 'bilangnya', 'gagal', 'coba', 'suruh', 'ulangi', 'transaksinya', 'pas', 'diulang', 'taunya', 'udh', 'transaksi', 'mohon', 'tingkatkan', 'kualitasnya', 'lemot', 'gangguan', '']</t>
  </si>
  <si>
    <t>['pakai', 'telkomsel', 'promo', 'promo', 'beritahukan', 'kuota', 'lokal', 'kartu', 'telkomsel', 'beli', 'pakai', 'beli', 'kuota', 'rumahh', 'pakai', 'pulsa', 'tolong', 'perbaiki']</t>
  </si>
  <si>
    <t>['aplikasi', 'jelek', 'promo', 'dikit', 'mahal', 'smua', 'tolong', 'ksih', 'promo', 'kasihan', 'orang', 'bawahan', 'pengen', 'beli', 'paket', 'belajar', 'keminkbud', 'mahal', 'mahal', 'bonus', 'unlimited', 'daerah', 'medan', 'pekanbaru', 'mohon', 'keringanan', 'warga', 'bawahan']</t>
  </si>
  <si>
    <t>['udah', 'kecewa', 'telkomsel', 'sampe', 'beli', 'provider', 'aktivasi', 'internet', 'dpt', 'promo', 'paket', 'ceria', 'seharga', 'isi', 'pulsa', 'aktivasi', 'paket', 'ceria', 'paket', 'unlimited', 'youtube', 'seharian', 'seharga', 'pulsa', 'msh', 'sisa', 'eeeh', 'dipake', 'buka', 'youtube', 'sebentar', 'dibuka', 'cek', 'sisa', 'pulsa', 'udah', 'raib', 'hilang', 'kemana', 'pdhl', 'hilang', 'donk', '']</t>
  </si>
  <si>
    <t>['kecewa', 'pelayananan', 'beli', 'vocer', 'redem', 'vocer', 'sistem', 'sibuk', 'upaya', 'lakukan', 'akses', 'media', 'telkom', 'ngrespon', 'bot', 'terlanjur', 'beli', 'vocer', 'kesekian', 'kali', 'kecewa', '']</t>
  </si>
  <si>
    <t>['telkomsel', 'terhormat', 'jaringan', 'rumah', 'jelek', 'jaringan', 'lancar', 'zoom', 'metting', 'connect', 'pembahasan', 'sekolah', 'tolong', 'jaringan', 'perbaiki', 'secepat']</t>
  </si>
  <si>
    <t>['kuota', 'gb', 'dipake', 'pulsa', 'tolonglah', 'bener', 'mending', 'indosat', 'jaringan', 'kualitas', 'menengah', 'nyedot', 'pulsa', 'orang', 'menit', 'isi', 'pulsa', 'udh', 'kesedot', 'bener', 'kaya', 'gini', 'makan', 'uang', '']</t>
  </si>
  <si>
    <t>['laporan', 'udeh', 'peningkatan', 'nye', 'kgk', 'sinyal', 'tenggelem', 'paket', 'doang', 'dimahalin', 'terkait', 'kerjaan', 'nye', 'sanggup', 'mending', 'tutup', '']</t>
  </si>
  <si>
    <t>['tolong', 'mengaktifkan', 'voucher', 'berhari', 'ngga', 'perbaiki', 'napalah', 'udah', 'paketnya', 'harga', 'dewa', 'mending', 'kayak', 'lancar', 'enak', 'kadang', 'awak', 'main', 'game', 'hilang', 'perbaiki']</t>
  </si>
  <si>
    <t>['telkomsel', 'aneh', 'jaringan', 'lumayan', 'kadang', 'hilang', 'kali', 'anehnya', 'beli', 'paketan', 'aplikasinya', 'codenya', 'udh', 'coba', 'berhasil', 'tulisanya', 'proses', 'beli', 'kuota', 'telkomsel', 'tulisanya', 'proses', 'masuk', 'kuotanya', 'pulsanya', 'ngur', 'ang', 'aneh', 'tolonglah', 'perbaiki', 'udh', 'puluh', 'ribu', 'uang', 'hilang', '']</t>
  </si>
  <si>
    <t>['jaringan', 'kota', 'utuh', 'gb', 'yaa', 'buka', 'susah', 'ram', 'suka', 'engga', 'sinyal', 'perbaikilah', 'kendalanya', 'tolong', 'ganti', 'sayang', 'gajelas', 'emng', 'sinyal', 'tsel', '']</t>
  </si>
  <si>
    <t>['mengalami', 'kendala', 'login', 'aplikasi', 'tolong', 'perbaiki', 'aplikasinya', 'login', 'dipersulit', 'gini', 'gimana', 'maju', '']</t>
  </si>
  <si>
    <t>['tolong', 'telkomsel', 'perbaiki', 'jaringannya', 'diluar', 'kota', 'jaringan', 'indonesia', 'buktinya', 'mao', 'ditinggalkan', 'costumer', 'jaringannya', 'snagat', 'jelek', 'perhatikan', '']</t>
  </si>
  <si>
    <t>['mohon', 'maaf', 'kasih', 'bintang', 'beli', 'paket', 'gb', 'belinya', 'jam', 'malam', 'pas', 'pagi', 'paketnya', 'habis', 'jam', 'malam', 'matikan', 'datanya', 'habis', 'paketnya', 'malam', 'pagi', 'paket', 'mahal', 'telkomsel', 'lemot', 'mohon', 'maaf', 'terima', 'kasih', '']</t>
  </si>
  <si>
    <t>['hilang', 'giga', 'gara', 'jarang', 'kepake', 'saran', 'dipertimbangkan', 'akumulasi', 'aktif', 'paket', 'data', 'mengambil', 'paket', 'rugi', 'sbagai', 'pengguna', 'kuota', 'mahal', 'dikasih', 'aktif', '']</t>
  </si>
  <si>
    <t>['paketan', 'habis', 'pulsa', 'habis', 'ribu', 'mohon', 'paket', 'habis', 'sedot', 'pulsa', 'males', 'mending', 'cari', 'kartu', 'terlambat', 'buang', 'ngak', 'langganan', 'udah', 'sebel', 'sebel', 'sebel']</t>
  </si>
  <si>
    <t>['gimana', 'paketin', 'dimy', 'telkomselnya', 'berasil', 'sms', 'bukti', 'berasilnya', 'pulsa', 'blm', 'ketarik', 'paketin', 'kouta', 'langsung', 'suda', 'update', 'aplikasinya', 'gimana', '']</t>
  </si>
  <si>
    <t>['pembodohan', 'berpedoman', 'keperluan', 'masyarakat', 'paket', 'internet', 'habis', 'terlambat', 'sms', 'dikenakan', 'biaya', 'non', 'paket', 'kau', 'pulsa', 'membuka', 'aplikasi', 'menit', 'habis', '']</t>
  </si>
  <si>
    <t>['telkomsel', 'gangguan', 'kecewa', 'kuota', 'mahal', 'skrang', 'gangguan', 'dlu', 'lancar', 'skrang', 'leletnya', 'ampun', 'pakai', 'telkomsel', 'separah', 'skrang', 'jaringannya', 'jngan', 'salahkan', 'pelanggan', 'klu', 'pindah', 'jaringan', 'selesai']</t>
  </si>
  <si>
    <t>['lemot', 'buka', 'aplikasinya', 'banget', 'kecewa', 'pakai', 'aplikasi', 'aplikasi', 'tolong', 'diperbaharui', 'buka', 'aplikasinya', 'cepat', 'telkomael', 'bagus', 'kenyataannya', 'lambat', 'selali']</t>
  </si>
  <si>
    <t>['jaringan', 'kemana', 'min', 'gada', 'jaringan', 'liat', 'story', 'whatsapp', 'buffering', 'mulu', 'parah', 'banget', 'mati', 'lampu', 'jaringan', 'tetep', 'kenceng', 'mati', 'lampu', 'jaringan', 'lambat', 'pas', 'mati', 'lampu', 'gada', 'jaringan', 'mahal', 'paket', 'payah']</t>
  </si>
  <si>
    <t>['gua', 'kasih', 'bintang', 'karna', 'gua', 'dpt', 'pembelian', 'paket', 'telkomsel', 'paketnya', 'kadang', 'hilang', 'tanggal', 'customer', 'servicenya', 'suruh', 'nunggu', 'jam', 'nunggu', 'jam', 'keburu', 'promo', 'habis', 'sorry', 'kasih', 'bintang', 'karna', 'kecewa', 'layanan', 'telkomsel']</t>
  </si>
  <si>
    <t>['mati', 'lampu', 'hujan', 'jam', 'malam', 'koneksi', 'iternet', 'lemot', 'beli', 'paket', 'mahal', 'ngegame', 'rugi', 'emosi', 'sakit', 'hati', 'telkomsel', 'bertahun', '']</t>
  </si>
  <si>
    <t>['pas', 'liat', 'tik', 'tok', 'sinyalnya', 'bagus', 'bagus', 'tpi', 'pas', 'maen', 'game', 'online', 'sinyalnya', 'stabil', 'hilang', 'bener', 'bener', 'aneh', 'tolong', 'developer', 'diperbaiki', '']</t>
  </si>
  <si>
    <t>['benerin', 'jaringannya', 'mahalnya', 'doang', 'miris', 'telkomsel', 'aneh', 'sinyal', 'penuh', 'jaringan', 'lemot', 'ngga', 'stabil', '']</t>
  </si>
  <si>
    <t>['halo', 'telkomsel', 'ngga', 'telkomselnya', 'menyelesaikan', 'perihal', 'nomor', 'mudah', 'dibajak', 'dilacak', 'gitu', 'ngga', 'masuk', 'pesan', 'spam', 'nomer', 'dipakai', 'penipuan', 'kartu', 'mohon', 'tugas', 'telkomsel', 'nomor', 'spam', 'gini', 'tolong', 'pisan', 'ditindak', 'lanjuti', '']</t>
  </si>
  <si>
    <t>['telkomsel', 'koneksi', 'internet', 'payah', 'bangettt', 'kalah', 'sma', 'kartu', 'cepet', 'internet', 'telkomsel', 'lemot', 'bngett', 'susah', 'kya', 'gitu', 'udah', 'mah', 'paket', 'kuota', 'mahal', 'setia', 'bget', 'kartu', '']</t>
  </si>
  <si>
    <t>['telkomsel', 'taik', 'jaringan', 'kayak', 'berak', 'kali', 'jaringan', 'tutup', 'uda', 'perusahaan', 'telkonsel', 'kecewa', 'kali', 'awak', 'jaringan', 'tolong', 'bagusin', 'sanggup', 'tutup', 'ajh', '']</t>
  </si>
  <si>
    <t>['jaringan', 'telkomsel', 'jlek', 'banget', 'beli', 'paket', 'sinyal', 'jlek', 'banget', 'paket', 'gitu', 'mending', 'beli', 'paket', 'indosat', '']</t>
  </si>
  <si>
    <t>['bintang', 'satupun', 'cocok', 'telkomsel', 'allah', 'sinyalnya', 'lelet', 'siput', 'emosi', 'quota', 'belik', 'mahal', 'mahap', 'ujung', 'kebuang', 'krna', 'sinyal', 'lelet', 'udah', 'hubungi', 'email', 'jugak', 'ngaruh', 'woyyy', 'nyesel', 'beli', 'quota', 'mahal', 'lahh', 'beli', 'ampun', 'rugi']</t>
  </si>
  <si>
    <t>['masuk', 'aplikasinya', 'koneksi', 'lemot', 'masuk', 'daftar', 'paket', 'blm', 'daftar', 'pulsa', 'udh', 'kesedot', 'ribu', 'menit', 'gilaaa']</t>
  </si>
  <si>
    <t>['ampas', 'banget', 'telkomsel', 'menang', 'mahal', 'doang', 'sinyal', 'susah', 'banget', 'kasih', 'gerimis', 'dikit', 'langsung', 'susah', 'banget', 'sinyalnya', 'tolong', 'perbaiki']</t>
  </si>
  <si>
    <t>['ilang', 'trus', 'pulsa', 'dipake', 'biasaan', 'telkomsel', 'sengaja', 'gue', 'aktifin', 'kuota', 'ilang', 'kuota', 'ilang', 'danger', 'dipake', 'ilang', 'langganan', 'apapun', '']</t>
  </si>
  <si>
    <t>['aplikasi', 'mytelkomsel', 'cacat', 'lemot', 'haduh', 'beneran', 'developernya', 'telkomsel', 'konsumen', 'mengecewakan', '']</t>
  </si>
  <si>
    <t>['jaringan', 'internetnya', 'lambat', 'nelpon', 'coba', 'internet', 'jelek', 'jaringannya', 'nelpon', 'jaringannya', 'hilang']</t>
  </si>
  <si>
    <t>['sinyal', 'suka', 'jelek', 'menurutku', 'ngga', 'cuman', 'iyanya', 'mati', 'lampu', 'suka', 'kosong', 'gitu', 'gada', 'satupun', 'jaringan', 'trus', 'beli', 'paket', 'unlimited', 'maen', 'game', 'kemaren', 'mohon', 'perbaiki', 'min', 'mff', 'kantong', 'pelajar', 'skarang', 'keuangan', 'kritis', 'tolong', 'main', 'game', 'lumayan', 'kuota', 'abis', 'main', 'game', 'thx', 'smoga', 'mimin', 'baca', '']</t>
  </si>
  <si>
    <t>['telkomsel', 'konsisten', 'aktivkan', 'paket', 'unlimited', 'pke', 'sebulan', 'trus', 'masak', 'aktiv', 'udah', 'bende', 'pas', 'cek', 'tanggal', 'berubah', 'gmna', 'kelanjutannya', 'cma', 'harga', 'dimahalin', '']</t>
  </si>
  <si>
    <t>['operator', 'telkomsel', 'worth', 'plus', 'minusnya', 'dipuncak', 'telkomsel', 'sinyalnya', 'bar', 'its', 'karna', 'sinyal', 'temen', 'temen', 'make', 'operator', 'hilang', 'dikota', 'bagus', 'besmen', 'skali', 'make', 'telkomsel', 'bingung', 'banget', 'telkomsel', 'jelek', '']</t>
  </si>
  <si>
    <t>['udah', 'isi', 'pulsa', 'pas', 'cek', 'beli', 'paket', 'kuota', 'pulsa', 'mencukupi', 'cek', 'pulsanya', 'beli', 'paket', 'pulsa', 'mencukupi', 'cek', 'pulsa', 'gimana', 'tolong', 'perbaiki', '']</t>
  </si>
  <si>
    <t>['knp', 'jaringan', 'internet', 'tembagapura', 'jelek', 'lambat', 'kadang', 'pending', 'mohon', 'perbaiki', 'dmn', 'tembagapura', 'suruh', 'email', 'kesitu', 'mimin', 'intinya', 'jaringan', 'internet', 'tembagapura', 'perbaiki', '']</t>
  </si>
  <si>
    <t>['', 'daerah', 'kampung', 'banget', 'kab', 'bojoneegoro', 'jatim', 'signal', 'telkomsel', 'bnget', 'ilang', 'aplg', 'you', 'tube', 'adah', 'parah', 'bnget', 'muter', 'video', 'apalgi', 'palibg', 'jengkel', 'pokok', 'tolong', 'perkuat', 'jaringannya', 'daerah', 'mksih']</t>
  </si>
  <si>
    <t>['hallo', 'poin', 'hilang', 'poin', 'poin', 'lihat', 'besok', 'tolong', 'tanggung', 'laris', 'dipakai', 'terimah', 'kasih']</t>
  </si>
  <si>
    <t>['gimana', 'bela', 'belain', 'hapus', 'tiktok', 'instagram', 'download', 'apk', 'telkomsel', 'login', 'email', 'ngga', 'dipake', 'udah', 'ngulang', 'berkali', 'kali', 'sampe', 'dihubungkan', 'tetep', 'login', 'niat', 'apk', '']</t>
  </si>
  <si>
    <t>['parah', 'sumpah', 'telkomsel', 'jaman', 'now', 'support', 'jaringan', 'perioritaskan', 'lte', 'bermasalah', 'coba', 'simcard', 'emang', 'jaringan', 'th', 'pakai', 'telkomsel', 'serasa', 'kecewa', 'banget', 'sumpah', 'paket', 'data', 'mahal', 'beli', 'mahal', 'mahal', 'jaringan', '']</t>
  </si>
  <si>
    <t>['sinyal', 'buruk', 'telkomsel', 'udah', 'gua', 'anggep', 'pacar', 'rumah', 'gua', 'sinyal', 'sinyal', 'telkomsel', 'kalah', 'temen', 'smatpren', 'tolong', 'perbaiki', 'sinyalmu']</t>
  </si>
  <si>
    <t>['udah', 'beli', 'paket', 'internet', 'mahal', 'koneksi', 'internet', 'buruk', 'ping', 'sinyalnya', 'tolong', 'perbaiki', 'telekomsel', '']</t>
  </si>
  <si>
    <t>['jaringannya', 'buruk', 'bar', 'sinyal', 'penuh', 'bermain', 'game', 'online', 'ping', 'diatas', 'kecepatan', 'download', 'kb', 'sinyal', 'penuh', 'memalukan']</t>
  </si>
  <si>
    <t>['buruk', 'dipakai', 'lumayan', 'jelek', 'sinyalnya', 'merugikan', 'kaya', 'paketnya', 'hubungi', 'customer', 'servis', 'tindakan', 'mohon', 'diperbaiki', 'daerah', 'sinyal', 'telkom', 'berfungsi', '']</t>
  </si>
  <si>
    <t>['komplain', 'sinyal', 'aplikasi', 'hubungan', 'sinyal', 'review', 'performa', 'aplikasinya', 'btw', 'aplikasinya', 'memudahkan', '']</t>
  </si>
  <si>
    <t>['udah', 'apk', 'telkomsel', 'bener', 'dibuka', 'dibuka', 'android', 'apapun', 'barusan', 'hapus', 'aplikasinya', 'udh', 'nunggu', 'gabisa', 'dibuka', '']</t>
  </si>
  <si>
    <t>['udah', 'sinyalnya', 'telkomsel', 'lemot', 'banget', 'daerah', 'cengkareng', 'jakarta', 'barat', 'sumpah', 'lemot', 'banget', 'mohon', 'telkomsel', 'diperbaiki', 'sayang', 'ganti', 'kartu', 'udh', 'pakai', 'telkomsel']</t>
  </si>
  <si>
    <t>['jelek', 'jaringan', 'internet', 'telkomsel', 'mahal', 'doang', 'kualitas', 'nggak', 'nyesel', 'bertahan', 'telkomsel', 'jaringan', 'bertahan', 'telkomsel', 'kirain', 'perubahan', 'ganti', 'nomor', 'telkomsel', 'keluarga', '']</t>
  </si>
  <si>
    <t>['update', 'buka', 'aplikasi', 'telkomsel', 'handphone', 'lansung', 'heng', 'aplikasi', 'telkomsel', 'dibuka', 'tolong', 'perbaiki', '']</t>
  </si>
  <si>
    <t>['kirain', 'cuman', 'gua', 'jaringannya', 'lemot', 'pengguna', 'telkomsel', 'mengalami', 'nasib', 'tolong', 'telkomsel', 'kualitas', 'jaringannya', 'perbaiki', 'klau', 'gua', 'beralih', 'lainn', '']</t>
  </si>
  <si>
    <t>['kecewa', 'telkomsel', 'telkomsel', 'jaringannya', 'stabil', 'kadang', 'bagus', 'kebanyakan', 'jeleknya', 'kerja', 'pindah', 'kota', 'tetep', 'jaringannya', 'memakluminya', 'karna', 'pikir', 'minggu', 'udah', 'berbulan', 'mohon', 'maaf', 'cari', 'opsi', 'kartu', 'perdana', 'bagus', '']</t>
  </si>
  <si>
    <t>['kartu', 'berubah', 'kartu', 'halo', 'harga', 'paketnya', 'mahal', 'yaa', 'udah', 'beli', 'paket', 'kombo', 'sakti', 'unlimited', 'kmren', 'pas', 'ditelpon', 'info', 'pelanggan', 'pindah', 'kartu', 'halo', 'harga', 'paket', 'pembelian', 'paket', 'gini', 'mahal', 'beli', 'paket', 'combo', 'mending', 'gausah', 'beralih', 'karu', 'simpati', 'kartu', 'halo', '']</t>
  </si>
  <si>
    <t>['telkomsel', 'udah', 'kaya', 'kenceng', 'lemot', 'ampun', 'jaringan', 'sinyal', 'lemot', 'ampun', 'maen', 'game', 'instagram', 'youtube', 'sosmed', 'ngeleg', 'jalan', 'mending', 'pindah', 'kartu', 'sesuai', 'harga', 'jaringan', 'bangus', 'telkomsel', 'udah', 'mahal', 'lemot', 'gua', 'pengen', 'kaya', 'zaman', 'telkomsel', '']</t>
  </si>
  <si>
    <t>['enak', 'sinyal', 'bagus', 'internetan', 'cepat', 'down', 'ngumpulin', 'tugas', 'kuliah', 'telat', 'gara', 'internet', 'lemot', 'zoom', 'jaringannya', 'hilang', 'tolong', 'diperbaiki', 'kenyamanan', 'pengguna']</t>
  </si>
  <si>
    <t>['maaf', 'paket', 'murah', 'banget', 'ceria', 'gb', 'gb', 'all', 'net', 'gb', 'min', 'hr', 'rb', 'aktifkan', 'paketnya', 'balas', 'beli', 'sms', 'klik', 'tsel', 'hotoffer', 'minggu', 'berlangganan']</t>
  </si>
  <si>
    <t>['maaf', 'berpindah', 'axis', 'karna', 'stabil', 'jaringan', 'internet', 'khusus', 'bitung', 'sulut', 'jelek', 'dlm', 'ruangan', 'jaringan', 'jdi', 'pdhal', 'brpikir', 'nmr', 'pakai', 'tua', 'tpi', 'karna', 'internet', 'bobrok', 'maaf', 'pindah', '']</t>
  </si>
  <si>
    <t>['telkomsel', 'buruk', 'koneksi', 'main', 'game', 'lag', 'ping', 'game', 'parah', 'beda', 'tetep', 'kencang', 'skrg', 'lag', 'game', 'mainkan', 'kecewa', '']</t>
  </si>
  <si>
    <t>['telkomsel', 'udah', 'lemah', 'pandemi', 'gini', 'telkomsel', 'memikir', 'pelanggan', 'kecewa', 'lemot', 'kecepat', 'internet', 'stable', '']</t>
  </si>
  <si>
    <t>['mahal', 'dapet', 'promo', 'cuman', 'pas', 'kemaren', 'undian', 'dapet', 'kuponnya', 'lumayan', 'tetep', 'dapet', 'parah', 'paket', 'mahal', '']</t>
  </si>
  <si>
    <t>['paketan', 'mahal', 'coba', 'kasih', 'pilihan', 'harga', 'paket', 'kek', 'sesuai', 'isi', 'dompet', 'rakyat', 'beli', 'paket', 'mahal', '']</t>
  </si>
  <si>
    <t>['sya', 'dlu', 'beli', 'pulsa', 'kartu', 'telkomsel', 'blm', 'kirimin', 'sya', 'beli', 'blm', 'ngrimin', 'mohon', 'balikin', 'duit', 'dlu', 'sya', 'kasih', 'bintang', 'dlu', '']</t>
  </si>
  <si>
    <t>['log', 'out', 'login', 'terusan', 'apk', 'login', 'kedepannya', 'log']</t>
  </si>
  <si>
    <t>['kecewa', 'telkomsel', 'paket', 'internet', 'max', 'beli', 'maap', 'lokasi', 'cocok', '']</t>
  </si>
  <si>
    <t>['aneh', 'banget', 'beli', 'paket', 'youtube', 'knp', 'paket', 'beli', 'dtg', 'sms', 'ktnya', 'pakai', 'internet', 'non', 'paket', 'pulsaku', 'kesedot', 'gimn', 'beli', 'paket', 'gimn']</t>
  </si>
  <si>
    <t>['lelet', 'telkomsel', 'biaya', 'mahal', 'jaringan', 'lelet', 'setabik', 'lancar', 'pakai', 'jaringan', 'smartfren', 'lelet', 'lelet', 'telkomsel', 'mohon', 'biaya', 'bebankan', 'pelanggan', 'sesuaikan', 'turunkan', 'mahal', 'kota', 'lelet', 'maaf', 'turunkan', 'bintang', '']</t>
  </si>
  <si>
    <t>['mengecewakan', 'pakai', 'telkomsel', 'udah', 'sinyal', 'error', 'trus', 'tutt', 'tutt', 'trus', 'paketan', 'melambung', 'ggi', 'harganya', 'tolong', 'mind', 'benahi', 'jatinganya', 'benahi', 'harga', 'paketanya', 'duank', '']</t>
  </si>
  <si>
    <t>['registrasi', 'susahin', 'sampe', 'berkali', 'kali', 'kali', 'nyoba', 'registrasi', 'maaf', 'permintaan', 'proses', 'mohon', 'coba', 'berkala', 'udah', 'coba', 'berkala', 'jawabannya', 'hadeh', 'males', 'beli', 'provider', '']</t>
  </si>
  <si>
    <t>['alhamdulillah', 'bagus', 'jaga', 'sinyal', 'provider', 'stabil', 'permasalahan', 'belah', 'sinyalnya', 'bagus', 'kuat', 'ngangkat', 'sinyal', 'tolong', 'diperbaiki', '']</t>
  </si>
  <si>
    <t>['', 'telkomsel', 'tahunnya', 'buruk', 'kecewa', 'provider', 'telkomsel', 'mahalnya', 'paket', 'internet', 'sebanding', 'kualitas', '']</t>
  </si>
  <si>
    <t>['mengecewakan', 'mengalami', 'drop', 'kuota', 'data', 'paket', 'internet', 'hilang', 'notifikasi', 'apapun', 'sms', 'aplikasi', 'mytelkomsel', 'coba', 'menghubungi', 'customer', 'service', 'perbaikan', 'kuota', 'hilang']</t>
  </si>
  <si>
    <t>['telkomsel', 'mengecewakan', 'sinyal', 'lemot', 'udah', 'beli', 'paket', 'data', 'mahal', 'lemot', 'damn', 'paket', 'data', 'kuota', 'ektra', 'unlimited', 'telkomsel', 'liat', 'noh', 'operator', 'kasih', 'promo', 'udh', 'murah', 'paket', 'datanya', 'kayak', 'gini', 'mending', 'berpaling', 'operator', 'bnyak', 'murah', 'jaringan', 'bagus', 'udah', 'yook', 'berjamaah', 'ganti', 'provider', 'telkomsel', 'menang', 'mahal', 'doang']</t>
  </si>
  <si>
    <t>['beli', 'paket', 'internet', 'jam', 'keterangan', 'proses', 'telp', 'call', 'center', 'kena', 'biaya', 'call', 'center', 'kena', 'biaya', 'pelayanan', 'buruk', '']</t>
  </si>
  <si>
    <t>['kecewa', 'telkomsel', 'masak', 'beli', 'pulsa', 'outlet', 'terdekat', 'beli', 'paket', 'data', 'telkomsel', 'pulsa', 'tersedot', 'hotspot', 'masuk', 'aplikasi', 'telkomsel', 'pulsa', 'tersedot', 'kecewa', 'kecewa']</t>
  </si>
  <si>
    <t>['', 'kasih', 'bintang', 'kecewa', 'ketipu', 'aplikasi', 'beli', 'kuota', 'deskripsinya', 'gb', 'unlimited', 'multimedia', 'udah', 'gitu', 'harganya', 'mahal', 'pas', 'dipake', 'facebook', 'youtube', 'tetep', 'bae', 'kuota', 'utama', 'kesedot', 'unlimited', '']</t>
  </si>
  <si>
    <t>['tolong', 'telkomsel', 'knp', 'pas', 'beli', 'kouta', 'ketengan', 'youtube', 'trus', 'pas', 'buka', 'youtube', 'menit', 'gitu', 'notifikasi', 'pulsa', 'habis', 'pulsa', 'sisa', 'lucu', 'tolong', 'diperbaiki', 'udah', 'kali', '']</t>
  </si>
  <si>
    <t>['telkomsel', 'provider', 'kualitas', 'jaringan', 'terburuk', 'indonesia', 'kayak', 'indonesia', 'maju', 'produk', 'kualitas', 'buruk', 'bagus']</t>
  </si>
  <si>
    <t>['menu', 'aplikasi', 'jaringan', 'jelek', 'diganti', 'kadang', 'lemot', 'penawaran', 'migrasi', 'hallo', 'ktnya', 'dpt', 'prioritas', 'jaringan', 'lbh', 'bagus', 'perubahan', 'kecepatan', 'sinyal', 'internet', 'daerah', 'ngeluh', '']</t>
  </si>
  <si>
    <t>['kecewa', 'liat', 'aplikasi', 'udah', 'login', 'login', 'login', 'aplikasi', 'rusak', 'uninstall', 'taik']</t>
  </si>
  <si>
    <t>['telkomsel', 'bercanda', 'udah', 'beli', 'kuota', 'unlimited', 'leletnya', 'ampun', 'masak', 'kartu', 'sebelah', 'lancar', 'mahal', 'milih', 'simpati', 'karna', 'sinyalnya', 'mumpuni', 'down', 'provider']</t>
  </si>
  <si>
    <t>['layanan', 'bagus', 'jaringan', 'problem', 'nyaman', 'terima', 'kasih', 'theam', '']</t>
  </si>
  <si>
    <t>['yaa', 'kak', 'kartu', 'susah', 'paketkan', 'pas', 'tekan', 'tulisannya', 'terimakasih', 'permintaan', 'proses', 'yaaa', 'isi', 'pulsa']</t>
  </si>
  <si>
    <t>['tolong', 'jaringan', 'perbaiki', 'bandung', 'majalaya', 'jaringan', 'kacow', 'maen', 'games', 'online', 'jaringan', 'jelek', 'trus', 'bayak', 'kehilangan', 'koin', 'tolong', 'perbaiki', 'solusi', 'gati', 'kartu', 'kalow', 'jaringan', 'kangini', 'trs', 'tolong', 'perbaiki']</t>
  </si>
  <si>
    <t>['kartu', 'paket', 'unlimited', 'udah', 'pakai', 'kartu', 'mendapatkannya', 'kebijakan', 'telkomsel', 'kecewa', 'kali', '']</t>
  </si>
  <si>
    <t>['apk', 'jelek', 'beneran', 'hayu']</t>
  </si>
  <si>
    <t>['tolong', 'min', 'udah', 'frustasi', 'ngerjain', 'tugas', 'ngulang', 'berkali', 'kali', 'cuman', 'krna', 'jaringan', 'lemot', 'jaeingan', 'jlk', 'turun', 'website', 'memuat', 'ulang', 'mengisi', 'tugas', 'berkali', 'kali', 'rolong', 'min', 'tingkatkan', 'tugas']</t>
  </si>
  <si>
    <t>['coba', 'quota', 'promo', 'unlimited', 'youtube', 'kenyataaan', 'pas', 'buka', 'youtube', 'teryata', 'quota', 'habis', 'terpakai', 'unlimited', 'youtube', 'pakai', 'sedot', 'pulsa', 'simpati', 'udah', 'mahal', 'service', 'mahal', 'dukung', 'pelayanan', 'terbaik', 'makasi']</t>
  </si>
  <si>
    <t>['migrasi', 'halo', 'sangaaaattt', 'super', 'kecewa', 'migrasi', 'tergiur', 'akses', 'disney', 'plis', 'hotstar', 'unlimited', 'kuota', 'utama', 'habis', 'bohong', 'kuota', 'utama', 'habis', 'kecepatan', 'internet', 'suport', 'disney', 'hotstar', 'udah', 'sabar', 'nunggu', 'loading', 'sampe', 'jam', 'sedetik', 'film', 'berjalan', 'apalah', 'mencoba', 'ikhlas', 'udah', 'prabayar', '']</t>
  </si>
  <si>
    <t>['tolonglah', 'registrasi', 'kartu', 'permudah', 'registrasi', 'kartu', 'teregistrasi', 'web', 'khusus', 'registrasi', 'unregistrasi', 'grapari', 'jaraknya', 'ribet', 'registrasi', 'via', 'online', 'scan', 'ktp', 'data', 'disalahgunakan', 'orang', '']</t>
  </si>
  <si>
    <t>['ampas', 'banget', 'sinyal', 'kouta', 'kecepatan', 'jaringan', 'download', 'cuman', 'mb', 'upload', 'cuman', 'kb', 'udah', 'ganti', 'apn', 'apn', 'bawaan', 'stuck', 'update', 'apk', 'cuman', 'stuck', 'gede', 'kecepatan', 'kb', 'daerah', 'jabar', 'sukabumi']</t>
  </si>
  <si>
    <t>['termudah', 'dam', 'tercepat', 'restart', 'makasih', 'harga', 'miring', 'combo', 'gila', 'udah', 'umur', 'telkomsel', '']</t>
  </si>
  <si>
    <t>['tolong', 'telkomsel', 'kecewa', 'beli', 'paket', 'mahal', 'jaringan', 'mendukung', 'tolong', 'perbaiki', 'jaringan', 'sinyal', 'maaf', 'ngasih', 'bintang', 'parah', 'penguna', 'telkomsel', 'nyaman', 'kecewa', '']</t>
  </si>
  <si>
    <t>['urus', 'jaringan', 'jual', 'murah', 'paketnya', 'udah', 'mahal', 'lemotnya', 'ampun', 'harga', 'sesuai', 'kualitas', 'parah', '']</t>
  </si>
  <si>
    <t>['udah', 'perebuhannya', 'promosi', 'jaringan', 'lemot', 'keluhan', 'pelanggan', 'respon', 'buka', 'aplikasi', 'yng', 'bagus', 'ngapain', 'bertahan']</t>
  </si>
  <si>
    <t>['kuota', 'internet', 'promo', 'harganya', 'rp', 'gb', 'rp', 'gb', 'rp', 'gb', 'kena', 'kuota', 'internet', 'hilangkan', 'tolong', 'usahakan', 'kuota', 'internet', 'karna', 'pas', 'orang', 'orang', 'penghasilan', 'beli', 'kuota', 'internet', 'karna', 'kuota', 'internet', 'harganya', 'beli', 'maklum', 'pekerja', '']</t>
  </si>
  <si>
    <t>['rusak', 'jaringannya', 'dikasih', 'ulasan', 'bilangnya', 'suruh', 'hubungi', 'admin', 'udah', 'dikirim', 'email', 'nggak', 'respon', 'gimana', 'beli', 'paket', 'gb', 'jaringan', 'kaya', 'gini', 'kirain', 'cuka', 'ngalamin', 'kecewa']</t>
  </si>
  <si>
    <t>['tolong', 'tolong', 'cok', 'cok', 'kembalikan', 'poin', 'gue', 'udah', 'lbih', 'gue', 'kumpulin', 'kemana', 'min', 'gue', 'masi', 'inget', 'bet', 'gue', 'blom', 'nukarin', 'poin', 'tpi', 'mlah', 'ilang', 'anjay', 'taun', 'gue', 'ngumpulin', 'cok', 'cok', '']</t>
  </si>
  <si>
    <t>['harga', 'paket', 'mahal', 'lag', 'main', 'game', 'online', 'infinix', 'note', 'lag', 'sore', 'tolong', 'diperbaiki', 'tower', 'desa', 'karang', 'dapo', 'kabupaten', 'lawang', 'provinsi', 'sumatera', 'selatan', '']</t>
  </si>
  <si>
    <t>['susah', 'buka', 'aplikasinya', 'kaya', 'banget', 'kaya', 'buka', 'langsung', 'muncul', 'lemot', 'banget', 'kadang', 'error', 'tolong', 'benerin', 'aplikasi', 'kebanyakan', 'promosi', 'mata', 'duitan', 'doang', 'mahal', 'mahal', 'busuk', 'aplikasi']</t>
  </si>
  <si>
    <t>['sedot', 'pulsa', 'gua', 'udh', 'gua', 'beli', 'paket', 'unlimited', 'youtube', 'nyedot', 'pulsa', 'pdhl', 'gua', 'scrolling', 'doank', 'nyedotnya', 'rp', 'refresh', 'konsisten', 'ditawar', '']</t>
  </si>
  <si>
    <t>['kecewa', 'telkomsel', 'jam', 'pagi', 'jam', 'pagi', 'sinyal', 'hilang', 'hilang', 'tolong', 'diperbaiki', 'sinyalnya', 'dikampung', 'jaringan', 'hilang', 'hilangan', 'harga', 'kaouta', 'tolong', 'diturunin', 'beli', 'mahal', 'mahal', 'jaringannya', 'jelek', '']</t>
  </si>
  <si>
    <t>['benci', 'telkomsel', 'uda', 'beli', 'kartu', 'sakti', 'unlimited', 'setelh', 'uda', 'beli', 'uda', 'nggak', 'unlimited', 'telkomsel', 'ngak', 'nyaman', 'penggunanya', 'perbaiki', '']</t>
  </si>
  <si>
    <t>['daily', 'check', 'tipu', 'men', 'iya', 'kali', 'kumpulkan', 'stamp', 'kali', 'check', 'alasan', 'eror', 'telkomsel', 'ngibul', 'top', '']</t>
  </si>
  <si>
    <t>['telkomsel', 'mengecewakan', 'paket', 'internet', 'hangus', 'beli', 'kepaket', 'hangus', 'hangus', 'telkomsel', 'kesini', 'gabagus', 'pelayanannya', 'beda', 'jaringan', 'jelek', 'tolong', 'diperhatikan', 'penguna', 'telkomsel', 'lari', 'produk', 'lainya', 'kalah', 'saing', '']</t>
  </si>
  <si>
    <t>['kecewa', 'layanan', 'telkomsel', 'kali', 'mengalami', 'kendala', 'pengaduan', 'keluhan', 'via', 'email', 'hasil', 'semoga', 'seprofesional', 'hidayah', '']</t>
  </si>
  <si>
    <t>['beli', 'voucher', 'telkomsel', 'gb', 'gb', 'internet', 'omg', 'gb', 'nggak', 'dipake', 'omg', 'internet', 'udah', 'abis', 'tinggal', 'lokalnya', 'gb', 'nggak', 'google', 'main', 'game', 'dll', '']</t>
  </si>
  <si>
    <t>['min', 'beli', 'kuota', 'ceria', 'udah', 'pas', 'beli', 'gagal', 'promonya', 'pulsa', 'mohon', 'dibenerin', 'keburu', 'promonya', 'hilang']</t>
  </si>
  <si>
    <t>['perubahan', 'kecepatan', 'internet', 'provider', 'telkomsel', 'download', 'app', 'lemot', 'ampun', 'mengecewakan', 'telkomsel', 'bangga', 'banggakan', 'paket', 'mahal', 'jaringan', 'lemot', 'solusi', 'banggakan', 'provider', 'terbesar', 'indonesia', 'tolong', 'kepuasan', 'pelanggan', 'bayar', 'mahal', 'paket', 'pemakaian', 'maksimal', 'karna', 'lemot', '']</t>
  </si>
  <si>
    <t>['kecewa', 'telkomsel', 'daerah', 'provinsi', 'sulawesi', 'utara', 'kabupaten', 'minut', 'jaringan', 'internet', 'lambat', 'aktifitas', 'sehari', 'terganggu', 'mengunakan', 'internet', 'telkomsel', 'kerja', 'krim', 'file', 'download', 'file', 'nonton', 'youtube', 'main', 'game', 'pubg', 'jelek', 'abis', 'jaringan', 'jaringan', 'bagus', 'jam', 'malam', 'jam', 'pagi', 'tolong', 'yaa', 'kenyamanan', 'pelanggan', '']</t>
  </si>
  <si>
    <t>['pengguna', 'telkomsel', 'provinsi', 'aceh', 'kabupateh', 'aceh', 'timur', 'kecamatan', 'serbajadi', 'tolong', 'telkomsel', 'perbaiki', 'jaringan', 'jaringan', 'kmi', 'lelet', 'menikmati', 'jaringan', 'cepat', 'kota']</t>
  </si>
  <si>
    <t>['beralih', 'operator', 'sinyal', 'ajak', 'bernuansa', 'asli', 'parah', 'kali', 'sinyal', 'telomsel', 'harga', 'paket', 'selangit', 'sinyal', 'sakit', '']</t>
  </si>
  <si>
    <t>['developer', 'nggak', 'akses', 'kuota', 'omg', 'kuota', 'ketengan', 'kemarin', 'mengakses', 'tolong', 'diperbaiki', 'ditawarkan', 'paket', 'mahal', 'nggak', 'uang', '']</t>
  </si>
  <si>
    <t>['sinyal', 'jelek', 'pas', 'main', 'game', 'suka', 'ngelag', 'tpi', 'pas', 'giliran', 'lancar', 'nunggu', 'dlu', 'stabil', 'lgi', 'sinyal', 'ktnya', 'kuota', 'unlimited', 'sosmed', 'kuota', 'utama', 'lokalnya', 'abis', 'cmn', 'doang', 'selebih', 'kyk', 'tiktok', 'dll', 'langganan', 'kecewa', 'berat', 'sinyal', 'buruk']</t>
  </si>
  <si>
    <t>['sinyal', 'internet', 'telkomsel', 'driver', 'ojol', 'kuat', 'mudah', 'masuk', 'orderan', 'lelet', 'buffer', 'kalah', 'operator', 'sebelah', 'terpaksa', 'berganti', 'jaringan', 'internet']</t>
  </si>
  <si>
    <t>['jaringan', 'nomer', 'telkomsel', 'mohon', 'tunggu', 'proses', 'kerjakan', 'tim', 'realisasi', 'membaiknya', 'sinyal', 'nomer', 'telkomsel', '']</t>
  </si>
  <si>
    <t>['mantap', 'bantuan', 'telkomsel', 'masyarakat', 'prioritaskan', 'bantuan', 'konter', 'pulsa', 'agen', 'pulsa', 'customer', 'setia', 'telkomsel', 'salahnya', 'hadiah', 'pelanggan', 'fokus', 'telkomsel', 'poin', 'bakti', 'sosial', 'tks']</t>
  </si>
  <si>
    <t>['simpati', 'bego', 'kesel', 'paket', 'corporet', 'paket', 'swadaya', 'kaya', 'temen', 'quota', 'gb', 'nelpon', 'sepuasnya', 'nelpon', 'operator', 'mnit', 'kagak', 'simpati', 'simpati', 'paketan', 'internetnya', 'beda', 'beda', '']</t>
  </si>
  <si>
    <t>['hay', 'kak', 'temen', 'dpt', 'promo', 'kartu', 'telkomsel', 'dri', 'trs', 'jgan', 'mahal', 'harga', 'kuotanya', 'kak', 'udh', 'dpt', 'promo', 'sma', 'trs', 'harga', 'kuotanya', 'mahal', '']</t>
  </si>
  <si>
    <t>['ampas', 'aplikasi', 'super', 'lemot', 'pas', 'buka', 'kecepatan', 'internet', 'gua', 'kb', 'sec', 'loadingnya', 'kelar', 'app', 'benerin', 'ampe']</t>
  </si>
  <si>
    <t>['app', 'eror', 'pulsa', 'berkurang', 'pedahal', 'pakai', 'internet', 'sms', 'nelfon', 'pulsa', 'berkurang', 'berlangganan', 'pulsa', 'berkurang', 'gini', 'mending', 'pakai', 'kartu', 'deh', 'beli', 'paket', 'ketengan', 'pulsa', 'udah', 'berkurang', 'kuota', 'muncul', 'gimana', 'telkomsel']</t>
  </si>
  <si>
    <t>['gua', 'admin', 'developer', 'apk', 'sebenernya', 'niat', 'nggak', 'apk', 'kaya', 'gini', 'gua', 'pindah', 'axis', 'dll', 'gue', 'tolong', 'fitur', 'berfaedah', 'kuota', 'habis', 'stop', 'langsung', 'pulsa', 'kaga', 'kesedot', 'kaya', 'gini', 'gua', 'pindah', 'operator']</t>
  </si>
  <si>
    <t>['bentar', 'lgi', 'pln', 'membangkitkan', 'jualan', 'jaringan', 'operator', 'masyarakat', 'indo', 'masyarakat', 'bersyukur', 'telkom', 'perusahahan', 'sampah', 'mahal', 'doang', 'taulah', 'china', 'ambil', 'alih', 'moga', 'hapus', 'ganti', 'operator', 'jaringan', 'pln', 'negri', 'murah', 'smua', 'orang', 'telkom', 'warga', 'indo', 'asli', 'ekonomi', 'menengah', 'kebawh', 'ikhlas', 'ngabisin', 'duitnya', 'jaringn', 'sampah', 'hehhbuka', 'loading', 'pdhl', 'kota', 'makntuh', 'uang', 'haram', 'haram', 'haram']</t>
  </si>
  <si>
    <t>['madura', 'kecewa', 'kemaren', 'telkomsel', 'jaringannya', 'kenceng', 'banget', 'paketan', 'udh', 'mahal', 'trs', 'lemmutnya', 'ampun', 'jaringannya', 'full', 'trs', 'ubah', 'kemaran', 'jngan', 'cabut', 'jaringan', 'telkomsel', 'skrg', 'padahl', 'bertahun', 'pakek', 'telkomsel', 'kali', 'kecewa', 'banget', '']</t>
  </si>
  <si>
    <t>['henti', 'henti', 'peringatkan', 'quota', 'habis', 'kali', 'sms', 'quota', 'beli', 'tinggal', 'nyepam', 'sms', 'sanggat', 'mengganggu', 'kenyamanan']</t>
  </si>
  <si>
    <t>['pembelian', 'paket', 'sakti', 'metode', 'pembayaran', 'gopay', 'masuk', 'cman', 'notifikasi', 'pesan', 'sms', 'pembayaran', 'blum', 'berhasil', 'gitu', 'cek', 'aplikasi', 'gojek', 'saldonya', 'udah', 'berkurang', 'tpi', 'gagal', 'udah', 'refund', 'aplikasi', 'gojek', 'prosesnya', 'jam', 'ngga', 'benerin', 'telkomsel', 'metode', 'pembayaran', 'kolaborasi', 'gopay', 'gimana', 'solusinya', 'gagal', 'transaksi', 'smpe', 'pelanggan', 'dirugiin', '']</t>
  </si>
  <si>
    <t>['sumpah', 'telkomsel', 'bagusnya', 'jdi', 'operator', 'buruk', 'didunia', 'jaringan', 'internetanya', 'lemot', 'banget', 'udah', 'nelpon', 'tpi', 'bilangnya', 'ganti', 'emang', 'dibuatin', 'tpi', 'disuruh', 'pindah', '']</t>
  </si>
  <si>
    <t>['', 'bagus', 'telkomsel', 'bagus', 'gua', 'wifi', 'rumah', 'trs', 'beli', 'paket', 'unlimited', 'kepake', 'dipake', 'sinyal', 'jelek', 'nonton', 'youtube', 'whatsapp', 'susah', 'bagusan', 'kartu']</t>
  </si>
  <si>
    <t>['kasih', 'star', 'berat', 'special', 'promo', 'paket', 'ceria', 'gb', 'beli', 'parah', 'status', 'tersisa', 'promo', 'beli', 'paket', 'ceria', 'mending', 'tongolin', 'menu', 'beli', 'emang', 'parah', 'total', '']</t>
  </si>
  <si>
    <t>['main', 'game', 'sungguh', 'mngecewakan', 'kartu', 'tlkomsel', 'skrng', 'udah', 'kya', 'dlu', 'telkomsell', 'jaringan', 'manteng', 'truz', 'skrng', 'mah', 'pling', 'jelek', 'skrng', 'kalah', 'bangkrut', 'telkomsell', 'kya', 'gini', 'truz', 'main', 'game', 'ttep', 'leg', 'auto', 'pindah', 'kartu', 'kasih', 'karna', 'skrng', 'bkin', 'mngecewakan']</t>
  </si>
  <si>
    <t>['telkomsel', 'menghilangkan', 'kuota', 'gb', 'nyaman', 'pakai', 'mengecewakan', 'solusinya', 'ganti', 'kartu', 'perdana', 'mahal', '']</t>
  </si>
  <si>
    <t>['telkomsel', 'please', 'berkembang', 'sinyalnya', 'berkembang', 'sinyal', 'jelek', 'bngt', 'menghambat', 'komunikasi', 'tolong', 'tindak', 'lanjuti', 'sinyalnya', 'ilang', 'mulu', 'krangkek', 'hubungi', 'please']</t>
  </si>
  <si>
    <t>['ayo', 'telkomsel', 'udah', 'bayar', 'mahal', 'paket', 'data', 'jaringan', 'urusin', 'kencang', 'malam', 'lelet', 'sore', 'malam', 'hedeh', 'duit', 'doyan', 'kepuasan', 'pelanggan', 'terabaikan']</t>
  </si>
  <si>
    <t>['seandainya', 'ngasih', 'bintang', 'kasih', 'telkomsel', 'emang', 'jaringanya', 'buruk', 'aktifin', 'hancur', 'jaringanya', 'lbh', 'bagusan', 'jga', 'kadang', 'menjengjelkan', 'kuotanya', 'mahal', 'mahal', 'jaringanya', 'busuk', '']</t>
  </si>
  <si>
    <t>['tolong', 'telkomsel', 'perbaiki', 'kualitas', 'jaringannya', 'harga', 'mahal', 'daerah', 'manado', 'lag', 'main', 'game', 'ciptakan', 'telkomsel', 'provider', 'harga', 'kualitas', 'pelanggan', 'berpaling', '']</t>
  </si>
  <si>
    <t>['tolong', 'paket', 'unlimited', 'diperpanjang', 'membutuhkan', 'pembelajaran', 'anak', 'dirumah', 'wabah', 'convid', 'mewabah', 'terima', 'kasih']</t>
  </si>
  <si>
    <t>['parah', 'lokasi', 'dolok', 'masihul', 'sergai', 'sumut', 'jaringannya', 'lemot', 'lancar', 'terakhit', 'melempem', '']</t>
  </si>
  <si>
    <t>['sinyalnya', 'buruk', 'gara', 'niru', 'unlimited', 'vendor', 'sebelah', 'menurunkan', 'kwalitas', 'sinyal', 'main', 'game', 'kog', 'fluktuatif', 'jelek', 'banget', 'kecewa', 'pelanggan']</t>
  </si>
  <si>
    <t>['min', 'update', 'berubah', 'silver', 'dulunya', 'gold', 'pakai', 'aneh', 'bin', 'ajaib', 'tlg', 'admin', 'teliti']</t>
  </si>
  <si>
    <t>['sinyalnya', 'jelek', 'banget', 'dirumah', 'kenceng', 'skrng', 'cuman', 'dapet', 'batang', 'batang', 'mohon', 'diperbaiki', 'udah', 'mahal', 'mah', 'sinyalnya', 'bagus', 'mending', 'murahin', '']</t>
  </si>
  <si>
    <t>['beli', 'paket', 'promo', 'ceria', 'gb', 'pembelian', 'muncul', 'notifikasi', 'pembelian', 'berhasil', 'promo', 'paketnya', 'lakukan', 'pembelian', 'ulang', 'menerus', 'direfresh', 'promonya', 'habis', 'muncul', 'menu', 'pembelian', 'terimakasih', 'semoga']</t>
  </si>
  <si>
    <t>['isi', 'pulsa', 'pas', 'beli', 'paket', 'gb', 'app', 'telkomsel', 'jaringan', 'wifi', 'data', 'seluler', 'aktifkan', 'eeehh', 'terpotong', 'rupiah', 'buka', 'appnya', 'jaringan', 'wifi', 'pulsa', 'ngak', 'daftar', 'pencurian', 'namanya', 'telkomsel', 'gitu', 'cari', 'keuntungan', 'bayangkan', 'rupiah', 'juta', 'pelanggan', 'ahhh', 'layananya', 'parah', 'telkomsel', '']</t>
  </si>
  <si>
    <t>['sinyal', 'ilang', 'jam', 'malam', 'sinyal', 'silang', 'sinyal', 'cinderlla', 'kota', 'enak', 'sinyal', 'udah', 'cari', 'sinyal', 'susahnya', 'ampun']</t>
  </si>
  <si>
    <t>['beli', 'paket', 'data', 'gb', 'kuota', 'internet', 'masuk', 'nomor', 'pulsa', 'dipotong', 'kecewa', '']</t>
  </si>
  <si>
    <t>['hhmmm', 'combosakti', 'unlimited', 'free', 'tiktok', 'youtube', 'line', 'jam', 'kuota', 'gb', 'rb', 'aktifkan', 'mytelkomsel', 'klik', 'tsel', 'comboul', 'outlet', 'skb', 'giliran', 'beli', 'paket', 'kalinya', 'nggak', 'free', 'yuotube', 'omonggggg', 'besarrrrtt']</t>
  </si>
  <si>
    <t>['gue', 'kasi', 'bintang', 'karna', 'lumayan', 'bagus', 'gue', 'updet', 'persi', 'mlah', 'buka', 'udah', 'gitu', 'sinyal', 'kebanykan', 'kadang', 'pusat', 'kota', 'jakarta', 'selatan', 'kesel', 'lemot', 'jadul', 'kekinian', 'tolong', 'perbaiki', 'kecewa', '']</t>
  </si>
  <si>
    <t>['aplikasinya', 'bagus', 'leletkomsel', 'koneksinya', 'lelet', 'nggak', 'stabil', 'kadang', 'koneksi', 'internet', 'ilang', 'menit', '']</t>
  </si>
  <si>
    <t>['jaringan', 'stabil', 'telkomsel', 'daerah', 'kota', 'telkomsel', 'bagus', 'jaringan', 'ampun', 'klw', 'sekrang', 'klw', 'sekrang', 'bantuan', 'jaringan', 'lancar', 'donk']</t>
  </si>
  <si>
    <t>['parah', 'beli', 'paket', 'internet', 'seminggu', 'habis', 'berlakunya', 'harganya', 'app', 'tertulis', 'promo', 'promo', 'menaikkan', 'harga', 'jaringannya', 'gaada', 'kemajuan', 'lemotnya', 'jujur', 'kecewa', 'banget', 'langganan', 'telkomsel', 'last', 'but', 'not', 'least', 'pilihan', 'kuotanya', 'dikit', 'banget', 'gila', 'harganya', 'wow', 'banget', 'mencuri', 'isi', 'dompet']</t>
  </si>
  <si>
    <t>['', 'daftar', 'paket', 'internet', 'aktiv', 'data', 'ponsel', 'aktifkan', 'muncul', 'icon', 'jaringan', 'data', 'sinyal', 'ponsel', 'restart', 'perubahan', 'tlp', 'telkomsel', 'tanggapan', '']</t>
  </si>
  <si>
    <t>['aplikasinya', 'bagus', 'mudah', 'harga', 'beli', 'paketnya', 'mahal', 'dibanding', 'provider', 'pengguna', 'mengeluhkan', 'layanan', 'telkomsel', 'menurun', 'menurun', 'kualitasnya']</t>
  </si>
  <si>
    <t>['rusak', 'rusak', 'tlkomsel', 'rusaak', 'harga', 'paket', 'internet', 'jdi', 'udah', 'kaya', 'bbm', 'kaya', 'gini', 'pelanggan', 'tlkmsel', 'coba', 'tolong', 'perbaikin', 'kembalikan', 'harga', '']</t>
  </si>
  <si>
    <t>['woi', 'telkomsel', 'nyebelin', 'banget', 'udah', 'sinyal', 'jelek', 'pulsa', 'kepotong', 'trs', 'ngga', 'dipake', '']</t>
  </si>
  <si>
    <t>['poin', 'menghilang', 'pemberitahuan', 'poin', 'kemarin', 'dihanguskan', 'ngumupulin', 'poin', 'poin', 'mengecewakan', 'pelayanan', 'telkomsel']</t>
  </si>
  <si>
    <t>['aplikasi', 'terindikasi', 'menyerap', 'pulsa', 'data', 'kuota', 'dana', 'konsumen', 'telkomsel', 'penjual', 'ringtone', 'dll', 'telkomsel', 'memanfaatkan', 'dominasi', 'koneksi', 'luas', 'harga', 'jual', 'paket', 'mahal', 'promo', 'abal', 'abal', '']</t>
  </si>
  <si>
    <t>['kemudahan', 'cek', 'data', 'pilhan', 'paket', 'data', 'sesuai', 'saku', 'rewardnya', 'mantul', 'ndak', 'tipu', 'tipu', 'asleeehhh', 'sinyal', 'ruangan', 'kuat', 'sayangnya', 'ruangan', 'berubah', 'lemot', '']</t>
  </si>
  <si>
    <t>['mengecewakan', 'sinyal', 'jelek', 'susah', 'sinyal', 'sinyal', 'dikamar', 'hrus', 'rumah', 'mulu', 'internetan', 'uninsa']</t>
  </si>
  <si>
    <t>['susah', 'log', 'sms', 'telat', 'diterima', 'klik', 'link', 'kadaluarsa', 'cobalah', 'dipersulit', 'log', 'aplikasi', 'log', 'out', 'hrs', 'log', 'ulang', 'log', 'susah', '']</t>
  </si>
  <si>
    <t>['pikir', 'ngerasain', 'provider', 'jelek', 'smua', 'kecewa', 'parah', 'mahal', 'jaringan', 'kacau', 'dimana', 'lokasinya', 'tetep', 'buruk', 'pdhal', 'pengguna', 'telkomsel', 'loch', 'udh', 'kuota', 'habis', 'kaga', 'and', 'lemot', 'keceeeeeeewwwwaaaaaaa']</t>
  </si>
  <si>
    <t>['kasih', 'bintang', 'jaringan', 'telkomsel', 'bagus', 'bagt', 'game', 'sekrang', 'mah', 'ancurrr', 'yutuban', 'lancar', 'perbaiki', 'maju', 'pelanggan', 'puas', 'gini', 'trus', 'mah', 'bnyak', 'pindah', 'provider']</t>
  </si>
  <si>
    <t>['paket', 'unlimitednya', 'blm', 'habis', 'karna', 'cmn', 'sosmedtan', 'beli', 'paket', 'combo', 'paketnya', 'habis', 'paket', 'unlimited', 'blm', 'habis', 'tenggangnya', 'ayolah', 'gitu', 'bagusnya', 'habisin', 'tenggangnya', '']</t>
  </si>
  <si>
    <t>['parah', 'banget', 'sinyalnya', 'kesini', 'jelek', 'paket', 'maxstream', 'terbuang', 'buka', 'aplikasi', 'maxstream', 'masuk', 'aplikasi', 'stuck', 'loading', 'doang', 'makan', 'duit', 'paket', 'gue', 'buruk', 'kualitasnya', 'gue', 'orang', 'pindah', 'provider', 'banget', 'keluhan', 'perbaiki', '']</t>
  </si>
  <si>
    <t>['lemot', 'jaringan', 'dev', 'perbaikan', 'gimana', 'iya', 'tolong', 'fix', 'secepatnya', 'ngeselin', 'maen', 'game', 'ama', 'streaming', 'jaringan', 'terganggu']</t>
  </si>
  <si>
    <t>['area', 'perum', 'grand', 'subang', 'residence', 'belendung', 'kec', 'cibogo', 'kab', 'subang', 'jabar', 'jaringan', 'jelek', 'tolong', 'tingkatkan', 'nyaman', 'telkomsel', '']</t>
  </si>
  <si>
    <t>['tolong', 'telkomsel', 'mohon', 'perbaiki', 'jaringan', 'main', 'game', 'mobile', 'legends', 'free', 'fire', 'lemot', 'ampun', 'suka', 'hilang', 'jaringan', 'mohon', 'devoloper', 'telkomsel', 'perbaiki', 'jaringan', 'terima', 'kasih', '']</t>
  </si>
  <si>
    <t>['niat', 'hati', 'ganti', 'telkomsel', 'pengen', 'lancar', 'dipakai', 'signal', 'buruk', 'merah', 'satunya', 'kota', 'serasa', 'pelosok', 'tolong', 'tingkatkan', 'kresek', 'tempurejo', 'kec', 'pesantren', 'kediri']</t>
  </si>
  <si>
    <t>['tolong', 'adakan', 'pembelian', 'aktif', 'operator', 'harga', 'paket', 'mahal', 'tolong', 'keringanan', 'aktif', 'perpanjang', 'beli']</t>
  </si>
  <si>
    <t>['udah', 'pakai', 'data', 'telkomsel', 'barusan', 'nyoba', 'beli', 'dipakai', 'jaringannya', 'buruk', 'banget', 'perumahan', 'grand', 'vista', 'cikarang', 'serang', 'bekasi', 'mohon', 'perbaikan', 'data', 'dibeli', 'mubadzdzir', '']</t>
  </si>
  <si>
    <t>['beli', 'pulsa', 'rb', 'paket', 'internet', 'mati', 'karna', 'smartfren', 'knp', 'kog', 'kepotong', 'pulsa', 'rb', 'karna', 'pemakaian', 'internet', 'aneh', 'kog', 'gitu', 'dirampok', 'simpati', 'anehhhhhh']</t>
  </si>
  <si>
    <t>['telkomsel', 'sya', 'bli', 'kemarin', 'paket', 'unlimited', 'sinyal', 'youtube', 'muter', 'mulu', 'kecewa', 'sya', 'sma', 'telkomsel', 'sya', 'setia', 'sma', 'telkomsel', 'skrng', 'mengecewakan', '']</t>
  </si>
  <si>
    <t>['jaringan', 'telkomsel', 'getaran', 'bagus', 'contohnya', 'kaya', 'pesawat', 'kereta', 'down', 'parah', 'telkomsel', 'terima', 'kasih', '']</t>
  </si>
  <si>
    <t>['tingkat', 'aplikasi', 'cek', 'kuota', 'pulsa', 'beli', 'data', 'pulsa', 'terjangkau', 'kurva', 'meningkatkan', 'keatas', '']</t>
  </si>
  <si>
    <t>['jaringan', 'bagus', 'minati', 'buruk', 'membuka', 'sosial', 'media', 'lambat', 'turun', 'hujan', 'jaringan', 'langsung', 'down', 'jaring', 'kbps', '']</t>
  </si>
  <si>
    <t>['kekurangan', 'telkomsel', 'isi', 'pulsa', 'trs', 'beli', 'paket', 'data', 'aplikasi', 'eeehhh', 'pulsanya', 'kemakan', 'duluan', 'anjim', 'ngga', 'stoper', 'ngga', 'makan', 'pulsa', 'paket', 'data', 'habis', '']</t>
  </si>
  <si>
    <t>['maaf', 'pulsa', 'kuota', 'kemendikbud', 'pas', 'nyalain', 'kesedot', 'pulsa', 'beli', 'paket', 'gamesmax', 'silver', 'maaf', 'balikin', 'uang', 'dicurangi', 'mending', 'ganti', 'sim', 'mengurang', 'berharga', 'balikin', 'pulsa', 'terima', 'kasih', 'berharap', 'balas', 'admin', '']</t>
  </si>
  <si>
    <t>['semenjak', 'jaringan', 'telkomsel', 'leletnya', 'ampun', 'sekitaran', 'jam', 'malam', 'speednya', 'cuman', 'mentok', 'kb', 'doang', 'jarang', 'maklumi', 'malem', 'kayak', 'gini', 'parah', 'tolong', 'perbaikin', 'download', 'subuh']</t>
  </si>
  <si>
    <t>['telkomsel', 'jaringan', 'terbaik', 'kalimantan', 'penambahan', 'banyakin', 'bonus', 'turunkan', 'tarif', 'internetnya', 'smakin', 'pengguna', 'telkomsel', 'indonesia', 'maju', 'mytelkomsel', '']</t>
  </si>
  <si>
    <t>['aplikasi', 'merugikan', 'udah', 'ngisi', 'paket', 'mahal', 'mahal', 'jatuh', 'tempo', 'paketnya', 'dikurangi', 'paket', 'tgl', 'paketnya', 'tgl', 'tgl', 'diatas', 'tgl', 'jatuh', 'ditanggal', 'paket', 'tgl', 'dibawah', 'tgl', 'dihitung', 'pas', 'jatuh', 'temponya', 'tolong', 'kayak', 'gitulah', '']</t>
  </si>
  <si>
    <t>['kasih', 'bintang', 'semenjak', 'kode', 'dial', 'paket', 'murah', 'kode', 'dial', 'lumayan', 'murah', 'beli', 'paketnya', 'mahal', 'mahal']</t>
  </si>
  <si>
    <t>['telkomsel', 'kecewa', 'paket', 'murah', 'mahal', 'jaringannya', 'jelek', 'tolong', 'seenggaknya', 'dibedain', 'jaringan', 'paket', 'mahal', 'promo', 'kasian', 'uda', 'bayar', 'mahal', 'koneksinya', 'kayak', 'promo']</t>
  </si>
  <si>
    <t>['aplikasi', 'bnyak', 'bug', 'membeli', 'paket', 'data', 'sistem', 'error', 'download', 'cek', 'pulsa', 'doang', 'gkada', 'perbaikan', 'konsumen', 'pindah', 'provider', 'sinyal', 'ilang', 'sungguh', 'aneh', 'kesini', 'telkomsel', 'ngaco', '']</t>
  </si>
  <si>
    <t>['kesini', 'sinyal', 'telkomsel', 'seneng', 'sinyalnya', 'stabil', 'skrng', 'knp', 'labil', 'kalah', 'provider', 'lainya', 'mantep', 'ganti', 'kartu', 'gini']</t>
  </si>
  <si>
    <t>['jaringan', 'parah', 'nga', 'pagi', 'siang', 'malam', 'wilayah', 'sintang', 'kalbar', 'belajar', 'online', 'susah', 'pasrah', 'nilai', 'jelek']</t>
  </si>
  <si>
    <t>['masuk', 'aplikasi', 'lemot', 'nyaaaaaaa', 'ampunnn', 'simple', 'ajah', 'media', 'mmpermudah', 'ngecek', 'kuota', 'atw', 'pulsa', 'pembelian', 'paket', 'smua', 'menu', 'lemot', 'smua', 'cpt', 'akses', '']</t>
  </si>
  <si>
    <t>['beli', 'kuota', 'suka', 'bug', 'pulsa', 'promo', 'pas', 'dibeli', 'kuota', 'masuk', 'pulsa', 'nggak', 'ngurang', 'udah', 'coba', 'beli', 'kali', 'sinyal', 'suka', 'down']</t>
  </si>
  <si>
    <t>['nonton', 'yutub', 'gampang', 'lacar', 'gem', 'langsung', 'down', 'gimana', 'haduh', 'sebelah', 'yutub', 'susah', 'gem', 'lancar', 'sebelah', '']</t>
  </si>
  <si>
    <t>['harga', 'matok', 'malu', 'kendala', 'sinyal', 'lemot', 'tolong', 'maaf', 'maaf', 'merubah', 'apapun', 'tolong', 'jaringannya', 'diperbaiki', '']</t>
  </si>
  <si>
    <t>['selamat', 'malam', 'telkomsel', 'beli', 'paket', 'gceria', 'gb', 'rp', 'proses', 'aplikasi', 'telkomsel', 'tertera', 'paket', 'promo', 'gceria', 'gb', 'rp', 'tpi', 'notifikasi', 'proses', 'pembayaran', 'tolong', 'bantuan']</t>
  </si>
  <si>
    <t>['sinyal', 'telkomsel', 'jelek', 'daerah', 'bangka', 'belitung', 'mending', 'pindah', 'operator', 'sebelah', 'stabil', 'harap', 'diperhatikan', 'telkomsel', 'memperbaiki', 'jaringan', 'orang', 'orang', 'pindah', 'operator']</t>
  </si>
  <si>
    <t>['pelayanan', 'telkomsel', 'promo', 'hilang', 'telpon', 'cepat', 'respon', 'senang', 'deh', 'promo', 'kartu', 'kmrin', 'beli', 'lgi', 'ketik', 'bacanys', 'bermasalah', 'bsok', 'udah', '']</t>
  </si>
  <si>
    <t>['ngapain', 'jualan', 'paket', 'game', 'kadang', 'login', 'kadang', 'ping', 'hijau', 'cari', 'match', 'nggak', 'ayolah', 'ngapain', 'beli', 'nggak', 'dipake', '']</t>
  </si>
  <si>
    <t>['hai', 'developer', 'lampung', 'barat', 'bintang', 'sesuai', 'kinerja', 'kuota', 'telkomsel', 'jaringan', 'kuota', 'gamemax', 'pakai', 'beli', 'paket', 'gamemax', 'youtube', 'internet', 'dipakai', 'kuota', 'gamenya', 'dipakai', 'serasa', 'dirugikan', 'tolong', 'diperbaiki', 'secepatnya']</t>
  </si>
  <si>
    <t>['buruk', 'andalkan', 'sinyal', 'daerah', 'buruk', 'ganti', 'profider', 'udah', 'paket', 'mahal', 'sinyal', 'buruk', 'telkomsel', 'bagsat']</t>
  </si>
  <si>
    <t>['paket', 'promo', 'proses', 'hubungi', 'mimin', 'bla', 'bla', 'bla', 'bla', 'suruh', 'nunggu', 'jam', 'solusi', 'suruh', 'menunggu', 'jam', 'paket', 'promo', 'hilangkan', 'solusi', 'cerdas', 'cerita', 'promo', 'ceria', 'anjim', '']</t>
  </si>
  <si>
    <t>['', 'ngerti', 'jaringan', 'simpati', 'main', 'mobile', 'legend', 'lag', 'paket', 'mahal', 'rb', 'gb', 'nge', 'game', 'susah', 'diperbaiki', 'deh', 'jelek', 'banget']</t>
  </si>
  <si>
    <t>['kecewa', 'telkomsel', 'ngaktifin', 'paket', 'darurat', 'trus', 'notif', 'paket', 'darurat', 'aktif', 'pas', 'isi', 'pulsa', 'lgsg', 'kepotong', 'pulsa', 'aktifin', 'sumpah', 'kecewa', 'telkomsel', 'pantes', 'dikasih', 'bintang', '']</t>
  </si>
  <si>
    <t>['mohon', 'daerah', 'jambi', 'sinyalnya', 'bagusin', 'persen', 'telkomsel', 'pagi', 'siang', 'sore', 'malam', 'sinyal', 'susah', 'lelet', 'percma', 'beli', 'paket', 'mahal', '']</t>
  </si>
  <si>
    <t>['harganya', 'kemahalan', 'sinyal', 'random', 'kadang', 'down', 'kadang', 'error', 'app', 'kadang', 'bug', 'stack', 'beli', 'kebanyakan', 'bagus', 'cuman', 'jangkauan', 'sinyalnya', '']</t>
  </si>
  <si>
    <t>['aplikasi', 'boong', '']</t>
  </si>
  <si>
    <t>['beli', 'paket', 'promo', 'pulsa', 'pembelian', 'paket', 'tolong', 'perbaiki', '']</t>
  </si>
  <si>
    <t>['promo', 'kuota', 'murah', 'beli', 'pedahal', 'notice', 'terima', 'kasih', 'permintaan', 'proses', 'kuota', 'udah', 'nunggu', 'jam', 'kuota', 'masuk', 'hadeh', 'gimana', 'pulsa', 'hangus', '']</t>
  </si>
  <si>
    <t>['kali', 'kecewa', 'telkomsel', 'isi', 'pulsa', 'virtual', 'account', 'tlfn', 'nov', 'sampe', 'pulsa', 'kunjung', 'masuk', 'statusnya', 'sedanf', 'bantu', 'mulu']</t>
  </si>
  <si>
    <t>['telkomsel', 'sinyal', 'full', 'jaringan', 'kuota', 'gb', 'lemot', 'ampun', 'buka', 'aplikasi', 'susah', 'ampun', 'tolong', 'stabil', 'konsumen', 'bicara', 'kasar', '']</t>
  </si>
  <si>
    <t>['taun', 'buruk', 'provider', 'telkomsel', 'maen', 'game', 'reconnect', 'trus', 'ping', 'kuning', 'merah', 'coba', 'slah', 'pmenang', 'tender', 'koq', 'kaya', 'gini', '']</t>
  </si>
  <si>
    <t>['sedih', 'pas', 'buka', 'app', 'telkomsel', 'beli', 'kouta', 'combo', 'unlimitied', 'harga', 'pandemi', 'kouta', 'segitu', 'harga', 'murah', 'apalgi', 'internet', 'wfh', 'sfh', '']</t>
  </si>
  <si>
    <t>['jaringan', 'terbagus', 'cepet', 'poll', 'dimanapun', 'ngacir', 'kecewa', 'poll', 'telkomsel', 'seneng', 'sedot', 'pulsa', 'abis', 'nyedotnya', 'pulsa', 'cepet', 'kenceng', 'nyantol', 'hotspot', 'tmn', 'kuota', 'habis', 'data', 'internet', 'alihkan', 'simpati', 'eeee', 'pulsaku', 'disedot', 'sampe', 'entongggg', 'parah', 'hati', 'guys', '']</t>
  </si>
  <si>
    <t>['maaf', 'maintenance', 'ato', 'gangguan', 'smp', 'jaringan', 'telkomsel', 'down', 'parah', 'udh', 'turunkan', 'jaringan', 'mengganggu', 'aktifitas', 'berbasis', 'internet', 'tolong', 'perbaiki', 'berilah', 'pemberitahuan', 'maintenance', 'sistem', 'customer', 'lbh', 'paham', 'kndisinya', '']</t>
  </si>
  <si>
    <t>['udah', 'beli', 'kuota', 'terkirim', 'udah', 'bayar', 'gopay', 'saldo', 'gopay', 'terambil', 'kuota', 'dikirimkan', 'dasar', 'aplikasi', 'bapakkau', 'terkirim']</t>
  </si>
  <si>
    <t>['daerah', 'kapuas', 'hulu', 'kalimantan', 'barat', 'jaringan', 'jelek', 'paket', 'telkom', 'mahal', 'sinyal', 'kek', 'gini', 'turunkan', 'harga', 'paket', 'orang', 'desa', 'rugi', 'beli', 'mahal', 'beli', 'pket', 'sinyal', 'jlk', '']</t>
  </si>
  <si>
    <t>['halah', 'bacot', 'mahal', 'doang', 'kualitas', 'menurun', 'rugi', 'telkomsel', 'gangguan', 'kuota', 'lancar', 'sinyalnya', 'abis', 'kuota', 'cari', 'untung', 'disenangi', 'orang', 'pindah', 'pelanggan', 'kesebelah', '']</t>
  </si>
  <si>
    <t>['mohon', 'izin', 'kasih', 'masukkan', 'was', 'gelisah', 'paket', 'internet', 'tsel', 'tsel', 'blm', 'menerapkan', 'system', 'auto', 'off', 'inet', 'connection', 'kuota', 'paket', 'inet', 'habis', 'pulsa', 'utama', 'aman', 'terpotong', 'koneksi', 'inet', 'otomatis', 'dimatikan', 'sistem', 'diatas', 'diterapkan', 'operator', 'sebelah', 'sehinggga', 'penggunanya', 'aman', 'was', 'sekian', '']</t>
  </si>
  <si>
    <t>['jaringan', 'telkomsel', 'daerah', 'kepuh', 'palimanan', 'cirebon', 'menurun', 'akibatnya', 'loading', 'internet', 'lambat', 'tertera', 'lambat', 'akibatnya', 'aktivitas', 'kerja', 'belajar', 'maksimal', 'mohon', 'meningkatkan', 'kualitas', 'jaringannya', 'terimakasih', '']</t>
  </si>
  <si>
    <t>['paket', 'nelpon', 'hilang', 'beli', 'paket', 'internet', 'gangguan', 'telkomsel', 'buruk', 'bertahan', 'telkomsel', 'karna', 'sinyal', 'mahal', 'ttp', 'beli', 'paketnya', 'paket', 'pertahankan', 'telkomsel', '']</t>
  </si>
  <si>
    <t>['metode', 'pembayaran', 'membeli', 'paketan', 'buka', 'pilihan', 'metode', 'pembayaran', 'isi', 'pulsa', 'pilih', 'metode', 'pembayaran', 'muncul', 'isi', 'pulsa', 'muncul', 'bug', 'tolong', 'perbaiki']</t>
  </si>
  <si>
    <t>['memakai', 'aplikasi', 'kayak', 'kejutan', 'harga', 'kouta', 'tetep', 'temen', 'dapet', 'harga', 'kouta', 'murah', 'nyuruh', 'aplikasi', 'kecewa', 'tetep', 'bintang', 'telkom', 'hati']</t>
  </si>
  <si>
    <t>['jaringan', 'telkomsel', 'jelek', 'banget', 'udah', 'jdi', 'malas', 'make', 'kartu', 'telkomsel', 'kecewa', 'aplikasi', 'poin', 'hilang', 'udah', 'habis', 'tolong', '']</t>
  </si>
  <si>
    <t>['iklan', 'bagus', 'bagusuin', 'simpati', 'sinyal', 'kuat', 'plosok', 'plosok', 'negeri', 'sii', 'bener', 'daerah', 'kota', 'doang', 'sinyalnya', 'bagus', 'giliran', 'gue', 'bawa', 'rumah', 'gue', 'desa', 'gue', 'gue', 'kesel', 'buka', 'aplikasi', 'babring', 'sinyal', 'baris', 'berdiri', 'gue', 'kesel', 'taya', 'kuota', 'gue', 'simpati', 'sinyal', 'terburuk', 'jelak', 'terima', 'kasih', '']</t>
  </si>
  <si>
    <t>['sinyal', 'lelet', 'kecepatan', 'mentok', 'jelek', 'beli', 'mahal', 'mahal', 'tpi', 'jaringan', 'mengecewakan', 'plisss', 'harga', 'mahal', 'sinyal', 'bagus', 'masak', 'harga', 'mahal', 'jaringan', 'lelet', 'pliss', 'perbaiki', 'jaringan', 'online', 'sinyal', 'jelek', 'nggak', 'enak', 'cuk']</t>
  </si>
  <si>
    <t>['aplikasi', 'tolol', 'tolol', 'koneksi', 'stabil', 'mulu', 'gua', 'make', 'wifi', 'tetep', 'nyambung', 'aplikasi', 'work', '']</t>
  </si>
  <si>
    <t>['tolong', 'diperbaiki', 'sinyal', 'kak', 'udah', 'telkomsel', 'ngecewain', 'pelanggan', 'hutan', 'jaringan', 'logis', 'sutet', 'berfungsi', 'mohon', 'diperbaiki', 'yaa', '']</t>
  </si>
  <si>
    <t>['admin', 'knpa', 'jaringan', 'telkomsel', 'lelet', 'banget', 'main', 'game', 'jaringannya', 'full', 'main', 'game', 'lag', 'lag', 'knapa', 'min', 'mohon', 'bantuannya', 'min']</t>
  </si>
  <si>
    <t>['', 'telkomsel', 'membantu', 'daily', 'check', 'hadiah', 'cliknya', 'dtambah', 'durasi', 'kuotanya', 'paket', 'hbs', 'kuotanya', 'aktif', 'harinya', 'selesai', 'trm', 'ksh', 'sukses', 'telkomsel', '']</t>
  </si>
  <si>
    <t>['jelek', 'banget', 'palembang', 'jaringan', 'telkomsel', 'bagus', 'bagus', 'gini', 'mah', 'ush', 'beli', 'palembang', 'lag', 'mulut', 'google', 'meet', 'lag', 'banget', 'tlp', 'mending', 'beli', 'smartphone', 'kek', 'gini']</t>
  </si>
  <si>
    <t>['assalamualaikum', 'menejemen', 'mytelkomsel', 'telkomsel', 'mohon', 'kondisikan', 'jaringan', 'nelpon', 'internet', 'kampung', 'bertempat', 'sintong', 'bakti', 'kecamatan', 'tanah', 'putih', 'kebupaten', 'rokan', 'hilir', 'tolong', 'kerja', 'tinggal', 'nelpon', 'susah', 'internet', 'jalan', 'poros', 'jaringan', 'alhamdulillah', 'lumayan', 'bagus', 'udah', 'masuk', 'gang', 'persimpangan', 'jaringan', 'udah', 'hilang', 'gunanya', 'mohon', 'konfirmasi', 'imam', 'suheri']</t>
  </si>
  <si>
    <t>['abang', 'sinyalnya', 'suka', 'down', 'cewe', 'ldr', 'ngertiin', 'pengen', 'telponan', 'menit', 'sinyal', 'suka', 'down', 'coba', 'bayangin', 'abang', 'ldr', 'sakit', 'hati', 'cintanya', 'terhalang', 'sinyal', 'tolong', 'ngertiin', 'maunya', 'ngertiin', 'diginiin', '']</t>
  </si>
  <si>
    <t>['tolong', 'perbaiki', 'jaringanya', 'telkomsel', 'musim', 'hujan', 'jaringanya', 'tetep', 'jelek', 'lancar', 'emosi', 'jaringanya', 'telkomsel', 'operator', 'nomor', 'pasarkan', 'harga', 'kualitasnya', 'menurun', 'kaya', 'gini', 'kasian', 'beli', 'paket', 'kuota', 'internet', 'mahal', 'paket', 'omg', 'murah', 'ribu', 'dapet', 'gb', 'udah', 'beli', 'omg', '']</t>
  </si>
  <si>
    <t>['beli', 'paket', 'data', 'omg', 'giga', 'shopeepay', 'pemberitahuan', 'berhasil', 'saldo', 'berkurang', 'paket', 'kaga', 'adaaa', 'kemanain', 'duit', 'lumayan', 'bantuan', 'veronika', 'kaga', 'solusi', 'udah', 'jaringan', 'lup', 'leup', 'melulu', 'paket', 'data', 'ilang', 'masuk', 'kemana', 'jelek', 'sihhh', '']</t>
  </si>
  <si>
    <t>['telkomsel', 'kuwontol', 'cokkkkk', 'picek', 'matane', 'anjeng', 'dancokkkk', 'kontol', 'koe', 'iso', 'ngoco', 'cok', 'wasi', 'saingan', 'murah', 'sinyal', 'apek', 'kontol', 'cokkkk', 'larang', 'sinyal', 'taekkk', 'cokk', 'kontollll', 'isin', 'mbek', 'tri', 'murah', 'sinyal', 'iso', 'adu', 'opo', 'cokk', 'beban', 'negara', 'tok', 'anjeng', '']</t>
  </si>
  <si>
    <t>['bintang', 'membeli', 'paket', 'telkomsel', 'pemberitahuan', 'koneksi', 'stabil', 'mohon', 'diperbaiki', 'kali', 'pemberitahuan', 'koneksi', 'stabil', 'keluhan', 'mengisi', 'pulsa', 'didiamkan', 'hangus', 'pakai', 'mohon', 'selesaikan']</t>
  </si>
  <si>
    <t>['kecewa', 'telkomsel', 'game', 'jaringan', 'suka', 'down', 'jarimgan', 'tpi', 'main', 'game', 'lag', 'lancar', 'axis', 'ketimbang', 'telkomsel', 'tolong', 'perbaikin', 'sinyal']</t>
  </si>
  <si>
    <t>['kecewa', 'banget', 'sihh', 'sinyal', 'super', 'lemot', 'ilang', 'pdahal', 'tinggal', 'sby', 'nggak', 'sms', 'pemberitahuan', 'kuota', 'tinggal', 'sekian', 'kuota', 'habis', 'otomatis', 'langsung', 'dialihkan', 'pemakaian', 'internet', 'pulsa', 'alhasil', 'pulsa', 'simpan', 'pembelian', 'kuota', 'habis', 'rugi', 'kali', 'telkomsel', 'langsg', 'suka', 'promo', 'menarik', 'kemanapun', 'pergi', 'sinyal', 'tolong', 'diperbaiki', '']</t>
  </si>
  <si>
    <t>['ampun', 'daerah', 'medan', 'helvetia', 'skrang', 'sinyal', 'sakit', 'jelek', 'ayo', 'peforma', 'telkomsel', 'kecewa', 'mulu', 'kemaren', 'kebakaran', 'masi', 'setia', 'telkomsel', 'hati', 'tolong', 'perbaiki', 'mengejar', '']</t>
  </si>
  <si>
    <t>['aplikasi', 'mytelkomsel', 'jelek', 'maen', 'booong', 'hayuk', 'bagus', 'banget', 'aplikasi', 'mantap', 'ngatur']</t>
  </si>
  <si>
    <t>['developer', 'sinyal', 'stabil', 'tower', 'terjangkau', 'mengajukan', 'pendirian', 'tower', 'desa', 'satupun', 'tower', 'telkomsel', 'mohon', 'dipertimbangkan', 'terimakasih']</t>
  </si>
  <si>
    <t>['pemakanan', 'kuota', 'udah', 'abis', 'coba', 'bayangin', 'abis', 'duit', 'main', 'game', 'main', 'game', 'mohon', 'telkomsel', 'pemakanan', 'kuota']</t>
  </si>
  <si>
    <t>['abang', 'gantang', 'kakak', 'cantik', 'nanyak', 'jaringan', 'suka', 'muter', 'muter', 'setia', 'telkomsel', 'kalaw', 'kayak', 'gini', 'bsa', 'pindah', 'kesebelah']</t>
  </si>
  <si>
    <t>['mohon', 'maaf', 'pulsa', 'otomatis', 'berkurang', 'kartu', 'sim', 'data', 'sim', 'mengalami', 'mohon', 'maaf', 'tolong', 'diperbaiki']</t>
  </si>
  <si>
    <t>['aplikasi', 'terkesan', 'berguna', 'beli', 'paket', 'aplikasi', 'paket', 'aktiv', 'quota', 'feedback', 'alangkah', 'telkomsel', 'menggratiskan', 'akses', 'aplikasi', 'mytelkomsel', 'basic', 'quota', 'khusus', 'akses', 'app', 'mytelkomsel', 'operator', 'sebelah', 'paket', 'data', 'habis', 'beli', 'quota', 'via', 'app', 'manual', 'metode', 'nebeng', 'hotspot', 'wifi', 'nggak', 'pulsa', 'ludes', 'regara', 'akses', 'aplikasi', 'officialnya', '']</t>
  </si>
  <si>
    <t>['paket', 'darurat', 'otomatis', 'aktif', 'doang', 'udah', 'bayar', 'aktif', 'gini', 'pulsa', 'ilang', 'sia', 'gimana', 'berentiin', 'tolong', '']</t>
  </si>
  <si>
    <t>['telkomsel', 'tolong', 'pengguna', 'layanan', 'tolong', 'pulsa', 'udah', 'beli', 'ambil', 'iya', 'isi', 'pulsa', 'pakek', 'benerapa', 'pulsa', 'berkurang', 'maksud', 'kek', 'telkomsel']</t>
  </si>
  <si>
    <t>['kadang', 'telkomsel', 'nge', 'bug', 'promo', 'kadang', 'kadang', 'ngak', 'tolong', 'perbaiki', 'kenyamanan', 'beli', 'paket', 'telkomsel', 'perbaiki', 'kualitas', 'jaringannya', 'lemot', 'bermasalah', 'jaringannya', 'sinyal', 'full']</t>
  </si>
  <si>
    <t>['mohon', 'telkomsel', 'poin', 'hilang', 'tolong', 'kembalikan', 'poin', 'kumpul', 'poin', '']</t>
  </si>
  <si>
    <t>['pembelian', 'paket', 'disney', 'hotstar', 'ovo', 'aktif', 'pembayaran', 'berhasil', 'sya', 'hubungi', 'tlgram', 'diproses', 'minggu', 'blum', 'diproses', 'kecewaaaaaaa', '']</t>
  </si>
  <si>
    <t>['tolong', 'telkomsel', 'paket', 'unlimited', 'rb', 'benahi', 'sistemnya', 'free', 'sosial', 'dilancar', 'makan', 'kuota', 'giliran', 'browsing', 'bkan', 'unlimited', 'jaringannya', 'menghambat', 'kebutuhan', '']</t>
  </si>
  <si>
    <t>['sumpah', 'simpati', 'bener', 'bener', 'gondok', 'sirap', 'jam', 'jam', 'ngeleg', 'hah', 'udh', 'paketan', 'mahal', 'sumpah', 'kecewa', 'bener', 'bener', '']</t>
  </si>
  <si>
    <t>['operator', 'terhormat', 'memakai', 'kartu', 'telkomsel', 'minggu', 'jaringan', 'telkomsel', 'dilubuk', 'sikaping', 'sumbar', 'jelek', 'jaringannya', 'cuacapun', 'bagus', '']</t>
  </si>
  <si>
    <t>['gausah', 'sok', 'promo', 'unlimited', 'kualitas', 'jaringan', 'perburuk', 'mahal', 'mahal', 'beli', 'paket', 'buka', 'story', 'gabisa', 'main', 'game', 'gabisa', 'ngegame', 'pelanggan', 'telkomsel', 'lari', 'senang', 'unlimited', 'jaringan', 'busuk', '']</t>
  </si>
  <si>
    <t>['jaringan', 'jelek', 'klw', 'malam', 'pas', 'hujan', 'khusus', 'daerah', 'sorong', 'papua', 'barat', 'mohon', 'pengertiannya', 'sbgai', 'konsumen', 'mrasa', 'kecewa']</t>
  </si>
  <si>
    <t>['aplikasi', 'ngaco', 'diperbaiki', 'keterangan', 'isi', 'pulsa', 'sekian', 'aplikasi', 'telkomsel', 'poin', 'sekian', 'transaksi', 'berhasil', 'poin', 'masuk', 'nanya', 'live', 'chat', 'direspon', 'daily', 'check', 'pas', 'klaim', 'hadiah', 'gagal', 'aneh', 'bwt', 'promo', 'daily', 'check', 'pas', 'ngeklaim', 'niat', 'seh', 'bwt', 'aplikasi', 'mengecewakan', 'sekelas', 'telkomsel']</t>
  </si>
  <si>
    <t>['pulsa', 'kesedot', 'sampe', 'habis', 'data', 'telfon', 'sms', 'tolong', 'developer', 'memperhatikan', 'respon', 'serius', 'terima', 'kasih']</t>
  </si>
  <si>
    <t>['signyal', 'telkomsel', 'parahnya', 'ngelag', 'habis', 'dilapor', 'jawabanya', 'peningkatan', 'jaringan', 'jaringanya', 'kecepatan', 'internetnya', 'parah', 'hadehh', '']</t>
  </si>
  <si>
    <t>['jaringan', 'telkomsel', 'beli', 'paket', 'mahal', 'pas', 'main', 'game', 'lemotnya', 'ampun', 'tinggal', 'ditengah', 'kota', 'jaringan', 'telkomsel', 'kayak', 'gunanya', 'area', 'kampus', 'uho', 'jaringan', 'kek', 'sumali', '']</t>
  </si>
  <si>
    <t>['parah', 'jaringan', 'emng', 'perbaikan', 'tolong', 'selesaikan', 'secepatnya', 'custamer', 'kacewa', 'lari', 'custamer', 'telkonsel', 'udah', 'beda', 'jaringannya', 'stabil', 'kacewa', 'pelanggan', 'pelanggan', '']</t>
  </si>
  <si>
    <t>['suka', 'sistem', 'promo', 'paket', 'internetnya', 'disayangkan', 'kestabilan', 'sinyal', 'dipakai', 'game', 'online', 'out', 'hilang', 'mohon', 'ditingkatkan', 'thanks']</t>
  </si>
  <si>
    <t>['pulsa', 'kepotong', 'respon', 'developer', 'gini', 'nsp', 'bla', 'bla', 'bla', 'pemakaian', 'wifi', 'tolong', 'emosi', 'cek', 'telkomsel', 'langganan', 'nsp', 'apapun', 'pulsa', 'kemana', 'gimana', 'emosi', 'beli', 'pulsa', 'kepotong', 'sampe', 'habis', 'emangnya', 'sultan', 'dahlah', 'males', 'pulang', 'untung', 'toxic']</t>
  </si>
  <si>
    <t>['telkomsel', 'sinyal', 'please', 'sinyalnya', 'dipercepat', 'coba', 'harga', 'kuota', 'mahal', 'sinyalnya', 'jelek', 'coba', 'perbaikan', 'harga', 'kuotanya', 'diturunin', 'udh', 'lancar', 'sinyalnya', 'dinaikkin', 'harganya', 'papa', '']</t>
  </si>
  <si>
    <t>['', 'bali', 'too', 'slow', 'koneksi', 'bales', 'iya', 'ngasi', 'solusi', 'promosi', 'suruh', 'cek', 'twiter', 'lho', 'tranding', 'twiter', 'kayak', 'gtu', 'bos', 'cek', 'provider', 'daerah', 'bali', 'seminyak', 'butuh', 'cepat', 'lakukan', 'jualan', 'kaya', 'gini', 'treatment', 'pakai', 'provider', 'beli', 'paket', 'data', 'males', 'koneksinya', 'lola', 'bentar', 'ganti', 'kartu', '']</t>
  </si>
  <si>
    <t>['aplikasi', 'ber', 'pengguna', 'telkomsel', 'ber', 'update', 'aplikasi', 'versi', 'terbaru', 'versi', 'membuka', 'menjalankan', 'aplikasinya', 'susah', 'mati', 'memunggu', 'buka', 'versi', 'android', 'versi', 'dibutuhkan', 'minimal', 'versi', 'mohon', 'penjelasan', 'perbaikan', 'aplikasi', 'bener', 'donk', 'jujur', 'males', 'buka', 'aplikasi', 'kecewa']</t>
  </si>
  <si>
    <t>['beli', 'kuota', 'telkomsel', 'kuota', 'masuk', 'sidah', 'beli', 'kuota', 'kemarin', 'tulisannya', 'pembelian', 'berhasil', 'kuota', 'masuk', 'mohon', 'bantuannya']</t>
  </si>
  <si>
    <t>['mohon', 'perbaiki', 'aplikasi', 'telkomselnya', 'isi', 'pulsa', 'menjadikan', 'paket', 'data', 'pulsa', 'terkuras', 'habis', 'isi', 'rb', 'langsung', 'abis', 'rb', 'cuman', 'buka', 'aplikasi', 'telkomselnya', 'doang', 'sampe', 'segitunya', 'terukaras', 'habis', 'mohon', 'perbaiki', 'aplikasinya', 'kasih', 'bintang', 'merugikan', 'jaringan', 'apapun']</t>
  </si>
  <si>
    <t>['pembagian', 'kuota', 'masak', 'beli', 'gb', 'kepake', 'gb', 'kuota', 'lokal', 'jadikan', 'kuotanya', '']</t>
  </si>
  <si>
    <t>['kacau', 'telkomsel', 'poin', 'sayang', 'memiliki', 'poin', 'udah', 'isi', 'pls', 'rb', 'rb', 'raib', 'poinnya', 'kacau', 'kacau', 'kacau', '']</t>
  </si>
  <si>
    <t>['min', 'masuk', 'notif', 'consent', 'error', 'const', 'maksudnya', 'aplikasi', 'disney', 'hotstar', 'skrang', 'buka', 'kode', 'tlp', 'singapura', 'indonesia', 'pakai', 'paketan', 'include', 'telkomsel', 'kek', 'gini', 'mending', 'beli', 'paketan', 'internet', 'dahh', 'free', 'paket', 'partner', 'disneynya', 'bad', 'pakai', 'samsek', 'bales', 'donk', 'min', 'payah', 'nihhhh']</t>
  </si>
  <si>
    <t>['kecewa', 'signal', 'simpati', 'bersahabat', 'pakai', 'aplikasi', 'signalnya', 'muter', 'jaringan', 'lokasinya', 'jakarta']</t>
  </si>
  <si>
    <t>['pakai', 'telkomsel', 'iklan', 'kuota', 'combo', 'sakti', 'unlimited', 'youtube', 'kuota', 'gb', 'rb', 'aplikasi', 'kuota', 'kayak', 'gitu', 'combo', 'sakti', 'ribu', 'gb', '']</t>
  </si>
  <si>
    <t>['', 'beranda', 'telkomsel', 'koneksi', 'stabil', 'klik', 'coba', 'menekan', 'coba', 'kali', 'wifi', 'data', 'seluler', 'kecewa']</t>
  </si>
  <si>
    <t>['telkomsel', 'mengecewakan', 'knpa', 'buka', 'tulisan', 'mode', 'gratis', 'tulisan', 'ditawarkan', 'beli', 'paket', 'rupiah', 'membeli', 'mode', 'gratis', 'lucu', 'permasalahnnya', 'seminggu', 'beli', 'paket', 'gb', 'rb', 'paket', 'sya', 'tersisa', 'gb', 'data', 'gb', 'berfungsi', '']</t>
  </si>
  <si>
    <t>['kecewa', 'paket', 'coorporate', 'ribu', 'gb', 'aplikasi', 'dikasih', 'pulsa', 'ribu', 'kampus', 'kebeli', 'paket', 'data', 'under', 'gb', 'disuruh', 'temen', 'update', 'udah', 'update', 'tetep', 'gaada', 'rip', 'pulsa']</t>
  </si>
  <si>
    <t>['telkomsel', 'barusan', 'isi', 'pulsa', 'aktif', 'nambah', 'beli', 'paket', 'maxstream', 'muncul', 'notif', 'layanan', 'sibuk', 'cek', 'pulsa', 'kepotong', 'paket', 'masuk', 'telkomsel', 'perampok', 'berubah', 'operator', 'penipuan', 'balikin', 'pulsaku', 'kirim', 'paket', 'sesuai', 'beli', 'kualitas', 'sinyalnya', 'buruk', 'telkomsel', 'mengusir', 'pelanggan', 'persatu', 'pindah', 'operator', '']</t>
  </si>
  <si>
    <t>['kecewa', 'telkomsel', 'karna', 'paket', 'paket', 'combo', 'sakti', 'sebagus', 'paket', 'unlimitedmax', 'udah', 'nyaman', 'unlimitedmax', 'diganti', 'combosakti', 'enak', 'banget', '']</t>
  </si>
  <si>
    <t>['telkomsel', 'paket', 'gamemax', 'main', 'game', 'pubg', 'mobile', 'telkomsel', 'tolong', 'paket', 'game', 'pubg', 'mobile', 'game', '']</t>
  </si>
  <si>
    <t>['beli', 'paketan', 'ceria', 'gb', 'ribu', 'masuk', 'pulsa', 'terpotong', 'promo', 'paketin', 'tolong', 'perbaiki', 'bug', 'min', 'kecewakan', 'pelanggan', 'telkomsel']</t>
  </si>
  <si>
    <t>['download', 'ntar', 'nyesal', 'udah', 'beli', 'pulsa', 'telkomsel', 'beli', 'paket', 'data', 'telkomsel', 'mendingan', 'beli', 'paket', 'data', 'konter']</t>
  </si>
  <si>
    <t>['kecewa', 'isi', 'pulsa', 'rbu', 'aktif', 'paket', 'kombo', 'sakti', 'afk', 'gagal', 'pulsa', 'lenyap', 'cell', 'suruh', 'tunggu', 'tampa', 'kepastian', 'astafirulah']</t>
  </si>
  <si>
    <t>['tolong', 'sinyal', 'telkomsel', 'kecamatan', 'kamang', 'sungai', 'lansek', 'kab', 'sijunjung', 'perkuat', 'sinyal', 'maninjau', 'kec', 'tanjung', 'raya', 'perkuat', 'thanks', 'telkomsel']</t>
  </si>
  <si>
    <t>['telkomsel', 'canggih', 'dawon', 'harga', 'naikin', 'semoga', 'kaya', 'telkomsel', 'nyesal', 'prodak', 'telkomsel', 'emosi', 'harga', 'bagusin', 'kualitas', 'telkomsel', '']</t>
  </si>
  <si>
    <t>['developer', 'membeli', 'paket', 'promo', 'telkomsel', 'menampilkan', 'paketan', 'promo', 'jarang', 'nongol', 'beli', 'hadehh', 'tolong', 'perbaiki', 'sampe', 'promo', 'habis', 'trus', 'paket', 'bru', 'beli', 'tolong', 'kpd', 'developer', 'promo', 'kaya', 'gini']</t>
  </si>
  <si>
    <t>['hai', 'telkomsel', 'terhormat', 'kecewa', 'beli', 'paket', 'mahal', 'maen', 'mobile', 'legend', 'memuaskan', 'kridit', 'skore', 'tinggal', 'push', 'rank', 'memakai', 'internet', 'lokal', 'kebon', 'jerok', 'jakarta', 'barat', 'sekelas', 'jakarta', 'sinyal', 'down', 'tebang', 'tower', 'sekian', 'terimakasih']</t>
  </si>
  <si>
    <t>['daily', 'check', 'udh', 'dpt', 'stamp', 'eror', 'check', 'lucu', 'aplikasi', 'takut', 'kehabisan', 'data', 'senasib', 'paket', 'data', 'percaya', 'murah', 'hemat', 'bnyk', 'promo']</t>
  </si>
  <si>
    <t>['sinyal', 'hilang', 'suka', 'hilang', 'pagi', 'sore', 'malam', 'kemarin', 'sinyal', 'hilang', 'jam', 'sampe', 'jam', 'main', 'game', 'diawal', 'lancar', 'pertengahan', 'hilang', 'nge', 'lag', 'php']</t>
  </si>
  <si>
    <t>['jaringannya', 'lemot', 'sebulan', 'kemarin', 'enak', 'pas', 'skrng', 'lemot', 'banget', 'kuotaku', 'msh', 'beli', 'tolong', 'distabilkan', '']</t>
  </si>
  <si>
    <t>['', 'hape', 'hilang', 'menginstal', 'app', 'telkomsel', 'memudahkan', 'dlm', 'pengisian', 'pulsa', 'tarif', 'pulsa', 'datanya', 'terbilang', 'harga', 'relatif', 'murah', 'suka', 'knp', 'skrg', 'menginstal', 'perangkat', 'harga', 'pulsanya', 'mahal', 'besaran', 'pulsa', 'datanya', 'combo', 'promo', 'menarik', 'mengecewakan', 'kasi', 'bintang']</t>
  </si>
  <si>
    <t>['udah', 'kali', 'pulsa', 'hilang', 'sinyal', 'jelek', 'aplikasi', 'cuman', 'baut', 'orang', 'rugi', 'dasar', 'sampah', '']</t>
  </si>
  <si>
    <t>['developer', 'terhormat', 'paket', 'data', 'telkomsel', 'udah', 'kayak', 'paket', 'jam', 'jam', 'jam', 'sinyal', 'jelek', 'banget', 'giliran', 'jam', 'malem', 'sinyal', 'bagus', 'tolong', 'diperbaiki', 'paket', 'jam', 'udah', 'mahal', 'kayak', 'gini', 'kecewa', '']</t>
  </si>
  <si>
    <t>['oke', 'telkomsel', 'jaringan', 'sepenuh', 'jelek', 'malam', 'lumayan', 'bagus', 'ruangan', 'ngapain', 'internetan', 'malem', 'meharuskan', 'begadang', 'kualitas', 'kerjaan', 'tolong', 'telkomsel', 'begadang', 'gamau', 'insomnia', 'kambuh', '']</t>
  </si>
  <si>
    <t>['ngga', 'telkomsel', 'sinyal', 'ngga', 'stabil', 'parah', 'banget', 'kenyamanan', 'pelanggan', 'semoga', 'kedepannya', 'perbaikan', 'kebanyakan', 'keluhan', 'sinyal', 'update', 'poin', 'hilang', 'ucapkan', 'terimakasih', '']</t>
  </si>
  <si>
    <t>['okelah', 'jaringan', 'jelek', 'pengguna', 'pengguna', 'jaringan', 'perbaiki', 'cari', 'untung', 'ajah', 'pengguna', 'main', 'game', 'byte', 'ajah', 'kasi', 'lancar', 'makasih', '']</t>
  </si>
  <si>
    <t>['disuruh', 'uprage', 'diikuti', 'sesuai', 'arahan', 'poin', 'hilang', 'nol', 'pdhl', 'poin', 'terkumpul', 'gimana', 'tolong', 'donk']</t>
  </si>
  <si>
    <t>['telkomsel', 'fitur', 'safety', 'pulsa', 'hati', 'hati', 'data', 'abis', 'otomatis', 'sedot', 'pulsa', 'reguler', 'telkomsel', 'memaksa', 'konsumen', 'membeli', 'paket', 'bundling', 'fungsinya', 'perlukan', 'konsumen', 'mohon', 'perbaiki', 'sistemnya', 'merugikan', 'konsumen', 'konsumen', 'pindah', 'provider']</t>
  </si>
  <si>
    <t>['pulsa', 'hilang', 'mimin', 'bantu', 'yaahh', 'pulsa', 'sedih', 'min', 'perusahaan', 'sprt', 'telkomsel', 'msh', 'suka', 'ambil', 'pulsa', 'konsumen', 'sprt', 'semoga', 'kaya', 'telkomsel', '']</t>
  </si>
  <si>
    <t>['jaringan', 'sdebelum', 'ngaktifin', 'paket', 'data', 'telkomselnya', 'jaringn', 'lancar', 'lancar', 'eeh', 'gitu', 'ngaktifin', 'paket', 'data', 'jaringan', 'kadang', 'kadang', 'kebanyakannya', 'liat', 'jaringan', 'org', 'rumah', 'gaknya', 'kartu', 'dinamakan', 'pembodohan', 'paket', 'data', 'gitu', 'paket', 'data', 'kepake', 'amsiong', 'telkomsel', '']</t>
  </si>
  <si>
    <t>['puas', 'layanan', 'telkomsel', 'pedalaman', 'kal', 'teng', 'segnalnya', 'bersih', 'menghubungi', 'perusahaan', 'terimakasih', 'telkomsel', '']</t>
  </si>
  <si>
    <t>['kartu', 'ampas', 'performa', 'jaringan', 'buruk', 'kuota', 'mahal', 'dibanding', 'provider', 'kalah', 'provider', 'koment', 'buruk', 'habis', 'dahlah', 'gitu', '']</t>
  </si>
  <si>
    <t>['sinyal', 'telkomsel', 'daerah', 'jelek', 'kalah', 'kuning', 'biru', 'sya', 'ganti', 'kartu', 'halo', 'lebh', 'jelekkkkkkkkkkkkk', 'payahhhhhhh']</t>
  </si>
  <si>
    <t>['aplikasi', 'mudah', 'daftar', 'paket', 'telkomsel', 'semoga', 'semangat', 'mengembangkan', 'fitur', 'fitur', 'semoga', 'promo', 'daftar', 'internet', 'sesuai', 'konsumen', 'ekonomi', 'menegah', 'thanks', 'telkomsel', '']</t>
  </si>
  <si>
    <t>['sinyal', 'telkomsel', 'timbuul', 'tengelam', 'kebanyakan', 'tenggelam', 'yaa', 'mahal', 'doang', 'sesuai', 'beli', 'mahal', 'relatif', 'bos', 'sesuai', 'kepuasan', 'pelanggan']</t>
  </si>
  <si>
    <t>['jelek', 'bnget', 'masuk', 'susah', 'bnget', 'nunggu', 'semalaman', 'sms', 'link', 'nyesel', 'udh', 'isi', 'saldo', 'perbarui', 'udh', 'perbarui', 'masuk', 'kmrin', 'beli', 'kuota', 'internetan', 'sebel', 'bnget', 'kecewa', 'jdinya', 'telkomsel']</t>
  </si>
  <si>
    <t>['overall', 'bagus', 'smpai', 'kartu', 'halo', 'kouta', 'entertainmentnya', 'syng', 'banget', 'kouta', 'utamanya', 'sdikit', 'semoga', 'depannya', 'kouta', 'utama', 'dikasih', 'entertainmentnya', 'dikitin', '']</t>
  </si>
  <si>
    <t>['simpati', 'loop', 'paket', 'combo', 'sakti', 'rb', 'gb', 'paketan', 'bulanannya', 'tgl', 'januari', 'paket', 'app', 'telkamsel', 'kemanakah', 'paketan', 'skg', 'mengaksesnya', 'terimakasih']</t>
  </si>
  <si>
    <t>['aplikasi', 'akses', 'pulsa', 'ketarik', 'memiliki', 'paket', 'internet', 'semoga', 'kedepannya', 'buruk', 'rating', 'menurun', 'amiinn']</t>
  </si>
  <si>
    <t>['mohon', 'dicek', 'jaringan', 'telkomsel', 'wilayah', 'bogo', 'kel', 'kropak', 'kec', 'wirosari', 'kab', 'grobogan', 'jateng', 'sinyal', 'buruk', 'bagus', 'kondisi', 'desa', 'maju', 'jaringan', 'wifi', 'knp', 'sinyal', 'buruk', 'masukan', 'telkomsel', 'aplikasi', 'online', 'posisi', 'kota', 'telkpmsel', 'the', 'best']</t>
  </si>
  <si>
    <t>['kesini', 'kecewa', 'telkomsel', 'bermain', 'game', 'lag', 'jaringan', 'memburuk', 'harga', 'paket', 'masuk', 'akal', 'anak', 'daring', 'tolonglah', 'buatlah', 'paket', 'masuk', 'akal', 'masuk', 'ruangan', 'zoom', 'lag', 'paket', 'murah', 'dihapus', 'tolong', 'mengurus', 'paket', 'kembalikan', 'paket', 'terjangkau', 'telkomsel', 'kehilangan', 'ribuan', 'pelanggan', '']</t>
  </si>
  <si>
    <t>['kekurangannya', 'kartu', 'telkomsel', 'aplikasinya', 'beli', 'paket', 'sehari', 'abis', 'dipukul', 'sehari', 'streaming', 'disney', 'hotstar', 'paket', 'maxstream', 'ngga', 'beli', 'paket', 'utama', 'memancing', 'kena', 'paketnya', 'kouta', 'utama']</t>
  </si>
  <si>
    <t>['operator', 'sadis', 'makan', 'pulsa', 'pelanggan', 'alasan', 'sesuai', 'komitmen', 'jebakan', 'batmannya', 'udah', 'paketan', 'internet', 'kuota', 'pulsa', 'kepotong', 'penilaian', 'bintang', 'minus', 'kasih', 'jempol', '']</t>
  </si>
  <si>
    <t>['kualitas', 'sinyal', 'teramat', 'buruk', 'tindakan', 'nyata', 'serius', 'menjadikan', 'kualitas', 'sinyal', 'bermain', 'game', 'mobile', 'legend']</t>
  </si>
  <si>
    <t>['waaaah', 'kacau', 'rampok', 'pulsa', 'coba', 'kali', 'daftar', 'paket', 'youtube', 'unlimited', 'kagak', 'dipake', 'gitu', 'sisa', 'pulsa', 'kesedot', 'gini', 'mah', 'mending', 'ganti', 'provider', 'rugi', 'penyelesain', 'telkomsel', 'parah', '']</t>
  </si>
  <si>
    <t>['angin', 'hujan', 'aktifkan', 'data', 'telkomsel', 'pulsa', 'kesedot', 'tolong', 'strategi', 'kartu', 'tri', 'kuota', 'habis', 'pulsa', 'tersedot', '']</t>
  </si>
  <si>
    <t>['fiturnya', 'bagus', 'pulsa', 'terpotong', 'kuota', 'masi', 'diberondong', 'pesan', 'kuota', 'habis', 'biaya', 'pulsa', 'berlaku', 'menerus', 'internet', 'malamnya', 'sanagt', 'mengecewakan', 'segi', 'sinyal', 'paket', 'unlimitednya', 'liat', 'buruk', 'harganya', 'mahal']</t>
  </si>
  <si>
    <t>['stelah', 'update', 'knapa', 'mala', 'jdi', 'error', 'sya', 'trus', 'aplikasi', 'brhenti', 'trus', 'tlg', 'diperbaikin', 'trmkasih']</t>
  </si>
  <si>
    <t>['kecewa', 'telkomsel', 'membeli', 'paket', 'klik', 'sms', 'pembelian', 'paket', 'pulsa', 'langsung', 'terpotong', 'beli', 'paket', 'tulisannya', 'beli', 'paket', 'bulanan', 'gratis', 'namanya', 'beli', 'paket', 'paket', 'aktif', 'tertukar', 'kali', 'huhu']</t>
  </si>
  <si>
    <t>['beli', 'kuota', 'games', 'keterangannya', 'games', 'pubg', 'mobile', 'legeng', 'mobile', 'legend', 'pubg', 'mobile', 'kirim', 'gmail', 'telkomsel', 'jawabannya', 'kuota', 'reguler', 'keterangannya', 'kuota', 'reguler', 'kirim', 'gmail', 'bales', 'bales', 'mohon', 'bantuannya', 'mengelak']</t>
  </si>
  <si>
    <t>['bagus', 'tolong', 'diperbaiki', 'jaringan', 'fasilitas', 'pelanggan', 'kartu', 'halo', 'setia', 'produk', 'telkomsel', '']</t>
  </si>
  <si>
    <t>['kali', 'kasih', 'bintang', 'desember', 'tgl', 'jaringan', 'telkomsel', 'buruk', 'jaringan', 'telkomsel', 'orangtua', 'bener', 'bener', 'buruk', 'jujur', 'bisanya', 'kendala', 'sehari', 'udah', 'seminggu', 'bener', 'gabisa', 'ngapa', 'tolong', 'kejelasan', 'aktivitas', 'daring', 'terhambat', 'ngirim', 'tugas', 'video', 'youtube', 'menit', 'stengah', 'mahal', '']</t>
  </si>
  <si>
    <t>['mengecewakan', 'disaat', 'genting', 'dibutuhkan', 'signal', 'suka', 'hilang', 'terputus', 'eror', 'apk', 'telkomselnya', 'susah', 'dibuka', 'kalah', 'provider', 'telkomsel', 'koq', 'profesional', '']</t>
  </si>
  <si>
    <t>['maaf', 'bintangx', 'kurangin', 'soalx', 'harga', 'paket', 'data', 'mahal', 'jaringanx', 'stabil', 'gitu', 'udah', 'mahal', 'jaringanx', 'timbul', 'tenggelam', 'pribadi', 'kecewa', '']</t>
  </si>
  <si>
    <t>['poin', 'mytelkomsel', 'tukar', 'poin', 'tukarkan', 'hangus', 'otomatis', 'minimal', 'poin', 'langsung', 'dapetin', 'pulsa', 'kuota', 'tambahan', '']</t>
  </si>
  <si>
    <t>['internet', 'prbaiki', 'kecepatanya', 'game', 'parah', 'abis', 'main', 'sinyal', 'ilang', 'setpting', 'internet', 'jalan', 'desa', 'susah', 'sinyal', 'maaf', 'teruss', 'perubahan', '']</t>
  </si>
  <si>
    <t>['aduh', 'min', 'tolong', 'nggk', 'beli', 'kuota', 'konter', 'parah', 'banget', 'sinyalnya', 'jelek', 'bayar', 'tagihan', 'doang', 'itupun', 'sinyalnya', 'ampyun', 'dech', 'parah', 'abis', 'nonton', 'video', 'nggk', 'doang', '']</t>
  </si>
  <si>
    <t>['telkomsel', 'harga', 'mahal', 'sinyal', 'kualitas', 'murahan', 'alasan', 'harga', 'mahal', 'tuk', 'biaya', 'perawatan', 'dll', 'klian', 'jual', 'mahal', 'tpi', 'sinyal', 'down', 'mulu', 'kerja', 'bner', 'teknisi', 'pekerja', 'bcus', 'ganti', 'alat', 'tua', 'rusak', 'beli', 'hasil', 'jualan', 'layanan', 'mahal', 'taikkkk', 'udah', 'minggu', 'lbih', 'sinyal', 'tmpat', 'down', 'mulu', 'gangguan', 'gini', 'kasih', 'penjelasan', '']</t>
  </si>
  <si>
    <t>['ngak', 'diapa', 'datanya', 'jaringannya', 'lemottt', 'tolong', 'ditindak', 'lanjuti', 'permasalahan', 'salanya', 'dimn', 'knpa', 'jaringannya', 'buruk', 'beli', 'data', 'ngak', 'diapakan', '']</t>
  </si>
  <si>
    <t>['dapet', 'promo', 'paketan', 'murah', 'situ', 'paketan', 'hilang', 'blum', 'hilang', 'udh', 'beli', 'riwat', 'ato']</t>
  </si>
  <si>
    <t>['mahal', 'kuota', 'telkomsel', 'wilayah', 'timur', 'papua', 'maluku', 'murah', 'telkomsel', '']</t>
  </si>
  <si>
    <t>['tolong', 'donk', 'sinyalnya', 'diperbaiki', 'slalu', 'beli', 'paket', 'omg', 'combo', 'sakti', 'sinyalnya', 'bersahabat', 'pdhal', 'dlu', 'lancar', 'tlong', 'yaaaa', 'sprti', 'mending', 'ganti']</t>
  </si>
  <si>
    <t>['promonya', 'tipu', 'tipu', 'pembodohan', 'publik', 'sakti', 'combo', 'sesuai', 'kenyataan', 'akses', 'internet', 'speed', 'max', 'kbps', 'unlimitied', 'aplikasi', 'tentukan', 'max', 'speed', 'kbps', 'kecewa', 'tsel', 'kian', 'turun', 'pelayanannya', 'kualitas', 'jaringannya', 'buruk', 'provider', 'speednya', 'setara', 'tsel', 'sedankan', 'tsel', 'serasa', '']</t>
  </si>
  <si>
    <t>['pulsa', 'berkurang', 'telkomsel', 'daily', 'check', 'bonusannya', 'eror', 'sebentar', 'klaim', 'aneh', 'luuuu', 'laggg']</t>
  </si>
  <si>
    <t>['telkomsel', 'terhomat', 'pilihan', 'kasih', 'bintang', 'minus', 'bintang', 'kali', 'ampun', 'deh', 'telkomsel', 'lemot', 'kali', 'beli', 'kuota', 'telkomsel', 'besok', 'kartu', 'malas', 'beli', 'kuota', 'telkomsel', 'terhormat', 'mengajak', 'pennguna', 'stop', 'beli', 'kuota', 'palingan', 'keluh', 'kesah', 'abaikan', 'palingan', 'mimin', 'tukang', 'maaf', 'mulu', 'muncul']</t>
  </si>
  <si>
    <t>['jaringan', 'telkomsel', 'jelek', 'beda', 'dlu', 'suka', 'ngebut', 'loading', 'kecewa', 'jaringan', 'telkomsel', 'pengguna', 'pelanggan', 'telkomsel', 'paketan', 'mahal', 'jaringannya', 'kalah', 'paketan', 'murah', '']</t>
  </si>
  <si>
    <t>['parah', 'ngak', 'kuota', 'data', 'udah', 'mahal', 'perburuk', 'kuota', 'data', 'habis', 'tumbal', 'pulsa', 'data', 'selular', 'dlm', 'aktif', 'pelayanan', 'kenyamanan', 'pengguna', 'menengah', 'kebawa', 'mempersulit', 'bintang', 'telkomsel', '']</t>
  </si>
  <si>
    <t>['kartu', 'berguna', 'sinyal', 'jelek', 'paket', 'mahal', 'untung', 'gua', 'udah', 'ganti', 'kartu', 'kartu', 'telkomsel', 'berguna', 'mending', 'kartu', 'telkomsel', 'udh', 'beli', 'paket', 'gamesmax', 'gopaylater', 'udh', 'terpotong', 'paket', 'zonk', 'aplikasi', 'pembodohan', 'publik', 'kartu', 'pembodohan', 'cepat', 'bangkrut', 'bnyak', 'beralih', 'telkomsel']</t>
  </si>
  <si>
    <t>['telkomsel', 'jaringan', 'buruk', 'sampe', 'berminggu', 'minggu', 'parahhhhhhhhhhhh', 'kesini', 'jelek', 'jaringannya', 'telkomsel', 'gini', 'gini', 'buka', 'aplikasi', 'mytelkomsel', 'gabisa', 'karna', 'loading', 'banget', 'buruk', 'kumaha', 'atuh', 'ieu', 'teh', 'kesel', 'jadina']</t>
  </si>
  <si>
    <t>['', 'paket', 'kanapa', 'kau', 'masukkan', 'paket', 'darurat', 'katek', 'akal', 'paket', 'setuju', 'paket', 'ribu', '']</t>
  </si>
  <si>
    <t>['developer', 'update', 'aplikasi', 'buka', 'lelet', 'kesalahan', 'update', 'buka']</t>
  </si>
  <si>
    <t>['kecewa', 'banget', 'sinyal', 'telkomsel', 'main', 'game', 'setabil', 'sebanding', 'harganya', 'mahal', 'tolong', 'diperbaiki', 'promo', 'musim', 'virus']</t>
  </si>
  <si>
    <t>['perusahaan', 'doang', 'gede', 'harga', 'paket', 'tingginya', 'aplikasi', 'bener', 'isinya', 'update', 'error', 'update', 'error', 'mulu', 'aplikasi', 'heran']</t>
  </si>
  <si>
    <t>['quota', 'ngak', 'dibagi', 'ribet', 'hidup', 'quota', 'quota', 'maksudnya', 'coba', 'ribet', 'ribetttt', 'kartu', 'ribet', 'sedunia']</t>
  </si>
  <si>
    <t>['mendingan', 'kuota', 'internet', 'lokal', 'hapus', 'deh', 'min', 'pengguna', 'smartphone', 'standbye', 'area', 'aktivasi', 'paket', 'namanya', 'telepon', 'genggam', 'sesuai', 'fungsi', 'bawa', 'kemana', 'penggunaannya', 'dimana', 'paket', 'internet', 'lokal', 'cek', 'kuota', 'habis', 'terpakai', 'sisa', 'kuota', 'gb', 'orang', 'orang', 'kehabisan', 'paket', 'diam', 'studi', 'lapangan', 'min', '']</t>
  </si>
  <si>
    <t>['halaman', 'promo', 'paketnya', 'ilang', 'semenjak', 'masuk', 'januari', 'bug', 'emang', 'ilangin', 'adain', 'kak', 'miskin', 'butuh', 'paketan', 'promo', 'huehuehue']</t>
  </si>
  <si>
    <t>['pelanggan', 'setia', 'telkomsel', 'udh', 'thn', 'kecewa', 'sekrang', 'telkomsel', 'sinyal', 'mengecewakan', 'skrg', 'udh', 'beli', 'paket', 'combo', 'sakti', 'tpi', 'knapa', 'sinyal', 'lelet', 'pengen', 'ganti', 'kartu', 'kek', 'gini', 'min', '']</t>
  </si>
  <si>
    <t>['susah', 'banget', 'mendaftarnya', 'sebuh', 'subuh', 'ampe', 'malam', 'gue', 'daftar', 'login', 'login', 'login', 'gue', 'ampe', 'kesel', 'saking', 'kesalnya', 'gue', 'sampe', 'banting', 'cuy', 'ampe', 'kena', 'marah', '']</t>
  </si>
  <si>
    <t>['min', 'mohon', 'maaf', 'cek', 'aplikasi', 'telkomsel', 'paket', 'ceria', 'pas', 'aplikasi', 'masuk', 'aplikasi', 'paket', 'ceria', 'min', 'membeli', 'paket', 'menghemat', 'uang', 'min']</t>
  </si>
  <si>
    <t>['udh', 'seminggu', 'login', 'aplikasinya', 'kecewa', 'tolong', 'diperbaiki', 'pindah', 'kartu', 'halo', 'kartu', 'prabayar', 'karna', 'memberatkan', 'tagihan', 'karto', 'halo', 'kuota', 'nelpon', 'sms', 'terpakai', 'pengen', 'ganti', 'paket', 'harian', 'pengen', 'ganti', 'kartu', 'sayang', 'nomernya', 'udg', 'bertahun', 'tolong', 'banget', 'telkomsel', 'pengen', 'ganti', 'prabayar', 'provider', 'telkomsel', '']</t>
  </si>
  <si>
    <t>['pulsa', 'sedot', 'ngisi', 'pulsa', 'pulsa', 'sedot', 'tolong', 'telkomsel', 'rugi', 'pulsa', 'sedot', '']</t>
  </si>
  <si>
    <t>['isi', 'data', 'aplikasi', 'kartu', 'hilang', 'mentah', 'garparinya', 'beda', 'perusahan', 'gmn', 'namanya', 'telkomsel', 'jngan', 'percaya', 'app', 'email', 'balasan', 'penggunaan', 'mah', 'sekalinya', 'hilang', 'surat', 'kehilangan', 'polisi', 'tanggepin', 'nomor', 'mah', 'registrasi', 'emang', 'histori', 'secanggih', 'kali', '']</t>
  </si>
  <si>
    <t>['tolong', 'telkomsel', 'kembalikan', 'nomor', 'pascabayar', 'prabayar', 'tertipu', 'mengiming', 'kartu', 'halo', 'berganti', 'kartu', 'halo', 'prabayar', 'proses', 'tuntut', 'telkomsel', 'bukti', 'rekaman', '']</t>
  </si>
  <si>
    <t>['kasih', 'bintang', 'karna', 'udah', 'cepat', 'merespon', 'tanggap', 'keluhan', 'kasih', 'bintang', 'udah', 'terselesaikan', 'keluhan', 'terima', 'kasih', '']</t>
  </si>
  <si>
    <t>['aplikasinya', 'bagus', 'cuman', 'kasih', 'bintang', 'karna', 'pulsa', 'berkurang', 'rp', 'rugi', 'atuh', 'aturannya', 'top', 'harga', 'pas']</t>
  </si>
  <si>
    <t>['telkomsel', 'sekrng', 'pemgguna', 'telkomsel', 'dengn', 'skrng', 'parah', 'parah', 'tolong', 'pihal', 'daerah', 'lampung', 'mohon', 'perbaiki', 'sinyal', 'telkomsel', 'hilang', 'jam', 'jaringan', 'edge', 'parah', 'bener', 'sstuap', 'alami', 'kecewaaa', '']</t>
  </si>
  <si>
    <t>['ngapa', 'home', 'cuman', 'muncul', 'koneksi', 'stabil', 'direfresh', 'ngaruh', 'tolong', 'diperbaiki', 'secepatnya']</t>
  </si>
  <si>
    <t>['min', 'knp', 'ngga', 'kebuka', 'aplikasi', 'layar', 'putih', 'ngga', 'msk', 'apl', 'gmna', 'min', 'ngga', 'ngecek', 'pulsa', 'kuota', 'lbh', 'aplikasi', 'min', '']</t>
  </si>
  <si>
    <t>['dear', 'telkomsel', 'paket', 'internet', 'mahal', 'ngga', 'pas', 'kantong', 'rkyat', 'udh', 'sinyalnya', 'susah', 'paket', 'internet', 'mahal', 'gmana', 'pelanggan', 'puas', 'sultan', 'oke', 'sgitu', 'ngga', 'mslh', 'rkyat', 'yaa', 'nyiksa', 'tolong', 'pertimbangkan', '']</t>
  </si>
  <si>
    <t>['buka', 'butuh', 'kcepatan', 'brapa', 'tolong', 'permudah', 'bwt', 'hubunggi', 'kebnyakan', 'iklan', 'promo', 'berbelit', 'akhr', 'smpai', 'krg', 'jaringan', 'tsel', 'buruk', 'mungkn', 'buruk', 'stabil', 'kyak', 'dlu', '']</t>
  </si>
  <si>
    <t>['kecewa', 'telkomsel', 'sinyal', 'buruk', 'hujan', 'harga', 'paketan', 'mahal', 'sebanding', 'sinyalnya', 'kehalang', 'gedung', 'pohon', 'dikit', 'udah', 'internet', 'driver', 'ojol', 'mohon', 'perbaiki', 'mengkritik', 'dlm', 'melayani', 'kebutuhan', 'internet', 'indonesia', 'sekian', 'terima', 'kasih', '']</t>
  </si>
  <si>
    <t>['buruk', 'harga', 'kuota', 'mahal', 'paket', 'data', 'sinyal', 'bener', 'bener', 'ampun', 'stabil', 'pikir', 'telkomsel', 'kapitalis', 'mementingkan', 'keuntungan', 'memperdulikan', 'layanannya', 'bener', 'bener', 'beda', 'telkomsel', 'kesimpulan', 'telkomsel', 'provider', 'mengecewakan', '']</t>
  </si>
  <si>
    <t>['pulsa', 'hilang', 'data', 'diaktifin', 'pakai', 'wifi', 'beli', 'data', 'harga', 'mahal', 'kecepatan', 'kb', 'kecepatan', 'sebanding', 'harganya', '']</t>
  </si>
  <si>
    <t>['bagus', 'banget', 'beli', 'paket', 'aplikasi', 'telkomsel', 'harganya', 'murah', 'pilihan', 'pembayaran', 'link', 'dana', 'ovo', 'shoope', 'pay', 'pokoknya', 'mantap', '']</t>
  </si>
  <si>
    <t>['aplikasi', 'bagus', 'harga', 'kuota', 'kadang', 'mahal', 'promo', 'dapet', 'murah', 'saran', 'kuota', 'habis', 'koneksi', 'internet', 'putus', 'pakai', 'pulsa', 'utama', 'kehabisan', 'pulsa', 'utama', 'kehabisan', 'kuota', 'thanks']</t>
  </si>
  <si>
    <t>['aplikasi', 'lemot', 'loading', 'cek', 'kuota', 'bener', 'poin', 'hilang', 'yaa', '']</t>
  </si>
  <si>
    <t>['bingung', 'aplikasi', 'telkomsel', 'pengguna', 'kartu', 'telkomsel', 'paket', 'berbeda', 'padaha', 'aplikasi', 'iini', 'telkomsel', 'coba', 'kasi', 'pencerahan', '']</t>
  </si>
  <si>
    <t>['', 'telkomsel', 'tehormat', 'toolong', 'perbaiki', 'sinyal', 'wilayah', 'nagara', 'kibin', 'serang', 'banten', 'perum', 'bumi', 'nagara', 'lestari', 'sinyalnya', 'jelek', 'pengguna', 'telkomsel', 'situ', 'perhatiannya', 'terimakasih']</t>
  </si>
  <si>
    <t>['telkomsel', 'semoga', 'pertahankan', 'kualitasnya', 'tolong', 'sinyal', 'hilang', 'tolong', 'diperbaiki', 'kab', 'cirebon', 'jati', 'sukses', 'telkomsel']</t>
  </si>
  <si>
    <t>['maaf', 'gimna', 'tolong', 'diperbaiki', 'telkomsel', 'gini', 'jaringannya', 'duuuh', 'kuliah', 'online', 'suka', 'ilang', 'jaringan', 'menganggu', 'banget', 'jaringan', 'stabil', 'dri', 'meet', 'tolong', 'diperbaiki', '']</t>
  </si>
  <si>
    <t>['lumayan', 'bagus', 'suka', 'promo', 'combo', 'sakti', 'unlimited', 'pas', 'udah', 'dibeli', 'kuota', 'terserap', 'kuota', 'internet', 'kuota', 'unlimited', 'buka', 'tiktok', 'aplikasi', 'unlimited', 'tolong', 'telkomsel', 'diperbaiki', 'pengguna', 'telkomsel', 'mengeluhkan', '']</t>
  </si>
  <si>
    <t>['waahh', 'kacau', 'notif', 'suruh', 'dwlod', 'telkomsel', 'pulsa', 'dwlod', 'bonus', 'pulsa', 'kecewa', 'saia', 'hapus', 'tergiur', 'promo', 'telkomsel', 'mahal', 'mubazir', 'kepake', 'app']</t>
  </si>
  <si>
    <t>['sebel', 'login', 'buka', 'aplikasi', 'nggak', 'mudah', 'akunnya', 'terdaftar', 'beda', 'akun', 'mohon', 'perbaiki', 'min']</t>
  </si>
  <si>
    <t>['cuman', 'ganti', 'deskripsi', 'bintang', 'nggak', 'aplikasi', 'gunanya', 'beli', 'paket', 'internet', 'operator', 'nekat', 'kirim', 'sms', 'paket', 'internet', 'habis', 'pakai', 'tarif', 'dasar', 'cek', 'aplikasi', 'data', 'utuh', 'gb', 'gregetan']</t>
  </si>
  <si>
    <t>['tambahkan', 'daftar', 'paket', 'internet', 'bulanan', 'murah', 'harga', 'dibawah', 'perbanyak', 'promo', 'membantu', 'tim', 'telkomsel', 'merugi', 'memaksakan', 'permintaan', 'sadar', 'anak', 'dibawah', 'umur', '']</t>
  </si>
  <si>
    <t>['pls', 'telkomsel', 'rada', 'kecewa', 'skrg', 'ngerasa', 'aneh', 'gitu', 'gue', 'udah', 'beli', 'kuota', 'nasional', 'pulsa', 'gue', 'kesedot', 'gue', 'sengaja', 'sisain', 'beli', 'unlimited', 'youtube', 'syg', 'pulsa', 'gue', 'saran', 'gue', 'kasih', 'penjelasan', 'kostumer', 'spesifikasi', 'kuota', 'knp', 'pulsa', 'berkurang', 'customer', 'mencegah', 'target', 'marketing', 'terserah', 'customer', 'terbaik', '']</t>
  </si>
  <si>
    <t>['quota', 'boros', 'beda', 'ama', 'operator', 'cek', 'penggunaan', 'data', 'mb', 'terpakai', 'quota', 'lgsg', 'abiss', 'aneh', 'sisanya', 'gb', 'sisa', 'mb', 'mending', 'kartu', 'murah', 'sinyal', 'udah', 'bagus', 'uda', 'mahal', 'nyaman', 'make', 'kartu', '']</t>
  </si>
  <si>
    <t>['udah', 'telkomsel', 'telkomsel', 'berubah', 'drastis', 'telkomsel', 'masoh', 'terjangkau', 'kenyamanan', 'sinyal', 'beda', 'sinyal', 'telkomsel', 'tersedia', 'berpindah', 'pindah', 'telkomsel', 'lancar', 'tolong', 'perbaiki', 'takjub', 'telkomsel', 'kendala', '']</t>
  </si>
  <si>
    <t>['mengerti', 'telkomsel', 'jaringan', 'kualitas', 'terbaik', 'lelet', 'main', 'lemot', 'jaringan', 'udah', 'kayak', 'keong', 'tolong', 'balikin', 'dlu', 'nghk', 'nhecewain', 'kaayaak', 'sekaaraang']</t>
  </si>
  <si>
    <t>['beli', 'paket', 'tgl', 'habis', 'tgl', 'penuh', 'habis', 'masanya', 'paket', 'bingung', '']</t>
  </si>
  <si>
    <t>['pulsa', 'ribu', 'hilang', 'kali', 'kali', 'berkali', 'kali', 'korupsi', 'melulu', 'telkomsel', 'nyesel', 'pakai', 'telkomsel', 'syg', 'kartunya', 'cuman', 'ngisi', 'ribu', 'perpanjang', 'paketan', 'data', 'mnding', 'pakai', 'im', 'oredoo', 'enak', 'poll', 'pantes', 'telkomsel', 'skrang', 'kagak', 'bgitu', 'laku', 'gua', 'sumpahin', 'bangkrut', 'telkomsel', '']</t>
  </si>
  <si>
    <t>['kembalikan', 'telkomsel', 'beli', 'pulsa', 'nambah', 'aktif', 'pulsanya', 'dipake', 'nambah', 'gua', 'telkomsel', 'gua', 'kelas', 'sampe', 'kuliah', 'gua', 'telkomsel', 'smp', 'kelas', 'ttep', 'auto', 'pindah', 'tri', '']</t>
  </si>
  <si>
    <t>['woy', 'telkomsel', 'gua', 'beli', 'kuota', 'gamemax', 'silver', 'buka', 'game', 'sumpah', 'provider', 'bertanggung', 'keuntungan', 'mulu', 'diutamakan', 'sampe', 'sampe', 'rating', 'juta', 'doang', 'pantes', 'sesuai', 'fakta', 'tolonglah', 'jusuf', 'kalla', 'diperhatikan', 'kerja', 'diperusahaan']</t>
  </si>
  <si>
    <t>['sinyal', 'jelek', 'mahal', 'nagih', 'kartu', 'halo', 'cepat', 'banget', 'notif', 'gua', 'lancar', 'bayar', 'telat', 'kesini', 'jijik', 'malas', 'cepat', 'bayar', 'emosi', 'berhenti', 'berlangganan', 'paket', 'telkomsel', 'dying', '']</t>
  </si>
  <si>
    <t>['telkomsel', 'kaga', 'sosmed', 'muter', 'game', 'ping', 'kaga', 'pkoknya', 'telkomsel', 'daerah', 'bsa', 'game', 'udah', 'gitu', 'paket', 'mahal', '']</t>
  </si>
  <si>
    <t>['', 'suruh', 'download', 'aplikasi', 'trus', 'pulsa', 'omong', 'kosong', 'telkomsel', 'taikkkkkkk', 'cacatttttttt', 'sampahhhhh']</t>
  </si>
  <si>
    <t>['poin', 'udah', 'nyampe', 'poin', 'ilang', 'tolong', 'lahh', 'jangn', 'kaya', 'gini', 'jngan', 'mentang', 'pke', 'aplikasi', 'betulin', 'kembangin', 'pertahanin', 'kualitas', 'ngecewain', 'customer', 'mohon', 'perbaikannya', '']</t>
  </si>
  <si>
    <t>['yth', 'telkomsel', 'bngga', 'akn', 'kekuatan', 'sinyal', 'tapu', 'kah', 'gangguan', 'sinyal', 'sehat', 'walafiat', 'banget', 'jalan', 'apapun', 'berbulan', 'daerah', 'muara', 'kelingi', 'kab', 'musi', 'rawas', 'sumatera', 'selatan', 'mohon', 'bantuan', 'terimakasih']</t>
  </si>
  <si>
    <t>['', 'daerah', 'tepannya', 'jalan', 'jawa', 'ujung', 'gading', 'kab', 'pasaman', 'barat', 'prov', 'sumbar', 'jaringan', 'daerah', 'baguss', 'susah', 'kuliah', 'online']</t>
  </si>
  <si>
    <t>['pas', 'beli', 'paket', 'dibilang', 'sisa', 'pulsa', 'mencukupi', 'pulsa', 'motong', 'pulsa', 'sesukanya', 'kuota', 'instagram', 'unlimited', '']</t>
  </si>
  <si>
    <t>['jaringan', 'telkomsel', 'ngak', 'bagus', 'kandas', 'kayak', 'telkomsel', 'ngellek']</t>
  </si>
  <si>
    <t>['aplikasinya', 'bagus', 'kali', 'event', 'daily', 'check', 'kuota', 'gratis', 'event', 'kuota', 'pinjaman', 'kehabisan', 'kuota', 'paket', 'membantu', 'aplikasi', 'best', '']</t>
  </si>
  <si>
    <t>['mahal', 'pulsanya', 'paket', 'data', 'mahal', 'menipu', 'paket', 'data', 'gigabyte', 'tgl', 'pakai', 'habis', 'dikenakan', 'biaya']</t>
  </si>
  <si>
    <t>['sinyal', 'bagus', 'pelanggan', 'kecewa', 'telkomsel', 'bermain', 'game', 'ajh', 'sinyal', 'jelek', 'kecewa', 'baek', 'beralih', 'perdana', 'baek', '']</t>
  </si>
  <si>
    <t>['beli', 'khota', 'murah', 'gb', 'lancar', 'kali', 'lancar', 'masuk', 'trus', 'pas', 'udah', 'kali', 'beli', 'telkomselny', 'sukses', 'pas', 'liat', 'beranda', 'khota', 'sya', 'mohon', 'khota', 'murah', 'kali', 'selebih', 'gagal', 'trss', 'tolong', 'perbaiki']</t>
  </si>
  <si>
    <t>['', 'perampokan', 'uang', 'hilang', 'beli', 'paket', 'disney', 'hotstar', 'kali', 'mengajukan', 'keluhan', 'perintah', 'berikam', 'lakukan', 'membuahkan', 'hasil']</t>
  </si>
  <si>
    <t>['pelanggan', 'telkomsel', 'harga', 'telkomsel', 'wow', 'mahalnya', 'lihat', 'promosi', 'telkomsel', 'semahal', 'coba', 'membeli', 'perdana', 'telkomsel', 'puas', '']</t>
  </si>
  <si>
    <t>['woi', 'telkomsel', 'anjim', 'th', 'telkomsel', 'kali', 'kecewa', 'harga', 'mahal', 'kualitas', 'minus', 'mementingkan', 'untung', 'kah', 'hutang', 'kahh', '']</t>
  </si>
  <si>
    <t>['perubahan', 'lucunya', 'kuota', 'internet', 'abis', 'aplikasi', 'dibuka', 'nyusahin', 'aplikasi', 'dibuka', 'kuota', 'internet', 'habis', 'kaya', 'tetangga', 'sebelah', '']</t>
  </si>
  <si>
    <t>['andalan', 'telkomsel', 'sinyal', 'mahal', 'harga', 'paketan', 'ancurrr', 'minggu', 'raya', 'kemarin', 'sampek', 'tetep', 'ancurrr', 'telkomsel', 'bergerak', 'mengatasi', 'nggak', 'kehilangan', 'ribuan', 'pelanggan']</t>
  </si>
  <si>
    <t>['kecewa', 'udah', 'kali', 'beli', 'paket', 'omg', 'plus', 'disney', 'hotstar', 'gratis', 'sebulan', 'giliran', 'aktifin', 'gabisa', 'telp', 'ngasih', 'sampe', 'abis', 'kuota', 'aktif', 'beli', 'paket', 'combo', 'gratis', 'disney', 'dipake', 'costumer', 'php', 'provider', 'plat', 'merah', 'kali', 'ngasih', 'gratis', 'php', 'beli', 'kepercayaan', 'kartu', '']</t>
  </si>
  <si>
    <t>['rugi', 'gue', 'langganan', 'telkomsel', 'main', 'game', 'moot', 'internetnya', 'pas', 'gue', 'cek', 'kecepatan', 'internet', 'ternya', 'detik', 'tuhh', 'kb', 'detik', 'kecewa', 'telkomsel', 'beli', 'data', 'pulsa', '']</t>
  </si>
  <si>
    <t>['udah', 'mahal', 'pulsa', 'kuota', 'jaringan', 'merata', 'tolong', 'jaringan', 'telkomsel', 'perbaiki', 'merata', 'tinggal', 'kampung', 'susah', 'banget', 'jaringan', 'pakai', 'kartu', 'telkomsel', 'harap', 'telkomsel', 'bertindak', 'secepatnya', 'ngeluh', 'terima', 'kasih']</t>
  </si>
  <si>
    <t>['assalamualaikum', 'pengguna', 'kartu', 'tsel', 'komplain', 'jaringan', 'tsel', 'stabil', 'cenderung', 'konektifitas', 'mohon', 'benahi', 'pengguna', 'kecewa', 'beralih', 'kartu', 'trims']</t>
  </si>
  <si>
    <t>['kasih', 'kasih', 'bintang', 'paket', 'mahal', 'selangit', 'jaringan', 'anjlok', 'kebun', 'binatang', 'pas', 'nge', 'lag', 'bngat', 'main', 'game', '']</t>
  </si>
  <si>
    <t>['provider', 'lokal', 'kaya', 'sampah', 'pulsa', 'tinggal', 'ribu', 'pas', 'kuota', 'ketengan', 'beli', 'ketengan', 'masuk', 'salah', 'pencet', 'berlangganan', 'panji', 'tolol', 'masuk', 'berlangganan', 'sampe', 'beli', 'kuota', 'ketengan', 'duluan', 'udh', 'kehitung', 'duit', 'dimakan', 'provider', 'mudah', 'berkah', 'makan', 'sampe', 'anak', 'cucunya', 'penyakit']</t>
  </si>
  <si>
    <t>['mulu', 'pingnya', 'main', 'game', 'udah', 'hubungi', 'kali', 'ngaruh', 'gini', 'provider', 'terbaik', 'tkp', 'membuktikan']</t>
  </si>
  <si>
    <t>['pakai', 'telkomsel', 'sinyal', 'stabil', 'cocok', 'banget', 'dunia', 'marketing', 'pakai', 'aplikasi', 'telkomsel', 'mudah', 'ucapkan', 'terimakasih', 'telkomsel', 'bagikan', 'voucher', 'king', 'burger', 'kemaren', 'lusa', 'pokok', 'puas']</t>
  </si>
  <si>
    <t>['mohoon', 'aplikasi', 'mytelkomsel', 'boohong', 'suruh', 'donlot', 'plsa', 'yatanya', 'download', 'pulsanya', '']</t>
  </si>
  <si>
    <t>['telkomsel', 'bururkkkkkkkkkk', 'terlebihnya', 'disaat', 'promo', 'udah', 'isi', 'pls', 'beli', 'paket', 'pas', 'beli', 'diperbaiki', 'mbakkk', 'massss', 'hbis', 'pikir', 'jga', 'beli', 'pkt', 'harian', 'mb', 'harganya', 'rb', 'jrgn', 'sebelah', 'mah', 'rb', 'udh', 'dpt', 'gb', 'hr', 'wkwkwkwk']</t>
  </si>
  <si>
    <t>['aplikasi', 'udah', 'bagus', 'promo', 'menarik', 'ditawarkan', 'dalamnya', 'kecewa', 'poin', 'bug', 'kadang', 'masuk', 'aplikasi', 'login', 'login', 'poin', 'kumpulkan', 'kosong', 'tolong', 'diperbaiki', 'harap', 'perbaikan', 'poin', '']</t>
  </si>
  <si>
    <t>['tolong', 'fitur', 'kunci', 'pulsa', 'kuota', 'lupa', 'menyalakan', 'data', 'internet', 'pulsa', 'terpotong', 'banget', 'kelupaan', 'menyalakan', 'data', 'internet', 'pulsa', 'terbuang', 'sia', 'sia', 'tolong', 'banget', 'fitur', 'kayak', '']</t>
  </si>
  <si>
    <t>['hallo', 'telkomsel', 'aplikasinya', 'sewot', 'mulu', 'udah', 'susah', 'hank', 'mulu', 'tolong', 'donk', 'perbaiki', 'penggunanya', 'nyaman', '']</t>
  </si>
  <si>
    <t>['gimana', 'sihhh', 'dapet', 'sms', 'telkomsel', 'donload', 'mytelkomsel', 'dapet', 'pulsa', 'rb', 'donlod', 'tungguin', 'ttp', 'dapet', 'gmn', 'boong', '']</t>
  </si>
  <si>
    <t>['telkomsel', 'mahal', 'jaringan', 'lancar', 'indonesia', 'pelosok', 'wni', 'pakai', 'card', 'telkomsel', 'orang', 'indonesia', 'mesti', 'wajib', 'pakai', 'telkomsel', 'khusus', 'kartu', 'keluarga', 'nelfon', 'sms', '']</t>
  </si>
  <si>
    <t>['aneh', 'poin', 'jdi', 'dicuri', 'sma', 'tkomsel', 'pdahl', 'jarang', 'dipake', 'pemakaian', 'pulsa', 'rb', 'emank', 'prnah', 'dpt', 'hadiah', 'poin', 'poin', 'jdi', 'notif', 'ckckc']</t>
  </si>
  <si>
    <t>['asli', 'ribet', 'grafari', 'bawa', 'ktp', 'ortu', 'orangnya', 'trus', 'orang', 'struk', 'dibawa', 'aturan', 'ngeribetin', 'suka', 'birokrasi', 'ribet', 'sekelas', 'telkomsel']</t>
  </si>
  <si>
    <t>['cuaca', 'cerah', 'lelet', 'bin', 'lemooot', 'mendung', 'hujan', 'mati', 'lampu', 'fix', 'berasa', 'hidup', 'dihutan', 'terjamah', 'signal', 'signal', 'stabil', 'keknya', 'mustahil', 'provider', 'udh', 'byk', 'ngeluh', 'tpi', 'ttep', 'perubahan', 'ntahlah', 'kdg', 'mpe', 'uring', 'buka', 'apapun', 'loading', 'hopeless', '']</t>
  </si>
  <si>
    <t>['aplikasi', 'telkomsel', 'memudahkan', 'mengecek', 'kuota', 'paket', 'data', 'membelinya', 'terimakasih', 'kmu', 'daftar', 'vtube', 'blm', 'seponsor', 'silahkan', 'pakai', 'idq', 'gratis', '']</t>
  </si>
  <si>
    <t>['', 'ambil', 'pulsa', 'darurat', 'pas', 'pencet', 'dlm', 'kriteria', 'paket', 'darurat', 'udh', 'lunasin', 'paket', 'darurat', 'ambil']</t>
  </si>
  <si>
    <t>['menyesal', 'telkomsel', 'kesini', 'jaringan', 'buruk', 'burukk', 'sinyal', 'baguss', 'ping', 'stabil', 'parah', 'tkp', 'pahonjean', 'majenang', 'cilacap', 'jawa']</t>
  </si>
  <si>
    <t>['maaf', 'bintang', 'jujur', 'puas', 'pelayanan', 'telkomsel', 'promo', 'gb', 'harga', 'mengisi', 'ulang', 'pulsa', 'mencoba', 'membeli', 'paketnya', 'paket', 'masuk', 'pulsa', 'dirugikan', 'harap', 'pelayanan', 'tolong', 'perbaiki']</t>
  </si>
  <si>
    <t>['', 'samsung', 'aplikasi', 'telkomsel', 'buka', 'konflik', 'system', 'samsung', 'force', 'close', 'aplikasi', 'samsung', 'telkomsel', 'tlng', 'diperbaiki']</t>
  </si>
  <si>
    <t>['telkomsel', 'mkin', 'parah', 'ajg', 'dlu', 'jringannya', 'pke', 'live', 'treaming', 'skrng', 'chatingan', 'kdng', 'pnding', 'mulu', 'sngguh', 'mngecewakan', 'udh', 'pling', 'mahal', 'mke', 'telkomsel', 'gua', 'saranin', 'mnding', 'pke', 'operator', '']</t>
  </si>
  <si>
    <t>['sinyal', 'smkin', 'pas', 'ganti', 'sungguh', 'menikmati', 'kondisi', 'sinyal', 'karna', 'memainkan', 'game', 'kartu', 'sinyal', 'parah', 'mengisi', 'pulsa', 'pulsa', 'sya', 'auto', 'kesedot', 'mohon', 'diperbaiki', 'sinyalnya']</t>
  </si>
  <si>
    <t>['kesini', 'lemot', 'sinyal', 'kayak', 'ganti', 'kartu', 'perbaiki', 'mentang', 'customer', 'lelet', 'gini', '']</t>
  </si>
  <si>
    <t>['semoga', 'telkomsel', 'canggih', 'era', 'digitalisasi', 'selamat', 'kesuksesan', 'telkomsel', '']</t>
  </si>
  <si>
    <t>['aplikasi', 'tergoblok', 'ciptakan', 'provider', 'kelas', 'beli', 'paket', 'susah', 'cek', 'koneksi', 'internet', 'gitu', 'sampe', 'telkomsel', 'bangkrut', 'sesuai', 'harga', 'cok', '']</t>
  </si>
  <si>
    <t>['telkomsel', 'balikpapan', 'kota', 'down', 'browsing', 'bayar', 'mahal', 'halo', 'dipakai', '']</t>
  </si>
  <si>
    <t>['kecewa', 'banget', 'telkomsel', 'poin', 'hilang', 'dipakai', 'ditukar', 'ngumpulin', 'poin', 'platinum', 'berharap', 'ditukar', 'paket', 'data', 'poin', 'hangus', 'kemana', 'pliss', 'kembalikan', 'poin', '']</t>
  </si>
  <si>
    <t>['super', 'lemod', 'jaringan', 'operator', 'lapor', 'pengaduan', 'jawabanya', 'doang', 'matin', 'restar', 'ganti', 'mode', 'penerbangan', 'emng', 'ngechas', 'matiin', 'basiii', 'telkomnya', 'perbaikn', 'jaringn', 'bohong', 'pke', 'kartu', 'halo', 'pemakaian', 'tpi', 'bayar', 'tetep', 'nyeseeeell', '']</t>
  </si>
  <si>
    <t>['provider', 'sinyal', 'hilang', 'hilangan', 'provider', 'nomer', 'provider', 'terbaik', 'siyal', 'udah', 'ngga', 'mahal', 'pilihan', 'paket', 'bulanannya', 'mohon', 'provoder', 'tolol', 'pikiran', 'sinyal', 'burik', 'jam', 'jam', '']</t>
  </si>
  <si>
    <t>['rating', 'apliasi', 'kejelasan', 'konsistensi', 'liat', 'aplikasi', 'saudara', 'roli', 'program', '']</t>
  </si>
  <si>
    <t>['kecewa', 'telkomsel', 'beli', 'data', 'internet', 'internet', 'lokal', 'sesuai', 'lokasi', 'pembelian', '']</t>
  </si>
  <si>
    <t>['pengguna', 'harap', 'telkomsel', 'konsisten', 'menawarkan', 'promo', 'paket', 'promo', 'hilang', 'beli']</t>
  </si>
  <si>
    <t>['telkomsel', 'beli', 'paket', 'ekstra', 'unlimited', 'unlimited', 'youtube', 'data', 'berrkurang', 'tolong', '']</t>
  </si>
  <si>
    <t>['tolong', 'kak', 'perbaiki', 'jaringan', 'daerah', 'bagus', 'sinyal', 'suka', 'hilang', 'hilangan', 'kebakaran', 'jambi', 'salah', '']</t>
  </si>
  <si>
    <t>['asli', 'telkomsel', 'jaringan', 'lemot', 'bangeet', 'herannya', 'giliran', 'kuota', 'udh', 'tinggal', 'dikit', 'kenceng', 'banget', 'giliran', 'ditambah', 'kuota', 'lemot', 'hadeeeh', 'perbaikin', 'sampe', 'pelanggan', 'pindah', 'provider']</t>
  </si>
  <si>
    <t>['tolong', 'kualitas', 'jaringannya', 'diperhatikan', 'harga', 'paket', 'datanya', 'jaringannya', 'paket', 'data', 'blabla', 'paket', 'data', 'blabla', 'kualitas', 'jaringannya', 'beda', 'diperhatikan', 'jaringannya', 'untung', 'doang', 'masukannya', 'thx', 'telkomsel', 'menemaniku']</t>
  </si>
  <si>
    <t>['rip', 'telkomsel', 'pakai', 'telkomsel', 'skarang', 'kecewa', 'lemot', 'parah', 'jaringan', 'terputus', 'nonton', 'youtub', 'buffering', 'video', 'call', 'terputus', 'tanggung', 'beli', 'paket', 'ganti', 'provider', 'im', 'lancar', 'bye', 'telkomsel']</t>
  </si>
  <si>
    <t>['gima', 'siang', 'upgrade', 'upgrade', 'sinyal', 'aman', 'main', 'game', 'lancar', 'lag', 'upgrade', 'sinyal', 'putus', 'nyambung', 'parah', 'main', 'game', 'lag', 'udah', 'wajibkan', 'beli', 'data', 'grahapari', 'koneksi', 'internet', 'parah', 'emosi', 'coeg']</t>
  </si>
  <si>
    <t>['jaringan', 'gangguan', 'koneksi', 'terputus', 'desember', 'kemarin', 'susah', 'buka', 'aplikasi', 'android', 'mohon', 'area', 'kalimantan', 'timur', 'samarinda']</t>
  </si>
  <si>
    <t>['membantu', 'jaringan', 'lemot', 'telkomsel', 'jaringan', 'buktinya', 'sinyal', 'kuat', 'banget', 'jam', 'malem', 'emang', 'begadang', 'gitu', 'mending', 'beli', 'kartu', 'kek', 'gini']</t>
  </si>
  <si>
    <t>['gangguan', 'terusss', 'segini', 'bagus', 'koneksi', 'malahh', 'gangguannn', '']</t>
  </si>
  <si>
    <t>['area', 'sulawesi', 'jaringan', 'telkomsel', 'ampun', 'lemot', 'banget', 'unlimited', 'untung', 'kartu', 'tri', 'nggak', 'telkomsel', 'kalinya', 'data', 'telkomsel', 'bye', 'bye', 'telkomsel']</t>
  </si>
  <si>
    <t>['jaringan', 'telkomsel', 'mahal', 'bagus', 'kalah', 'telkomsel', 'kerja', 'mending', 'jual', 'asing', 'pelayanannya', 'bagus']</t>
  </si>
  <si>
    <t>['jujur', 'kesel', 'banget', 'telkomsel', 'gunanya', 'fitur', 'feronika', 'sekedar', 'robot', 'bales', 'mendingan', 'ditongolin', 'aplikasi', 'konsultasi', 'dipersulit', 'trus', 'fitur', 'vas', 'aktif', 'telpon', 'orang', 'gangguan', 'mulu', 'rugiii', 'bayar', 'gituan', 'gaguna', 'asli', 'fiturnya', 'useless']</t>
  </si>
  <si>
    <t>['telkomsel', 'faedah', 'gua', 'isi', 'pulsa', 'gua', 'cek', 'kosong', 'ganti', 'peket', 'darurat', 'kpn', 'pulak', 'data', 'telkomsel', 'antah', 'hutang', 'internet', 'ikhlas', 'dunia', 'akhirat', '']</t>
  </si>
  <si>
    <t>['th', 'pelanggan', 'setia', 'telkomsel', 'kesini', 'sinyal', 'telkomsel', 'jelek', 'banget', 'yaa', 'tolong', 'diperbaiki', 'diisi', 'kuota', 'kirim', 'video', 'status', 'gagal', 'terozzz', 'buka', 'youtobe', 'jugaaa', 'muter', 'jaringan', 'telkomsel', 'bagus', 'ayo', 'donk', 'ditingkatkan', 'pelanggan', 'setia', 'telkomsel', 'kabuuurrrr', 'sinyal', 'kaya', 'gini', 'mah', 'sinyal', 'udah', 'bagus', 'rattingnya', '']</t>
  </si>
  <si>
    <t>['kasih', 'bintang', 'kecewa', 'januari', 'paket', 'omg', 'paket', 'telpon', 'paket', 'sli', 'paket', 'internetnya', 'tersedia', 'paket', 'mahal', 'termurah', 'paket', 'combo', 'rb', 'mgu', 'sunggguh', 'dangat', 'mahal', 'kecewa', 'telkomsel']</t>
  </si>
  <si>
    <t>['promo', 'pesan', 'ceria', 'dapet', 'gb', 'coba', 'sms', 'hasinya', 'nihil', 'balasan', 'ngg', 'niat', 'promo', 'ngga', 'ngasih', 'harapan', 'sayang', 'kuata', 'terbeli', 'ngga', 'paketinn', 'udah', 'paket', 'telkomsel', 'mahal', 'kecewa', 'telkomsel']</t>
  </si>
  <si>
    <t>['telkomsel', 'beli', 'paket', 'gamesmax', 'kesedot', 'kuota', 'utama', 'paket', 'gamesnya', 'kuota', 'habis', 'paket', 'gamesnya', 'berfungsi', 'tolong', 'klok', 'paket', 'game', 'game', 'jan', 'nyedot', 'utama']</t>
  </si>
  <si>
    <t>['telkomsel', 'kacau', 'udah', 'maakai', 'telkomsel', 'udah', 'thn', 'lbh', 'tarifnya', 'ttp', 'mahal', 'dpt', 'combo', 'sakti', 'murah', 'mlh', 'nomer', 'nomer', 'dikasih', 'lantaran', 'nomer', 'udah', 'udah', 'ganti', 'operator']</t>
  </si>
  <si>
    <t>['isi', 'pulsa', 'jam', 'pagi', 'aplikasi', 'pembayaran', 'banking', 'sampe', 'sore', 'gini', 'pulsanya', 'masuk', 'dihubungi', 'blm', 'pembayaran', 'masuk', 'udah', 'berhasil', 'transfer', 'lho', 'buktinya', 'plus', 'udah', 'dikirim', 'bukti', 'pembayaran', 'csnya', 'telkomsel', 'kali', 'digini', 'telkomsel', 'disuruh', 'nunggu', 'besoknya', 'urgen', 'gimana', 'wooyyy', 'bener', 'bener', 'kecewa']</t>
  </si>
  <si>
    <t>['aplikasi', 'opsi', 'paket', 'paket', 'hilang', 'menu', 'nanya', 'via', 'admin', 'disuruh', 'bersihkan', 'cache', 'reinstall', 'aplikasi', 'berhasil', 'besoknya', 'errornya', 'ujung', 'ujungnya', 'beli', 'kuota', '']</t>
  </si>
  <si>
    <t>['telkomsel', 'plis', 'deh', 'ngadain', 'promo', 'bener', 'wktu', 'smsnya', 'bru', 'msuk', 'blg', 'promo', 'bru', 'daftar', 'pke', 'pulsa', 'blgnya', 'promonya', 'sedih', 'bener', 'gua', 'udh', 'make', 'telkomsel', 'tahunan', 'msh', 'nmr', 'jrg', 'dpt', 'promo', 'dpt', 'wktu', 'sedih', '']</t>
  </si>
  <si>
    <t>['nyesel', 'update', 'pas', 'update', 'dftar', 'pembelian', 'promo', 'kemarin', 'beli', 'shopnya', 'nyesel', 'banget']</t>
  </si>
  <si>
    <t>['tolong', 'kelurahan', 'pulopadang', 'kabupaten', 'labuhan', 'batu', 'sharing', 'prrusahaan', 'telkomsel', 'bodohin', 'masyarakat', 'iklan', 'jaringan', 'terluas', 'knapa', 'daerah', 'jaringan', 'telkomsel', 'lelet', 'kali', 'jaringan', 'terluas', 'tolong', 'perbaikilah', 'kabupaten', 'labuhanbatu', 'daerah', 'pulo', 'padang', 'lingk', 'perlayuan', 'kecamatan', 'rantau', 'utara', '']</t>
  </si>
  <si>
    <t>['pas', 'masuk', 'lubur', 'telkomsel', 'lakukan', 'blokir', 'mpadahal', 'libur', 'bayar', 'karna', 'sistem', 'gangguan', 'bayar', 'tolerasi', 'kek', 'habiskan', 'liburan', 'pandemi', 'goliran', 'konsumen', 'mengalami', 'ganggguan', 'disuruh', 'sabar', 'professional']</t>
  </si>
  <si>
    <t>['apk', 'jelek', 'banget', 'booong', 'hayuk', 'palepalepale']</t>
  </si>
  <si>
    <t>['telkomsel', 'area', 'sumatera', 'signal', 'labil', 'mohon', 'tinjau', 'ditingkatkan', 'segi', 'pemancar', 'daya', 'responsibility', 'kuat', 'jaya', 'telkomsel', 'indonesia', 'terima', 'kasih', '']</t>
  </si>
  <si>
    <t>['tekomsel', 'sinyal', 'kenceng', 'beda', 'terdepan', 'jaringan', 'anggap', 'pakai', 'kartu', 'telkomsel', 'orang', 'menengah', 'seiring', 'berjalan', 'telkomsel', 'sinyal', 'lemot', 'jenis', 'paketan', 'berubah', 'stabil', 'tolong', 'perbaiki', 'sistem', 'telkomsel', 'sinyal', 'cepat', 'paket', 'data', 'stabil']</t>
  </si>
  <si>
    <t>['kecewa', 'telkomsel', 'beli', 'kuota', 'ketengan', 'youtube', 'pulsa', 'nyisa', 'kesedot', 'tolong', 'deh', 'diperbaiki', 'ganti', 'pulsa', 'udah', 'kali', '']</t>
  </si>
  <si>
    <t>['kecewa', 'combo', 'sakti', 'dihilangkan', 'males', 'beli', 'paket', 'klau', 'gini', 'trus', 'mending', 'ber', 'alih', 'pakai', 'kartu', 'omg', 'paket', 'mahal', 'pasang', 'wifi', 'klau', 'kaya', 'gini', 'trus']</t>
  </si>
  <si>
    <t>['', 'ngumpul', 'stamp', 'stamp', 'udah', 'redeem', 'kuota', 'gb', 'pas', 'cek', 'dihapus', 'ashu', 'jaringan', 'kek', 'ashu', 'harga', 'kuota', 'mahal', 'mahal', 'pandemi', 'susah', 'cari', 'uang', 'woy', 'hacker', 'bobol', 'situs', 'telkomsel', 'turun', 'harganya', 'turun', 'mendingan', 'diturinin', 'gitu', 'beli', 'pulsa', 'trus', 'beli', 'kuota', 'diapk', 'telkomsel', 'ikhlas', 'nurunin', 'harganya', 'gitu', 'woyyyy']</t>
  </si>
  <si>
    <t>['masuk', 'aplikasi', 'install', 'masuk', 'masuk', 'hapus', 'apk', 'install', 'solusinya', '']</t>
  </si>
  <si>
    <t>['membantu', 'merepotkan', 'penggunanya', 'kekurangan', 'mengklik', 'dipilih', 'dibuka', 'lambat', 'jenuh', 'seakan', 'berfikir', 'jaringan', 'bagus', 'jaringan', 'full', 'tpi', 'apalah', 'intunya', 'perfect', '']</t>
  </si>
  <si>
    <t>['suka', 'aplikasi', 'mytelkomsel', 'cek', 'kuota', 'langsung', 'aplikasi', 'beli', 'paket', 'data', 'terima', 'kasih', 'mytelkomsel', '']</t>
  </si>
  <si>
    <t>['parah', 'jaringan', 'internet', 'lemot', 'giliran', 'dihubungi', 'peningkatan', 'jaringan', 'penangannya', 'kualitas', 'jaringan', 'internet', 'lemot', 'lambat', 'lambat', 'siput', 'csnya', 'nggak', 'gunanya', 'dibantu', 'gitu', 'doang', 'sampe']</t>
  </si>
  <si>
    <t>['parah', 'jaringan', 'lemod', 'kuota', 'ehh', 'kasih', 'kuota', 'combo', 'otomatis', 'provider', 'nyedot', 'pulaa', 'paksaaaa', 'benr', 'kecwaaaaaaa']</t>
  </si>
  <si>
    <t>['aplikasi', 'telkomsel', 'bermanfaat', 'keren', 'murah', 'mengomentari', 'tolong', 'unlimited', 'perpanjangan', 'mengomentari', 'sekian', 'terimakasih', '']</t>
  </si>
  <si>
    <t>['daily', 'chekin', 'ilang', 'pas', 'dkt', 'klaim', 'hadiah', 'kuota', 'gb', 'lgsg', 'ilang', 'daily', 'chekinnya', 'sengaja', 'kah', 'parah', 'telkomsel', 'php', 'buruk', '']</t>
  </si>
  <si>
    <t>['telkomsel', 'pulsa', 'disedot', 'jaringan', 'lemot', 'harga', 'mencekam', 'beli', 'paket', 'harga', 'berubah', 'org', 'beli', 'semahal', 'tolong', 'turunkan', 'harga', 'jngan', 'diubah', 'pulsa', 'disedot', 'yaaaa', 'gimana', 'beli', 'kuota', 'pulsa', 'dicuri']</t>
  </si>
  <si>
    <t>['app', 'buruk', 'cek', 'sisa', 'quota', 'login', 'ngapain', 'coba', 'login', 'mending', 'klik', 'login', 'lsng', 'masuk', 'arah', 'sms', 'link', 'pas', 'klik', 'link', 'error', 'nyesel', 'gwe', 'iya', 'kebantu', 'nyebelin', 'pelanggan', 'nyaman', 'kesel', 'maaf', 'ane', 'hapus', 'app', 'mending', '']</t>
  </si>
  <si>
    <t>['min', 'aplikasinya', 'lemot', 'loading', 'ulang', 'berkali', 'berubah', 'tampilan', 'kayaknya', 'cepet', 'aplikasi', 'lola', 'perbaiki', 'lola', 'min', 'aplikasi', 'lola', 'sinya', 'full', '']</t>
  </si>
  <si>
    <t>['sumpah', 'kecewa', 'banget', 'apk', 'penipu', 'beli', 'paket', 'unlimited', 'bln', 'trus', 'habis', 'dmnta', 'beli', 'metode', 'berlangganan', 'bsa', 'sebulan', 'tulisannya', 'sungguh', 'kecewa', 'aplikasi', 'penipu', 'terimakasih', '']</t>
  </si>
  <si>
    <t>['menurun', 'drastisssss', 'kecewa', 'pelayanan', 'jaringan', 'internetnya', 'tolong', 'donk', 'cepat', 'cepat', 'diperbaiki', 'pelanggannya', 'kaburrr', 'trims']</t>
  </si>
  <si>
    <t>['hlo', 'telkomsel', 'skarang', 'lgi', 'pakai', 'internet', 'tsel', 'buruk', 'lokasi', 'kec', 'sungai', 'menang', 'bebah', 'pasar', 'tradisional', 'sumsel', 'mohon', 'perbaikannya', '']</t>
  </si>
  <si>
    <t>['harapan', 'tolong', 'kembalikan', 'kartu', 'mode', 'loop', 'jujur', 'terbelenggu', 'simpati', 'hallo', '']</t>
  </si>
  <si>
    <t>['langganan', 'internet', 'potong', 'langsung', 'pulsa', 'langsung', 'dipotong', 'internet', 'isi', 'pulsa', 'rb', 'tgl', 'januari', 'langsung', 'masuk', 'kuota', 'internet', 'tgl', 'isi', 'rb', 'rencananya', 'paket', 'telfon', 'masuk', 'pulsa', 'langsung', 'kepotong', 'internet', 'kuota', 'internet', 'sebulan', 'kuota', 'pakai', 'sebulan', '']</t>
  </si>
  <si>
    <t>['terimakasih', 'aplikasi', 'mytelkomsel', 'mudah', 'cek', 'kuota', 'beli', 'kuota', 'mohon', 'aplikasinya', 'ditingkatkan', 'karna', 'eror', 'cek', 'harian', 'kali', 'hilang', 'trimakasih']</t>
  </si>
  <si>
    <t>['jahatnya', 'telkomsel', 'paketan', 'data', 'habis', 'langsung', 'putus', 'koneksinya', 'nyedot', 'data', 'pulsa', 'reguler', 'muahalnya', 'ketulungan', 'paketannya', 'mahal', 'sedunia', 'telkomsel', 'adl', 'bumn', 'keberadaannya', 'mensejahterakan', 'rakyat', 'mesin', 'penyedot', 'uang', 'rakyat', 'mempertahankan', 'nomer', 'sim', 'campakkan', 'kartu', '']</t>
  </si>
  <si>
    <t>['telkomsel', 'mahal', 'jaringan', 'lumayan', 'bagus', 'buruk', 'rto', 'jaringan', 'suka', 'hilang', 'terima', 'kasih', 'telkomsel', 'layanan', 'buruk', '']</t>
  </si>
  <si>
    <t>['signal', 'kadang', 'buruk', 'kuota', 'cepet', 'habis', 'masak', 'sebulan', 'habis', 'pengguna', 'hallo', 'kartut', 'sell', 'kartu', 'sell', 'jaringannya', 'bagus', 'boros', 'penggennyan', 'hallonya', 'non', 'aktifkan', 'sesuai', 'kenyataan', 'prioritas', 'grapary', 'tetep', 'perlakuannya', 'antri', 'pengguna', 'kartu', 'hallo', 'butuh', 'pelayanan', 'berbeda', 'pelanggan', 'gimana', 'memperbanyak', 'user', 'servis', 'bagus', '']</t>
  </si>
  <si>
    <t>['isi', 'pulsa', 'pulsa', 'lgsg', 'kepotong', 'pulsa', 'darurat', 'pdhl', 'make', 'pulsa', 'darurat', 'complain', 'brp', 'solusi', 'poin', 'telkomsel', 'pdhl', 'blm', '']</t>
  </si>
  <si>
    <t>['pas', 'beli', 'paket', 'koneksi', 'gagal', 'pulsanya', 'ujung', 'pulsa', 'hangus', 'habis', 'pulsanya', 'udah', 'habis', 'koneksi', 'lansung', 'lancar', 'suruh', 'isi', 'ulang', 'pulsa']</t>
  </si>
  <si>
    <t>['aplikasi', 'simpel', 'mudah', 'proses', 'gampang', 'terpercaya', 'cek', 'pulsa', 'kuota', 'internet', 'harga', 'murah', 'terjangkau', '']</t>
  </si>
  <si>
    <t>['upgrade', 'lemot', 'loading', 'buruk', 'pembelian', 'paket', 'berfungsi', 'pembayaran', 'shopeepay', 'kesal', 'aplikasi', 'telkomsel', 'karna', 'mengaktifkan', 'data', 'beli', 'melelaui', 'pembayaran', 'shopeepay', 'saldo', 'kembalikan', '']</t>
  </si>
  <si>
    <t>['kecewa', 'berat', 'poin', 'kumpulkan', 'hilang', 'pakai', 'heran', 'tukar', 'poin', 'paket', 'data', 'pakai', 'pulsa', 'kagak', 'tukar', 'poin', 'pembelian', 'pulsa']</t>
  </si>
  <si>
    <t>['kasih', 'bintang', 'masukan', 'jaman', 'serba', 'digital', 'aplikasi', 'telkomsel', 'merut', 'tertinggal', 'pembayaran', 'pembelian', 'pulsa', 'paket', 'pembayaran', 'rekening', 'listrik', 'air', 'pembayaran', 'tagiha', 'lakukan', 'aplikasi', 'nama', 'hebat', 'rugi', 'kasih', 'bintang', '']</t>
  </si>
  <si>
    <t>['kemarin', 'paket', 'unlimited', 'pelit', 'kali', 'kasih', 'isi', 'pulsa', 'minimal', 'rb', 'habis', 'paket', 'gb', 'beli', 'maksimal', 'rb', 'pelit', 'pelayanan', 'mantap', 'kecewa', '']</t>
  </si>
  <si>
    <t>['telkomsel', 'sinyal', 'emang', 'bagus', 'parah', 'koneksi', 'stabil', 'jaringan', 'lelet', 'seiiring', 'berjalan', 'peningkatan', 'penurunan', 'boss', '']</t>
  </si>
  <si>
    <t>['bayarnya', 'doang', 'mahal', 'jaringan', 'lag', 'tolong', 'perbaiki', 'kaya', 'jaringan', 'pindah', 'jaringan', 'pengguan', 'telkomsel', '']</t>
  </si>
  <si>
    <t>['telkomsel', 'the', 'best', 'dimanapun', 'sinyal', 'pelosok', 'manapun', 'hutan', '']</t>
  </si>
  <si>
    <t>['signal', 'tekomsel', 'error', 'gitu', 'klu', 'mati', 'lampu', 'signal', 'telkomsel', 'mati', 'total', 'kyk', 'signal', 'telkomsel', 'skrg', 'signal', 'telkomsel', 'error', 'rugi', 'beli', 'kuota', 'internet', 'bnyk', 'ujung', 'kepake', '']</t>
  </si>
  <si>
    <t>['hai', 'trlkomsel', 'sinyal', 'eror', 'belanja', 'telkomsel', 'ekonomis', 'berseponsor', 'promosi', 'hasilnya', 'sesuai', 'promosinya', '']</t>
  </si>
  <si>
    <t>['jaringan', 'harga', 'sesuai', 'mahal', 'doang', 'login', 'internet', 'parah', 'banget', 'coba', 'perbaiki', 'mengecewakan', 'pelanggan', '']</t>
  </si>
  <si>
    <t>['saldo', 'pulsa', 'beli', 'paket', 'hiburan', 'harga', 'pulsa', 'bener', 'kecewa', 'mohon', 'penjelasannya', '']</t>
  </si>
  <si>
    <t>['min', 'komplain', 'skrg', 'aktif', 'kartunya', 'cepet', 'isi', 'pulsa', 'aktifnya', 'mohon', 'maaf', 'suka', 'sistem', '']</t>
  </si>
  <si>
    <t>['sinyal', 'jelek', 'stabil', 'pelajar', 'menyusahkan', 'hilang', 'sinyal', 'ganti', 'provider', '']</t>
  </si>
  <si>
    <t>['aplikasinya', 'membantu', 'customer', 'aplikasi', 'ngebuat', 'panas', 'suka', 'ngeclose', 'pas', 'buka', 'lemot', 'ngebantu', 'customer', 'rusak', 'sorry', 'semoga', 'perbaikan', 'mengalami', 'sampe', 'perbaikan', '']</t>
  </si>
  <si>
    <t>['tolong', 'benerin', 'kualitas', 'sinyalnya', 'puas', 'kualitas', 'sinyalnya', 'gangguan', 'gangguan', 'rasakan', 'main', 'game', 'buka', 'apk', 'sosial', 'media', '']</t>
  </si>
  <si>
    <t>['duh', 'parah', 'simpati', 'pulsa', 'disedot', 'habis', 'buka', 'akulaku', 'menit', 'pulsa', 'langsung', 'ludes', 'kuota', 'internet', 'kecewa']</t>
  </si>
  <si>
    <t>['aplikasi', 'mempermudah', 'sisa', 'pulsa', 'kuota', 'aktif', 'kartu', 'paket', 'data', 'membeli', 'paket', 'kuotatanpa', 'repot', 'menghubungi', 'operator', 'menggosok', 'voucher', '']</t>
  </si>
  <si>
    <t>['mengecewakan', 'sinyalnya', 'bener', 'jelek', 'banget', 'pakai', 'pascabayar', 'kuota', 'didapet', 'gini', 'mending', 'pakai']</t>
  </si>
  <si>
    <t>['aplikasi', 'telkomsel', 'efisien', 'gampang', 'sisah', 'paket', 'promo', 'internet', 'nomor', 'aplikasi', 'terimakasih']</t>
  </si>
  <si>
    <t>['pengalaman', 'kartu', 'telkomsel', 'kampung', 'bagus', 'ganti', 'kartu', 'telkomsel', 'sinyalnya', 'sunguh', 'stabil', 'banget', 'mesti', 'kampung', 'trimakasih', 'telkomsel', '']</t>
  </si>
  <si>
    <t>['buka', 'aplikasi', 'beli', 'kuota', 'kuota', 'free', 'kuota', 'gara', 'buka', 'telkomsel', 'kuota', 'beli', 'paket', 'pulsa', 'habis', 'pengin', 'beli', 'paket', 'buntung', 'bima', 'im', 'kuota', 'mengakses', 'aplikasinya', 'pulsa', 'aman', 'beli', 'paket', 'kuota', 'pulsa', 'rb', 'rb', '']</t>
  </si>
  <si>
    <t>['cek', 'aplikasi', 'telkomsel', 'udah', 'telat', 'ambil', 'hangus', 'udah', 'cek', 'solusinya', 'check', 'hangus', 'sehari', 'ambil']</t>
  </si>
  <si>
    <t>['pulsa', 'terpotong', 'korupsi', 'kelas', 'kakap', 'setan', 'tertipu', 'harap', 'menuntut', 'didunia', 'akhirat', '']</t>
  </si>
  <si>
    <t>['sinyalnya', 'parah', 'kali', 'isi', 'paketan', 'paketannya', 'sinyalnya', 'ilang', 'kena', 'tbtb', 'sinyal', 'berubah', 'buka', 'aplikasi', 'boro', 'boro', 'nongol', 'muterrrr', 'mulu', 'tulisannya', 'pojokan', 'kena', 'buka', 'ampun', 'bgs', 'susah', 'sinyal', '']</t>
  </si>
  <si>
    <t>['save', 'pulsa', 'habis', 'kuota', 'pulsa', 'habis', 'sedot', 'mengecewakan', 'tertipu', 'tolong', 'jujur', 'udah', 'banget', 'ngisi', 'pulsa', 'rb', 'beli', 'paket', 'internet', 'rb', 'sisa', 'rb', 'hangus', 'tinggal', 'nol', 'rupiah', 'save', 'pulsa', 'save', 'pulsa', 'apaaan', '']</t>
  </si>
  <si>
    <t>['aplikasi', 'ngelag', 'alias', 'loading', 'versi', 'terbaru', 'akibatnya', 'aplikasi', 'pas', 'cek', 'paket', 'beli', 'paket', 'please', 'diminimalisir', 'kendala', 'kendala', 'merusak', 'citra', 'telkomsel', 'memengaruhi', 'loyalty', 'pelanggan', 'terima', 'kasih', '']</t>
  </si>
  <si>
    <t>['susah', 'masuk', 'aplikasinya', 'lag', 'kadang', 'respon', 'kadang', 'force', 'close', 'stuck', 'loading', 'screen', 'benerin', 'napa', 'udah', 'update', 'perbaiki', 'tuntas']</t>
  </si>
  <si>
    <t>['emng', 'mahal', 'perbaiki', 'kualitas', 'orang', 'mahal', 'kualitas', 'bagus', 'protes', 'mahal', 'doang', 'jaringan', 'kayak', 'kartu', 'prabayar', 'murahan', '']</t>
  </si>
  <si>
    <t>['paket', 'malam', 'udah', 'nggak', 'gini', 'mending', 'gue', 'nggak', 'isi', 'pulsa', 'tolong', 'kembalikan', 'paket', 'malam', 'tolong', 'perbaiki', 'jaringan', 'harga', 'sesuai', 'kualitas', 'dibalas', 'telkomsel', 'peduli', 'komen', 'pelanggan', 'cuman', 'cari', 'untung', 'peduli', 'pemakai', '']</t>
  </si>
  <si>
    <t>['pulsa', 'berkurang', 'membeli', 'pulsa', 'top', 'pas', 'cek', 'sisa', '']</t>
  </si>
  <si>
    <t>['jaringan', 'telkomsel', 'capet', 'dibandingkan', 'alangkah', 'pandemi', 'harga', 'diturunkan', 'mengurangi', 'kualitas']</t>
  </si>
  <si>
    <t>['woy', 'telkomnyet', 'tower', 'bagus', 'suka', 'ngambil', 'keuntungan', 'orang', 'kartu', 'telkomsel', 'udah', 'harga', 'kuota', 'mahal', 'ditambah', 'sinyal', 'bagus', 'temen', 'gua', 'bagus', 'telkomsel', 'temen', 'gua', 'cuman', 'gua', 'doang', 'nge', 'lag', 'parah', 'tower', 'pilih', 'kasih', 'sinyal', 'pas', 'malam', 'lemotnya', 'jam', 'malam', 'perbaikin', 'ketemen', 'gua', 'ngelakuin']</t>
  </si>
  <si>
    <t>['busuk', 'rb', 'dibeli', 'pas', 'klik', 'beli', 'langsung', 'lag', 'app', 'sampah', 'kuota', 'boros', 'gila', 'kemana', 'larinya', 'mahal', 'sinyal', 'busuk', 'kuota', 'boros', 'komentar', 'untung', 'udah', 'beli', 'kuota', 'serasa', 'rampok', 'pas', 'kartu', '']</t>
  </si>
  <si>
    <t>['jaringanya', 'hujan', 'dijakarta', 'langsung', 'terputus', 'jam', 'malem', 'langsung', 'terputus', 'nungguin', 'download', 'terputus', 'mulu', 'kecewa']</t>
  </si>
  <si>
    <t>['mohon', 'petunjuknya', 'aplikasi', 'terbuka', 'coba', 'install', 'donwload', 'buka', 'muncul', 'login', 'klik', 'macet']</t>
  </si>
  <si>
    <t>['parah', 'pakai', 'telkomsel', 'jringan', 'parah', 'buka', 'youtube', 'kadang', 'muter', 'harga', 'kuota', 'berkualitas', 'tpi', 'memuaskan', 'merugikan', 'lbih', 'pakai', 'kartu', 'harga', 'murah', 'tpi', 'sped', 'mantul']</t>
  </si>
  <si>
    <t>['bintang', 'support', 'versi', 'reward', 'benefit', 'versi', 'lite', 'putus', 'spesial', 'offer', 'rewardnya', 'daily', 'check', 'radem', 'poinnya', 'dll']</t>
  </si>
  <si>
    <t>['beli', 'paket', 'combo', 'sakti', 'gb', 'pemberitahuan', 'paket', 'gratis', 'langganan', 'disney', 'hotstar', 'bln', 'download', 'disney', 'hotstar', 'bayar', 'langganan', '']</t>
  </si>
  <si>
    <t>['kecewa', 'aplikasi', 'kartu', 'smartfren', 'aplikasi', 'aplikasi', 'pengguna', 'kartu', 'axis', '']</t>
  </si>
  <si>
    <t>['poin', 'hilang', 'isi', 'pulsa', 'rb', 'kuota', 'menarik', 'gb', 'rb', 'doang', 'udah', 'pakai', 'kartu', 'skti', 'jaringannya', 'stabil', '']</t>
  </si>
  <si>
    <t>['sinyalnya', 'aplikasinya', 'force', 'close', 'keseringan', 'update', 'udah', 'update', 'gunanya', 'update', 'aplikasi', 'tolong', 'diperbaiki', 'update', 'memori', 'habis', '']</t>
  </si>
  <si>
    <t>['jaringannya', 'mengecewakan', 'jelek', 'banget', 'ilang', 'jaringannya', 'kecewa', 'pelanggan', 'telkomsel', 'udh', 'mahal', 'jaringannya', 'jelek', 'banget', '']</t>
  </si>
  <si>
    <t>['kecewa', 'sinyal', 'telkomsel', 'kya', 'kemaren', 'ojol', 'kuota', 'sinyal', 'jelek', 'provider', 'indonesia', 'kualitas', 'bagus', 'jelek']</t>
  </si>
  <si>
    <t>['kecewa', 'bonus', 'gb', 'hotoffer', 'ikuti', 'petunjuknya', 'download', 'apl', 'mytelkomsel', 'iming', 'disengaja', 'pengguna', 'mendownload', 'mytlkomsel', 'dasar', 'php']</t>
  </si>
  <si>
    <t>['mending', 'info', 'sesuai', 'ditemui', 'didalam', 'aplikasi', 'bilangnya', 'promo', 'paket', 'internet', 'murah', 'menarik', 'silahkan', 'kunjungi', 'mytelkomsel', 'umpan', 'pengguna', 'telkomsel', 'app', 'mytelkomsel', 'mendownload', 'halaaaahhhhh', 'tukang', 'bohong', '']</t>
  </si>
  <si>
    <t>['maaf', 'bintang', 'kurangi', 'keluhkan', 'paket', 'beli', 'langganan', 'ditiadakan', 'mahal', 'kuota', 'data', 'coba', 'pikir', 'mematok', 'harga', 'kelewat', 'mahal', 'untung', 'ruga', 'perusahaan', 'dikali', 'ribuan', 'jutaan', 'pelanggan', 'untung', 'orang', 'jualan', 'ambil', 'untung', 'kebanyakan', 'laku', 'pelanggan', 'mikir', 'beli', 'mahal', 'coba', 'murah', 'beli', 'disukai', 'orang', '']</t>
  </si>
  <si>
    <t>['ancur', 'sinyalnya', 'jumping', 'main', 'game', 'war', 'sinyal', 'ilang', 'emosi', 'bagus', 'peningkatan', 'paket', 'mahal', 'doang', 'ampas']</t>
  </si>
  <si>
    <t>['hai', 'admin', 'sinyal', 'telkomsel', 'jelek', 'main', 'game', 'online', 'lemot', 'main', 'sosmed', 'lemot', 'kuota', 'bnyk', '']</t>
  </si>
  <si>
    <t>['kagak', 'neh', 'ojol', 'bener', 'mahal', 'doang', 'giliran', 'online', 'jaringan', 'muter', 'lemot', 'lemot', 'lemot', 'lemot', 'kebanyakan', 'mikir', 'untung', 'seh', 'woi', 'kasar', '']</t>
  </si>
  <si>
    <t>['perbaiki', 'sinyalnya', 'terkadang', 'suka', 'jelek', 'mengganggu', 'selebihnya', 'kasih', 'jempol', 'karna', 'membantu', 'memudahkan', 'pengguna', 'telkomsel', '']</t>
  </si>
  <si>
    <t>['program', 'program', 'menarik', 'bagus', 'promo', 'jga', 'sayang', 'jaringan', 'susah', 'bener', 'jaringan', 'jaringan', 'berubah', 'jadang', 'susah', 'liat', 'vidio', 'enak', 'tolong', 'perbaiki']</t>
  </si>
  <si>
    <t>['', 'kak', 'rafa', 'abis', 'update', 'nggk', 'buka', 'app', 'kuota', 'pkek', 'kuota', 'education', 'pemerintah', 'update', 'nggk', 'buka', '']</t>
  </si>
  <si>
    <t>['aneh', 'banget', 'bayar', 'tagihan', 'telkomsel', 'pembayaran', 'dapet', 'point', 'dapet', 'poin', 'download', 'aplikasi', 'pengen', 'liat', 'poin', 'nol', 'ngomong', '']</t>
  </si>
  <si>
    <t>['tolong', 'developer', 'gratisan', 'unlimited', 'gitu', 'kartu', 'kartu', 'sim', 'penggemar', 'telkomsel', 'okee', 'tolong', 'respon', 'pelit', 'pelit']</t>
  </si>
  <si>
    <t>['pulsa', 'kepotong', 'ribu', 'beli', 'paket', 'youtube', 'berhasil', 'pas', 'nonton', 'youtube', 'kali', 'kayanya', 'enak', 'banget', 'ngambil', 'duit', 'orang', 'orang', 'kali', 'ribu', 'udah', 'duit', 'makan', 'barokah', 'gitu']</t>
  </si>
  <si>
    <t>['aplikasinya', 'stug', 'mulu', 'mulu', 'pas', 'open', 'aplikasi', 'paketan', 'mahal', 'banget', 'murahin', 'dikit', 'paketnya', 'cuman', 'tower', 'telkomsel', 'indosat', 'mah', 'ganti', 'kartu', '']</t>
  </si>
  <si>
    <t>['salah', 'operator', 'seluler', 'terbesar', 'dunia', 'kwalitas', 'terburuk', 'dunia', 'maaf', 'ulasan', 'berkenan', 'kerana', 'skrng', 'blum', 'perbaikan', 'skli', '']</t>
  </si>
  <si>
    <t>['kesini', 'nyaman', 'telkomsel', 'lemot', 'internetan', 'turun', 'pas', 'main', 'game', 'kayak', 'nyaman', 'pokoknya']</t>
  </si>
  <si>
    <t>['', 'ngeluh', 'jdi', 'ngeluh', 'telkomsel', 'kouta', 'utama', 'udah', 'lemot', 'ngunduh', 'file', 'ukuran', 'gede', 'udah', 'banget', 'nunggu', 'bagusin', 'banget', 'setia', 'telkomsel', 'gara', 'gara', 'pindah']</t>
  </si>
  <si>
    <t>['apapun', 'merekomendasikan', 'keluarga', 'provider', 'udah', 'mahal', 'koneksi', 'internet', 'ampas', 'diharapkan', 'kecewa', 'pelayanan', 'buruk', 'tsel']</t>
  </si>
  <si>
    <t>['sya', 'pengguna', 'kartu', 'hallo', 'th', 'sya', 'pakai', 'paket', 'harga', 'rb', 'kuota', 'gb', 'bonus', 'tlp', 'kesesama', 'sms', 'sya', 'min', 'maaf', 'tampilan', 'tertulis', 'sya', 'bingung', 'sya', 'kadang', 'tagihan', 'mahal', 'telkomsel', 'gratis', 'sya', 'pke', 'paket', 'tlp', 'operator', 'rb', 'tagihan', 'sya', 'kadang', 'diatas', 'rb', 'knpa', 'mahal', 'mksh', '']</t>
  </si>
  <si>
    <t>['membantu', 'aplikasi', 'telkomsel', 'semoga', 'sukses', 'semoga', 'terdepan', 'berharap', 'telkomsel', 'nomor', 'indonesia', '']</t>
  </si>
  <si>
    <t>['knp', 'main', 'game', 'kuota', 'internet', 'bagus', 'main', 'game', 'telkomsel', 'barusekag', 'kejadian', 'daerah', 'sumedag', '']</t>
  </si>
  <si>
    <t>['gimna', 'admin', 'kenpa', 'pulsa', 'tersedot', 'internet', 'paket', 'kenpa', 'pulsa', 'ambil', 'internet', 'bener', 'bener', 'kecewa', 'udh', 'jaringan', 'ngk', 'nentu', 'kejadian', 'kek', 'gini', 'tolong', 'beli', 'paket', 'udh', 'mahal', 'kenpa', 'pulsa', 'incer', 'internet', '']</t>
  </si>
  <si>
    <t>['beli', 'kuota', 'disitu', 'tertulis', 'langganan', 'disney', 'hotstar', 'nonton', 'kena', 'potong', 'kuota', 'tolong', 'penjelasannya']</t>
  </si>
  <si>
    <t>['aplikasi', 'membantu', 'banget', 'membeli', 'kuota', 'mudah', 'pergi', 'rumah', 'chaek', 'chaek', 'hadiah', 'suka', 'banget', 'pakai', 'aplikasi', 'tingkatkan', 'jaringannya', 'yaa', 'bagus', '']</t>
  </si>
  <si>
    <t>['', 'derah', 'sinya', 'telkomsel', 'parang', 'masi', 'bagus', 'sinyal', 'main', 'game', 'lelet', 'donlod', 'kejewa', 'pakai', 'telkomsel', 'pindah', 'hati', '']</t>
  </si>
  <si>
    <t>['sumpah', 'kecewa', 'banget', 'telkomsel', 'dimana', 'telkomsel', 'kebalikn', 'buruk', 'jaringan', 'jualan', 'harga', 'rupa', 'bos', 'telkomsel', 'hargamu', 'suai', 'kualitas', 'harga', 'mahal', 'kualita', 'internet', 'buruk', 'parah', 'parah', 'parah', 'ngeleg', 'mulu', 'mahal', 'iya']</t>
  </si>
  <si>
    <t>['poinku', 'hilang', 'kemarin', 'isi', 'pulsa', 'dpt', 'sms', 'dapet', 'poin', 'bolak', 'liat', 'app', 'poin', 'tetep', 'noll', 'trus', 'telkomsel', 'lambat', '']</t>
  </si>
  <si>
    <t>['parah', 'telkomsel', 'mahal', 'paket', 'anlimitid', 'parah', 'kartu', 'udah', 'kartu', 'paket', 'anlimitid', 'ganti', 'kartu', 'sms', 'anlimitid', 'sms', 'kartu', '']</t>
  </si>
  <si>
    <t>['buka', 'telkomsel', 'login', 'isi', 'handphone', 'sebulan', 'aplikasi', 'telkomsel', 'login', 'berulang', 'kali', 'uninstal', 'instal', 'telkomsel', 'login', 'mohon', 'solusinya']</t>
  </si>
  <si>
    <t>['internet', 'telkomsel', 'stabil', 'lemot', 'banget', 'udah', 'serasa', 'dijarangan', 'main', 'game', 'online', 'ping', 'merah', 'streaming', 'muter', 'gitu', 'langganan', 'unlimited', 'entertainment', 'pas', 'dipake', 'nyedot', 'quota', 'utama']</t>
  </si>
  <si>
    <t>['telkomsel', 'jaringan', 'lambat', 'banget', 'tolong', 'sesuaikan', 'jaringan', 'harga', 'paket', 'paket', 'mahal', 'jaringan', 'lelet', 'buka', 'youtube', 'lambat', 'banget', 'main', '']</t>
  </si>
  <si>
    <t>['aplikasi', 'telkomsel', 'terkini', 'jelek', 'lemot', 'sinyal', 'bagus', 'kuota', 'spek', 'dewa', 'pakai', 'samsung', 'ram', 'gb', 'telkomsel', 'lelet', 'banget', 'bonus', 'bonus', 'hilang', 'gb', 'rb', 'muncul', 'min', 'kecewa', 'banget', 'pindah', 'operator', 'abis', 'stiap', 'cek', 'kuota', 'daftar', 'paket', 'menunggu', 'kebanyakan', 'update', 'beginini']</t>
  </si>
  <si>
    <t>['pelanggan', 'jelek', 'super', 'lelet', 'nyesel', 'banget', 'ganti', 'jaringan', 'akses', 'internet', 'kayak', 'gini', 'nonton', 'streaming', 'lancar', 'super', 'lelet', 'paket', 'gede', 'buka', 'streaming', 'parah', 'telkomsel', 'air', 'dak', 'paket', 'lancar', 'jaya', 'jaringan', '']</t>
  </si>
  <si>
    <t>['parahhhh', 'kecewa', 'tarif', 'mahal', 'jaringan', 'lelet', 'kasih', 'rating', 'edited', 'kesini', 'parah']</t>
  </si>
  <si>
    <t>['suda', 'langganantelkomsel', 'jaringannya', 'buruk', 'mahal', 'kualitasnya', 'ampas', 'banget', 'tolong', 'perbaiki', 'wilayah', 'batang', 'jawa', '']</t>
  </si>
  <si>
    <t>['mohon', 'maaf', 'telkomsel', 'kecewa', 'kuota', 'kartu', 'telkomsel', 'internet', 'lokal', 'gitu', 'tolong', 'perbaiki', 'iti', 'nyaman', 'terimakasih', 'perhatiannya']</t>
  </si>
  <si>
    <t>['tolong', 'bulannya', 'adakan', 'promo', 'supermurah', 'susah', 'keuangan', 'tolong', 'telkomsel', 'turunkan', 'harga', 'paket', 'kuotanya', 'kalangan', 'keuntungan', 'meningkat', 'paketnya', 'turunkan', 'terimakasih', 'semoga', 'cepat', 'respon', 'telkomsel', '']</t>
  </si>
  <si>
    <t>['excuse', 'normal', 'kasi', 'bintang', 'yaaaa', 'kendala', 'sinyal', 'terimakasih', 'membantu', 'memudahkan', 'membeli', 'paket', 'internet', 'dsb', '']</t>
  </si>
  <si>
    <t>['hai', 'telkomsel', 'beli', 'paket', 'data', 'paket', 'nelpon', 'sms', 'tolong', 'donk', 'kasih', 'penjelasannya', '']</t>
  </si>
  <si>
    <t>['hai', 'admin', 'ulasan', 'dihapus', 'yak', 'kritik', 'saran', 'dihapus', 'tolong', 'ambil', 'pulsa', 'barokah', 'kehidupan', 'keluarga', '']</t>
  </si>
  <si>
    <t>['pelayanan', 'mengecewakan', 'simpati', 'sms', 'telp', 'internet', 'history', 'penggunaan', 'internet', 'sekian', 'ribu', 'pulsa', 'hilang', 'internet', 'disetting', 'pakai', 'indosat', 'rumah', 'dirumah', 'pakai', 'wifi', 'trus', 'history', 'pemakaian', 'data', 'telkomsel', 'darimana', 'hitungnya', 'pulsa', 'hilang', 'pemakaian']</t>
  </si>
  <si>
    <t>['aplikasi', 'spt', 'tipu', 'khusunya', 'fitur', 'daily', 'chek', 'rutin', 'buka', 'aplikasi', 'aplikasi', 'eror', 'muncul', 'menu', 'kadang', 'hrs', 'ngulang', '']</t>
  </si>
  <si>
    <t>['harga', 'mahal', 'bet', 'promo', 'gb', 'jarang', 'muncul', 'adain', 'promo', 'kek', 'gitu', 'telkomsel', 'pilit', 'bet', 'ngadain', 'promo']</t>
  </si>
  <si>
    <t>['parah', 'pencuri', 'pengecut', 'pulsa', 'ribu', 'dicuri', 'hacker', 'aplikasi', 'tolong', 'customer', 'service', 'bantuin', 'balikin', 'dibiarin', 'gitu', 'jebol', 'data', 'privasi', 'uang', 'rugi', 'ketidakmampuan', 'telkomsel', 'melindungi', 'keamanan', 'pelanggannya', 'muka', 'duit', 'menangani', 'gini', 'becus', '']</t>
  </si>
  <si>
    <t>['jaringan', 'telkomsel', 'mati', 'beli', 'paket', 'mahal', 'jaringa', 'mati', 'suka', 'main', 'game', 'online', 'kecewa', 'banget', 'beli', 'paket', 'mahal', 'ngak', 'sesuai', 'jaringan', 'sediakan', 'tolong', 'perbaiki', 'jaringannya', 'ngak', 'hilang']</t>
  </si>
  <si>
    <t>['provider', 'telkomsel', 'sekrang', 'lelet', 'buka', 'internet', 'aplikasi', 'belajar', 'media', 'sosial', 'game', 'disconet', 'mohon', 'perbaikan', 'provider', 'jaringan', 'stabil', 'pengguna', 'kecewa']</t>
  </si>
  <si>
    <t>['brengsek', 'beli', 'kuota', 'rupiah', 'pakai', 'pulsa', 'pulsa', 'ribu', 'seribu', 'apanya', 'brengsek', '']</t>
  </si>
  <si>
    <t>['telkomsel', 'mati', 'lampu', 'hidup', 'tetep', 'ngelek', 'hujan', 'ngelek', 'males', 'ngabisin', 'uag', 'beli', 'pulsa', 'isi', 'pulsa', 'ratusa', 'dapet', 'kuata', 'dikit', 'ngelek', 'gua', 'gereget', 'burik', 'tolong', 'bagusin', 'dikit', 'kali']</t>
  </si>
  <si>
    <t>['min', 'jaringan', 'telkomsel', 'melemah', 'udah', 'setahun', 'pandemi', 'jaringan', 'lemah', 'desa', 'main', 'game', 'kota', 'nunggu', 'jam', 'malam', 'save', 'rumah', 'sinyal', 'gini', 'min', 'tolong', 'perbaiki', 'sinyalnya', 'promo', 'promo', 'setara', 'sinyal', 'bagus', 'lumajang', '']</t>
  </si>
  <si>
    <t>['tgl', 'januari', 'kemarin', 'beli', 'paket', 'combo', 'sakti', 'pembayaran', 'aplikasi', 'dana', 'transaksi', 'berhasil', 'paket', 'tsb', 'muncul', 'laporan', 'veronica', 'laporan', 'nama', 'lengkap', 'alamat', 'capture', 'transaksi', 'dmn', 'history', 'transaksinya', 'muncul', 'telkomsel', 'jdi', 'pertanyaannya', 'telkomsel', 'data', 'hasil', 'transaksi', 'pembayaran', 'dana', 'tsb', 'knp', 'bilangnya', 'aplikasi', 'telkomsel', 'lgi', 'error', '']</t>
  </si>
  <si>
    <t>['promo', 'paket', 'muncul', 'dibeli', 'gagal', 'jaringan', 'sibuk', 'lari', 'provider', 'pelanggan', 'setia', 'telkomsel', 'kecewa']</t>
  </si>
  <si>
    <t>['jaringan', 'susah', 'banget', 'main', 'game', 'suka', 'distconek', 'kesel', 'pust', 'rank', 'telkomsel', 'kartu', 'sultan', 'jaringan', 'stabil', 'banget', 'beskipun', 'pedesa', 'tpi', 'sungguh', 'mengecewakan', 'mohon', 'perbaiki', 'secepatnya', 'trimakasih', '']</t>
  </si>
  <si>
    <t>['', 'penggunaan', 'telkomsel', 'keluhan', 'poin', 'telkomsel', 'poin', 'poin', 'beli', 'pulsa', 'dpt', 'poin', 'pas', 'cek', 'aplikasi', 'telkomsel', 'knp', 'poin', 'hilang', 'poin', 'telkomsel', 'padalan', 'ngerendem', 'tolong', 'reff', 'poin', '']</t>
  </si>
  <si>
    <t>['terhormat', 'telkomsel', 'pengguna', 'paket', 'internet', 'malam', 'tiadakan', 'cek', 'absen', 'kuota', 'gb', 'hilangkan', 'bermanfaat', 'pelanggan', 'menghilang', 'menu', 'telkomsel']</t>
  </si>
  <si>
    <t>['combo', 'sakti', 'gabisa', 'kah', 'gabisa', 'gambar', 'youtube', 'comba', 'sakti', 'comment', 'kyk', 'gini', 'cuman', 'disuruh', 'hubungi', 'mimin', 'doang', 'kagak', 'perbaikin', 'terlanjur', 'beli', 'combo', 'sakti', 'angan', 'angan', 'kuota', 'unlimitied', 'youtube', 'udh', 'jaringan', 'lag', 'sesuaiin', 'harga', 'kualitas', 'mahal', 'doang', 'bagus', 'kaga']</t>
  </si>
  <si>
    <t>['jaringan', 'ilang', 'pengaturannya', 'udah', 'bener', 'bagus', 'jaringan', 'telkomsel', 'pelanggan', 'setia', 'jaringan', 'internetnya', 'kenceng', 'banget', 'pusing', 'tolong', 'perbaiki', 'paket', 'internetnya', 'mahal', 'mahal', 'banget', 'pelaynan', 'memuaskan', 'area', 'tasikmalaya', 'sariwangi']</t>
  </si>
  <si>
    <t>['beli', 'paket', 'internet', 'ceria', 'isi', 'ulang', 'pulsa', 'paket', 'ceria', 'beli', 'habis', 'isi', 'pulsa', 'paket', 'internet', 'ceria', 'udah', 'hilang', 'paket', 'internet', 'ceria', 'perlihatkan', 'orang', 'isi', 'pulsa', 'terimakasih', 'penipuan', 'andai', 'apk', 'kasih', 'bintang', 'udah', 'kasih', 'bintang', 'bisanya', 'minimal', 'udah', 'kasih', 'bintang', '']</t>
  </si>
  <si>
    <t>['mahal', 'harga', 'paketanya', 'sinyalnya', 'buruk', 'gimana', 'masak', 'pending', 'youtube', 'dikit', 'muter', 'sempak', 'rugi', 'beli', 'paketan', 'ngotak', 'harganya', 'lipata']</t>
  </si>
  <si>
    <t>['haii', 'telkomsel', 'diupdate', 'versi', 'promo', 'rb', 'gb', 'hilang', 'yaa', 'solusi', 'mengembalikannya', '']</t>
  </si>
  <si>
    <t>['complain', 'download', 'aman', 'yaa', 'isi', 'pulsa', 'trs', 'beli', 'paket', 'data', 'pulsa', 'sisanya', 'sampe', 'besok', 'besok', 'besok', 'beli', 'pulsa', 'trs', 'beli', 'paket', 'data', 'jam', 'udh', 'ngga', 'pulsa', 'sisanya', 'sisa', 'pulsanya', 'kaya', 'gitu', 'kak', 'sisa', 'pulsanya', 'lumayan', 'dibeliin', 'paket', 'data', 'lagiii', '']</t>
  </si>
  <si>
    <t>['sinyal', 'parah', 'sinyal', 'fulll', 'lemot', 'abis', 'membuka', 'telkomsel', 'susah', 'admin', 'respon', 'penjelasan', 'mengalihkan', 'tweeter', 'faceboo', 'apalah', 'bentuk', 'tanggung', 'pelanggan']</t>
  </si>
  <si>
    <t>['plis', 'deh', 'telkomsel', 'tolong', 'tambahin', 'tower', 'daerah', 'plosok', 'susaaah', 'banget', 'cari', 'dapet', 'titik', 'loading', 'browser', 'ngegame', 'lag', 'parah', '']</t>
  </si>
  <si>
    <t>['sinyal', 'telkomsel', 'buruk', 'udah', 'paket', 'mahal', 'sinyal', 'parah', 'ngerti', 'gimana', 'oprator', 'parah', 'banget', '']</t>
  </si>
  <si>
    <t>['aplikasi', 'bolot', 'smntr', 'aplikasi', 'lancar', 'jaya', 'pulsa', 'kaga', 'dipake', 'habis', 'berlangganan', 'nada', 'dering', 'something', 'nyedot', 'pulsa', 'habis', 'berkurang', 'banngke', 'emang', 'telkomsel', 'piindahhh', 'ganti', 'nomer', '']</t>
  </si>
  <si>
    <t>['jum', 'tanggal', 'januari', 'alami', 'kegagalan', 'aplikasi', 'telkomsel', 'gara', 'gara', 'update', 'turuti', 'kemauannya', 'berakibat', 'trouble', 'pembaca', 'menolong', 'mencarikan', 'solusinya', '']</t>
  </si>
  <si>
    <t>['pulsa', 'gratisnya', 'download', 'aplikasi', 'telkomsel', 'dpt', 'pulsa', 'gratis', 'ribu', 'penipuan', '']</t>
  </si>
  <si>
    <t>['bagus', 'mah', 'yahh', 'unlimited', 'adain', 'harga', 'mahal', 'mahal', 'mah', 'makasih']</t>
  </si>
  <si>
    <t>['telkomsel', 'aktif', 'beli', 'beli', 'pulsa', 'ngisi', 'aktif', 'rb', 'bayar', 'aktif', 'pengen', 'bandingin', 'provider', 'sebelah', 'isi', 'pulsa', 'rb', 'udah', 'otomatis', 'aktif', 'setahun', 'pulsa', 'utuh', '']</t>
  </si>
  <si>
    <t>['asli', 'emosi', 'banget', 'pulsa', 'paket', 'ceria', 'gb', 'muncul', 'nawarain', 'jual', 'rugi', 'pas', 'cek', 'kemari', 'sisa', 'beli', 'cek', 'hilang', 'niat', 'ngga', 'ngasih', 'promo', 'kecewa']</t>
  </si>
  <si>
    <t>['wifi', 'main', 'game', 'buka', 'applikasi', 'doang', 'koneksi', 'dibutuhkan', 'buka', 'applikasi', 'kaya', 'gini', 'doang', 'mysf', 'pubgm', 'mlbb', 'lancar', 'jaya', 'mengecewakan', '']</t>
  </si>
  <si>
    <t>['ngisi', 'paketan', 'ribet', 'kuota', 'telkomsel', 'paketan', 'habis', 'mytelkomsel', 'wifi', 'akal', 'habis', 'beli', 'pulsa', 'paket', 'internet', 'giga', 'isi', 'ulang', 'total', 'nambah', 'aktif', 'total', 'giga', 'cek', 'pulsa', 'telkomsel', 'nelpun', 'pulsa', 'mencukupi', 'cek', 'tinggal', 'rupiah', '']</t>
  </si>
  <si>
    <t>['pengambilan', 'kuota', 'hilang', 'mengumpulkan', 'stemp', 'sampe', 'mentok', 'giliran', 'ambil', 'masuk', 'pilihan', 'masuk']</t>
  </si>
  <si>
    <t>['operator', 'diperbaharui', 'paket', 'promo', 'combo', 'sakti', 'bertuliskan', 'diperbaharui', 'promonya', 'hilang', 'jelek', 'udahlah', 'paketnya', 'mahal', '']</t>
  </si>
  <si>
    <t>['tolong', 'telkomsel', 'habis', 'kuota', 'paket', 'data', 'langsung', 'kau', 'makan', 'pulsa', 'habis', 'sistem', 'mencekal', 'pulsa', 'orang', 'paket', 'data', 'habis', '']</t>
  </si>
  <si>
    <t>['asik', 'banget', 'bonus', 'stamp', 'harianny', 'pas', 'dpt', 'bonus', 'gb', 'absen', 'harian', 'app', 'telkomsel', 'puas', 'bermalam', 'telkomsel', 'bonus']</t>
  </si>
  <si>
    <t>['aplikasi', 'lumayan', 'bagus', 'murah', 'murah', 'paket', 'penghabatn', 'permasalhanya', 'ngc', 'intiya', 'aplikasi', 'bagus', 'ngetop', 'semoga', 'aplikasi', 'hilang', 'indonesia', '']</t>
  </si>
  <si>
    <t>['', 'paket', 'internet', 'berubah', 'ubah', 'harganya', 'huh', 'mengecewakan', 'menipu', 'pelanggan', 'berusaha', 'nyari', 'gratisan', 'daily', 'checkin', 'tambahan', 'kuliah', 'online', 'dipermainkan', 'telkomsel', 'mksd', 'balas', 'review', 'copas', 'pelayanan', 'sesuai', 'harga']</t>
  </si>
  <si>
    <t>['kecewa', 'telkomsel', 'jaringan', 'udah', 'seminggu', 'edge', 'trus', 'kecewa', 'gua', 'ganti', 'jaringan', 'bnr', 'udah', 'seminggu', 'emg', 'kagak', 'bnrin', 'telek']</t>
  </si>
  <si>
    <t>['jaringannya', 'tolong', 'berbobot', 'mah', 'telkomsel', 'indonesia', 'barang', 'beda', 'jaringan', 'singapura', 'mah', 'mohon', 'dipakai', 'jaringan', 'jaringannya', 'lelet', 'download', 'video', 'menit', 'arus', 'nunggu', 'jam', 'beli', 'rugi', 'nyesel']</t>
  </si>
  <si>
    <t>['pengen', 'masuk', 'aplikasinya', 'ajj', 'banget', 'loading', 'hadehhh', 'kmrn', 'udh', 'ngisi', 'pulsa', 'apk', 'tetep', 'ajj', 'peringatan', 'tenggang', 'pdhl', 'ngisi', 'tolong', 'diperbaiki', 'sistemnya']</t>
  </si>
  <si>
    <t>['parah', 'telkomsel', 'tibas', 'sinyal', 'ilang', 'emng', 'kaya', 'gini', 'harga', 'paket', 'internet', 'turunin', 'udah', 'paket', 'mahal', 'kualitas', 'jelek', 'banget', 'pengen', 'pindah', 'propider', 'sayang', 'nomernya', 'udah', 'males', 'ganti', 'nomer', 'telkomsel', 'kualitasnya', 'buruk', 'banget', 'parah']</t>
  </si>
  <si>
    <t>['telkomsel', 'sinyal', 'udh', 'bagua', 'udh', 'kayak', 'taik', 'lelet', 'bangat', 'sumpah', 'usaha', 'gagal', 'gara', 'sinyal', 'lelet', 'kayak', 'taik', 'tolong', 'diperbaiki', 'sinyalnya', 'optimal', 'kayak', 'gini', 'rugi']</t>
  </si>
  <si>
    <t>['telkomshit', 'minggu', 'signal', 'stabil', 'beli', 'extra', 'kuota', 'internet', 'error', 'bertambah', 'perbaikan', 'memimpikan', 'jaringan', 'stabil', '']</t>
  </si>
  <si>
    <t>['apk', 'membantu', 'penguna', 'android', 'sayangnya', 'gampang', 'langsung', 'faham', 'sulit', 'memulaik', 'proses', 'pengomtialan', 'penjaminan', 'pulsa', 'kuota', 'top', 'menarik', 'mungurai', 'pulsa', 'paa', 'proses', 'login', 'warga', 'indonesia', 'mengargai', 'apk', 'apk', 'susah', 'prosesnya', 'terimakasih', '']</t>
  </si>
  <si>
    <t>['usulan', 'seharus', 'mytelkomsel', 'kenai', 'biaya', 'data', 'masuk', 'aplikasi', 'daftar', 'paketan', 'pas', 'paketan', 'kosong', 'pulsa', 'kesedot', 'lumayan', 'pulsa', 'rb', 'sisa', 'rb', '']</t>
  </si>
  <si>
    <t>['mohon', 'paket', 'promo', 'murah', 'spesial', 'updated', 'kak', 'hapus', 'menunggu', 'terima', 'kasih', '']</t>
  </si>
  <si>
    <t>['daerah', 'memiliki', 'kecepatan', 'sinyal', 'parah', 'beli', 'paket', 'tlpn', 'aplikasi', 'dipakai', 'pulsa', 'habis', 'paket', 'tlpn', '']</t>
  </si>
  <si>
    <t>['isi', 'pulsa', 'otomatis', 'paket', 'nelvon', 'isi', 'pulsa', 'kepentingan', 'telkomsel', 'kecewa', 'tolong', 'telkomsel', 'perbagus', 'jaringan', 'jlas', 'jrngan', 'sikit', 'lag', 'skit', 'hilang', '']</t>
  </si>
  <si>
    <t>['kecewa', 'ama', 'telkomsel', 'bangke', 'isi', 'pls', 'potong', 'cuman', 'gua', 'isi', 'paket', 'darurat', 'potong', 'otomatisnya', 'isi', 'pls', 'babi', 'ngurus', 'kaya', 'gini', 'harap', 'perhatikan']</t>
  </si>
  <si>
    <t>['', 'telkomsel', 'kesini', 'hancur', 'kali', 'buka', 'aplikasi', 'langsung', 'mati', 'otomatis', 'mohon', 'maaf', 'aplikasi', 'uninstal']</t>
  </si>
  <si>
    <t>['mytelkomsel', 'apps', 'lumayan', 'bagus', 'mudah', 'mengecak', 'promonya', 'poin', 'semoga', 'bagus', 'kedepanya', 'sukses', 'mytelkomsel', 'apps', '']</t>
  </si>
  <si>
    <t>['knpa', 'kuota', 'ketengan', 'error', 'trs', 'pulsa', 'habis', 'ngapa', 'gajelas', 'kartu', 'perdana', 'udah', 'gitu', 'fitur', 'lock', 'pulsa', 'jaman', 'kek', 'gini', 'ketinggalan', 'males', 'gua', 'make', 'mending', 'kartu', 'perdana', 'telkomsel', 'mohon', 'baca', 'keluhan']</t>
  </si>
  <si>
    <t>['', 'cigadog', 'padamukti', 'kec', 'pasirwangi', 'kab', 'garut', 'gangguan', 'jaringan', 'udah', 'langganan', 'pas', 'mati', 'lampu', 'hujan', 'auto', 'koneksi', 'internet', 'deh', 'pertahankan', 'kebiasaan', 'tekomsel', 'salah', 'cuaca', 'aliran', 'listrik']</t>
  </si>
  <si>
    <t>['aplikasi', 'bagus', 'menu', 'checkin', 'harian', 'hilang', 'bonus', 'menu', 'hilang', 'kemana', 'ditemukan', 'muncul', 'checkin', 'harian', 'hilang', 'hangus', '']</t>
  </si>
  <si>
    <t>['kartu', 'hallo', 'sinyal', 'jelek', 'mulu', 'sinyal', 'mati', 'total', 'bayar', 'tagihannya', 'knp', '']</t>
  </si>
  <si>
    <t>['mahal', 'doang', 'jaringan', 'kaya', 'sebelah', 'parah', 'search', 'muter', 'please', 'tolong', 'adain', 'fitur', 'kunci', 'pulsa', 'telkomsel', 'datanya', 'ngak', 'sengaja', 'hidup', 'pulsa', 'engak', 'ngalamin', 'kejadian', 'mohon', 'pengertiannya', 'telkomsel', '']</t>
  </si>
  <si>
    <t>['keluhan', 'masuk', 'satupun', 'admin', 'berbobot', 'jawabannya', 'cenderung', 'penyelesaian', 'kah', 'menyelesaikan', '']</t>
  </si>
  <si>
    <t>['penawaran', 'kartu', 'hallo', 'berhenti', 'nomor', 'blok', 'hangus', 'solusi', 'berhenti', 'langganan', 'kartu', 'halo', 'nomor', 'tolong', 'mikir', 'gitu', 'telkomsel', 'jdi', 'rugikan']</t>
  </si>
  <si>
    <t>['maaf', 'ksh', 'bintang', 'knp', 'sinyal', 'telkomsel', 'susah', 'jarang', 'kek', 'gini', 'siang', 'sinyalnya', 'susah', 'pas', 'mlm', 'pagi', 'lancar', 'mohon', 'perhatiannya', 'terimakasih', '']</t>
  </si>
  <si>
    <t>['kecewa', 'pelayanan', 'telkomsel', 'cabang', 'ringrud', 'city', 'walk', 'meraka', 'menyelesaikan', 'membantu', 'menyuruh', 'nasabah', 'tlpon', 'call', 'center', 'kantor', 'cabang', 'telpon', 'call', 'center', 'kantor', 'cabang', '']</t>
  </si>
  <si>
    <t>['rekomendasi', 'pengguna', 'jaringan', 'internet', 'penggunakan', 'telkomsel', 'jaringannya', 'lelet', 'pke', 'lemot', 'kenal', 'pelosok', 'sinyal', 'tetep', 'joss', 'berharap', 'telkomsel', 'mengalokasikan', 'paket', 'bulanan', 'murah', 'jaringan', 'stabil', 'terima', 'kasih', 'telkomsel', '']</t>
  </si>
  <si>
    <t>['beli', 'paket', 'telkomsel', 'berfungsi', 'sihh', 'kepake', 'pulsa', 'reguler', 'sampe', 'abis', 'pulsa', 'reguler', 'kadang', 'gatau', 'sampe', 'habis', 'daftar', 'paket', 'pas', 'pulsa', 'pulsa', 'regulernya', 'abis', 'paketannya', 'kepake', 'pliss', 'perbaiki', '']</t>
  </si>
  <si>
    <t>['hallo', 'admin', 'telkomsel', 'bantuan', 'ngasih', 'tawaran', 'telkomsel', 'sms', 'kali', 'download', 'telkomsel', 'pulsa', 'rb', 'hoax', 'bangsd', 'apk', 'tolol']</t>
  </si>
  <si>
    <t>['brengsek', 'pulsa', 'ambil', 'alasan', 'melunasi', 'pulsa', 'darurat', 'pulsa', 'darurat', 'beli', 'pulsa', 'teus', 'coba', 'pulsa', 'darurat', 'memenuhi', 'kriteria', 'paket', 'mencuri', 'namanya', 'laporkan', '']</t>
  </si>
  <si>
    <t>['jaringan', 'telkomsel', 'parah', 'banget', 'asli', 'browsing', 'rumah', 'dlu', 'nyari', 'nyari', 'sinyal', 'trus', 'aplikasi', 'telkomsel', 'mnta', 'upgrade', 'mulu', 'kalah', 'kartu', 'jaringannya', 'sekrg', 'ngebut', 'dlm', 'rumah', '']</t>
  </si>
  <si>
    <t>['langganan', 'sekian', 'tpi', 'lelet', 'internet', 'orang', 'pelanggan', 'bagus', 'mgkin', 'bagus', 'mending', 'pindah', 'operator', 'mngkin', 'kedepannya', 'telkomsel', 'udh', 'andalkan', '']</t>
  </si>
  <si>
    <t>['telkomsel', 'biadab', 'kesini', 'paketan', 'ilang', 'sinyal', 'buruk', 'tsel', 'mending', 'mikir', '']</t>
  </si>
  <si>
    <t>['beli', 'kuota', 'shopee', 'pay', 'saldo', 'shopee', 'pay', 'terpotong', 'pemberitahuan', 'telkomsel', 'pembayaran', 'dibatalkan', 'cashback', 'koin', 'lantas', 'saldo', 'shopee', 'penyelesaiannya', 'tolong', 'diselesaikan', 'rating', 'terbaik', 'terima', 'kasih']</t>
  </si>
  <si>
    <t>['tolong', 'sinyal', 'lelet', 'sinyal', 'nggak', 'sya', 'beli', 'kuota', 'nggak', 'masuk', 'saldo', 'gwe', 'berkurang', 'tolong', 'perbaiki', 'makasih', '']</t>
  </si>
  <si>
    <t>['telkomsel', 'mohon', 'diperhatikan', 'kulitas', 'jaringanya', 'subang', 'jawa', 'barat', 'sunggu', 'mengenkan', 'main', 'game', 'onlaine', 'ping', 'turun', '']</t>
  </si>
  <si>
    <t>['terbantu', 'telkomsel', 'mohon', 'sinyal', 'lokasi', 'tingkatkan', 'stabil', 'telkomsel', 'poin', 'undian', 'berhasil']</t>
  </si>
  <si>
    <t>['telkomsel', 'nambah', 'jelek', 'jaringan', 'beli', 'paketan', 'mahal', 'jaringannya', 'jelek', 'kecewa', 'banget', 'orang', 'kesel', 'ajh', 'telkomsel', 'ngga', 'jaringan', 'tetangga', 'sebelah', 'udh', 'murah', 'jaringannya', 'bagus', 'lancar']</t>
  </si>
  <si>
    <t>['jaringan', 'papua', 'kab', 'keerom', 'jelek', 'buka', 'game', 'main', 'game', 'ngelag', 'nonton', 'youtube', 'lambat', 'pulsa', 'beli', 'berhenti', 'berlangganan', 'telkomsel']</t>
  </si>
  <si>
    <t>['kasih', 'bintang', 'gue', 'kasih', 'deh', 'kali', 'komentar', 'play', 'store', 'tolong', 'telkomsel', 'naikin', 'harga', 'doang', 'naikin', 'kualitas', 'sinyalnya', 'gue', 'beli', 'paket', 'uang', 'kaya', 'gini', 'sia', 'banget', 'gue', 'beli', 'searching', 'google', 'bngt', 'tolong', 'kasih', 'kualitas', 'tutup', 'udah']</t>
  </si>
  <si>
    <t>['ditawarin', 'migrasi', 'halo', 'speed', 'wow', 'setuju', 'halo', 'jebloooooooook', 'nyeseeeel', 'kalah', 'smartfren', 'wilayah', 'gebang', 'raya', 'tangerang', 'aseeeeeeeem']</t>
  </si>
  <si>
    <t>['min', 'maaf', 'membuka', 'aplikasi', 'telkomsel', 'paket', 'internet', 'coba', 'perbaiki', 'min', 'segi', 'harga', 'kualitas', 'internet', 'min', 'bayar', 'mahal', 'kualitasnya', 'nihil', 'costumer', 'pindah', 'tetangga', 'sebelah', 'min', 'masukan', 'min', 'semoga', 'kedepannya']</t>
  </si>
  <si>
    <t>['halo', 'gue', 'msukk', 'pesan', 'aqu', 'download', 'aplikasi', 'telkomsel', 'pulsa', 'ribu', 'kahhh', 'tolong', 'jwb', '']</t>
  </si>
  <si>
    <t>['kesini', 'sinyal', 'amburadul', 'wfh', 'kayak', 'jaman', 'pandemi', 'skrg', 'sinyal', 'bagus', 'letoy', 'mending', 'drpd', 'gembar', 'gemborin', 'ratain', 'kualitas', 'sinyal', 'daerah', 'min', 'seneng', 'surfing', 'internet', 'nambah', 'stress']</t>
  </si>
  <si>
    <t>['paketan', 'beli', 'hilang', 'udh', 'betah', 'telkomsel', 'karna', 'paketan', 'murah', 'dihilangin', 'pulsa', 'suka', 'kesedot', 'buka', 'telkomsel', 'lelet']</t>
  </si>
  <si>
    <t>['kartu', 'halo', 'bayar', 'ribuan', 'transaksi', 'beli', 'paket', 'berlangganan', 'rb', 'internet', 'gb', 'isi', 'tambahan', 'ekstra', 'kuota', 'denda', 'yaa', 'bayar', 'tagihan', 'kartu', 'diaktifkan', '']</t>
  </si>
  <si>
    <t>['simpati', 'pas', 'pakek', 'main', 'pubg', 'mobile', 'bug', 'parah', 'pas', 'main', 'sinyal', 'hilang', 'pas', 'relog', 'ngebug', 'main', 'arena', 'ngebug', 'sampe', 'game', 'selesai', 'kuota', 'mahal', 'kualitas', 'abal', 'kalah', 'ama', 'im', 'kuota', 'murah', 'sinyal', 'mak', 'nyossss', '']</t>
  </si>
  <si>
    <t>['mengecewakan', 'sinyal', 'telkomsel', 'kecewa', 'sinyal', 'seringkali', 'hilang', 'ditengah', 'kota', 'otoritasnya', 'normal', 'pemakai', 'telkomsel', 'ganti', 'kartu', 'operator', 'gimana', '']</t>
  </si>
  <si>
    <t>['kartuku', 'aplikasi', 'promonya', 'tetep', 'berubah', 'dikartu', 'tmnku', 'promo', 'kadang', 'sinyal', 'lelet', 'tolong', 'kebijaksanaannya', 'udah', 'kartu', 'kecewakan', 'pemakai', 'trimakasih', '']</t>
  </si>
  <si>
    <t>['apk', 'login', 'akun', 'susahnya', 'ampun', 'pengen', 'langsung', 'uninstall', 'udah', 'gitu', 'sekalinya', 'login', 'mengurangi', 'pulsa', 'ampun', 'mending', 'gausah', 'apk', '']</t>
  </si>
  <si>
    <t>['tolong', 'telkomsel', 'beli', 'paket', 'telkomsel', 'pulsa', 'dipotong', 'paket', 'uda', 'masuk', 'besoknya', 'dapet', 'sms', 'tarif', 'non', 'paket', 'dicek', 'kuota', 'beli', 'masuk', 'pulsa', 'udah', 'dipotong', 'paket', 'masuk', 'ditambah', 'disedot', 'pulsanya']</t>
  </si>
  <si>
    <t>['sinyalnya', 'menurun', 'nonton', 'youtube', 'mah', 'udah', 'telkomsel', 'stabil', 'sinyal', 'indosat']</t>
  </si>
  <si>
    <t>['telkomsel', 'terpuruk', 'niat', 'memperbaiki', 'smua', 'keluhan', 'pelanggan', 'setia', 'jaringan', 'lemot', 'coba', 'bandingkan', 'developer', 'sebelah', 'auto', 'ganti', 'kartu', 'internetan']</t>
  </si>
  <si>
    <t>['beli', 'paket', 'data', 'gabisa', 'bintang', 'rb', 'keterangan', 'dpt', 'dapet', 'paket', 'combo', 'utama', 'masuk', 'pikir', 'bonusnya', 'kali', 'yaa', 'ehh', 'berselang', 'gabisa', 'sisa', 'pulsa', 'karna', 'penasaran', 'cek', 'pulsa', 'udah', 'berkurang', 'pulsa', 'menggangu', 'kedepannya', 'harap', 'perbaiki', 'sistem']</t>
  </si>
  <si>
    <t>['sinyal', 'telkomsel', 'jelek', 'udah', 'paketan', 'mahal', 'sinyalnya', 'jelek', 'udah', 'langganan', 'sinyal', 'jelek', 'mohon', 'diperbaiki']</t>
  </si>
  <si>
    <t>['tolong', 'diperbaiki', 'sinyal', 'kemarin', 'sinyal', 'berubah', 'drastis', 'lancar', 'lancar', 'tolong', 'diperbaiki', 'dimohon', 'pengertiannya', '']</t>
  </si>
  <si>
    <t>['woy', 'poin', 'kosong', 'setau', 'ilang', 'gitu', 'tolong', 'telkomsel', 'main', 'ambil', 'poin', 'orang', 'udh', 'cape', 'ngumpulinnya', 'ilang', 'kembalikan', 'poin', '']</t>
  </si>
  <si>
    <t>['tolong', 'telkomsel', 'tingkatkan', 'kualitas', 'sinyal', 'pas', 'blm', 'kuota', 'belajar', 'sinyal', 'lancar', 'lemot', 'pakek', 'telkomsel', 'kualitas', 'menurun', 'tolong', 'diperbaiki', 'yaa', 'thanks']</t>
  </si>
  <si>
    <t>['daily', 'check', 'terkunci', 'udah', 'max', 'point', 'udah', 'poin', 'lock', 'perasaaan', 'kayak', 'gini', 'jaringan', 'perbaiki', 'sampe', 'sinyal', 'ngejump', 'parah']</t>
  </si>
  <si>
    <t>['sya', 'promo', 'harga', 'mahal', 'min', 'gax', 'sperti', 'dapet', 'promo', 'murah', 'belom', 'dapet', 'promo', 'murah', '']</t>
  </si>
  <si>
    <t>['', 'beli', 'kuota', 'unlimited', 'chat', 'sosmed', 'game', 'tpi', 'knp', 'main', 'game', 'lag', 'buka', 'instagram', 'facebook', 'whatsapp', 'lancar', 'pas', 'cek', 'kuota', 'bilangnya', 'kuota', 'game', 'gimana', 'kartu']</t>
  </si>
  <si>
    <t>['mff', 'sebelumny', 'lancang', 'tinggal', 'pedesaan', 'jawa', 'barat', 'tepatnya', 'majalengka', 'sinyal', 'telkom', 'lancar', 'konsisten', 'ntah', 'knp', 'sinyal', 'tsb', 'lambat', 'dipake', 'game', 'udh', 'mencoba', 'sinyal', 'tsb', 'bagus', 'menghidup', 'matikan', 'mode', 'pesawat', 'mode', 'restart', 'tsb', 'sia', 'sia', 'tsb', 'mohon', 'penjelasan', 'solusinya', 'responnya', 'ucapkan', 'terimakasih', '']</t>
  </si>
  <si>
    <t>['kali', 'nyaranin', 'customer', 'pindah', 'kartu', 'halo', 'bener', 'batalin', 'paket', 'pindah', 'telkom', 'kegapri', 'blom', 'pindah', 'telkom', 'pinter', 'banget', 'begoin', 'orang']</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</si>
</sst>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font>
    <font>
      <b/>
      <color theme="1"/>
      <name val="Calibri"/>
    </font>
    <font>
      <b/>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readingOrder="0" vertical="top"/>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2.43"/>
    <col customWidth="1" min="4" max="27" width="8.71"/>
  </cols>
  <sheetData>
    <row r="1">
      <c r="B1" s="1" t="s">
        <v>0</v>
      </c>
      <c r="C1" s="2" t="s">
        <v>1</v>
      </c>
      <c r="D1" s="1" t="s">
        <v>2</v>
      </c>
    </row>
    <row r="2">
      <c r="A2" s="1">
        <v>0.0</v>
      </c>
      <c r="B2" s="3" t="s">
        <v>3</v>
      </c>
      <c r="C2" s="3" t="str">
        <f>IFERROR(__xludf.DUMMYFUNCTION("GOOGLETRANSLATE(B2,""id"",""en"")"),"['Please', 'Sympathy', 'Signal', 'Benerin', 'Paketan', 'Expensive', 'Signal', 'Network', 'Bad', 'Inhibits',' Work ',' Bankrupt ',' times', 'signal', 'ugly']")</f>
        <v>['Please', 'Sympathy', 'Signal', 'Benerin', 'Paketan', 'Expensive', 'Signal', 'Network', 'Bad', 'Inhibits',' Work ',' Bankrupt ',' times', 'signal', 'ugly']</v>
      </c>
      <c r="D2" s="3">
        <v>1.0</v>
      </c>
    </row>
    <row r="3">
      <c r="A3" s="1">
        <v>1.0</v>
      </c>
      <c r="B3" s="3" t="s">
        <v>4</v>
      </c>
      <c r="C3" s="3" t="str">
        <f>IFERROR(__xludf.DUMMYFUNCTION("GOOGLETRANSLATE(B3,""id"",""en"")"),"['Dear', 'Telkomsel', 'tlg', 'network', 'fix', 'application', 'boot', 'credit', 'blm', 'mhn', 'smooth', 'blessing', ' Kasi ',' star ']")</f>
        <v>['Dear', 'Telkomsel', 'tlg', 'network', 'fix', 'application', 'boot', 'credit', 'blm', 'mhn', 'smooth', 'blessing', ' Kasi ',' star ']</v>
      </c>
      <c r="D3" s="3">
        <v>1.0</v>
      </c>
    </row>
    <row r="4">
      <c r="A4" s="1">
        <v>2.0</v>
      </c>
      <c r="B4" s="3" t="s">
        <v>5</v>
      </c>
      <c r="C4" s="3" t="str">
        <f>IFERROR(__xludf.DUMMYFUNCTION("GOOGLETRANSLATE(B4,""id"",""en"")"),"['Download', 'application', 'buy', 'unlimited', 'price', 'rupiah', 'eehhh', 'so', 'disappointed', 'Udh', 'spirit', 'really', ' Download ',' Application ',' ehhh ',' disappointment ',' yahh ', ""]")</f>
        <v>['Download', 'application', 'buy', 'unlimited', 'price', 'rupiah', 'eehhh', 'so', 'disappointed', 'Udh', 'spirit', 'really', ' Download ',' Application ',' ehhh ',' disappointment ',' yahh ', "]</v>
      </c>
      <c r="D4" s="3">
        <v>1.0</v>
      </c>
    </row>
    <row r="5">
      <c r="A5" s="1">
        <v>3.0</v>
      </c>
      <c r="B5" s="3" t="s">
        <v>6</v>
      </c>
      <c r="C5" s="3" t="str">
        <f>IFERROR(__xludf.DUMMYFUNCTION("GOOGLETRANSLATE(B5,""id"",""en"")"),"['Package', 'Like', 'Application', 'MyTelkomsel', 'Package', 'Mandatory', 'Monthly', 'Combo', 'Sakti', 'Unlimited', 'Package', 'Complete', ' really ',' internet ',' doang ',' get ',' minutes', 'sms',' telkomsel ',' right ',' active ',' package ',' abis', "&amp;"'quota', 'telephone' , 'SMS', 'quota', 'internet', 'mah', 'already', 'finished', 'first', 'active', 'package', 'but', 'anyway', 'application', ' MyTelkomsel ',' Best ',' Thanks']")</f>
        <v>['Package', 'Like', 'Application', 'MyTelkomsel', 'Package', 'Mandatory', 'Monthly', 'Combo', 'Sakti', 'Unlimited', 'Package', 'Complete', ' really ',' internet ',' doang ',' get ',' minutes', 'sms',' telkomsel ',' right ',' active ',' package ',' abis', 'quota', 'telephone' , 'SMS', 'quota', 'internet', 'mah', 'already', 'finished', 'first', 'active', 'package', 'but', 'anyway', 'application', ' MyTelkomsel ',' Best ',' Thanks']</v>
      </c>
      <c r="D5" s="3">
        <v>5.0</v>
      </c>
    </row>
    <row r="6">
      <c r="A6" s="1">
        <v>4.0</v>
      </c>
      <c r="B6" s="3" t="s">
        <v>7</v>
      </c>
      <c r="C6" s="3" t="str">
        <f>IFERROR(__xludf.DUMMYFUNCTION("GOOGLETRANSLATE(B6,""id"",""en"")"),"['Duh', 'right', 'Bener', 'Deh', 'threat', 'network', 'right', 'right', 'deh', 'GB', 'network', 'smooth', ' Jaya ',' Mbps', 'Different', 'Main', 'Game', 'Always',' Lagging ',' Learning ',' Buffering ',' Region ',' Market ',' Swamp ',' Cork ' , 'what', 'pr"&amp;"omise', 'fix', 'finished', 'finished', 'repair', 'network', 'wide', 'SEINDONE', 'Gini', 'already', 'comment', ' Please, 'Fix', 'Fast', 'Thanks', '']")</f>
        <v>['Duh', 'right', 'Bener', 'Deh', 'threat', 'network', 'right', 'right', 'deh', 'GB', 'network', 'smooth', ' Jaya ',' Mbps', 'Different', 'Main', 'Game', 'Always',' Lagging ',' Learning ',' Buffering ',' Region ',' Market ',' Swamp ',' Cork ' , 'what', 'promise', 'fix', 'finished', 'finished', 'repair', 'network', 'wide', 'SEINDONE', 'Gini', 'already', 'comment', ' Please, 'Fix', 'Fast', 'Thanks', '']</v>
      </c>
      <c r="D6" s="3">
        <v>1.0</v>
      </c>
    </row>
    <row r="7">
      <c r="A7" s="1">
        <v>5.0</v>
      </c>
      <c r="B7" s="3" t="s">
        <v>8</v>
      </c>
      <c r="C7" s="3" t="str">
        <f>IFERROR(__xludf.DUMMYFUNCTION("GOOGLETRANSLATE(B7,""id"",""en"")"),"['complicated', 'application', 'open', 'application', 'verification', 'number', 'click', 'link', 'sms', 'sent', '']")</f>
        <v>['complicated', 'application', 'open', 'application', 'verification', 'number', 'click', 'link', 'sms', 'sent', '']</v>
      </c>
      <c r="D7" s="3">
        <v>1.0</v>
      </c>
    </row>
    <row r="8">
      <c r="A8" s="1">
        <v>6.0</v>
      </c>
      <c r="B8" s="3" t="s">
        <v>9</v>
      </c>
      <c r="C8" s="3" t="str">
        <f>IFERROR(__xludf.DUMMYFUNCTION("GOOGLETRANSLATE(B8,""id"",""en"")"),"['Please', 'Sorry', 'Your Rating', 'Star', 'Your Network', 'Ungk', 'Really', 'Embarrassing', 'Company', 'Paying', 'Damaged', 'Represented', ' Soon ',' Changed ',' Sometimes', 'Good', 'Lost', 'Wind', 'Rain', 'Buy', 'Quota', 'Used', 'Out', 'Network', 'Pleas"&amp;"e' , 'Sorry', 'just', 'input', 'thank', 'love']")</f>
        <v>['Please', 'Sorry', 'Your Rating', 'Star', 'Your Network', 'Ungk', 'Really', 'Embarrassing', 'Company', 'Paying', 'Damaged', 'Represented', ' Soon ',' Changed ',' Sometimes', 'Good', 'Lost', 'Wind', 'Rain', 'Buy', 'Quota', 'Used', 'Out', 'Network', 'Please' , 'Sorry', 'just', 'input', 'thank', 'love']</v>
      </c>
      <c r="D8" s="3">
        <v>1.0</v>
      </c>
    </row>
    <row r="9">
      <c r="A9" s="1">
        <v>7.0</v>
      </c>
      <c r="B9" s="3" t="s">
        <v>10</v>
      </c>
      <c r="C9" s="3" t="str">
        <f>IFERROR(__xludf.DUMMYFUNCTION("GOOGLETRANSLATE(B9,""id"",""en"")"),"['KNPA', 'Application', 'Duel', 'SIM', 'Use', 'Wrong', 'Responsible', 'Controlling', 'Application', 'Hemukker', 'Account', 'Application', ' Control ',' Please ',' Help ',' Reason ',' Collect ',' Data ',' Sya ',' Curi ']")</f>
        <v>['KNPA', 'Application', 'Duel', 'SIM', 'Use', 'Wrong', 'Responsible', 'Controlling', 'Application', 'Hemukker', 'Account', 'Application', ' Control ',' Please ',' Help ',' Reason ',' Collect ',' Data ',' Sya ',' Curi ']</v>
      </c>
      <c r="D9" s="3">
        <v>5.0</v>
      </c>
    </row>
    <row r="10">
      <c r="A10" s="1">
        <v>8.0</v>
      </c>
      <c r="B10" s="3" t="s">
        <v>11</v>
      </c>
      <c r="C10" s="3" t="str">
        <f>IFERROR(__xludf.DUMMYFUNCTION("GOOGLETRANSLATE(B10,""id"",""en"")"),"['', 'Hour', 'Bad', 'Telkomsel', 'Game', 'Indihome', 'Saturday', 'Sunday', 'Auto', 'destroyed', 'signal', ""]")</f>
        <v>['', 'Hour', 'Bad', 'Telkomsel', 'Game', 'Indihome', 'Saturday', 'Sunday', 'Auto', 'destroyed', 'signal', "]</v>
      </c>
      <c r="D10" s="3">
        <v>1.0</v>
      </c>
    </row>
    <row r="11">
      <c r="A11" s="1">
        <v>9.0</v>
      </c>
      <c r="B11" s="3" t="s">
        <v>12</v>
      </c>
      <c r="C11" s="3" t="str">
        <f>IFERROR(__xludf.DUMMYFUNCTION("GOOGLETRANSLATE(B11,""id"",""en"")"),"['Plis',' price ',' package ',' UDH ',' expensive ',' please ',' network ',' stingy ',' refined ',' price ',' quality ',' quality ',' BERIK ',' given ',' criticism ',' rich ',' gini ',' jadiin ',' motivation ',' fix ',' remember ',' criticism ',' as', 'de"&amp;"ed', 'fun' , 'disanctions',' ite ',' sell ',' buy ',' selling ',' beyond ',' buyer ',' worth ',' angry ',' robot ',' read ',' balesin ',' Comments', 'Customer', 'Woy', '']")</f>
        <v>['Plis',' price ',' package ',' UDH ',' expensive ',' please ',' network ',' stingy ',' refined ',' price ',' quality ',' quality ',' BERIK ',' given ',' criticism ',' rich ',' gini ',' jadiin ',' motivation ',' fix ',' remember ',' criticism ',' as', 'deed', 'fun' , 'disanctions',' ite ',' sell ',' buy ',' selling ',' beyond ',' buyer ',' worth ',' angry ',' robot ',' read ',' balesin ',' Comments', 'Customer', 'Woy', '']</v>
      </c>
      <c r="D11" s="3">
        <v>1.0</v>
      </c>
    </row>
    <row r="12">
      <c r="A12" s="1">
        <v>10.0</v>
      </c>
      <c r="B12" s="3" t="s">
        <v>13</v>
      </c>
      <c r="C12" s="3" t="str">
        <f>IFERROR(__xludf.DUMMYFUNCTION("GOOGLETRANSLATE(B12,""id"",""en"")"),"['Telkomsel', 'Network', 'Severe', 'Kayak', 'Snail', 'Road', 'Quota', 'Cepet', 'Abis', 'Network', 'As' Severe ',' Beneferious', 'Worse', 'Nyari', 'Untung', 'Open', 'Web', 'Lemot', 'WOI', 'Telkomsel', 'Elu', 'Famous',' Expensive ',' Price ' , 'Package', 'D"&amp;"ata', 'Karna', 'Network', 'Good', 'WOI', 'People', 'Bela', 'IN', 'Buy', 'Package', 'Datalu', ' expensive ',' because ',' network ',' good ',' network ',' slow ',' gini ',' elu ',' tetep ',' sell ',' package ',' data ',' expensive ' , 'Mending', 'Pension',"&amp;" 'Profider', 'Indonesia', 'Cook', 'Lost', 'Profider', 'Package', 'Data', 'Cheap', 'Cheap', ""]")</f>
        <v>['Telkomsel', 'Network', 'Severe', 'Kayak', 'Snail', 'Road', 'Quota', 'Cepet', 'Abis', 'Network', 'As' Severe ',' Beneferious', 'Worse', 'Nyari', 'Untung', 'Open', 'Web', 'Lemot', 'WOI', 'Telkomsel', 'Elu', 'Famous',' Expensive ',' Price ' , 'Package', 'Data', 'Karna', 'Network', 'Good', 'WOI', 'People', 'Bela', 'IN', 'Buy', 'Package', 'Datalu', ' expensive ',' because ',' network ',' good ',' network ',' slow ',' gini ',' elu ',' tetep ',' sell ',' package ',' data ',' expensive ' , 'Mending', 'Pension', 'Profider', 'Indonesia', 'Cook', 'Lost', 'Profider', 'Package', 'Data', 'Cheap', 'Cheap', "]</v>
      </c>
      <c r="D12" s="3">
        <v>1.0</v>
      </c>
    </row>
    <row r="13">
      <c r="A13" s="1">
        <v>11.0</v>
      </c>
      <c r="B13" s="3" t="s">
        <v>14</v>
      </c>
      <c r="C13" s="3" t="str">
        <f>IFERROR(__xludf.DUMMYFUNCTION("GOOGLETRANSLATE(B13,""id"",""en"")"),"['signal', 'connection', 'internet', 'in the area', 'villa', 'ivory', 'hope', 'kebalen', 'babelan', 'bekasi', 'north', 'internet', ' home ',' bring ',' bring ',' laptop ',' beg ',' repair ',' buy ',' package ',' decent ',' price ']")</f>
        <v>['signal', 'connection', 'internet', 'in the area', 'villa', 'ivory', 'hope', 'kebalen', 'babelan', 'bekasi', 'north', 'internet', ' home ',' bring ',' bring ',' laptop ',' beg ',' repair ',' buy ',' package ',' decent ',' price ']</v>
      </c>
      <c r="D13" s="3">
        <v>2.0</v>
      </c>
    </row>
    <row r="14">
      <c r="A14" s="1">
        <v>12.0</v>
      </c>
      <c r="B14" s="3" t="s">
        <v>15</v>
      </c>
      <c r="C14" s="3" t="str">
        <f>IFERROR(__xludf.DUMMYFUNCTION("GOOGLETRANSLATE(B14,""id"",""en"")"),"['column', 'unlimitid', 'buy', 'I', 'Indosat', 'open', 'data', 'Telkomsel', 'tingal', 'already', 'cut', 'pulses']")</f>
        <v>['column', 'unlimitid', 'buy', 'I', 'Indosat', 'open', 'data', 'Telkomsel', 'tingal', 'already', 'cut', 'pulses']</v>
      </c>
      <c r="D14" s="3">
        <v>1.0</v>
      </c>
    </row>
    <row r="15">
      <c r="A15" s="1">
        <v>13.0</v>
      </c>
      <c r="B15" s="3" t="s">
        <v>16</v>
      </c>
      <c r="C15" s="3" t="str">
        <f>IFERROR(__xludf.DUMMYFUNCTION("GOOGLETRANSLATE(B15,""id"",""en"")"),"['Telkomsel', 'Ribet', 'The application', 'slow', 'list', 'package', 'cheating', 'really', 'cheerful', 'list', 'package', 'fill', ' Pulse ',' Buy ',' Provoder ',' Busy ',' Disappointed ',' ']")</f>
        <v>['Telkomsel', 'Ribet', 'The application', 'slow', 'list', 'package', 'cheating', 'really', 'cheerful', 'list', 'package', 'fill', ' Pulse ',' Buy ',' Provoder ',' Busy ',' Disappointed ',' ']</v>
      </c>
      <c r="D15" s="3">
        <v>1.0</v>
      </c>
    </row>
    <row r="16">
      <c r="A16" s="1">
        <v>14.0</v>
      </c>
      <c r="B16" s="3" t="s">
        <v>17</v>
      </c>
      <c r="C16" s="3" t="str">
        <f>IFERROR(__xludf.DUMMYFUNCTION("GOOGLETRANSLATE(B16,""id"",""en"")"),"['open', 'app', 'Telkomsel', 'difficult', 'strange', 'open', 'app', 'need', 'quota', 'mbps',' check ',' quota ',' sucked ',' quota ',' rain ',' cloud ',' signal ',' direct ',' ']")</f>
        <v>['open', 'app', 'Telkomsel', 'difficult', 'strange', 'open', 'app', 'need', 'quota', 'mbps',' check ',' quota ',' sucked ',' quota ',' rain ',' cloud ',' signal ',' direct ',' ']</v>
      </c>
      <c r="D16" s="3">
        <v>1.0</v>
      </c>
    </row>
    <row r="17">
      <c r="A17" s="1">
        <v>15.0</v>
      </c>
      <c r="B17" s="3" t="s">
        <v>18</v>
      </c>
      <c r="C17" s="3" t="str">
        <f>IFERROR(__xludf.DUMMYFUNCTION("GOOGLETRANSLATE(B17,""id"",""en"")"),"['Cool', 'really', 'help', 'check', 'pulse', 'check', 'quota', 'buy', 'package', 'easy', 'no', 'complicated', ' ']")</f>
        <v>['Cool', 'really', 'help', 'check', 'pulse', 'check', 'quota', 'buy', 'package', 'easy', 'no', 'complicated', ' ']</v>
      </c>
      <c r="D17" s="3">
        <v>5.0</v>
      </c>
    </row>
    <row r="18">
      <c r="A18" s="1">
        <v>16.0</v>
      </c>
      <c r="B18" s="3" t="s">
        <v>19</v>
      </c>
      <c r="C18" s="3" t="str">
        <f>IFERROR(__xludf.DUMMYFUNCTION("GOOGLETRANSLATE(B18,""id"",""en"")"),"['quota', 'internet', 'local', 'llemot', 'slammed', 'quota', 'internet', 'main', 'telkomsel', 'area', 'estuary', 'enim', ' South Sumatra ',' signal ',' as fast as']")</f>
        <v>['quota', 'internet', 'local', 'llemot', 'slammed', 'quota', 'internet', 'main', 'telkomsel', 'area', 'estuary', 'enim', ' South Sumatra ',' signal ',' as fast as']</v>
      </c>
      <c r="D18" s="3">
        <v>3.0</v>
      </c>
    </row>
    <row r="19">
      <c r="A19" s="1">
        <v>17.0</v>
      </c>
      <c r="B19" s="3" t="s">
        <v>20</v>
      </c>
      <c r="C19" s="3" t="str">
        <f>IFERROR(__xludf.DUMMYFUNCTION("GOOGLETRANSLATE(B19,""id"",""en"")"),"['', 'Telkomsel', 'Telkomsel', 'expensive', 'difficult', 'network', 'Know', 'Telkomsel', 'people', 'use', 'Telkomsel', 'Telkomsel', 'Citra ',' negative ',' circles', 'community', 'please', 'company', 'Telkomsel', 'responsible', 'run', 'business',' people "&amp;"',' belief ',' Jan.HAN ', 'Disappoint', '']")</f>
        <v>['', 'Telkomsel', 'Telkomsel', 'expensive', 'difficult', 'network', 'Know', 'Telkomsel', 'people', 'use', 'Telkomsel', 'Telkomsel', 'Citra ',' negative ',' circles', 'community', 'please', 'company', 'Telkomsel', 'responsible', 'run', 'business',' people ',' belief ',' Jan.HAN ', 'Disappoint', '']</v>
      </c>
      <c r="D19" s="3">
        <v>1.0</v>
      </c>
    </row>
    <row r="20">
      <c r="A20" s="1">
        <v>18.0</v>
      </c>
      <c r="B20" s="3" t="s">
        <v>21</v>
      </c>
      <c r="C20" s="3" t="str">
        <f>IFERROR(__xludf.DUMMYFUNCTION("GOOGLETRANSLATE(B20,""id"",""en"")"),"['complaint', 'network', 'internet', 'area', 'cicurug', 'sukabumi', 'sympathy', 'slow', 'user', 'sympathy', 'disappointed', 'here' network ',' internet ',' stable ',' try ',' game ',' online ',' lag ']")</f>
        <v>['complaint', 'network', 'internet', 'area', 'cicurug', 'sukabumi', 'sympathy', 'slow', 'user', 'sympathy', 'disappointed', 'here' network ',' internet ',' stable ',' try ',' game ',' online ',' lag ']</v>
      </c>
      <c r="D20" s="3">
        <v>3.0</v>
      </c>
    </row>
    <row r="21" ht="15.75" customHeight="1">
      <c r="A21" s="1">
        <v>19.0</v>
      </c>
      <c r="B21" s="3" t="s">
        <v>22</v>
      </c>
      <c r="C21" s="3" t="str">
        <f>IFERROR(__xludf.DUMMYFUNCTION("GOOGLETRANSLATE(B21,""id"",""en"")"),"['intentionally', 'move', 'tsel', 'get', 'signal', 'good', 'smooth', 'signal', 'severe', 'understand', 'comparable', 'price', ' Package ',' quota ',' expensive ']")</f>
        <v>['intentionally', 'move', 'tsel', 'get', 'signal', 'good', 'smooth', 'signal', 'severe', 'understand', 'comparable', 'price', ' Package ',' quota ',' expensive ']</v>
      </c>
      <c r="D21" s="3">
        <v>1.0</v>
      </c>
    </row>
    <row r="22" ht="15.75" customHeight="1">
      <c r="A22" s="1">
        <v>20.0</v>
      </c>
      <c r="B22" s="3" t="s">
        <v>23</v>
      </c>
      <c r="C22" s="3" t="str">
        <f>IFERROR(__xludf.DUMMYFUNCTION("GOOGLETRANSLATE(B22,""id"",""en"")"),"['Help', 'checks', 'quota', 'data', 'cellular', 'bonus', 'obtained', 'call', 'unfortunate', 'open', 'application', 'sometimes' Sometimes', 'reload', 'repeated', 'reset']")</f>
        <v>['Help', 'checks', 'quota', 'data', 'cellular', 'bonus', 'obtained', 'call', 'unfortunate', 'open', 'application', 'sometimes' Sometimes', 'reload', 'repeated', 'reset']</v>
      </c>
      <c r="D22" s="3">
        <v>3.0</v>
      </c>
    </row>
    <row r="23" ht="15.75" customHeight="1">
      <c r="A23" s="1">
        <v>21.0</v>
      </c>
      <c r="B23" s="3" t="s">
        <v>24</v>
      </c>
      <c r="C23" s="3" t="str">
        <f>IFERROR(__xludf.DUMMYFUNCTION("GOOGLETRANSLATE(B23,""id"",""en"")"),"['ugly', 'Tata', 'information', 'tiring', 'easy', 'confusion', 'tired', 'offered', 'rating', 'assessment', 'polling', 'puanjangaa', ' Close ',' application ',' confronted ',' ']")</f>
        <v>['ugly', 'Tata', 'information', 'tiring', 'easy', 'confusion', 'tired', 'offered', 'rating', 'assessment', 'polling', 'puanjangaa', ' Close ',' application ',' confronted ',' ']</v>
      </c>
      <c r="D23" s="3">
        <v>3.0</v>
      </c>
    </row>
    <row r="24" ht="15.75" customHeight="1">
      <c r="A24" s="1">
        <v>22.0</v>
      </c>
      <c r="B24" s="3" t="s">
        <v>25</v>
      </c>
      <c r="C24" s="3" t="str">
        <f>IFERROR(__xludf.DUMMYFUNCTION("GOOGLETRANSLATE(B24,""id"",""en"")"),"['buy', 'promo', 'already', 'pulse', 'run out', 'package', 'entry', 'disappointed', 'I', 'already', 'brapa', 'use', ' Telkomsel ',' Gini ',' What ',' Paketan ',' Enter ',' Already ',' Out ',' Pulsaku ']")</f>
        <v>['buy', 'promo', 'already', 'pulse', 'run out', 'package', 'entry', 'disappointed', 'I', 'already', 'brapa', 'use', ' Telkomsel ',' Gini ',' What ',' Paketan ',' Enter ',' Already ',' Out ',' Pulsaku ']</v>
      </c>
      <c r="D24" s="3">
        <v>1.0</v>
      </c>
    </row>
    <row r="25" ht="15.75" customHeight="1">
      <c r="A25" s="1">
        <v>23.0</v>
      </c>
      <c r="B25" s="3" t="s">
        <v>26</v>
      </c>
      <c r="C25" s="3" t="str">
        <f>IFERROR(__xludf.DUMMYFUNCTION("GOOGLETRANSLATE(B25,""id"",""en"")"),"['Allahuakbar', 'Telkomsel', 'KNPA', 'Login', 'Login', 'Difficult', 'Forgiveness',' PDHL ',' Signal ',' Full ',' Gkada ',' Constraints', ' right ',' already ',' enter ',' check ',' anything ',' loading ',' slow ',' really ',' oath ',' try ',' developer ',"&amp;"' Telkomsel ',' see ' , 'Install', 'APK', 'Card', 'Sya', 'Download', 'APK', 'AXIS', 'Download', 'APK', 'Myim', 'fast', 'Loading', ' slow ',' Telkomsel ',' lose ',' blog ',' landing ',' page ',' as 'user', 'card', 'Telkomsel', 'Mrasa', 'disappointed', 'APK"&amp;"' , 'Update', 'slow', 'Loading', '']")</f>
        <v>['Allahuakbar', 'Telkomsel', 'KNPA', 'Login', 'Login', 'Difficult', 'Forgiveness',' PDHL ',' Signal ',' Full ',' Gkada ',' Constraints', ' right ',' already ',' enter ',' check ',' anything ',' loading ',' slow ',' really ',' oath ',' try ',' developer ',' Telkomsel ',' see ' , 'Install', 'APK', 'Card', 'Sya', 'Download', 'APK', 'AXIS', 'Download', 'APK', 'Myim', 'fast', 'Loading', ' slow ',' Telkomsel ',' lose ',' blog ',' landing ',' page ',' as 'user', 'card', 'Telkomsel', 'Mrasa', 'disappointed', 'APK' , 'Update', 'slow', 'Loading', '']</v>
      </c>
      <c r="D25" s="3">
        <v>2.0</v>
      </c>
    </row>
    <row r="26" ht="15.75" customHeight="1">
      <c r="A26" s="1">
        <v>24.0</v>
      </c>
      <c r="B26" s="3" t="s">
        <v>27</v>
      </c>
      <c r="C26" s="3" t="str">
        <f>IFERROR(__xludf.DUMMYFUNCTION("GOOGLETRANSLATE(B26,""id"",""en"")"),"['Update', 'MyTelkomsel', 'version', 'Andorid', 'Entering', 'Phone', 'Ticking', 'Force', 'Close', 'Clear', 'Cache', ' Install ',' reset ',' App ',' Results', 'Direct', 'Force', 'Close', 'Report', 'Twitter', 'Telkomsel', 'Tetep', 'Change', 'Try' , 'Search'"&amp;", 'Application', 'MyTelkomsel', 'Version', 'Login', 'Dooongggg', 'Login', 'Severe', 'Severe', 'Please', 'Fix', ' Buy ',' Package ',' ']")</f>
        <v>['Update', 'MyTelkomsel', 'version', 'Andorid', 'Entering', 'Phone', 'Ticking', 'Force', 'Close', 'Clear', 'Cache', ' Install ',' reset ',' App ',' Results', 'Direct', 'Force', 'Close', 'Report', 'Twitter', 'Telkomsel', 'Tetep', 'Change', 'Try' , 'Search', 'Application', 'MyTelkomsel', 'Version', 'Login', 'Dooongggg', 'Login', 'Severe', 'Severe', 'Please', 'Fix', ' Buy ',' Package ',' ']</v>
      </c>
      <c r="D26" s="3">
        <v>2.0</v>
      </c>
    </row>
    <row r="27" ht="15.75" customHeight="1">
      <c r="A27" s="1">
        <v>25.0</v>
      </c>
      <c r="B27" s="3" t="s">
        <v>28</v>
      </c>
      <c r="C27" s="3" t="str">
        <f>IFERROR(__xludf.DUMMYFUNCTION("GOOGLETRANSLATE(B27,""id"",""en"")"),"['application', 'MyTelkom', 'easy', 'buy', 'quota', 'internet', 'price', 'quota', 'special', 'campus',' price ',' cheap ',' Features', 'Like', 'Lottery', 'Customer', 'MyTelkomsel', 'Hope', 'Lottery']")</f>
        <v>['application', 'MyTelkom', 'easy', 'buy', 'quota', 'internet', 'price', 'quota', 'special', 'campus',' price ',' cheap ',' Features', 'Like', 'Lottery', 'Customer', 'MyTelkomsel', 'Hope', 'Lottery']</v>
      </c>
      <c r="D27" s="3">
        <v>5.0</v>
      </c>
    </row>
    <row r="28" ht="15.75" customHeight="1">
      <c r="A28" s="1">
        <v>26.0</v>
      </c>
      <c r="B28" s="3" t="s">
        <v>29</v>
      </c>
      <c r="C28" s="3" t="str">
        <f>IFERROR(__xludf.DUMMYFUNCTION("GOOGLETRANSLATE(B28,""id"",""en"")"),"['Good', 'Feature', 'MANTEP', 'Daily', 'Check', 'Payment', 'Link', 'Shopeepay', 'Cashback', 'Maintain', 'System', 'Security', ' The login ',' Mantep ',' Open ',' Link ',' Browser ',' Divert ',' Application ',' SMS ',' Click ',' Link ',' Live ',' Enter ','"&amp;" Application ' , 'Cool', 'Simple', 'Tetep', 'Safe']")</f>
        <v>['Good', 'Feature', 'MANTEP', 'Daily', 'Check', 'Payment', 'Link', 'Shopeepay', 'Cashback', 'Maintain', 'System', 'Security', ' The login ',' Mantep ',' Open ',' Link ',' Browser ',' Divert ',' Application ',' SMS ',' Click ',' Link ',' Live ',' Enter ',' Application ' , 'Cool', 'Simple', 'Tetep', 'Safe']</v>
      </c>
      <c r="D28" s="3">
        <v>5.0</v>
      </c>
    </row>
    <row r="29" ht="15.75" customHeight="1">
      <c r="A29" s="1">
        <v>27.0</v>
      </c>
      <c r="B29" s="3" t="s">
        <v>30</v>
      </c>
      <c r="C29" s="3" t="str">
        <f>IFERROR(__xludf.DUMMYFUNCTION("GOOGLETRANSLATE(B29,""id"",""en"")"),"['Telkomsel', 'Telkomsel', 'promo', 'customer', 'thinking', 'customers',' consistent ',' service ',' satisfying ',' consumers', 'toying', 'consumers',' Rates', 'good']")</f>
        <v>['Telkomsel', 'Telkomsel', 'promo', 'customer', 'thinking', 'customers',' consistent ',' service ',' satisfying ',' consumers', 'toying', 'consumers',' Rates', 'good']</v>
      </c>
      <c r="D29" s="3">
        <v>1.0</v>
      </c>
    </row>
    <row r="30" ht="15.75" customHeight="1">
      <c r="A30" s="1">
        <v>28.0</v>
      </c>
      <c r="B30" s="3" t="s">
        <v>31</v>
      </c>
      <c r="C30" s="3" t="str">
        <f>IFERROR(__xludf.DUMMYFUNCTION("GOOGLETRANSLATE(B30,""id"",""en"")"),"['Cool', 'application', 'Telkomsel', 'buy', 'number', 'choose', 'number', 'choice', 'submitted', 'Telkomsel', 'buy', 'number', ' random ',' Telkomsel ',' hope ',' in the future ',' according to ',' hope ',' customer ',' loyal ',' Telkomsel ',' thank ',' l"&amp;"ove ']")</f>
        <v>['Cool', 'application', 'Telkomsel', 'buy', 'number', 'choose', 'number', 'choice', 'submitted', 'Telkomsel', 'buy', 'number', ' random ',' Telkomsel ',' hope ',' in the future ',' according to ',' hope ',' customer ',' loyal ',' Telkomsel ',' thank ',' love ']</v>
      </c>
      <c r="D30" s="3">
        <v>5.0</v>
      </c>
    </row>
    <row r="31" ht="15.75" customHeight="1">
      <c r="A31" s="1">
        <v>29.0</v>
      </c>
      <c r="B31" s="3" t="s">
        <v>32</v>
      </c>
      <c r="C31" s="3" t="str">
        <f>IFERROR(__xludf.DUMMYFUNCTION("GOOGLETRANSLATE(B31,""id"",""en"")"),"['Satisfied', 'signal', 'stable', 'lose', 'axis', 'package', 'expensive', 'expensive', 'signal', 'network', 'good', 'according to' price', '']")</f>
        <v>['Satisfied', 'signal', 'stable', 'lose', 'axis', 'package', 'expensive', 'expensive', 'signal', 'network', 'good', 'according to' price', '']</v>
      </c>
      <c r="D31" s="3">
        <v>1.0</v>
      </c>
    </row>
    <row r="32" ht="15.75" customHeight="1">
      <c r="A32" s="1">
        <v>30.0</v>
      </c>
      <c r="B32" s="3" t="s">
        <v>33</v>
      </c>
      <c r="C32" s="3" t="str">
        <f>IFERROR(__xludf.DUMMYFUNCTION("GOOGLETRANSLATE(B32,""id"",""en"")"),"['girlfriend', 'sympathy', 'play', 'game', 'pdhal', 'lbh', 'sophisticated', 'drpd', 'potato', 'strange', 'smooth', 'lag', ' Rich ',' knp ',' ']")</f>
        <v>['girlfriend', 'sympathy', 'play', 'game', 'pdhal', 'lbh', 'sophisticated', 'drpd', 'potato', 'strange', 'smooth', 'lag', ' Rich ',' knp ',' ']</v>
      </c>
      <c r="D32" s="3">
        <v>1.0</v>
      </c>
    </row>
    <row r="33" ht="15.75" customHeight="1">
      <c r="A33" s="1">
        <v>31.0</v>
      </c>
      <c r="B33" s="3" t="s">
        <v>34</v>
      </c>
      <c r="C33" s="3" t="str">
        <f>IFERROR(__xludf.DUMMYFUNCTION("GOOGLETRANSLATE(B33,""id"",""en"")"),"['MyTelkomsel', 'Abis',' update ',' tolo ',' already ',' login ',' number ',' closed ',' application ',' entered ',' told ',' login ',' reset ',' ngentodd ']")</f>
        <v>['MyTelkomsel', 'Abis',' update ',' tolo ',' already ',' login ',' number ',' closed ',' application ',' entered ',' told ',' login ',' reset ',' ngentodd ']</v>
      </c>
      <c r="D33" s="3">
        <v>1.0</v>
      </c>
    </row>
    <row r="34" ht="15.75" customHeight="1">
      <c r="A34" s="1">
        <v>32.0</v>
      </c>
      <c r="B34" s="3" t="s">
        <v>35</v>
      </c>
      <c r="C34" s="3" t="str">
        <f>IFERROR(__xludf.DUMMYFUNCTION("GOOGLETRANSLATE(B34,""id"",""en"")"),"['Severe', 'Reedem', 'Difficult', 'Credit', 'Yesterday', 'Credit', 'Cut "",' Live ',' Data ',' Repaired ',' Karna ',' User ',' complain ',' kayak ']")</f>
        <v>['Severe', 'Reedem', 'Difficult', 'Credit', 'Yesterday', 'Credit', 'Cut ",' Live ',' Data ',' Repaired ',' Karna ',' User ',' complain ',' kayak ']</v>
      </c>
      <c r="D34" s="3">
        <v>1.0</v>
      </c>
    </row>
    <row r="35" ht="15.75" customHeight="1">
      <c r="A35" s="1">
        <v>33.0</v>
      </c>
      <c r="B35" s="3" t="s">
        <v>36</v>
      </c>
      <c r="C35" s="3" t="str">
        <f>IFERROR(__xludf.DUMMYFUNCTION("GOOGLETRANSLATE(B35,""id"",""en"")"),"['The network', 'rich', 'people', 'boker', 'strange', 'signal', 'bad', 'telephone', 'as a scene', 'zero', 'area', 'GMANA', ' Services', 'Movers',' Village ',' ']")</f>
        <v>['The network', 'rich', 'people', 'boker', 'strange', 'signal', 'bad', 'telephone', 'as a scene', 'zero', 'area', 'GMANA', ' Services', 'Movers',' Village ',' ']</v>
      </c>
      <c r="D35" s="3">
        <v>1.0</v>
      </c>
    </row>
    <row r="36" ht="15.75" customHeight="1">
      <c r="A36" s="1">
        <v>34.0</v>
      </c>
      <c r="B36" s="3" t="s">
        <v>37</v>
      </c>
      <c r="C36" s="3" t="str">
        <f>IFERROR(__xludf.DUMMYFUNCTION("GOOGLETRANSLATE(B36,""id"",""en"")"),"['I', 'already', 'THN', 'PKE', 'Telkomsel', 'SMKIN', 'ugly', 'network', 'package', 'expensive', 'quality', 'network', ' disappointing ',' bni ',' bnyak ',' stop ',' card ',' telkomsel ',' me ',' thanks', ""]")</f>
        <v>['I', 'already', 'THN', 'PKE', 'Telkomsel', 'SMKIN', 'ugly', 'network', 'package', 'expensive', 'quality', 'network', ' disappointing ',' bni ',' bnyak ',' stop ',' card ',' telkomsel ',' me ',' thanks', "]</v>
      </c>
      <c r="D36" s="3">
        <v>1.0</v>
      </c>
    </row>
    <row r="37" ht="15.75" customHeight="1">
      <c r="A37" s="1">
        <v>35.0</v>
      </c>
      <c r="B37" s="3" t="s">
        <v>38</v>
      </c>
      <c r="C37" s="3" t="str">
        <f>IFERROR(__xludf.DUMMYFUNCTION("GOOGLETRANSLATE(B37,""id"",""en"")"),"['useful', 'application', 'light', 'easy', 'like', 'buy', 'quota', 'combo', 'sakti', 'ladies',' youtube ',' features', ' Shopping ',' Application ',' MyTelkomsel ',' ']")</f>
        <v>['useful', 'application', 'light', 'easy', 'like', 'buy', 'quota', 'combo', 'sakti', 'ladies',' youtube ',' features', ' Shopping ',' Application ',' MyTelkomsel ',' ']</v>
      </c>
      <c r="D37" s="3">
        <v>5.0</v>
      </c>
    </row>
    <row r="38" ht="15.75" customHeight="1">
      <c r="A38" s="1">
        <v>36.0</v>
      </c>
      <c r="B38" s="3" t="s">
        <v>39</v>
      </c>
      <c r="C38" s="3" t="str">
        <f>IFERROR(__xludf.DUMMYFUNCTION("GOOGLETRANSLATE(B38,""id"",""en"")"),"['Provider', 'TPI', 'Maginya', 'Era', 'Global', 'Smakin', 'Current', 'MLH', 'Lost', 'Signal', 'Lemot', 'East Java', ' Please ',' Check ',' Zone ',' East Java ',' KDP ',' Current ',' Sllu ',' Current ',' Trima ',' Love ']")</f>
        <v>['Provider', 'TPI', 'Maginya', 'Era', 'Global', 'Smakin', 'Current', 'MLH', 'Lost', 'Signal', 'Lemot', 'East Java', ' Please ',' Check ',' Zone ',' East Java ',' KDP ',' Current ',' Sllu ',' Current ',' Trima ',' Love ']</v>
      </c>
      <c r="D38" s="3">
        <v>1.0</v>
      </c>
    </row>
    <row r="39" ht="15.75" customHeight="1">
      <c r="A39" s="1">
        <v>37.0</v>
      </c>
      <c r="B39" s="3" t="s">
        <v>40</v>
      </c>
      <c r="C39" s="3" t="str">
        <f>IFERROR(__xludf.DUMMYFUNCTION("GOOGLETRANSLATE(B39,""id"",""en"")"),"['Location', 'Divitated', 'Disemarang', 'location', 'activation', 'disguised', 'as a result', 'quota', 'GB', 'drift', 'Amambarr', 'refund', ' Compensation ',' anything ',' Telkomsel ',' Ikhlas', 'fight']")</f>
        <v>['Location', 'Divitated', 'Disemarang', 'location', 'activation', 'disguised', 'as a result', 'quota', 'GB', 'drift', 'Amambarr', 'refund', ' Compensation ',' anything ',' Telkomsel ',' Ikhlas', 'fight']</v>
      </c>
      <c r="D39" s="3">
        <v>1.0</v>
      </c>
    </row>
    <row r="40" ht="15.75" customHeight="1">
      <c r="A40" s="1">
        <v>38.0</v>
      </c>
      <c r="B40" s="3" t="s">
        <v>41</v>
      </c>
      <c r="C40" s="3" t="str">
        <f>IFERROR(__xludf.DUMMYFUNCTION("GOOGLETRANSLATE(B40,""id"",""en"")"),"['Satisfied', 'really', 'use', 'MyTelkomsel', 'easy', 'check', 'quota', 'buy', 'package', 'exchange', 'point', 'promo', ' interesting ',' MyTelkomsel ',' like ',' MyTelkomsel ',' manual ',' Sometimes', 'promo', 'interesting', 'MyTelkomsel', 'Display', 'Ap"&amp;"plication', 'MyTelkomsel', 'elegant' , 'Features',' interesting ',' makes it easy ',' send ',' gift ',' pulse ',' quota ',' person ',' dear ',' Points', 'exchanged', 'promo', ' Prizes', 'interesting', 'Dabest', 'emang', 'MyTelkomsel', '']")</f>
        <v>['Satisfied', 'really', 'use', 'MyTelkomsel', 'easy', 'check', 'quota', 'buy', 'package', 'exchange', 'point', 'promo', ' interesting ',' MyTelkomsel ',' like ',' MyTelkomsel ',' manual ',' Sometimes', 'promo', 'interesting', 'MyTelkomsel', 'Display', 'Application', 'MyTelkomsel', 'elegant' , 'Features',' interesting ',' makes it easy ',' send ',' gift ',' pulse ',' quota ',' person ',' dear ',' Points', 'exchanged', 'promo', ' Prizes', 'interesting', 'Dabest', 'emang', 'MyTelkomsel', '']</v>
      </c>
      <c r="D40" s="3">
        <v>5.0</v>
      </c>
    </row>
    <row r="41" ht="15.75" customHeight="1">
      <c r="A41" s="1">
        <v>39.0</v>
      </c>
      <c r="B41" s="3" t="s">
        <v>42</v>
      </c>
      <c r="C41" s="3" t="str">
        <f>IFERROR(__xludf.DUMMYFUNCTION("GOOGLETRANSLATE(B41,""id"",""en"")"),"['likes',' features', 'exchange', 'point', 'gift', 'giveaway', 'kayak', 'December', 'a month', 'full', 'ngadin', 'gift', ' Dozens', 'million', 'Rupiah', 'Day', ""]")</f>
        <v>['likes',' features', 'exchange', 'point', 'gift', 'giveaway', 'kayak', 'December', 'a month', 'full', 'ngadin', 'gift', ' Dozens', 'million', 'Rupiah', 'Day', "]</v>
      </c>
      <c r="D41" s="3">
        <v>5.0</v>
      </c>
    </row>
    <row r="42" ht="15.75" customHeight="1">
      <c r="A42" s="1">
        <v>40.0</v>
      </c>
      <c r="B42" s="3" t="s">
        <v>43</v>
      </c>
      <c r="C42" s="3" t="str">
        <f>IFERROR(__xludf.DUMMYFUNCTION("GOOGLETRANSLATE(B42,""id"",""en"")"),"['Features',' Like ',' Telkomsel ',' Fill ',' Credit ',' Method ',' Payment ',' Linkaja ',' Ovo ',' Gopay ',' Fund ',' Virtual ',' Account ',' Card ',' Credit ',' Shopeepay ',' Kredivo ',' Bener ',' Bener ',' Comfort ',' Very ',' User ',' On ',' Linkaja '"&amp;",' Buy ' , 'Credit', 'Pay', 'Bill', 'Telkomsel', 'Simple', 'Practical', 'Price', 'Promo', 'Skrg', 'Login', 'Simple', 'Practical', ' Already ',' Google ',' Apple ',' Bener ',' Ribet ',' TTP ',' Safe ',' Mantap ',' Deh ', ""]")</f>
        <v>['Features',' Like ',' Telkomsel ',' Fill ',' Credit ',' Method ',' Payment ',' Linkaja ',' Ovo ',' Gopay ',' Fund ',' Virtual ',' Account ',' Card ',' Credit ',' Shopeepay ',' Kredivo ',' Bener ',' Bener ',' Comfort ',' Very ',' User ',' On ',' Linkaja ',' Buy ' , 'Credit', 'Pay', 'Bill', 'Telkomsel', 'Simple', 'Practical', 'Price', 'Promo', 'Skrg', 'Login', 'Simple', 'Practical', ' Already ',' Google ',' Apple ',' Bener ',' Ribet ',' TTP ',' Safe ',' Mantap ',' Deh ', "]</v>
      </c>
      <c r="D42" s="3">
        <v>5.0</v>
      </c>
    </row>
    <row r="43" ht="15.75" customHeight="1">
      <c r="A43" s="1">
        <v>41.0</v>
      </c>
      <c r="B43" s="3" t="s">
        <v>44</v>
      </c>
      <c r="C43" s="3" t="str">
        <f>IFERROR(__xludf.DUMMYFUNCTION("GOOGLETRANSLATE(B43,""id"",""en"")"),"['Like', 'really', 'MyTelkomsel', 'Features',' Like ',' Features', 'Daily', 'Check', 'Get', 'Points',' Quota ',' Internet ',' Free ',' Like ',' Package ',' Surprise ',' Deal ',' Package ',' Price ',' Cheap ',' Quota ',' Abundant ',' Ruah ',' Expends', 'Qu"&amp;"ota' , 'Internet', 'steady', 'Bener', 'MyTelkomsel', '']")</f>
        <v>['Like', 'really', 'MyTelkomsel', 'Features',' Like ',' Features', 'Daily', 'Check', 'Get', 'Points',' Quota ',' Internet ',' Free ',' Like ',' Package ',' Surprise ',' Deal ',' Package ',' Price ',' Cheap ',' Quota ',' Abundant ',' Ruah ',' Expends', 'Quota' , 'Internet', 'steady', 'Bener', 'MyTelkomsel', '']</v>
      </c>
      <c r="D43" s="3">
        <v>5.0</v>
      </c>
    </row>
    <row r="44" ht="15.75" customHeight="1">
      <c r="A44" s="1">
        <v>42.0</v>
      </c>
      <c r="B44" s="3" t="s">
        <v>45</v>
      </c>
      <c r="C44" s="3" t="str">
        <f>IFERROR(__xludf.DUMMYFUNCTION("GOOGLETRANSLATE(B44,""id"",""en"")"),"['love', 'star', 'right', 'buy', 'package', 'kantel', 'already', 'try', 'times',' kantel ',' network ',' smooth ',' Matiin ',' Power ',' Live ',' Open ',' Application ',' Telkomsel ',' Buy ',' Package ',' Credit ',' Stay ',' Rupiah ',' Use ',' Hospot ' , "&amp;"'Adek', 'buy', 'package', 'because', 'application', 'open', 'data', 'cellular', 'dead', 'please', 'fix', 'apk']")</f>
        <v>['love', 'star', 'right', 'buy', 'package', 'kantel', 'already', 'try', 'times',' kantel ',' network ',' smooth ',' Matiin ',' Power ',' Live ',' Open ',' Application ',' Telkomsel ',' Buy ',' Package ',' Credit ',' Stay ',' Rupiah ',' Use ',' Hospot ' , 'Adek', 'buy', 'package', 'because', 'application', 'open', 'data', 'cellular', 'dead', 'please', 'fix', 'apk']</v>
      </c>
      <c r="D44" s="3">
        <v>2.0</v>
      </c>
    </row>
    <row r="45" ht="15.75" customHeight="1">
      <c r="A45" s="1">
        <v>43.0</v>
      </c>
      <c r="B45" s="3" t="s">
        <v>46</v>
      </c>
      <c r="C45" s="3" t="str">
        <f>IFERROR(__xludf.DUMMYFUNCTION("GOOGLETRANSLATE(B45,""id"",""en"")"),"['already', 'happy', 'get', 'promo', 'GB', 'RB', 'slow', 'emotion', 'game', 'ngelag', 'thetring', 'muter', ' Mulu ',' signal ',' already ',' home ',' city ',' antah ',' crowded ',' oath ',' here ',' Males', 'Telkomsel']")</f>
        <v>['already', 'happy', 'get', 'promo', 'GB', 'RB', 'slow', 'emotion', 'game', 'ngelag', 'thetring', 'muter', ' Mulu ',' signal ',' already ',' home ',' city ',' antah ',' crowded ',' oath ',' here ',' Males', 'Telkomsel']</v>
      </c>
      <c r="D45" s="3">
        <v>1.0</v>
      </c>
    </row>
    <row r="46" ht="15.75" customHeight="1">
      <c r="A46" s="1">
        <v>44.0</v>
      </c>
      <c r="B46" s="3" t="s">
        <v>47</v>
      </c>
      <c r="C46" s="3" t="str">
        <f>IFERROR(__xludf.DUMMYFUNCTION("GOOGLETRANSLATE(B46,""id"",""en"")"),"['Buy', 'Package', 'Enter', 'Voucher', 'Telkomsel', 'Domicile', 'City', 'Bogor', 'Disappointed', 'System', 'Try', 'System', ' busy', '']")</f>
        <v>['Buy', 'Package', 'Enter', 'Voucher', 'Telkomsel', 'Domicile', 'City', 'Bogor', 'Disappointed', 'System', 'Try', 'System', ' busy', '']</v>
      </c>
      <c r="D46" s="3">
        <v>1.0</v>
      </c>
    </row>
    <row r="47" ht="15.75" customHeight="1">
      <c r="A47" s="1">
        <v>45.0</v>
      </c>
      <c r="B47" s="3" t="s">
        <v>48</v>
      </c>
      <c r="C47" s="3" t="str">
        <f>IFERROR(__xludf.DUMMYFUNCTION("GOOGLETRANSLATE(B47,""id"",""en"")"),"['', 'Please', 'Assisted', 'Application', 'Notif', 'Message', 'Pas',' Dbuka ',' Message ',' Mhon ',' Help ',' Karenan ',' Disturbed ',' Uninstall ',' Tetep ',' GTU ',' Email ',' TPI ',' Email ',' Valid ']")</f>
        <v>['', 'Please', 'Assisted', 'Application', 'Notif', 'Message', 'Pas',' Dbuka ',' Message ',' Mhon ',' Help ',' Karenan ',' Disturbed ',' Uninstall ',' Tetep ',' GTU ',' Email ',' TPI ',' Email ',' Valid ']</v>
      </c>
      <c r="D47" s="3">
        <v>3.0</v>
      </c>
    </row>
    <row r="48" ht="15.75" customHeight="1">
      <c r="A48" s="1">
        <v>46.0</v>
      </c>
      <c r="B48" s="3" t="s">
        <v>49</v>
      </c>
      <c r="C48" s="3" t="str">
        <f>IFERROR(__xludf.DUMMYFUNCTION("GOOGLETRANSLATE(B48,""id"",""en"")"),"['Sorry', 'just', 'pulse', 'stay', 'suck', 'a thousand', 'a thousand', 'decent', 'frequency', 'sometimes',' suck ',' data ',' Matiin ',' Calls', 'People', 'No "",' Ngilk ',' Ngatik ',' No"", 'Network', 'Not bad', 'just', 'obstacle', 'situ', 'Doang' , 'lik"&amp;"e', 'Sumpot', 'please', 'Clarification', 'fix', 'as soon as possible', ""]")</f>
        <v>['Sorry', 'just', 'pulse', 'stay', 'suck', 'a thousand', 'a thousand', 'decent', 'frequency', 'sometimes',' suck ',' data ',' Matiin ',' Calls', 'People', 'No ",' Ngilk ',' Ngatik ',' No", 'Network', 'Not bad', 'just', 'obstacle', 'situ', 'Doang' , 'like', 'Sumpot', 'please', 'Clarification', 'fix', 'as soon as possible', "]</v>
      </c>
      <c r="D48" s="3">
        <v>1.0</v>
      </c>
    </row>
    <row r="49" ht="15.75" customHeight="1">
      <c r="A49" s="1">
        <v>47.0</v>
      </c>
      <c r="B49" s="3" t="s">
        <v>50</v>
      </c>
      <c r="C49" s="3" t="str">
        <f>IFERROR(__xludf.DUMMYFUNCTION("GOOGLETRANSLATE(B49,""id"",""en"")"),"['network', 'Telkomsel', 'skrang', 'rich', 'snail', 'really', 'signal', 'like', 'stable', 'sometimes',' signal ',' full ',' ping ',' Gede ',' tasty ',' really ',' play ',' game ',' ngelag ',' ']")</f>
        <v>['network', 'Telkomsel', 'skrang', 'rich', 'snail', 'really', 'signal', 'like', 'stable', 'sometimes',' signal ',' full ',' ping ',' Gede ',' tasty ',' really ',' play ',' game ',' ngelag ',' ']</v>
      </c>
      <c r="D49" s="3">
        <v>1.0</v>
      </c>
    </row>
    <row r="50" ht="15.75" customHeight="1">
      <c r="A50" s="1">
        <v>48.0</v>
      </c>
      <c r="B50" s="3" t="s">
        <v>51</v>
      </c>
      <c r="C50" s="3" t="str">
        <f>IFERROR(__xludf.DUMMYFUNCTION("GOOGLETRANSLATE(B50,""id"",""en"")"),"['Citizens',' Indonesia ',' Application ',' MyTelkomsel ',' Appsi ',' Programmed ',' Consumers', 'Easy', 'Buy', 'Check', 'Control', 'Gurts',' Data ',' pulses', 'like', 'exchange', 'exchange', 'point', 'motorbike', 'car', 'Telkomsel', 'provider', 'champion"&amp;"', 'Jaya', ""]")</f>
        <v>['Citizens',' Indonesia ',' Application ',' MyTelkomsel ',' Appsi ',' Programmed ',' Consumers', 'Easy', 'Buy', 'Check', 'Control', 'Gurts',' Data ',' pulses', 'like', 'exchange', 'exchange', 'point', 'motorbike', 'car', 'Telkomsel', 'provider', 'champion', 'Jaya', "]</v>
      </c>
      <c r="D50" s="3">
        <v>5.0</v>
      </c>
    </row>
    <row r="51" ht="15.75" customHeight="1">
      <c r="A51" s="1">
        <v>49.0</v>
      </c>
      <c r="B51" s="3" t="s">
        <v>52</v>
      </c>
      <c r="C51" s="3" t="str">
        <f>IFERROR(__xludf.DUMMYFUNCTION("GOOGLETRANSLATE(B51,""id"",""en"")"),"['Star', 'MyTelkomsel', 'Champion', 'Dihati', 'The connoisseurs',' Best ',' Keep ',' Like ',' Application ',' Send ',' Gift ',' friend ',' Application ',' Daily ',' Check ',' Easy ',' Promo ',' Telkomsel ',' ']")</f>
        <v>['Star', 'MyTelkomsel', 'Champion', 'Dihati', 'The connoisseurs',' Best ',' Keep ',' Like ',' Application ',' Send ',' Gift ',' friend ',' Application ',' Daily ',' Check ',' Easy ',' Promo ',' Telkomsel ',' ']</v>
      </c>
      <c r="D51" s="3">
        <v>5.0</v>
      </c>
    </row>
    <row r="52" ht="15.75" customHeight="1">
      <c r="A52" s="1">
        <v>50.0</v>
      </c>
      <c r="B52" s="3" t="s">
        <v>53</v>
      </c>
      <c r="C52" s="3" t="str">
        <f>IFERROR(__xludf.DUMMYFUNCTION("GOOGLETRANSLATE(B52,""id"",""en"")"),"['Good', 'application', 'good', 'signal', 'jga', 'okay', 'cool', 'deh', 'staple', 'try', 'boong']")</f>
        <v>['Good', 'application', 'good', 'signal', 'jga', 'okay', 'cool', 'deh', 'staple', 'try', 'boong']</v>
      </c>
      <c r="D52" s="3">
        <v>1.0</v>
      </c>
    </row>
    <row r="53" ht="15.75" customHeight="1">
      <c r="A53" s="1">
        <v>51.0</v>
      </c>
      <c r="B53" s="3" t="s">
        <v>54</v>
      </c>
      <c r="C53" s="3" t="str">
        <f>IFERROR(__xludf.DUMMYFUNCTION("GOOGLETRANSLATE(B53,""id"",""en"")"),"['like', 'features',' exchange ',' points', 'offer', 'shopping', 'link', 'etc.', 'package', 'like', 'GB', 'combo', ' Sakti ',' RB ',' quota ',' durable ',' MNT ',' Tsel ',' SMS ',' Tsel ',' Package ',' subscribe ',' MaxStream ',' GB ',' application ' , 'e"&amp;"asy', 'features', 'complete', 'really', 'fast', '']")</f>
        <v>['like', 'features',' exchange ',' points', 'offer', 'shopping', 'link', 'etc.', 'package', 'like', 'GB', 'combo', ' Sakti ',' RB ',' quota ',' durable ',' MNT ',' Tsel ',' SMS ',' Tsel ',' Package ',' subscribe ',' MaxStream ',' GB ',' application ' , 'easy', 'features', 'complete', 'really', 'fast', '']</v>
      </c>
      <c r="D53" s="3">
        <v>5.0</v>
      </c>
    </row>
    <row r="54" ht="15.75" customHeight="1">
      <c r="A54" s="1">
        <v>52.0</v>
      </c>
      <c r="B54" s="3" t="s">
        <v>55</v>
      </c>
      <c r="C54" s="3" t="str">
        <f>IFERROR(__xludf.DUMMYFUNCTION("GOOGLETRANSLATE(B54,""id"",""en"")"),"['repeated', 'open', 'application', 'open', 'game', 'heavy', 'hurry', 'open', 'game', 'change', 'provider', 'Nda', ' Performaa ',' ']")</f>
        <v>['repeated', 'open', 'application', 'open', 'game', 'heavy', 'hurry', 'open', 'game', 'change', 'provider', 'Nda', ' Performaa ',' ']</v>
      </c>
      <c r="D54" s="3">
        <v>1.0</v>
      </c>
    </row>
    <row r="55" ht="15.75" customHeight="1">
      <c r="A55" s="1">
        <v>53.0</v>
      </c>
      <c r="B55" s="3" t="s">
        <v>56</v>
      </c>
      <c r="C55" s="3" t="str">
        <f>IFERROR(__xludf.DUMMYFUNCTION("GOOGLETRANSLATE(B55,""id"",""en"")"),"['Please', 'donk', 'klu', 'appointment', 'download', 'mytelkomsel', 'gift', 'pulse', 'reality', 'zero', 'hope', 'apk', ' In the future ',' ']")</f>
        <v>['Please', 'donk', 'klu', 'appointment', 'download', 'mytelkomsel', 'gift', 'pulse', 'reality', 'zero', 'hope', 'apk', ' In the future ',' ']</v>
      </c>
      <c r="D55" s="3">
        <v>4.0</v>
      </c>
    </row>
    <row r="56" ht="15.75" customHeight="1">
      <c r="A56" s="1">
        <v>54.0</v>
      </c>
      <c r="B56" s="3" t="s">
        <v>57</v>
      </c>
      <c r="C56" s="3" t="str">
        <f>IFERROR(__xludf.DUMMYFUNCTION("GOOGLETRANSLATE(B56,""id"",""en"")"),"['Sorry', 'apk', 'replace', 'account', 'funds',' bound ',' many ',' times', 'try', 'log', 'out', 'account', ' fund ',' log ',' out ',' sorry ',' error ',' system ',' please ',' check ',' network ',' repeat ',' transaction ',' log ',' out ' , 'Delete', 'Re"&amp;"view', 'Please', 'work', 'weapon', 'admim', ""]")</f>
        <v>['Sorry', 'apk', 'replace', 'account', 'funds',' bound ',' many ',' times', 'try', 'log', 'out', 'account', ' fund ',' log ',' out ',' sorry ',' error ',' system ',' please ',' check ',' network ',' repeat ',' transaction ',' log ',' out ' , 'Delete', 'Review', 'Please', 'work', 'weapon', 'admim', "]</v>
      </c>
      <c r="D56" s="3">
        <v>2.0</v>
      </c>
    </row>
    <row r="57" ht="15.75" customHeight="1">
      <c r="A57" s="1">
        <v>55.0</v>
      </c>
      <c r="B57" s="3" t="s">
        <v>58</v>
      </c>
      <c r="C57" s="3" t="str">
        <f>IFERROR(__xludf.DUMMYFUNCTION("GOOGLETRANSLATE(B57,""id"",""en"")"),"['Like', 'really', 'Telkomsel', 'makes it easy for me', 'buy', 'package', 'internet', 'right', 'needin', 'plus',' features', 'exchange', ' Points', 'Exchange', 'Voucher', 'Like', 'Buy', 'Package', 'Internet', 'Telkomsel', 'In the future', 'Enhanced', 'Sis"&amp;"',' Difficult ',' Accessible ' , 'thank you']")</f>
        <v>['Like', 'really', 'Telkomsel', 'makes it easy for me', 'buy', 'package', 'internet', 'right', 'needin', 'plus',' features', 'exchange', ' Points', 'Exchange', 'Voucher', 'Like', 'Buy', 'Package', 'Internet', 'Telkomsel', 'In the future', 'Enhanced', 'Sis',' Difficult ',' Accessible ' , 'thank you']</v>
      </c>
      <c r="D57" s="3">
        <v>5.0</v>
      </c>
    </row>
    <row r="58" ht="15.75" customHeight="1">
      <c r="A58" s="1">
        <v>56.0</v>
      </c>
      <c r="B58" s="3" t="s">
        <v>59</v>
      </c>
      <c r="C58" s="3" t="str">
        <f>IFERROR(__xludf.DUMMYFUNCTION("GOOGLETRANSLATE(B58,""id"",""en"")"),"['Like', 'Features',' Buy ',' Package ',' GamemaxSilver ',' Daily ',' Check ',' Livestream ',' Game ',' Buy ',' Package ',' Balance ',' Link ',' Layday ',' Undi ',' Hepi ',' Points', 'Exchange', 'balance', 'Linkaja', 'thousand', 'heheh', 'staple', 'exciti"&amp;"ng', 'min' , 'Hopefully', 'Telkomsel', 'Features', 'Features', 'Interesting', 'Spirit', 'Min', ""]")</f>
        <v>['Like', 'Features',' Buy ',' Package ',' GamemaxSilver ',' Daily ',' Check ',' Livestream ',' Game ',' Buy ',' Package ',' Balance ',' Link ',' Layday ',' Undi ',' Hepi ',' Points', 'Exchange', 'balance', 'Linkaja', 'thousand', 'heheh', 'staple', 'exciting', 'min' , 'Hopefully', 'Telkomsel', 'Features', 'Features', 'Interesting', 'Spirit', 'Min', "]</v>
      </c>
      <c r="D58" s="3">
        <v>5.0</v>
      </c>
    </row>
    <row r="59" ht="15.75" customHeight="1">
      <c r="A59" s="1">
        <v>57.0</v>
      </c>
      <c r="B59" s="3" t="s">
        <v>60</v>
      </c>
      <c r="C59" s="3" t="str">
        <f>IFERROR(__xludf.DUMMYFUNCTION("GOOGLETRANSLATE(B59,""id"",""en"")"),"['like', 'application', 'beside', 'makes it easy', 'checks',' leftover ',' quota ',' pulse ',' easy ',' buy ',' package ',' price ',' Promo ',' Like ',' Daily ',' Check ',' Check ',' Quota ',' Data ',' GB ',' ']")</f>
        <v>['like', 'application', 'beside', 'makes it easy', 'checks',' leftover ',' quota ',' pulse ',' easy ',' buy ',' package ',' price ',' Promo ',' Like ',' Daily ',' Check ',' Check ',' Quota ',' Data ',' GB ',' ']</v>
      </c>
      <c r="D59" s="3">
        <v>5.0</v>
      </c>
    </row>
    <row r="60" ht="15.75" customHeight="1">
      <c r="A60" s="1">
        <v>58.0</v>
      </c>
      <c r="B60" s="3" t="s">
        <v>61</v>
      </c>
      <c r="C60" s="3" t="str">
        <f>IFERROR(__xludf.DUMMYFUNCTION("GOOGLETRANSLATE(B60,""id"",""en"")"),"['Application', 'Satan', 'Register', 'Package', 'Data', 'Signal', 'Changed', 'Credit', 'Suck', 'Disight', 'Fraud', 'Where', ' signal ',' Telkomsel ',' stable ',' pulse ',' drained ',' detrimental ',' ']")</f>
        <v>['Application', 'Satan', 'Register', 'Package', 'Data', 'Signal', 'Changed', 'Credit', 'Suck', 'Disight', 'Fraud', 'Where', ' signal ',' Telkomsel ',' stable ',' pulse ',' drained ',' detrimental ',' ']</v>
      </c>
      <c r="D60" s="3">
        <v>1.0</v>
      </c>
    </row>
    <row r="61" ht="15.75" customHeight="1">
      <c r="A61" s="1">
        <v>59.0</v>
      </c>
      <c r="B61" s="3" t="s">
        <v>62</v>
      </c>
      <c r="C61" s="3" t="str">
        <f>IFERROR(__xludf.DUMMYFUNCTION("GOOGLETRANSLATE(B61,""id"",""en"")"),"['Features',' Package ',' Like ',' Features', 'Features',' Features', 'Points',' Bener ',' Like ',' Login ',' Stamp ',' Exchange ',' coin ',' quota ',' saving ',' pandemic ',' package ',' package ',' promo ',' promo ',' already ',' sms', 'direct', 'list',"&amp;" 'save' , 'Credit', 'contents', 'wallet', 'hihii']")</f>
        <v>['Features',' Package ',' Like ',' Features', 'Features',' Features', 'Points',' Bener ',' Like ',' Login ',' Stamp ',' Exchange ',' coin ',' quota ',' saving ',' pandemic ',' package ',' package ',' promo ',' promo ',' already ',' sms', 'direct', 'list', 'save' , 'Credit', 'contents', 'wallet', 'hihii']</v>
      </c>
      <c r="D61" s="3">
        <v>5.0</v>
      </c>
    </row>
    <row r="62" ht="15.75" customHeight="1">
      <c r="A62" s="1">
        <v>60.0</v>
      </c>
      <c r="B62" s="3" t="s">
        <v>63</v>
      </c>
      <c r="C62" s="3" t="str">
        <f>IFERROR(__xludf.DUMMYFUNCTION("GOOGLETRANSLATE(B62,""id"",""en"")"),"['The application', 'good', 'easy', 'hangs', 'promo', 'interesting', 'increase', 'stability', 'functions', 'thank', 'love', ""]")</f>
        <v>['The application', 'good', 'easy', 'hangs', 'promo', 'interesting', 'increase', 'stability', 'functions', 'thank', 'love', "]</v>
      </c>
      <c r="D62" s="3">
        <v>5.0</v>
      </c>
    </row>
    <row r="63" ht="15.75" customHeight="1">
      <c r="A63" s="1">
        <v>61.0</v>
      </c>
      <c r="B63" s="3" t="s">
        <v>64</v>
      </c>
      <c r="C63" s="3" t="str">
        <f>IFERROR(__xludf.DUMMYFUNCTION("GOOGLETRANSLATE(B63,""id"",""en"")"),"['Tasty', 'Telkomsel', 'Narik', 'pulse', 'Mulu', 'contents',' credit ',' check ',' pulse ',' leftover ',' steady ',' Telkomsel ',' Furrows', 'fraud', ""]")</f>
        <v>['Tasty', 'Telkomsel', 'Narik', 'pulse', 'Mulu', 'contents',' credit ',' check ',' pulse ',' leftover ',' steady ',' Telkomsel ',' Furrows', 'fraud', "]</v>
      </c>
      <c r="D63" s="3">
        <v>1.0</v>
      </c>
    </row>
    <row r="64" ht="15.75" customHeight="1">
      <c r="A64" s="1">
        <v>62.0</v>
      </c>
      <c r="B64" s="3" t="s">
        <v>65</v>
      </c>
      <c r="C64" s="3" t="str">
        <f>IFERROR(__xludf.DUMMYFUNCTION("GOOGLETRANSLATE(B64,""id"",""en"")"),"['Network', 'BLM', 'Stable', 'Disconnect', 'Price', 'Paketan', 'Famous',' Mahaalll ',' Cooooyyyy ',' Paraaaaahhhhh ',' Developer ',' Solution ',' Alias', 'Ribet']")</f>
        <v>['Network', 'BLM', 'Stable', 'Disconnect', 'Price', 'Paketan', 'Famous',' Mahaalll ',' Cooooyyyy ',' Paraaaaahhhhh ',' Developer ',' Solution ',' Alias', 'Ribet']</v>
      </c>
      <c r="D64" s="3">
        <v>1.0</v>
      </c>
    </row>
    <row r="65" ht="15.75" customHeight="1">
      <c r="A65" s="1">
        <v>63.0</v>
      </c>
      <c r="B65" s="3" t="s">
        <v>66</v>
      </c>
      <c r="C65" s="3" t="str">
        <f>IFERROR(__xludf.DUMMYFUNCTION("GOOGLETRANSLATE(B65,""id"",""en"")"),"['Dahlah', 'Telkomsel', 'Bener', 'operator', 'Telkomsel', 'BURIK', 'improvement', 'network', 'that's',' Mulu ',' ilang ',' TPI ',' lazy']")</f>
        <v>['Dahlah', 'Telkomsel', 'Bener', 'operator', 'Telkomsel', 'BURIK', 'improvement', 'network', 'that's',' Mulu ',' ilang ',' TPI ',' lazy']</v>
      </c>
      <c r="D65" s="3">
        <v>1.0</v>
      </c>
    </row>
    <row r="66" ht="15.75" customHeight="1">
      <c r="A66" s="1">
        <v>64.0</v>
      </c>
      <c r="B66" s="3" t="s">
        <v>67</v>
      </c>
      <c r="C66" s="3" t="str">
        <f>IFERROR(__xludf.DUMMYFUNCTION("GOOGLETRANSLATE(B66,""id"",""en"")"),"['application', 'MyTelkomsel', 'help', 'makes it easy', 'check', 'pulse', 'makes it easy', 'purchase', 'package', 'internet', 'features',' like ',' Features', 'Points',' Love ',' Exchange ',' Attractive ',' Useful ',' Thank you ',' Telkomsel ',' Telkomsel"&amp;" ',' The ',' Best ', ""]")</f>
        <v>['application', 'MyTelkomsel', 'help', 'makes it easy', 'check', 'pulse', 'makes it easy', 'purchase', 'package', 'internet', 'features',' like ',' Features', 'Points',' Love ',' Exchange ',' Attractive ',' Useful ',' Thank you ',' Telkomsel ',' Telkomsel ',' The ',' Best ', "]</v>
      </c>
      <c r="D66" s="3">
        <v>5.0</v>
      </c>
    </row>
    <row r="67" ht="15.75" customHeight="1">
      <c r="A67" s="1">
        <v>65.0</v>
      </c>
      <c r="B67" s="3" t="s">
        <v>68</v>
      </c>
      <c r="C67" s="3" t="str">
        <f>IFERROR(__xludf.DUMMYFUNCTION("GOOGLETRANSLATE(B67,""id"",""en"")"),"['Thank you', 'Telkomsel', 'in the future', 'Telkomsel', 'reach', 'remote', 'remote', 'progress',' technology ',' Feel ',' brother ',' there ',' thank you']")</f>
        <v>['Thank you', 'Telkomsel', 'in the future', 'Telkomsel', 'reach', 'remote', 'remote', 'progress',' technology ',' Feel ',' brother ',' there ',' thank you']</v>
      </c>
      <c r="D67" s="3">
        <v>5.0</v>
      </c>
    </row>
    <row r="68" ht="15.75" customHeight="1">
      <c r="A68" s="1">
        <v>66.0</v>
      </c>
      <c r="B68" s="3" t="s">
        <v>69</v>
      </c>
      <c r="C68" s="3" t="str">
        <f>IFERROR(__xludf.DUMMYFUNCTION("GOOGLETRANSLATE(B68,""id"",""en"")"),"['Dear', 'Telkomsel', 'BBR', 'Tel', 'Number', 'Customer', 'Promo', 'Migration', 'Karto', 'Hello', 'Iming', 'Network', ' Special ',' best ',' program ',' migration ',' network ',' Telkomsel ',' bad ',' fix ',' priority ',' migration ',' card ',' run ',' fi"&amp;"ne ' , 'BLM', 'SMPE', 'NATURE', 'Farah', 'Confirm', 'Complaints', 'TRS', 'Discuss', 'Disappointing', '']")</f>
        <v>['Dear', 'Telkomsel', 'BBR', 'Tel', 'Number', 'Customer', 'Promo', 'Migration', 'Karto', 'Hello', 'Iming', 'Network', ' Special ',' best ',' program ',' migration ',' network ',' Telkomsel ',' bad ',' fix ',' priority ',' migration ',' card ',' run ',' fine ' , 'BLM', 'SMPE', 'NATURE', 'Farah', 'Confirm', 'Complaints', 'TRS', 'Discuss', 'Disappointing', '']</v>
      </c>
      <c r="D68" s="3">
        <v>1.0</v>
      </c>
    </row>
    <row r="69" ht="15.75" customHeight="1">
      <c r="A69" s="1">
        <v>67.0</v>
      </c>
      <c r="B69" s="3" t="s">
        <v>70</v>
      </c>
      <c r="C69" s="3" t="str">
        <f>IFERROR(__xludf.DUMMYFUNCTION("GOOGLETRANSLATE(B69,""id"",""en"")"),"['Application', 'Telkomsel', 'Login', 'Check', 'Credit', 'Quotes',' Check ',' Feature ',' Daily ',' Check ',' Get ',' Points', ' Kouta ',' Free ',' Cool ',' Features', 'Shopping', 'Choice', 'Package', 'Internet', 'Telephone', 'Promotions',' Success', 'Jay"&amp;"a', 'Telkomsel' ]")</f>
        <v>['Application', 'Telkomsel', 'Login', 'Check', 'Credit', 'Quotes',' Check ',' Feature ',' Daily ',' Check ',' Get ',' Points', ' Kouta ',' Free ',' Cool ',' Features', 'Shopping', 'Choice', 'Package', 'Internet', 'Telephone', 'Promotions',' Success', 'Jaya', 'Telkomsel' ]</v>
      </c>
      <c r="D69" s="3">
        <v>5.0</v>
      </c>
    </row>
    <row r="70" ht="15.75" customHeight="1">
      <c r="A70" s="1">
        <v>68.0</v>
      </c>
      <c r="B70" s="3" t="s">
        <v>71</v>
      </c>
      <c r="C70" s="3" t="str">
        <f>IFERROR(__xludf.DUMMYFUNCTION("GOOGLETRANSLATE(B70,""id"",""en"")"),"['Seandai', 'Signal', 'Switch', 'already', 'ngisih', 'pulse', 'ndk', 'abis',' kelang ',' hri ',' eat ',' plsa ',' GTU ',' SETERUS ',' Credit ',' Badap ',' NMA ',' PDUS ',' NGK ',' PKE ',' NSP ',' subscribe ',' package ',' expensive ', ""]")</f>
        <v>['Seandai', 'Signal', 'Switch', 'already', 'ngisih', 'pulse', 'ndk', 'abis',' kelang ',' hri ',' eat ',' plsa ',' GTU ',' SETERUS ',' Credit ',' Badap ',' NMA ',' PDUS ',' NGK ',' PKE ',' NSP ',' subscribe ',' package ',' expensive ', "]</v>
      </c>
      <c r="D70" s="3">
        <v>1.0</v>
      </c>
    </row>
    <row r="71" ht="15.75" customHeight="1">
      <c r="A71" s="1">
        <v>69.0</v>
      </c>
      <c r="B71" s="3" t="s">
        <v>72</v>
      </c>
      <c r="C71" s="3" t="str">
        <f>IFERROR(__xludf.DUMMYFUNCTION("GOOGLETRANSLATE(B71,""id"",""en"")"),"['Entering', 'Difficult', 'Increases',' Quality ',' Signal ',' Access', 'Internet', 'Give', 'Reward', 'Gift', 'Direct', 'Customer', ' Faithful ',' program ',' Daily ',' check ',' stingy ',' gave ',' prize ',' then ',' service ',' customer ',' Veronika ','"&amp;" serious']")</f>
        <v>['Entering', 'Difficult', 'Increases',' Quality ',' Signal ',' Access', 'Internet', 'Give', 'Reward', 'Gift', 'Direct', 'Customer', ' Faithful ',' program ',' Daily ',' check ',' stingy ',' gave ',' prize ',' then ',' service ',' customer ',' Veronika ',' serious']</v>
      </c>
      <c r="D71" s="3">
        <v>3.0</v>
      </c>
    </row>
    <row r="72" ht="15.75" customHeight="1">
      <c r="A72" s="1">
        <v>70.0</v>
      </c>
      <c r="B72" s="3" t="s">
        <v>73</v>
      </c>
      <c r="C72" s="3" t="str">
        <f>IFERROR(__xludf.DUMMYFUNCTION("GOOGLETRANSLATE(B72,""id"",""en"")"),"['Even though', 'Performance', 'APK', 'Not bad', 'Heavy', 'APK', 'Satisfaction', 'Service', 'Promo', 'Down', 'Down', 'APK', ' advantages', 'deficiencies',' apk ',' cover ',' drawback ',' bulliness', 'jossss',' lick ',' muji ',' so ',' kasi ',' apk ',' mys"&amp;"elf ' , 'Telkomsel', 'The', 'Best', '']")</f>
        <v>['Even though', 'Performance', 'APK', 'Not bad', 'Heavy', 'APK', 'Satisfaction', 'Service', 'Promo', 'Down', 'Down', 'APK', ' advantages', 'deficiencies',' apk ',' cover ',' drawback ',' bulliness', 'jossss',' lick ',' muji ',' so ',' kasi ',' apk ',' myself ' , 'Telkomsel', 'The', 'Best', '']</v>
      </c>
      <c r="D72" s="3">
        <v>5.0</v>
      </c>
    </row>
    <row r="73" ht="15.75" customHeight="1">
      <c r="A73" s="1">
        <v>71.0</v>
      </c>
      <c r="B73" s="3" t="s">
        <v>74</v>
      </c>
      <c r="C73" s="3" t="str">
        <f>IFERROR(__xludf.DUMMYFUNCTION("GOOGLETRANSLATE(B73,""id"",""en"")"),"['poor', 'Mimin', 'Telkomsel', 'No "",' Learning ',' Error ',' Error ',' Complains ',' Customer ',' No"", 'Solution', 'How' Rating ',' ']")</f>
        <v>['poor', 'Mimin', 'Telkomsel', 'No ",' Learning ',' Error ',' Error ',' Complains ',' Customer ',' No", 'Solution', 'How' Rating ',' ']</v>
      </c>
      <c r="D73" s="3">
        <v>2.0</v>
      </c>
    </row>
    <row r="74" ht="15.75" customHeight="1">
      <c r="A74" s="1">
        <v>72.0</v>
      </c>
      <c r="B74" s="3" t="s">
        <v>75</v>
      </c>
      <c r="C74" s="3" t="str">
        <f>IFERROR(__xludf.DUMMYFUNCTION("GOOGLETRANSLATE(B74,""id"",""en"")"),"['weigh', 'busy', 'managing', 'Mending', 'Benerin', 'Network', 'No', 'call', 'operator', 'many', 'times',' answer ',' Persero ',' Indonesia ',' fix ',' signal ',' focus', '']")</f>
        <v>['weigh', 'busy', 'managing', 'Mending', 'Benerin', 'Network', 'No', 'call', 'operator', 'many', 'times',' answer ',' Persero ',' Indonesia ',' fix ',' signal ',' focus', '']</v>
      </c>
      <c r="D74" s="3">
        <v>1.0</v>
      </c>
    </row>
    <row r="75" ht="15.75" customHeight="1">
      <c r="A75" s="1">
        <v>73.0</v>
      </c>
      <c r="B75" s="3" t="s">
        <v>76</v>
      </c>
      <c r="C75" s="3" t="str">
        <f>IFERROR(__xludf.DUMMYFUNCTION("GOOGLETRANSLATE(B75,""id"",""en"")"),"['here', 'Severe', 'slow', 'really', 'how', 'repairs',' Bela ',' moved ',' operator ',' result ',' Ajah ',' operator ',' use ',' buy ',' quota ',' expensive ',' results', 'satisfying', 'it's up', 'listen', 'complaints',' improvement ',' Please ',' sorry '"&amp;",' forced ' , 'Move', 'Operator', '']")</f>
        <v>['here', 'Severe', 'slow', 'really', 'how', 'repairs',' Bela ',' moved ',' operator ',' result ',' Ajah ',' operator ',' use ',' buy ',' quota ',' expensive ',' results', 'satisfying', 'it's up', 'listen', 'complaints',' improvement ',' Please ',' sorry ',' forced ' , 'Move', 'Operator', '']</v>
      </c>
      <c r="D75" s="3">
        <v>1.0</v>
      </c>
    </row>
    <row r="76" ht="15.75" customHeight="1">
      <c r="A76" s="1">
        <v>74.0</v>
      </c>
      <c r="B76" s="3" t="s">
        <v>77</v>
      </c>
      <c r="C76" s="3" t="str">
        <f>IFERROR(__xludf.DUMMYFUNCTION("GOOGLETRANSLATE(B76,""id"",""en"")"),"['transaction', 'anything', 'pulse', 'reduced', 'try', 'application', 'smart', 'lock', 'kayak', 'provider', 'next door', 'pulses',' Abis', 'really', 'already', 'mah', 'network', 'connection', 'count on', 'forced', 'special', 'emergency', 'doang']")</f>
        <v>['transaction', 'anything', 'pulse', 'reduced', 'try', 'application', 'smart', 'lock', 'kayak', 'provider', 'next door', 'pulses',' Abis', 'really', 'already', 'mah', 'network', 'connection', 'count on', 'forced', 'special', 'emergency', 'doang']</v>
      </c>
      <c r="D76" s="3">
        <v>1.0</v>
      </c>
    </row>
    <row r="77" ht="15.75" customHeight="1">
      <c r="A77" s="1">
        <v>75.0</v>
      </c>
      <c r="B77" s="3" t="s">
        <v>78</v>
      </c>
      <c r="C77" s="3" t="str">
        <f>IFERROR(__xludf.DUMMYFUNCTION("GOOGLETRANSLATE(B77,""id"",""en"")"),"['Ouch', 'stop', 'package', 'dngan', 'sms',' dngan ',' dial ',' until ',' told ',' application ',' no ',' stop ',' bitterly ',' forgiveness', 'summit', 'persuhit', 'donk', 'love', 'direction', 'easy', 'contact', 'bother']")</f>
        <v>['Ouch', 'stop', 'package', 'dngan', 'sms',' dngan ',' dial ',' until ',' told ',' application ',' no ',' stop ',' bitterly ',' forgiveness', 'summit', 'persuhit', 'donk', 'love', 'direction', 'easy', 'contact', 'bother']</v>
      </c>
      <c r="D77" s="3">
        <v>1.0</v>
      </c>
    </row>
    <row r="78" ht="15.75" customHeight="1">
      <c r="A78" s="1">
        <v>76.0</v>
      </c>
      <c r="B78" s="3" t="s">
        <v>79</v>
      </c>
      <c r="C78" s="3" t="str">
        <f>IFERROR(__xludf.DUMMYFUNCTION("GOOGLETRANSLATE(B78,""id"",""en"")"),"['Disappointed', 'Belt', 'Telkomsel', 'BLI', 'Package', 'Thinking', 'YouTube', 'Buy', 'Clock', 'Hour', 'Udh', 'Abis',' ',' clock ',' clock ',' clock ',' udh ',' abis', 'pdhl', 'youtube', 'udh', 'abis',' active ',' package ',' he's' , 'Discard', 'Telkomsel"&amp;"', 'Recommendation', 'System', 'stingy']")</f>
        <v>['Disappointed', 'Belt', 'Telkomsel', 'BLI', 'Package', 'Thinking', 'YouTube', 'Buy', 'Clock', 'Hour', 'Udh', 'Abis',' ',' clock ',' clock ',' clock ',' udh ',' abis', 'pdhl', 'youtube', 'udh', 'abis',' active ',' package ',' he's' , 'Discard', 'Telkomsel', 'Recommendation', 'System', 'stingy']</v>
      </c>
      <c r="D78" s="3">
        <v>1.0</v>
      </c>
    </row>
    <row r="79" ht="15.75" customHeight="1">
      <c r="A79" s="1">
        <v>77.0</v>
      </c>
      <c r="B79" s="3" t="s">
        <v>80</v>
      </c>
      <c r="C79" s="3" t="str">
        <f>IFERROR(__xludf.DUMMYFUNCTION("GOOGLETRANSLATE(B79,""id"",""en"")"),"['really', 'really', 'feature', 'APO', 'Mutelkomsel', 'makes it easy', 'check', 'in', 'times',' click ',' Feature ',' like ',' Daily ',' Check ',' Happy ',' Krna ',' UDH ',' Collected ',' Stamp ',' Tuker ',' Quota ',' Data ',' Mantapsss', 'Anyway', 'MyTel"&amp;"komselk' , 'App', '']")</f>
        <v>['really', 'really', 'feature', 'APO', 'Mutelkomsel', 'makes it easy', 'check', 'in', 'times',' click ',' Feature ',' like ',' Daily ',' Check ',' Happy ',' Krna ',' UDH ',' Collected ',' Stamp ',' Tuker ',' Quota ',' Data ',' Mantapsss', 'Anyway', 'MyTelkomselk' , 'App', '']</v>
      </c>
      <c r="D79" s="3">
        <v>5.0</v>
      </c>
    </row>
    <row r="80" ht="15.75" customHeight="1">
      <c r="A80" s="1">
        <v>78.0</v>
      </c>
      <c r="B80" s="3" t="s">
        <v>81</v>
      </c>
      <c r="C80" s="3" t="str">
        <f>IFERROR(__xludf.DUMMYFUNCTION("GOOGLETRANSLATE(B80,""id"",""en"")"),"['Please', 'Signal', 'Telkomsel', 'Region', 'West Kalimantar', 'Kab', 'Ketapang', 'Kec', 'Tumbang', 'Titi', 'Fix', 'Thn', ' Feel ',' Lancaran ',' Signal ',' Telkomsel ',' ']")</f>
        <v>['Please', 'Signal', 'Telkomsel', 'Region', 'West Kalimantar', 'Kab', 'Ketapang', 'Kec', 'Tumbang', 'Titi', 'Fix', 'Thn', ' Feel ',' Lancaran ',' Signal ',' Telkomsel ',' ']</v>
      </c>
      <c r="D80" s="3">
        <v>5.0</v>
      </c>
    </row>
    <row r="81" ht="15.75" customHeight="1">
      <c r="A81" s="1">
        <v>79.0</v>
      </c>
      <c r="B81" s="3" t="s">
        <v>82</v>
      </c>
      <c r="C81" s="3" t="str">
        <f>IFERROR(__xludf.DUMMYFUNCTION("GOOGLETRANSLATE(B81,""id"",""en"")"),"['Feature', 'application', 'easy', 'buy', 'description', 'package', 'understand', 'buy', 'package', 'internet', 'night', 'always',' Mainstay ',' cheap ',' network ',' always', 'steady', 'darling', 'really', 'application', 'download', 'version', 'kasian', "&amp;"'jga', 'standard' , 'bsa', 'enjoy', 'application', 'input', 'application', 'version', 'feature', 'lost', 'different', 'good', '']")</f>
        <v>['Feature', 'application', 'easy', 'buy', 'description', 'package', 'understand', 'buy', 'package', 'internet', 'night', 'always',' Mainstay ',' cheap ',' network ',' always', 'steady', 'darling', 'really', 'application', 'download', 'version', 'kasian', 'jga', 'standard' , 'bsa', 'enjoy', 'application', 'input', 'application', 'version', 'feature', 'lost', 'different', 'good', '']</v>
      </c>
      <c r="D81" s="3">
        <v>4.0</v>
      </c>
    </row>
    <row r="82" ht="15.75" customHeight="1">
      <c r="A82" s="1">
        <v>80.0</v>
      </c>
      <c r="B82" s="3" t="s">
        <v>83</v>
      </c>
      <c r="C82" s="3" t="str">
        <f>IFERROR(__xludf.DUMMYFUNCTION("GOOGLETRANSLATE(B82,""id"",""en"")"),"['Listen', 'My advice', 'boss', 'promo', 'unlimited', 'max', 'make', 'menu', 'main', 'user', 'happy', 'and' wasteful ',' cuan ',' min ',' application ',' good ',' it's easy ',' user ',' contents', 'pulse', 'data', 'continue', 'boss',' realized ' , 'sugges"&amp;"tion', 'cave', 'bravo', 'success', '']")</f>
        <v>['Listen', 'My advice', 'boss', 'promo', 'unlimited', 'max', 'make', 'menu', 'main', 'user', 'happy', 'and' wasteful ',' cuan ',' min ',' application ',' good ',' it's easy ',' user ',' contents', 'pulse', 'data', 'continue', 'boss',' realized ' , 'suggestion', 'cave', 'bravo', 'success', '']</v>
      </c>
      <c r="D82" s="3">
        <v>5.0</v>
      </c>
    </row>
    <row r="83" ht="15.75" customHeight="1">
      <c r="A83" s="1">
        <v>81.0</v>
      </c>
      <c r="B83" s="3" t="s">
        <v>84</v>
      </c>
      <c r="C83" s="3" t="str">
        <f>IFERROR(__xludf.DUMMYFUNCTION("GOOGLETRANSLATE(B83,""id"",""en"")"),"['like', 'really', 'feature', 'quota', 'lap', 'main', 'Telkomsel', 'price', 'cheap', 'connection', 'speeding', 'match', ' Ngezoom ',' at home ',' success', 'Telkomsel', 'fans',' heavy ']")</f>
        <v>['like', 'really', 'feature', 'quota', 'lap', 'main', 'Telkomsel', 'price', 'cheap', 'connection', 'speeding', 'match', ' Ngezoom ',' at home ',' success', 'Telkomsel', 'fans',' heavy ']</v>
      </c>
      <c r="D83" s="3">
        <v>5.0</v>
      </c>
    </row>
    <row r="84" ht="15.75" customHeight="1">
      <c r="A84" s="1">
        <v>82.0</v>
      </c>
      <c r="B84" s="3" t="s">
        <v>85</v>
      </c>
      <c r="C84" s="3" t="str">
        <f>IFERROR(__xludf.DUMMYFUNCTION("GOOGLETRANSLATE(B84,""id"",""en"")"),"['no', 'already', 'users',' Telkomsel ',' loyal ',' card ',' facebook ',' satisfied ',' facebook ',' free ',' until ',' card ',' Upgrade ',' Card ',' Telkomsel ',' Dihati ']")</f>
        <v>['no', 'already', 'users',' Telkomsel ',' loyal ',' card ',' facebook ',' satisfied ',' facebook ',' free ',' until ',' card ',' Upgrade ',' Card ',' Telkomsel ',' Dihati ']</v>
      </c>
      <c r="D84" s="3">
        <v>5.0</v>
      </c>
    </row>
    <row r="85" ht="15.75" customHeight="1">
      <c r="A85" s="1">
        <v>83.0</v>
      </c>
      <c r="B85" s="3" t="s">
        <v>86</v>
      </c>
      <c r="C85" s="3" t="str">
        <f>IFERROR(__xludf.DUMMYFUNCTION("GOOGLETRANSLATE(B85,""id"",""en"")"),"['buy', 'package', 'unlimited', 'thousand', 'already', 'contents',' pulse ',' thousand ',' already ',' transaction ',' Telkomsel ',' game ',' The process', 'failed', 'already', 'Try', 'times',' MLH ',' Credit ',' Reduced ',' How ',' APK ',' Telkomsel ',' "&amp;"NOT ',' BAD ' , 'Kantel', 'Package', 'Gamemax', 'Raying']")</f>
        <v>['buy', 'package', 'unlimited', 'thousand', 'already', 'contents',' pulse ',' thousand ',' already ',' transaction ',' Telkomsel ',' game ',' The process', 'failed', 'already', 'Try', 'times',' MLH ',' Credit ',' Reduced ',' How ',' APK ',' Telkomsel ',' NOT ',' BAD ' , 'Kantel', 'Package', 'Gamemax', 'Raying']</v>
      </c>
      <c r="D85" s="3">
        <v>2.0</v>
      </c>
    </row>
    <row r="86" ht="15.75" customHeight="1">
      <c r="A86" s="1">
        <v>84.0</v>
      </c>
      <c r="B86" s="3" t="s">
        <v>87</v>
      </c>
      <c r="C86" s="3" t="str">
        <f>IFERROR(__xludf.DUMMYFUNCTION("GOOGLETRANSLATE(B86,""id"",""en"")"),"['signal', 'bad', 'price', 'comparable', 'network', 'stable', 'change', 'provider', 'severe', 'signal', 'watch', 'YouTube', ' Play ',' Game ',' Signal ',' Astagaaa ',' ']")</f>
        <v>['signal', 'bad', 'price', 'comparable', 'network', 'stable', 'change', 'provider', 'severe', 'signal', 'watch', 'YouTube', ' Play ',' Game ',' Signal ',' Astagaaa ',' ']</v>
      </c>
      <c r="D86" s="3">
        <v>1.0</v>
      </c>
    </row>
    <row r="87" ht="15.75" customHeight="1">
      <c r="A87" s="1">
        <v>85.0</v>
      </c>
      <c r="B87" s="3" t="s">
        <v>88</v>
      </c>
      <c r="C87" s="3" t="str">
        <f>IFERROR(__xludf.DUMMYFUNCTION("GOOGLETRANSLATE(B87,""id"",""en"")"),"['Telkomsel', 'The', 'Best', 'Quality', 'Sousal', 'doubt', 'number', 'get', 'promo', 'quota', 'cheap', 'like', ' cells', 'buy', 'quota', 'while', 'cheap', 'mainly', 'steady', ""]")</f>
        <v>['Telkomsel', 'The', 'Best', 'Quality', 'Sousal', 'doubt', 'number', 'get', 'promo', 'quota', 'cheap', 'like', ' cells', 'buy', 'quota', 'while', 'cheap', 'mainly', 'steady', "]</v>
      </c>
      <c r="D87" s="3">
        <v>5.0</v>
      </c>
    </row>
    <row r="88" ht="15.75" customHeight="1">
      <c r="A88" s="1">
        <v>86.0</v>
      </c>
      <c r="B88" s="3" t="s">
        <v>89</v>
      </c>
      <c r="C88" s="3" t="str">
        <f>IFERROR(__xludf.DUMMYFUNCTION("GOOGLETRANSLATE(B88,""id"",""en"")"),"['oton', 'application', 'super', 'slow', 'sya', 'pkai', 'application', 'tasty', 'tasty', 'entry', 'background', 'walpaper', ' Good ',' super ',' slow ']")</f>
        <v>['oton', 'application', 'super', 'slow', 'sya', 'pkai', 'application', 'tasty', 'tasty', 'entry', 'background', 'walpaper', ' Good ',' super ',' slow ']</v>
      </c>
      <c r="D88" s="3">
        <v>1.0</v>
      </c>
    </row>
    <row r="89" ht="15.75" customHeight="1">
      <c r="A89" s="1">
        <v>87.0</v>
      </c>
      <c r="B89" s="3" t="s">
        <v>90</v>
      </c>
      <c r="C89" s="3" t="str">
        <f>IFERROR(__xludf.DUMMYFUNCTION("GOOGLETRANSLATE(B89,""id"",""en"")"),"['Like', 'Package', 'Combo', 'Sakti', 'Unlimited', 'Internet', 'Unlimited', 'Price', 'Affordable', 'Pouch', 'Safe', 'Quality', ' Good ',' the most important ',' internet ',' as much as', 'sucking', 'pulse', 'quota', 'run out', '']")</f>
        <v>['Like', 'Package', 'Combo', 'Sakti', 'Unlimited', 'Internet', 'Unlimited', 'Price', 'Affordable', 'Pouch', 'Safe', 'Quality', ' Good ',' the most important ',' internet ',' as much as', 'sucking', 'pulse', 'quota', 'run out', '']</v>
      </c>
      <c r="D89" s="3">
        <v>5.0</v>
      </c>
    </row>
    <row r="90" ht="15.75" customHeight="1">
      <c r="A90" s="1">
        <v>88.0</v>
      </c>
      <c r="B90" s="3" t="s">
        <v>91</v>
      </c>
      <c r="C90" s="3" t="str">
        <f>IFERROR(__xludf.DUMMYFUNCTION("GOOGLETRANSLATE(B90,""id"",""en"")"),"['Peniean', 'Pairs',' Ad ',' Redeem ',' Points', 'Pas',' Redeem ',' Redeem ',' Successful ',' Work ',' Leader ',' Diem ',' najizzz ',' fraudsters', 'redeem', 'pairs',' ad ',' najizz ',' ']")</f>
        <v>['Peniean', 'Pairs',' Ad ',' Redeem ',' Points', 'Pas',' Redeem ',' Redeem ',' Successful ',' Work ',' Leader ',' Diem ',' najizzz ',' fraudsters', 'redeem', 'pairs',' ad ',' najizz ',' ']</v>
      </c>
      <c r="D90" s="3">
        <v>1.0</v>
      </c>
    </row>
    <row r="91" ht="15.75" customHeight="1">
      <c r="A91" s="1">
        <v>89.0</v>
      </c>
      <c r="B91" s="3" t="s">
        <v>92</v>
      </c>
      <c r="C91" s="3" t="str">
        <f>IFERROR(__xludf.DUMMYFUNCTION("GOOGLETRANSLATE(B91,""id"",""en"")"),"['What', 'buy', 'package', 'buy', 'use', 'code', 'package', 'data', 'once', 'use', 'internet', 'slow', ' Forgiveness', 'Pusla', 'Maalh', 'Target', 'Aje', 'Bro', 'Function', 'Package', 'Data', 'Credit', 'Suck', 'Ngilak', 'Pandemic' , 'Kayak', 'Gini', 'both"&amp;"er', 'Nipu', 'People', '']")</f>
        <v>['What', 'buy', 'package', 'buy', 'use', 'code', 'package', 'data', 'once', 'use', 'internet', 'slow', ' Forgiveness', 'Pusla', 'Maalh', 'Target', 'Aje', 'Bro', 'Function', 'Package', 'Data', 'Credit', 'Suck', 'Ngilak', 'Pandemic' , 'Kayak', 'Gini', 'bother', 'Nipu', 'People', '']</v>
      </c>
      <c r="D91" s="3">
        <v>1.0</v>
      </c>
    </row>
    <row r="92" ht="15.75" customHeight="1">
      <c r="A92" s="1">
        <v>90.0</v>
      </c>
      <c r="B92" s="3" t="s">
        <v>93</v>
      </c>
      <c r="C92" s="3" t="str">
        <f>IFERROR(__xludf.DUMMYFUNCTION("GOOGLETRANSLATE(B92,""id"",""en"")"),"['Place', 'area', 'sympathy', 'okay', 'signal', 'star', 'at home', 'signal', 'home', 'severe', 'signal', 'right', ' "", 'Star', 'at home',""]")</f>
        <v>['Place', 'area', 'sympathy', 'okay', 'signal', 'star', 'at home', 'signal', 'home', 'severe', 'signal', 'right', ' ", 'Star', 'at home',"]</v>
      </c>
      <c r="D92" s="3">
        <v>1.0</v>
      </c>
    </row>
    <row r="93" ht="15.75" customHeight="1">
      <c r="A93" s="1">
        <v>91.0</v>
      </c>
      <c r="B93" s="3" t="s">
        <v>94</v>
      </c>
      <c r="C93" s="3" t="str">
        <f>IFERROR(__xludf.DUMMYFUNCTION("GOOGLETRANSLATE(B93,""id"",""en"")"),"['Telkomsel', 'Points',' use ',' Undi ',' Layday ',' Prizes', 'Fun', 'Public', 'Severe', 'Light', 'Dream', 'Wet', ' Move ',' At God's', '']")</f>
        <v>['Telkomsel', 'Points',' use ',' Undi ',' Layday ',' Prizes', 'Fun', 'Public', 'Severe', 'Light', 'Dream', 'Wet', ' Move ',' At God's', '']</v>
      </c>
      <c r="D93" s="3">
        <v>1.0</v>
      </c>
    </row>
    <row r="94" ht="15.75" customHeight="1">
      <c r="A94" s="1">
        <v>92.0</v>
      </c>
      <c r="B94" s="3" t="s">
        <v>95</v>
      </c>
      <c r="C94" s="3" t="str">
        <f>IFERROR(__xludf.DUMMYFUNCTION("GOOGLETRANSLATE(B94,""id"",""en"")"),"['Complaint', 'Telkomsel', 'Disight', 'Contents',' Credit ',' Number ',' Entering ',' Number ',' Complaint ',' responded ',' Seriously ',' bot ',' appears', 'pulses',' power ',' lost ',' change ',' loss', 'ignorance', 'tidka', 'buy', 'quota', ""]")</f>
        <v>['Complaint', 'Telkomsel', 'Disight', 'Contents',' Credit ',' Number ',' Entering ',' Number ',' Complaint ',' responded ',' Seriously ',' bot ',' appears', 'pulses',' power ',' lost ',' change ',' loss', 'ignorance', 'tidka', 'buy', 'quota', "]</v>
      </c>
      <c r="D94" s="3">
        <v>1.0</v>
      </c>
    </row>
    <row r="95" ht="15.75" customHeight="1">
      <c r="A95" s="1">
        <v>93.0</v>
      </c>
      <c r="B95" s="3" t="s">
        <v>96</v>
      </c>
      <c r="C95" s="3" t="str">
        <f>IFERROR(__xludf.DUMMYFUNCTION("GOOGLETRANSLATE(B95,""id"",""en"")"),"['Like', 'really', 'Package', 'Combo', 'Unlimited', 'Telkomsel', 'Take', 'Combo', 'Personal', 'Want', 'Browsing', 'Mainin', ' SOSMED ',' Worried ',' Out ',' Quota ',' Dapetin ',' Package ',' Combo ',' Unlimited ',' Main ',' All Day ',' Fear ',' Package ' "&amp;", 'work', 'quota', 'main', 'run out', 'unlimited', 'sosmed', 'gamemax', 'musicmax', 'happy', 'Telkomsel', 'satisfied', 'really', ' forward ',' Kembangin ',' ']")</f>
        <v>['Like', 'really', 'Package', 'Combo', 'Unlimited', 'Telkomsel', 'Take', 'Combo', 'Personal', 'Want', 'Browsing', 'Mainin', ' SOSMED ',' Worried ',' Out ',' Quota ',' Dapetin ',' Package ',' Combo ',' Unlimited ',' Main ',' All Day ',' Fear ',' Package ' , 'work', 'quota', 'main', 'run out', 'unlimited', 'sosmed', 'gamemax', 'musicmax', 'happy', 'Telkomsel', 'satisfied', 'really', ' forward ',' Kembangin ',' ']</v>
      </c>
      <c r="D95" s="3">
        <v>5.0</v>
      </c>
    </row>
    <row r="96" ht="15.75" customHeight="1">
      <c r="A96" s="1">
        <v>94.0</v>
      </c>
      <c r="B96" s="3" t="s">
        <v>97</v>
      </c>
      <c r="C96" s="3" t="str">
        <f>IFERROR(__xludf.DUMMYFUNCTION("GOOGLETRANSLATE(B96,""id"",""en"")"),"['network', 'Telkomsel', 'slow', 'use', 'combo', 'Sakti', 'GB', 'slow', 'really', 'the network', 'please', 'fix', ' Quality ',' Network ',' ']")</f>
        <v>['network', 'Telkomsel', 'slow', 'use', 'combo', 'Sakti', 'GB', 'slow', 'really', 'the network', 'please', 'fix', ' Quality ',' Network ',' ']</v>
      </c>
      <c r="D96" s="3">
        <v>2.0</v>
      </c>
    </row>
    <row r="97" ht="15.75" customHeight="1">
      <c r="A97" s="1">
        <v>95.0</v>
      </c>
      <c r="B97" s="3" t="s">
        <v>98</v>
      </c>
      <c r="C97" s="3" t="str">
        <f>IFERROR(__xludf.DUMMYFUNCTION("GOOGLETRANSLATE(B97,""id"",""en"")"),"['Subscription', 'Telkomsel', 'Sampe', 'Member', 'Gold', 'Quota', 'Signal', 'TPI', 'Maen', 'Game', 'Jam', 'Mulu', ' memory ',' RAM ',' rain ',' slow ',' price ',' quota ',' expensive ',' TPI ',' signal ',' buffer ',' please ',' fix ', ""]")</f>
        <v>['Subscription', 'Telkomsel', 'Sampe', 'Member', 'Gold', 'Quota', 'Signal', 'TPI', 'Maen', 'Game', 'Jam', 'Mulu', ' memory ',' RAM ',' rain ',' slow ',' price ',' quota ',' expensive ',' TPI ',' signal ',' buffer ',' please ',' fix ', "]</v>
      </c>
      <c r="D97" s="3">
        <v>1.0</v>
      </c>
    </row>
    <row r="98" ht="15.75" customHeight="1">
      <c r="A98" s="1">
        <v>96.0</v>
      </c>
      <c r="B98" s="3" t="s">
        <v>99</v>
      </c>
      <c r="C98" s="3" t="str">
        <f>IFERROR(__xludf.DUMMYFUNCTION("GOOGLETRANSLATE(B98,""id"",""en"")"),"['Telkomsel', 'Bes',' Dahhh ',' City ',' Village ',' Member ',' Nusantara ',' Sinyal ',' Tetep ',' Strong ',' Suitable ',' Really ',' Influencers', 'Kyak', 'Live', 'City', 'Features',' Telkomsel ',' YABG ',' LIKE ',' Daily ',' Check ',' Tuker ',' Point ',"&amp;"' Gaiisss' , '']")</f>
        <v>['Telkomsel', 'Bes',' Dahhh ',' City ',' Village ',' Member ',' Nusantara ',' Sinyal ',' Tetep ',' Strong ',' Suitable ',' Really ',' Influencers', 'Kyak', 'Live', 'City', 'Features',' Telkomsel ',' YABG ',' LIKE ',' Daily ',' Check ',' Tuker ',' Point ',' Gaiisss' , '']</v>
      </c>
      <c r="D98" s="3">
        <v>5.0</v>
      </c>
    </row>
    <row r="99" ht="15.75" customHeight="1">
      <c r="A99" s="1">
        <v>97.0</v>
      </c>
      <c r="B99" s="3" t="s">
        <v>100</v>
      </c>
      <c r="C99" s="3" t="str">
        <f>IFERROR(__xludf.DUMMYFUNCTION("GOOGLETRANSLATE(B99,""id"",""en"")"),"['Knapa','A ',' Yesterday ',' subscribe ',' Telkomsel ',' Point ',' Not bad ',' pay attention ',' charging ',' purchase ',' Package ',' continues ',' Look ',' Point ',' zero ',' have ',' leftover ',' pulse ',' smallest ',' forget ',' ikphasin ',' finished"&amp;" ',' where ',' hell ',' wear ' , 'Internet', 'turn on']")</f>
        <v>['Knapa','A ',' Yesterday ',' subscribe ',' Telkomsel ',' Point ',' Not bad ',' pay attention ',' charging ',' purchase ',' Package ',' continues ',' Look ',' Point ',' zero ',' have ',' leftover ',' pulse ',' smallest ',' forget ',' ikphasin ',' finished ',' where ',' hell ',' wear ' , 'Internet', 'turn on']</v>
      </c>
      <c r="D99" s="3">
        <v>1.0</v>
      </c>
    </row>
    <row r="100" ht="15.75" customHeight="1">
      <c r="A100" s="1">
        <v>98.0</v>
      </c>
      <c r="B100" s="3" t="s">
        <v>101</v>
      </c>
      <c r="C100" s="3" t="str">
        <f>IFERROR(__xludf.DUMMYFUNCTION("GOOGLETRANSLATE(B100,""id"",""en"")"),"['really', 'error', 'bug', 'like', 'logout', 'loading', 'really', 'buy', 'package', 'error', 'user', 'interface', ' Simple ',' Ribet ',' Choose ',' Package ',' ']")</f>
        <v>['really', 'error', 'bug', 'like', 'logout', 'loading', 'really', 'buy', 'package', 'error', 'user', 'interface', ' Simple ',' Ribet ',' Choose ',' Package ',' ']</v>
      </c>
      <c r="D100" s="3">
        <v>1.0</v>
      </c>
    </row>
    <row r="101" ht="15.75" customHeight="1">
      <c r="A101" s="1">
        <v>99.0</v>
      </c>
      <c r="B101" s="3" t="s">
        <v>102</v>
      </c>
      <c r="C101" s="3" t="str">
        <f>IFERROR(__xludf.DUMMYFUNCTION("GOOGLETRANSLATE(B101,""id"",""en"")"),"['Features',' Like ',' Telkomsel ',' Features', 'Contents',' Credit ',' Money ',' Dizziness', 'Nyari', 'Counter', 'Stay', 'Conect', ' OK ',' DEH ',' TRUS ',' PACKAGE ',' COMBO ',' SAKTI ',' Unlimited ',' quota ',' already ',' Abis', 'sosmed', 'Abis',' Abi"&amp;"s' , '']")</f>
        <v>['Features',' Like ',' Telkomsel ',' Features', 'Contents',' Credit ',' Money ',' Dizziness', 'Nyari', 'Counter', 'Stay', 'Conect', ' OK ',' DEH ',' TRUS ',' PACKAGE ',' COMBO ',' SAKTI ',' Unlimited ',' quota ',' already ',' Abis', 'sosmed', 'Abis',' Abis' , '']</v>
      </c>
      <c r="D101" s="3">
        <v>5.0</v>
      </c>
    </row>
    <row r="102" ht="15.75" customHeight="1">
      <c r="A102" s="1">
        <v>100.0</v>
      </c>
      <c r="B102" s="3" t="s">
        <v>103</v>
      </c>
      <c r="C102" s="3" t="str">
        <f>IFERROR(__xludf.DUMMYFUNCTION("GOOGLETRANSLATE(B102,""id"",""en"")"),"['MyTelkomsel', 'yaa', 'open', 'application', 'system', 'forced', 'stop', 'closed', 'application', 'Samsung', 'Android', 'Please', ' The solution is']")</f>
        <v>['MyTelkomsel', 'yaa', 'open', 'application', 'system', 'forced', 'stop', 'closed', 'application', 'Samsung', 'Android', 'Please', ' The solution is']</v>
      </c>
      <c r="D102" s="3">
        <v>1.0</v>
      </c>
    </row>
    <row r="103" ht="15.75" customHeight="1">
      <c r="A103" s="1">
        <v>101.0</v>
      </c>
      <c r="B103" s="3" t="s">
        <v>104</v>
      </c>
      <c r="C103" s="3" t="str">
        <f>IFERROR(__xludf.DUMMYFUNCTION("GOOGLETRANSLATE(B103,""id"",""en"")"),"['MyTelkomsel', 'here', 'developing', 'features',' increases', 'appears',' like ',' really ',' features', 'send', 'gift', 'gave', ' gifts', 'family', 'friend', 'closest', 'pulse', 'package', 'data', 'The', 'Best', 'basically', ""]")</f>
        <v>['MyTelkomsel', 'here', 'developing', 'features',' increases', 'appears',' like ',' really ',' features', 'send', 'gift', 'gave', ' gifts', 'family', 'friend', 'closest', 'pulse', 'package', 'data', 'The', 'Best', 'basically', "]</v>
      </c>
      <c r="D103" s="3">
        <v>5.0</v>
      </c>
    </row>
    <row r="104" ht="15.75" customHeight="1">
      <c r="A104" s="1">
        <v>102.0</v>
      </c>
      <c r="B104" s="3" t="s">
        <v>105</v>
      </c>
      <c r="C104" s="3" t="str">
        <f>IFERROR(__xludf.DUMMYFUNCTION("GOOGLETRANSLATE(B104,""id"",""en"")"),"['ugly', 'ugly', 'ugly', 'application', 'signal', 'connection', 'Telkomsel', 'disappointing', 'customer', 'loyal', 'Telkomsel', 'active', ' cards', 'times',' disappointed ',' Telkomsel ',' buy ',' pulse ',' package ',' Telkomsel ',' Telkomsel ',' normal '"&amp;",' thank you ', ""]")</f>
        <v>['ugly', 'ugly', 'ugly', 'application', 'signal', 'connection', 'Telkomsel', 'disappointing', 'customer', 'loyal', 'Telkomsel', 'active', ' cards', 'times',' disappointed ',' Telkomsel ',' buy ',' pulse ',' package ',' Telkomsel ',' Telkomsel ',' normal ',' thank you ', "]</v>
      </c>
      <c r="D104" s="3">
        <v>1.0</v>
      </c>
    </row>
    <row r="105" ht="15.75" customHeight="1">
      <c r="A105" s="1">
        <v>103.0</v>
      </c>
      <c r="B105" s="3" t="s">
        <v>106</v>
      </c>
      <c r="C105" s="3" t="str">
        <f>IFERROR(__xludf.DUMMYFUNCTION("GOOGLETRANSLATE(B105,""id"",""en"")"),"['Card', 'Sampe', 'GUW', 'Telkomsel', 'Kartuas',' Network ',' Good ',' Features', 'Cool', 'Application', 'MyTelkomselnya', 'Anyway', ' steady ',' obstacles ',' sometimes ',' sms ',' entry ',' sich ',' nawarin ',' loan ',' online ',' sich ',' for me ',' bo"&amp;"red ',' see "" , 'hopefully', 'in the future', 'repaired', 'Sis', ""]")</f>
        <v>['Card', 'Sampe', 'GUW', 'Telkomsel', 'Kartuas',' Network ',' Good ',' Features', 'Cool', 'Application', 'MyTelkomselnya', 'Anyway', ' steady ',' obstacles ',' sometimes ',' sms ',' entry ',' sich ',' nawarin ',' loan ',' online ',' sich ',' for me ',' bored ',' see " , 'hopefully', 'in the future', 'repaired', 'Sis', "]</v>
      </c>
      <c r="D105" s="3">
        <v>5.0</v>
      </c>
    </row>
    <row r="106" ht="15.75" customHeight="1">
      <c r="A106" s="1">
        <v>104.0</v>
      </c>
      <c r="B106" s="3" t="s">
        <v>107</v>
      </c>
      <c r="C106" s="3" t="str">
        <f>IFERROR(__xludf.DUMMYFUNCTION("GOOGLETRANSLATE(B106,""id"",""en"")"),"['love', 'star', 'because' contents ',' credit ',' truncated ',' contents ',' pulse ',' rb ',' direct ',' pulse ',' fix ',' How ',' Disight ',' People ', ""]")</f>
        <v>['love', 'star', 'because' contents ',' credit ',' truncated ',' contents ',' pulse ',' rb ',' direct ',' pulse ',' fix ',' How ',' Disight ',' People ', "]</v>
      </c>
      <c r="D106" s="3">
        <v>1.0</v>
      </c>
    </row>
    <row r="107" ht="15.75" customHeight="1">
      <c r="A107" s="1">
        <v>105.0</v>
      </c>
      <c r="B107" s="3" t="s">
        <v>108</v>
      </c>
      <c r="C107" s="3" t="str">
        <f>IFERROR(__xludf.DUMMYFUNCTION("GOOGLETRANSLATE(B107,""id"",""en"")"),"['Dear', 'Develover', 'Telkomsel', 'just', 'weird', 'open', 'App', 'Telkomsel', 'data', 'internet', 'sucked', 'APP', ' Update ',' Update ',' Playstore ',' Strange ',' Refresh ',' App ',' Telkomsel ',' Quota ',' Sucked ',' App ',' Telkomsel ',' BLM ',' Red"&amp;"uced ' , 'Reduced', 'Wear', 'App', 'Reduced', 'Check', 'Dial', 'Phone', 'App', 'Telkomsel', ""]")</f>
        <v>['Dear', 'Develover', 'Telkomsel', 'just', 'weird', 'open', 'App', 'Telkomsel', 'data', 'internet', 'sucked', 'APP', ' Update ',' Update ',' Playstore ',' Strange ',' Refresh ',' App ',' Telkomsel ',' Quota ',' Sucked ',' App ',' Telkomsel ',' BLM ',' Reduced ' , 'Reduced', 'Wear', 'App', 'Reduced', 'Check', 'Dial', 'Phone', 'App', 'Telkomsel', "]</v>
      </c>
      <c r="D107" s="3">
        <v>1.0</v>
      </c>
    </row>
    <row r="108" ht="15.75" customHeight="1">
      <c r="A108" s="1">
        <v>106.0</v>
      </c>
      <c r="B108" s="3" t="s">
        <v>109</v>
      </c>
      <c r="C108" s="3" t="str">
        <f>IFERROR(__xludf.DUMMYFUNCTION("GOOGLETRANSLATE(B108,""id"",""en"")"),"['Please', 'Help', 'Buy', 'Products',' Telkomsel ',' Quota ',' Credit ',' Cutting ',' Data ',' Enter ',' Nomer ',' Disappointed ',' times', 'beg', 'response']")</f>
        <v>['Please', 'Help', 'Buy', 'Products',' Telkomsel ',' Quota ',' Credit ',' Cutting ',' Data ',' Enter ',' Nomer ',' Disappointed ',' times', 'beg', 'response']</v>
      </c>
      <c r="D108" s="3">
        <v>3.0</v>
      </c>
    </row>
    <row r="109" ht="15.75" customHeight="1">
      <c r="A109" s="1">
        <v>107.0</v>
      </c>
      <c r="B109" s="3" t="s">
        <v>110</v>
      </c>
      <c r="C109" s="3" t="str">
        <f>IFERROR(__xludf.DUMMYFUNCTION("GOOGLETRANSLATE(B109,""id"",""en"")"),"['like', 'really', 'Telkomsel', 'Event', 'Daily', 'check', 'quota', 'free', 'offer', 'promo', 'easy', 'buy', ' Package ',' Internet ',' SMS ',' Call ']")</f>
        <v>['like', 'really', 'Telkomsel', 'Event', 'Daily', 'check', 'quota', 'free', 'offer', 'promo', 'easy', 'buy', ' Package ',' Internet ',' SMS ',' Call ']</v>
      </c>
      <c r="D109" s="3">
        <v>5.0</v>
      </c>
    </row>
    <row r="110" ht="15.75" customHeight="1">
      <c r="A110" s="1">
        <v>108.0</v>
      </c>
      <c r="B110" s="3" t="s">
        <v>111</v>
      </c>
      <c r="C110" s="3" t="str">
        <f>IFERROR(__xludf.DUMMYFUNCTION("GOOGLETRANSLATE(B110,""id"",""en"")"),"['really', 'really', 'card', 'prime', 'price', 'package', 'expensive', 'problem', 'Akir', 'Akir', 'network', 'bad', ' WhatApps', 'Clock', 'Game', 'Reconnect', 'Google', 'Lemot', 'Please', 'Telkomsel', 'Benai', 'Network', 'Consumer', 'Run', 'Card' , 'prime"&amp;"', 'rating', 'already', 'normal', 'network', 'love', ""]")</f>
        <v>['really', 'really', 'card', 'prime', 'price', 'package', 'expensive', 'problem', 'Akir', 'Akir', 'network', 'bad', ' WhatApps', 'Clock', 'Game', 'Reconnect', 'Google', 'Lemot', 'Please', 'Telkomsel', 'Benai', 'Network', 'Consumer', 'Run', 'Card' , 'prime', 'rating', 'already', 'normal', 'network', 'love', "]</v>
      </c>
      <c r="D110" s="3">
        <v>1.0</v>
      </c>
    </row>
    <row r="111" ht="15.75" customHeight="1">
      <c r="A111" s="1">
        <v>109.0</v>
      </c>
      <c r="B111" s="3" t="s">
        <v>112</v>
      </c>
      <c r="C111" s="3" t="str">
        <f>IFERROR(__xludf.DUMMYFUNCTION("GOOGLETRANSLATE(B111,""id"",""en"")"),"['already', 'really', 'Telkomsel', 'village', 'Telkomsel', 'champion', 'signal', 'The', 'Best', 'deh', 'features',' exchange ',' Points', 'The opportunity', 'can', 'gifts',' cool ',' car ',' daily ',' chek ',' can ',' bonus', 'quota', 'IIH', 'love' , 'Tel"&amp;"komsel', 'Hopefully', 'Program', 'interesting', 'Customer', 'PDA', 'Seneng', 'Thanks', 'Telkomsel', 'superhero']")</f>
        <v>['already', 'really', 'Telkomsel', 'village', 'Telkomsel', 'champion', 'signal', 'The', 'Best', 'deh', 'features',' exchange ',' Points', 'The opportunity', 'can', 'gifts',' cool ',' car ',' daily ',' chek ',' can ',' bonus', 'quota', 'IIH', 'love' , 'Telkomsel', 'Hopefully', 'Program', 'interesting', 'Customer', 'PDA', 'Seneng', 'Thanks', 'Telkomsel', 'superhero']</v>
      </c>
      <c r="D111" s="3">
        <v>5.0</v>
      </c>
    </row>
    <row r="112" ht="15.75" customHeight="1">
      <c r="A112" s="1">
        <v>110.0</v>
      </c>
      <c r="B112" s="3" t="s">
        <v>113</v>
      </c>
      <c r="C112" s="3" t="str">
        <f>IFERROR(__xludf.DUMMYFUNCTION("GOOGLETRANSLATE(B112,""id"",""en"")"),"['Like', 'Features',' MyTelkomsel ',' Easy ',' Buy ',' Package ',' Data ',' According to ',' My Choice ',' Offer ',' Interesting ',' Choice ',' Like ',' Package ',' Combo ',' Sakti ',' Direct ',' Package ',' Phone ',' Efficient ',' Buy ',' Package ',' TLP"&amp;"on ',' Sometimes', 'App' , 'Log', 'out', 'login', 'sometimes', 'difficult', 'hope', 'repair', '']")</f>
        <v>['Like', 'Features',' MyTelkomsel ',' Easy ',' Buy ',' Package ',' Data ',' According to ',' My Choice ',' Offer ',' Interesting ',' Choice ',' Like ',' Package ',' Combo ',' Sakti ',' Direct ',' Package ',' Phone ',' Efficient ',' Buy ',' Package ',' TLPon ',' Sometimes', 'App' , 'Log', 'out', 'login', 'sometimes', 'difficult', 'hope', 'repair', '']</v>
      </c>
      <c r="D112" s="3">
        <v>5.0</v>
      </c>
    </row>
    <row r="113" ht="15.75" customHeight="1">
      <c r="A113" s="1">
        <v>111.0</v>
      </c>
      <c r="B113" s="3" t="s">
        <v>114</v>
      </c>
      <c r="C113" s="3" t="str">
        <f>IFERROR(__xludf.DUMMYFUNCTION("GOOGLETRANSLATE(B113,""id"",""en"")"),"['card', 'sympathy', 'card', 'hello', 'network', 'signal', 'stable', 'different', 'card', 'sympathy', 'name', 'hoax', ' cheated ',' kayak ',' gini ',' wrong ',' victim ',' marketing ',' telkomsel ']")</f>
        <v>['card', 'sympathy', 'card', 'hello', 'network', 'signal', 'stable', 'different', 'card', 'sympathy', 'name', 'hoax', ' cheated ',' kayak ',' gini ',' wrong ',' victim ',' marketing ',' telkomsel ']</v>
      </c>
      <c r="D113" s="3">
        <v>1.0</v>
      </c>
    </row>
    <row r="114" ht="15.75" customHeight="1">
      <c r="A114" s="1">
        <v>112.0</v>
      </c>
      <c r="B114" s="3" t="s">
        <v>115</v>
      </c>
      <c r="C114" s="3" t="str">
        <f>IFERROR(__xludf.DUMMYFUNCTION("GOOGLETRANSLATE(B114,""id"",""en"")"),"['disappointed', 'signal', 'Telkomsel', 'signal', 'strong', 'village', 'forest', 'life', 'data', 'signal', 'mending', 'em', ' Oredoo ',' signal ',' Support ',' network ',' smooth ',' cheap ',' ulimitide ',' GB ',' Sampe ',' Sometimes', 'quota', 'cave', 's"&amp;"ampek' , 'Out', 'Sakin', 'quota', 'kayak', 'Telkomsel', 'Sorry', 'quota', 'run out', 'fill', 'reset', 'sakin', 'expensive', ' signal ',' slow ',' support ',' cave ',' already ',' change ',' card ',' em ',' cheap ',' signal ',' support ',' free ',' ']")</f>
        <v>['disappointed', 'signal', 'Telkomsel', 'signal', 'strong', 'village', 'forest', 'life', 'data', 'signal', 'mending', 'em', ' Oredoo ',' signal ',' Support ',' network ',' smooth ',' cheap ',' ulimitide ',' GB ',' Sampe ',' Sometimes', 'quota', 'cave', 'sampek' , 'Out', 'Sakin', 'quota', 'kayak', 'Telkomsel', 'Sorry', 'quota', 'run out', 'fill', 'reset', 'sakin', 'expensive', ' signal ',' slow ',' support ',' cave ',' already ',' change ',' card ',' em ',' cheap ',' signal ',' support ',' free ',' ']</v>
      </c>
      <c r="D114" s="3">
        <v>1.0</v>
      </c>
    </row>
    <row r="115" ht="15.75" customHeight="1">
      <c r="A115" s="1">
        <v>113.0</v>
      </c>
      <c r="B115" s="3" t="s">
        <v>116</v>
      </c>
      <c r="C115" s="3" t="str">
        <f>IFERROR(__xludf.DUMMYFUNCTION("GOOGLETRANSLATE(B115,""id"",""en"")"),"['Install', 'date', 'date', 'application', 'Memory', 'Load', 'Uklum', 'application', 'factory', '']")</f>
        <v>['Install', 'date', 'date', 'application', 'Memory', 'Load', 'Uklum', 'application', 'factory', '']</v>
      </c>
      <c r="D115" s="3">
        <v>1.0</v>
      </c>
    </row>
    <row r="116" ht="15.75" customHeight="1">
      <c r="A116" s="1">
        <v>114.0</v>
      </c>
      <c r="B116" s="3" t="s">
        <v>117</v>
      </c>
      <c r="C116" s="3" t="str">
        <f>IFERROR(__xludf.DUMMYFUNCTION("GOOGLETRANSLATE(B116,""id"",""en"")"),"['MyTelkomsel', 'easy', 'check', 'package', 'data', 'buy', 'package', 'offer', 'interesting', 'like', 'fill', 'combo', ' Sakti ',' complete ',' bonus', 'phone', 'sms',' unlimited ',' likes', 'unfortunately', 'village', 'signal', 'supports',' hope ',' repa"&amp;"ir ' , '']")</f>
        <v>['MyTelkomsel', 'easy', 'check', 'package', 'data', 'buy', 'package', 'offer', 'interesting', 'like', 'fill', 'combo', ' Sakti ',' complete ',' bonus', 'phone', 'sms',' unlimited ',' likes', 'unfortunately', 'village', 'signal', 'supports',' hope ',' repair ' , '']</v>
      </c>
      <c r="D116" s="3">
        <v>5.0</v>
      </c>
    </row>
    <row r="117" ht="15.75" customHeight="1">
      <c r="A117" s="1">
        <v>115.0</v>
      </c>
      <c r="B117" s="3" t="s">
        <v>118</v>
      </c>
      <c r="C117" s="3" t="str">
        <f>IFERROR(__xludf.DUMMYFUNCTION("GOOGLETRANSLATE(B117,""id"",""en"")"),"['buy', 'pulse', 'package', 'data', 'Telkomsel', 'cheap', 'get', 'cashback', 'get', 'Points',' Points', 'Terbukerin', ' Followup ',' Program ',' Layday ',' Layi ',' Prizes', 'Features',' Like ',' Features', 'Points',' Exchangeable ',' Balance ',' Link ','"&amp;" Exchange ' , 'Points', 'Telkomsel', 'emang', 'best', 'dehhh', ""]")</f>
        <v>['buy', 'pulse', 'package', 'data', 'Telkomsel', 'cheap', 'get', 'cashback', 'get', 'Points',' Points', 'Terbukerin', ' Followup ',' Program ',' Layday ',' Layi ',' Prizes', 'Features',' Like ',' Features', 'Points',' Exchangeable ',' Balance ',' Link ',' Exchange ' , 'Points', 'Telkomsel', 'emang', 'best', 'dehhh', "]</v>
      </c>
      <c r="D117" s="3">
        <v>5.0</v>
      </c>
    </row>
    <row r="118" ht="15.75" customHeight="1">
      <c r="A118" s="1">
        <v>116.0</v>
      </c>
      <c r="B118" s="3" t="s">
        <v>119</v>
      </c>
      <c r="C118" s="3" t="str">
        <f>IFERROR(__xludf.DUMMYFUNCTION("GOOGLETRANSLATE(B118,""id"",""en"")"),"['Disappointed', 'Customer', 'Telkomsel', 'Since', 'Network', 'Telkomsel', 'Lemot', 'Disruptive', 'Lecture', 'Online', 'Disconnected', 'Zoom', ' Meeting ',' disappointed ',' network ',' Telkomsel ',' network ',' severe ',' ilang ',' detrimental ',' consum"&amp;"er ']")</f>
        <v>['Disappointed', 'Customer', 'Telkomsel', 'Since', 'Network', 'Telkomsel', 'Lemot', 'Disruptive', 'Lecture', 'Online', 'Disconnected', 'Zoom', ' Meeting ',' disappointed ',' network ',' Telkomsel ',' network ',' severe ',' ilang ',' detrimental ',' consumer ']</v>
      </c>
      <c r="D118" s="3">
        <v>1.0</v>
      </c>
    </row>
    <row r="119" ht="15.75" customHeight="1">
      <c r="A119" s="1">
        <v>117.0</v>
      </c>
      <c r="B119" s="3" t="s">
        <v>120</v>
      </c>
      <c r="C119" s="3" t="str">
        <f>IFERROR(__xludf.DUMMYFUNCTION("GOOGLETRANSLATE(B119,""id"",""en"")"),"['SGT', 'bad', 'link', 'complicated', 'hrs',' via ',' sms', 'already', 'link', 'open', 'rich', 'neighbor', ' next door ',' contents', 'pulse', 'package', 'internet', 'lsg', 'the application', 'already', 'so', 'checked', 'pulse', 'via', 'telephone' , 'Code"&amp;"', 'HRS', 'Wait', 'SMS', 'SMS', 'Different', 'Next to', 'Direct', 'Code', 'SMS', ""]")</f>
        <v>['SGT', 'bad', 'link', 'complicated', 'hrs',' via ',' sms', 'already', 'link', 'open', 'rich', 'neighbor', ' next door ',' contents', 'pulse', 'package', 'internet', 'lsg', 'the application', 'already', 'so', 'checked', 'pulse', 'via', 'telephone' , 'Code', 'HRS', 'Wait', 'SMS', 'SMS', 'Different', 'Next to', 'Direct', 'Code', 'SMS', "]</v>
      </c>
      <c r="D119" s="3">
        <v>1.0</v>
      </c>
    </row>
    <row r="120" ht="15.75" customHeight="1">
      <c r="A120" s="1">
        <v>118.0</v>
      </c>
      <c r="B120" s="3" t="s">
        <v>121</v>
      </c>
      <c r="C120" s="3" t="str">
        <f>IFERROR(__xludf.DUMMYFUNCTION("GOOGLETRANSLATE(B120,""id"",""en"")"),"['Application', 'Reality', 'Help', 'Very', 'User', 'Telkomsel', 'Feature', 'My Andalan', 'Discount', 'Purchase', 'Package', 'Credit', ' Like ',' confused ',' buy ',' pulse ',' mending ',' buy ',' app ',' doubt ',' mama ',' filen ',' pulse ',' select ',' c"&amp;"lick ' , 'cheap', 'save', 'counter', 'mayan', 'difference', 'snack', 'cireng', 'thank you', 'telkomsel', 'lanf', 'really']")</f>
        <v>['Application', 'Reality', 'Help', 'Very', 'User', 'Telkomsel', 'Feature', 'My Andalan', 'Discount', 'Purchase', 'Package', 'Credit', ' Like ',' confused ',' buy ',' pulse ',' mending ',' buy ',' app ',' doubt ',' mama ',' filen ',' pulse ',' select ',' click ' , 'cheap', 'save', 'counter', 'mayan', 'difference', 'snack', 'cireng', 'thank you', 'telkomsel', 'lanf', 'really']</v>
      </c>
      <c r="D120" s="3">
        <v>5.0</v>
      </c>
    </row>
    <row r="121" ht="15.75" customHeight="1">
      <c r="A121" s="1">
        <v>119.0</v>
      </c>
      <c r="B121" s="3" t="s">
        <v>122</v>
      </c>
      <c r="C121" s="3" t="str">
        <f>IFERROR(__xludf.DUMMYFUNCTION("GOOGLETRANSLATE(B121,""id"",""en"")"),"['Help', 'Application', 'Telkomsel', 'Recommendation', 'Package', 'Internernet', 'Affordable', 'Helped', 'Pandemi', 'Great', ""]")</f>
        <v>['Help', 'Application', 'Telkomsel', 'Recommendation', 'Package', 'Internernet', 'Affordable', 'Helped', 'Pandemi', 'Great', "]</v>
      </c>
      <c r="D121" s="3">
        <v>5.0</v>
      </c>
    </row>
    <row r="122" ht="15.75" customHeight="1">
      <c r="A122" s="1">
        <v>120.0</v>
      </c>
      <c r="B122" s="3" t="s">
        <v>123</v>
      </c>
      <c r="C122" s="3" t="str">
        <f>IFERROR(__xludf.DUMMYFUNCTION("GOOGLETRANSLATE(B122,""id"",""en"")"),"['application', 'good', 'like', 'features',' feature ',' superior ',' features', 'like', 'discount', 'purchase', 'package', 'provide', ' Package ',' bought ',' price ',' cheap ',' discount ',' basically ',' steady ',' thank you ',' Telkomsel ', ""]")</f>
        <v>['application', 'good', 'like', 'features',' feature ',' superior ',' features', 'like', 'discount', 'purchase', 'package', 'provide', ' Package ',' bought ',' price ',' cheap ',' discount ',' basically ',' steady ',' thank you ',' Telkomsel ', "]</v>
      </c>
      <c r="D122" s="3">
        <v>5.0</v>
      </c>
    </row>
    <row r="123" ht="15.75" customHeight="1">
      <c r="A123" s="1">
        <v>121.0</v>
      </c>
      <c r="B123" s="3" t="s">
        <v>124</v>
      </c>
      <c r="C123" s="3" t="str">
        <f>IFERROR(__xludf.DUMMYFUNCTION("GOOGLETRANSLATE(B123,""id"",""en"")"),"['Please', 'developer', 'yesterday', 'run out', 'fill in', 'pulse', 'thousand', 'pulse', 'direct', 'finished', 'use', 'phone', ' sms', 'please', 'Telkomsel', 'return', 'pulse', 'thousand', 'sorry', 'business',' send ',' pulse ',' buy ',' pulse ',' use ' ,"&amp;" 'money', 'directly', 'take', 'credit', 'buy', 'credit', 'use', 'money', 'geratis', 'Please', 'understand', ""]")</f>
        <v>['Please', 'developer', 'yesterday', 'run out', 'fill in', 'pulse', 'thousand', 'pulse', 'direct', 'finished', 'use', 'phone', ' sms', 'please', 'Telkomsel', 'return', 'pulse', 'thousand', 'sorry', 'business',' send ',' pulse ',' buy ',' pulse ',' use ' , 'money', 'directly', 'take', 'credit', 'buy', 'credit', 'use', 'money', 'geratis', 'Please', 'understand', "]</v>
      </c>
      <c r="D123" s="3">
        <v>1.0</v>
      </c>
    </row>
    <row r="124" ht="15.75" customHeight="1">
      <c r="A124" s="1">
        <v>122.0</v>
      </c>
      <c r="B124" s="3" t="s">
        <v>125</v>
      </c>
      <c r="C124" s="3" t="str">
        <f>IFERROR(__xludf.DUMMYFUNCTION("GOOGLETRANSLATE(B124,""id"",""en"")"),"['application', 'Telkomsel', 'The', 'Best', 'features',' provided ',' complete ',' check ',' balance ',' pulse ',' quota ',' charging ',' reset ',' process', 'easy', 'practical', 'interesting', 'daily', 'check', 'stamp', 'exchanged', 'point', 'quota', 'to"&amp;"p', 'really' , 'deh', 'features', 'interesting', 'yuk', 'hunt', 'download', 'the application', '']")</f>
        <v>['application', 'Telkomsel', 'The', 'Best', 'features',' provided ',' complete ',' check ',' balance ',' pulse ',' quota ',' charging ',' reset ',' process', 'easy', 'practical', 'interesting', 'daily', 'check', 'stamp', 'exchanged', 'point', 'quota', 'top', 'really' , 'deh', 'features', 'interesting', 'yuk', 'hunt', 'download', 'the application', '']</v>
      </c>
      <c r="D124" s="3">
        <v>5.0</v>
      </c>
    </row>
    <row r="125" ht="15.75" customHeight="1">
      <c r="A125" s="1">
        <v>123.0</v>
      </c>
      <c r="B125" s="3" t="s">
        <v>126</v>
      </c>
      <c r="C125" s="3" t="str">
        <f>IFERROR(__xludf.DUMMYFUNCTION("GOOGLETRANSLATE(B125,""id"",""en"")"),"['application', 'MyTelkomsel', 'make it easy', 'buy', 'package', 'quota', 'internet', 'Telkomsel', 'promo', 'buy', 'package', 'internet', ' Pay ',' balance ',' pulse ',' money ',' like ',' daily ',' check ',' features', 'MyTelkomsel', 'quota', 'free', 'th"&amp;"ank', 'love' , 'MyTelkomsel']")</f>
        <v>['application', 'MyTelkomsel', 'make it easy', 'buy', 'package', 'quota', 'internet', 'Telkomsel', 'promo', 'buy', 'package', 'internet', ' Pay ',' balance ',' pulse ',' money ',' like ',' daily ',' check ',' features', 'MyTelkomsel', 'quota', 'free', 'thank', 'love' , 'MyTelkomsel']</v>
      </c>
      <c r="D125" s="3">
        <v>5.0</v>
      </c>
    </row>
    <row r="126" ht="15.75" customHeight="1">
      <c r="A126" s="1">
        <v>124.0</v>
      </c>
      <c r="B126" s="3" t="s">
        <v>127</v>
      </c>
      <c r="C126" s="3" t="str">
        <f>IFERROR(__xludf.DUMMYFUNCTION("GOOGLETRANSLATE(B126,""id"",""en"")"),"['really', 'really', 'application', 'really', 'benefits',' customer ',' save ',' feels', 'really', 'bonus',' point ',' shopping ',' Pay ',' Bill ',' Easy ',' Thank you ',' MyTelkomsel ']")</f>
        <v>['really', 'really', 'application', 'really', 'benefits',' customer ',' save ',' feels', 'really', 'bonus',' point ',' shopping ',' Pay ',' Bill ',' Easy ',' Thank you ',' MyTelkomsel ']</v>
      </c>
      <c r="D126" s="3">
        <v>5.0</v>
      </c>
    </row>
    <row r="127" ht="15.75" customHeight="1">
      <c r="A127" s="1">
        <v>125.0</v>
      </c>
      <c r="B127" s="3" t="s">
        <v>128</v>
      </c>
      <c r="C127" s="3" t="str">
        <f>IFERROR(__xludf.DUMMYFUNCTION("GOOGLETRANSLATE(B127,""id"",""en"")"),"['quota', 'run out', 'pulse', 'truncated', 'operator', 'cut', 'quota', 'run out', 'internet', 'use', 'quota', 'pulse', ' Credit ',' Tool ',' Method ',' Payment ',' Come on ',' Buy ',' Perdana ',' Telkomsel ',' Mending ',' Move ']")</f>
        <v>['quota', 'run out', 'pulse', 'truncated', 'operator', 'cut', 'quota', 'run out', 'internet', 'use', 'quota', 'pulse', ' Credit ',' Tool ',' Method ',' Payment ',' Come on ',' Buy ',' Perdana ',' Telkomsel ',' Mending ',' Move ']</v>
      </c>
      <c r="D127" s="3">
        <v>1.0</v>
      </c>
    </row>
    <row r="128" ht="15.75" customHeight="1">
      <c r="A128" s="1">
        <v>126.0</v>
      </c>
      <c r="B128" s="3" t="s">
        <v>129</v>
      </c>
      <c r="C128" s="3" t="str">
        <f>IFERROR(__xludf.DUMMYFUNCTION("GOOGLETRANSLATE(B128,""id"",""en"")"),"['Signalnyal', 'ugly', 'really', 'use', 'Maen', 'game', 'online', 'nglag', 'forgiveness',' download ',' speed ',' Cma ',' Nyampe ',' buy ',' package ',' rb ',' per month ',' turn ',' open ',' application ',' speed ',' download ',' kb ',' rich ',' download"&amp;" ' , 'Try', 'note', 'speed', 'download', 'application', 'strange', 'me', 'mah', 'love', 'star', '']")</f>
        <v>['Signalnyal', 'ugly', 'really', 'use', 'Maen', 'game', 'online', 'nglag', 'forgiveness',' download ',' speed ',' Cma ',' Nyampe ',' buy ',' package ',' rb ',' per month ',' turn ',' open ',' application ',' speed ',' download ',' kb ',' rich ',' download ' , 'Try', 'note', 'speed', 'download', 'application', 'strange', 'me', 'mah', 'love', 'star', '']</v>
      </c>
      <c r="D128" s="3">
        <v>1.0</v>
      </c>
    </row>
    <row r="129" ht="15.75" customHeight="1">
      <c r="A129" s="1">
        <v>127.0</v>
      </c>
      <c r="B129" s="3" t="s">
        <v>130</v>
      </c>
      <c r="C129" s="3" t="str">
        <f>IFERROR(__xludf.DUMMYFUNCTION("GOOGLETRANSLATE(B129,""id"",""en"")"),"['Features',' like ',' application ',' MyTelkomsel ',' Daily ',' Chekin ',' get ',' quota ',' Geratis', 'Points',' Telkomsel ',' application ',' Telkomsel ',' good ',' makes it easier ',' check ',' quota ',' credit ',' QLO ',' buy ',' pulse ',' quota ',' "&amp;"easy ',' top ',' deh ' , 'Open', 'MyTelkomsel', '']")</f>
        <v>['Features',' like ',' application ',' MyTelkomsel ',' Daily ',' Chekin ',' get ',' quota ',' Geratis', 'Points',' Telkomsel ',' application ',' Telkomsel ',' good ',' makes it easier ',' check ',' quota ',' credit ',' QLO ',' buy ',' pulse ',' quota ',' easy ',' top ',' deh ' , 'Open', 'MyTelkomsel', '']</v>
      </c>
      <c r="D129" s="3">
        <v>5.0</v>
      </c>
    </row>
    <row r="130" ht="15.75" customHeight="1">
      <c r="A130" s="1">
        <v>128.0</v>
      </c>
      <c r="B130" s="3" t="s">
        <v>131</v>
      </c>
      <c r="C130" s="3" t="str">
        <f>IFERROR(__xludf.DUMMYFUNCTION("GOOGLETRANSLATE(B130,""id"",""en"")"),"['quota', 'unlimited', 'quota', 'main', 'udh', 'abis',' internet ',' slow ',' buy ',' deh ',' quota ',' main ',' ttp ',' slow ',' Telkomsel ',' knp ',' person ',' feel ',' loss', 'gini', 'please', 'fix', 'bug', 'nya', '']")</f>
        <v>['quota', 'unlimited', 'quota', 'main', 'udh', 'abis',' internet ',' slow ',' buy ',' deh ',' quota ',' main ',' ttp ',' slow ',' Telkomsel ',' knp ',' person ',' feel ',' loss', 'gini', 'please', 'fix', 'bug', 'nya', '']</v>
      </c>
      <c r="D130" s="3">
        <v>1.0</v>
      </c>
    </row>
    <row r="131" ht="15.75" customHeight="1">
      <c r="A131" s="1">
        <v>129.0</v>
      </c>
      <c r="B131" s="3" t="s">
        <v>132</v>
      </c>
      <c r="C131" s="3" t="str">
        <f>IFERROR(__xludf.DUMMYFUNCTION("GOOGLETRANSLATE(B131,""id"",""en"")"),"['Like', 'Telkomsel', 'EASY', 'BUY', 'PACKAGE', 'CONPONS', 'Weekly', 'Minutes',' Quota ',' Thinking ',' Telkomsel ',' Points', ' It's easy for ',' Terimaksih ',' Telkomsel ']")</f>
        <v>['Like', 'Telkomsel', 'EASY', 'BUY', 'PACKAGE', 'CONPONS', 'Weekly', 'Minutes',' Quota ',' Thinking ',' Telkomsel ',' Points', ' It's easy for ',' Terimaksih ',' Telkomsel ']</v>
      </c>
      <c r="D131" s="3">
        <v>5.0</v>
      </c>
    </row>
    <row r="132" ht="15.75" customHeight="1">
      <c r="A132" s="1">
        <v>130.0</v>
      </c>
      <c r="B132" s="3" t="s">
        <v>133</v>
      </c>
      <c r="C132" s="3" t="str">
        <f>IFERROR(__xludf.DUMMYFUNCTION("GOOGLETRANSLATE(B132,""id"",""en"")"),"['Gini', 'Package', 'Data', 'Apply', 'Package', 'Date', 'Entrantuating', 'Reduced', '']")</f>
        <v>['Gini', 'Package', 'Data', 'Apply', 'Package', 'Date', 'Entrantuating', 'Reduced', '']</v>
      </c>
      <c r="D132" s="3">
        <v>1.0</v>
      </c>
    </row>
    <row r="133" ht="15.75" customHeight="1">
      <c r="A133" s="1">
        <v>131.0</v>
      </c>
      <c r="B133" s="3" t="s">
        <v>134</v>
      </c>
      <c r="C133" s="3" t="str">
        <f>IFERROR(__xludf.DUMMYFUNCTION("GOOGLETRANSLATE(B133,""id"",""en"")"),"['Give', 'Bintang', 'APK', 'Good', 'Kenda', 'Promo', 'Special', 'Affordable', 'Event', 'Check', 'Daily', 'Day', ' Error ',' Claim ']")</f>
        <v>['Give', 'Bintang', 'APK', 'Good', 'Kenda', 'Promo', 'Special', 'Affordable', 'Event', 'Check', 'Daily', 'Day', ' Error ',' Claim ']</v>
      </c>
      <c r="D133" s="3">
        <v>4.0</v>
      </c>
    </row>
    <row r="134" ht="15.75" customHeight="1">
      <c r="A134" s="1">
        <v>132.0</v>
      </c>
      <c r="B134" s="3" t="s">
        <v>135</v>
      </c>
      <c r="C134" s="3" t="str">
        <f>IFERROR(__xludf.DUMMYFUNCTION("GOOGLETRANSLATE(B134,""id"",""en"")"),"['MyTelkomsel', 'Provider', 'Best', 'best', 'Beloved', 'Dear', 'Features',' Features', 'MyTelkomsel', 'Cool', 'Cool', 'Feature', ' Favorites', 'Combo', 'Sakti', 'Unlimited', 'Price', 'Package', 'Cheap', 'Suitable', 'Very', 'Lecture', 'Online', 'Signal', '"&amp;"Current' , 'sled', 'lecture', 'online', 'easy', 'quota', 'main', 'run out', 'open', 'social', 'media', 'worry', 'nggk', ' Open ',' sosmed ',' quota ',' main ',' run out ',' fall ',' love ',' mytelkomsel ']")</f>
        <v>['MyTelkomsel', 'Provider', 'Best', 'best', 'Beloved', 'Dear', 'Features',' Features', 'MyTelkomsel', 'Cool', 'Cool', 'Feature', ' Favorites', 'Combo', 'Sakti', 'Unlimited', 'Price', 'Package', 'Cheap', 'Suitable', 'Very', 'Lecture', 'Online', 'Signal', 'Current' , 'sled', 'lecture', 'online', 'easy', 'quota', 'main', 'run out', 'open', 'social', 'media', 'worry', 'nggk', ' Open ',' sosmed ',' quota ',' main ',' run out ',' fall ',' love ',' mytelkomsel ']</v>
      </c>
      <c r="D134" s="3">
        <v>5.0</v>
      </c>
    </row>
    <row r="135" ht="15.75" customHeight="1">
      <c r="A135" s="1">
        <v>133.0</v>
      </c>
      <c r="B135" s="3" t="s">
        <v>136</v>
      </c>
      <c r="C135" s="3" t="str">
        <f>IFERROR(__xludf.DUMMYFUNCTION("GOOGLETRANSLATE(B135,""id"",""en"")"),"['Review', 'Sob', 'MyTelkomsel', 'Love', 'Star', 'KNPA', 'Application', 'Help', 'Way', 'Credit', 'Content', 'Package', ' Exchange ',' Points', 'Complete', 'Like', 'Features',' Send ',' Gift ',' Pandemic ',' Gini ',' SERBA ',' Online ',' School ',' Online "&amp;"' , 'my child', 'run out', 'quota', 'pulse', 'annoying', 'activity', 'school', 'application', 'MyTelkomsel', 'help', 'contents',' pulses', ' quota ',' fast ',' my child ',' network ',' internet ',' champion ',' deh ',' best ',' ']")</f>
        <v>['Review', 'Sob', 'MyTelkomsel', 'Love', 'Star', 'KNPA', 'Application', 'Help', 'Way', 'Credit', 'Content', 'Package', ' Exchange ',' Points', 'Complete', 'Like', 'Features',' Send ',' Gift ',' Pandemic ',' Gini ',' SERBA ',' Online ',' School ',' Online ' , 'my child', 'run out', 'quota', 'pulse', 'annoying', 'activity', 'school', 'application', 'MyTelkomsel', 'help', 'contents',' pulses', ' quota ',' fast ',' my child ',' network ',' internet ',' champion ',' deh ',' best ',' ']</v>
      </c>
      <c r="D135" s="3">
        <v>5.0</v>
      </c>
    </row>
    <row r="136" ht="15.75" customHeight="1">
      <c r="A136" s="1">
        <v>134.0</v>
      </c>
      <c r="B136" s="3" t="s">
        <v>137</v>
      </c>
      <c r="C136" s="3" t="str">
        <f>IFERROR(__xludf.DUMMYFUNCTION("GOOGLETRANSLATE(B136,""id"",""en"")"),"['The application', 'Good', 'Help', 'Thank you', 'Promo', 'Package', 'Special', 'GB', 'Hopefully', 'Telkomsel', 'Extend', 'Promotions',' ']")</f>
        <v>['The application', 'Good', 'Help', 'Thank you', 'Promo', 'Package', 'Special', 'GB', 'Hopefully', 'Telkomsel', 'Extend', 'Promotions',' ']</v>
      </c>
      <c r="D136" s="3">
        <v>5.0</v>
      </c>
    </row>
    <row r="137" ht="15.75" customHeight="1">
      <c r="A137" s="1">
        <v>135.0</v>
      </c>
      <c r="B137" s="3" t="s">
        <v>138</v>
      </c>
      <c r="C137" s="3" t="str">
        <f>IFERROR(__xludf.DUMMYFUNCTION("GOOGLETRANSLATE(B137,""id"",""en"")"),"['Hey', 'Reviewers',' users', 'loyal', 'Telkomsel', 'Review', 'Honest', 'MyTelkomsel', 'Features',' like ',' really ',' buy ',' Package ',' Choice ',' Very ',' Combo ',' Thinking ',' Daily ',' Weekly ',' Monthly ',' Price ',' Varied ',' Appropriate ',' Po"&amp;"uch ',' Choice ' , 'payment', 'complete', 'Linkaja', 'Ovo', 'funds',' Gopay ',' etc. ',' complete ',' really ',' Certain ',' discount ',' cashback ',' Very ',' Recommended ',' ']")</f>
        <v>['Hey', 'Reviewers',' users', 'loyal', 'Telkomsel', 'Review', 'Honest', 'MyTelkomsel', 'Features',' like ',' really ',' buy ',' Package ',' Choice ',' Very ',' Combo ',' Thinking ',' Daily ',' Weekly ',' Monthly ',' Price ',' Varied ',' Appropriate ',' Pouch ',' Choice ' , 'payment', 'complete', 'Linkaja', 'Ovo', 'funds',' Gopay ',' etc. ',' complete ',' really ',' Certain ',' discount ',' cashback ',' Very ',' Recommended ',' ']</v>
      </c>
      <c r="D137" s="3">
        <v>5.0</v>
      </c>
    </row>
    <row r="138" ht="15.75" customHeight="1">
      <c r="A138" s="1">
        <v>136.0</v>
      </c>
      <c r="B138" s="3" t="s">
        <v>139</v>
      </c>
      <c r="C138" s="3" t="str">
        <f>IFERROR(__xludf.DUMMYFUNCTION("GOOGLETRANSLATE(B138,""id"",""en"")"),"['family', 'Telkomsel', 'area', 'village', 'page', 'signal', 'good', 'makes it easy', 'check', 'quota', 'stay', 'open', ' application ',' Telkomsel ',' apps', 'easy', 'hopefully', 'in the future', 'aminnnn']")</f>
        <v>['family', 'Telkomsel', 'area', 'village', 'page', 'signal', 'good', 'makes it easy', 'check', 'quota', 'stay', 'open', ' application ',' Telkomsel ',' apps', 'easy', 'hopefully', 'in the future', 'aminnnn']</v>
      </c>
      <c r="D138" s="3">
        <v>5.0</v>
      </c>
    </row>
    <row r="139" ht="15.75" customHeight="1">
      <c r="A139" s="1">
        <v>137.0</v>
      </c>
      <c r="B139" s="3" t="s">
        <v>140</v>
      </c>
      <c r="C139" s="3" t="str">
        <f>IFERROR(__xludf.DUMMYFUNCTION("GOOGLETRANSLATE(B139,""id"",""en"")"),"['', 'Maen', 'game', 'threat', 'open', 'youtube', 'threat', 'price', 'expensive', 'signal', 'slow', 'need', 'sorry ',' Want ',' Benerin ',' Network ',' Parahh ']")</f>
        <v>['', 'Maen', 'game', 'threat', 'open', 'youtube', 'threat', 'price', 'expensive', 'signal', 'slow', 'need', 'sorry ',' Want ',' Benerin ',' Network ',' Parahh ']</v>
      </c>
      <c r="D139" s="3">
        <v>1.0</v>
      </c>
    </row>
    <row r="140" ht="15.75" customHeight="1">
      <c r="A140" s="1">
        <v>138.0</v>
      </c>
      <c r="B140" s="3" t="s">
        <v>141</v>
      </c>
      <c r="C140" s="3" t="str">
        <f>IFERROR(__xludf.DUMMYFUNCTION("GOOGLETRANSLATE(B140,""id"",""en"")"),"['easy', 'method', 'payment', 'choice', 'lucky', 'cashback', 'payment', 'select', 'package', 'according to', 'budget', 'fill', ' pocket', '']")</f>
        <v>['easy', 'method', 'payment', 'choice', 'lucky', 'cashback', 'payment', 'select', 'package', 'according to', 'budget', 'fill', ' pocket', '']</v>
      </c>
      <c r="D140" s="3">
        <v>5.0</v>
      </c>
    </row>
    <row r="141" ht="15.75" customHeight="1">
      <c r="A141" s="1">
        <v>139.0</v>
      </c>
      <c r="B141" s="3" t="s">
        <v>142</v>
      </c>
      <c r="C141" s="3" t="str">
        <f>IFERROR(__xludf.DUMMYFUNCTION("GOOGLETRANSLATE(B141,""id"",""en"")"),"['package', 'ojol', 'cheap', 'slow', 'buy', 'package', 'data', 'slow', 'semalem', 'buy', 'package', 'data', ' ']")</f>
        <v>['package', 'ojol', 'cheap', 'slow', 'buy', 'package', 'data', 'slow', 'semalem', 'buy', 'package', 'data', ' ']</v>
      </c>
      <c r="D141" s="3">
        <v>2.0</v>
      </c>
    </row>
    <row r="142" ht="15.75" customHeight="1">
      <c r="A142" s="1">
        <v>140.0</v>
      </c>
      <c r="B142" s="3" t="s">
        <v>143</v>
      </c>
      <c r="C142" s="3" t="str">
        <f>IFERROR(__xludf.DUMMYFUNCTION("GOOGLETRANSLATE(B142,""id"",""en"")"),"['Seneng', 'really', 'App', 'Tekkomsel', 'really', 'gain', 'Telkomsel', 'easy', 'buy', 'package', 'data', 'save', ' Points', 'Transactions',' Exchange ',' Prizes', 'Promos',' Save ',' Very ',' Anyway ',' Satisfied ',' Very ',' Deh ',' Telkomsel ', ""]")</f>
        <v>['Seneng', 'really', 'App', 'Tekkomsel', 'really', 'gain', 'Telkomsel', 'easy', 'buy', 'package', 'data', 'save', ' Points', 'Transactions',' Exchange ',' Prizes', 'Promos',' Save ',' Very ',' Anyway ',' Satisfied ',' Very ',' Deh ',' Telkomsel ', "]</v>
      </c>
      <c r="D142" s="3">
        <v>5.0</v>
      </c>
    </row>
    <row r="143" ht="15.75" customHeight="1">
      <c r="A143" s="1">
        <v>141.0</v>
      </c>
      <c r="B143" s="3" t="s">
        <v>144</v>
      </c>
      <c r="C143" s="3" t="str">
        <f>IFERROR(__xludf.DUMMYFUNCTION("GOOGLETRANSLATE(B143,""id"",""en"")"),"['Connection', 'Bad', 'Application', 'Loading', 'Worth', 'Very', 'Kenceng', 'Internet', 'Sometimes',' Pending ',' Thank ',' Love ',' Telkomsel ',' lowering ',' Rank ',' star ']")</f>
        <v>['Connection', 'Bad', 'Application', 'Loading', 'Worth', 'Very', 'Kenceng', 'Internet', 'Sometimes',' Pending ',' Thank ',' Love ',' Telkomsel ',' lowering ',' Rank ',' star ']</v>
      </c>
      <c r="D143" s="3">
        <v>1.0</v>
      </c>
    </row>
    <row r="144" ht="15.75" customHeight="1">
      <c r="A144" s="1">
        <v>142.0</v>
      </c>
      <c r="B144" s="3" t="s">
        <v>145</v>
      </c>
      <c r="C144" s="3" t="str">
        <f>IFERROR(__xludf.DUMMYFUNCTION("GOOGLETRANSLATE(B144,""id"",""en"")"),"['Please', 'Fix', 'MyTelkomsel', 'Karna', 'Disappointed', 'Motif', 'Text', 'Have', 'Buy', 'Credit', 'Karna', 'Tankang', ' right ',' buy ',' enter ',' right ',' open ',' apk ',' mytelkomsel ',' time ',' experience ',' buy ',' pulse ',' directly ',' block '"&amp;" , '']")</f>
        <v>['Please', 'Fix', 'MyTelkomsel', 'Karna', 'Disappointed', 'Motif', 'Text', 'Have', 'Buy', 'Credit', 'Karna', 'Tankang', ' right ',' buy ',' enter ',' right ',' open ',' apk ',' mytelkomsel ',' time ',' experience ',' buy ',' pulse ',' directly ',' block ' , '']</v>
      </c>
      <c r="D144" s="3">
        <v>1.0</v>
      </c>
    </row>
    <row r="145" ht="15.75" customHeight="1">
      <c r="A145" s="1">
        <v>143.0</v>
      </c>
      <c r="B145" s="3" t="s">
        <v>146</v>
      </c>
      <c r="C145" s="3" t="str">
        <f>IFERROR(__xludf.DUMMYFUNCTION("GOOGLETRANSLATE(B145,""id"",""en"")"),"['Please', 'Telkomsel', 'Price', 'Package', 'Data', 'Love', 'Discount', 'User', 'Package', 'Data', 'Telkomsel', 'Telkomsel', ' Thanks', 'Love', 'Success',' Telkomsel ']")</f>
        <v>['Please', 'Telkomsel', 'Price', 'Package', 'Data', 'Love', 'Discount', 'User', 'Package', 'Data', 'Telkomsel', 'Telkomsel', ' Thanks', 'Love', 'Success',' Telkomsel ']</v>
      </c>
      <c r="D145" s="3">
        <v>5.0</v>
      </c>
    </row>
    <row r="146" ht="15.75" customHeight="1">
      <c r="A146" s="1">
        <v>144.0</v>
      </c>
      <c r="B146" s="3" t="s">
        <v>147</v>
      </c>
      <c r="C146" s="3" t="str">
        <f>IFERROR(__xludf.DUMMYFUNCTION("GOOGLETRANSLATE(B146,""id"",""en"")"),"['gini', 'card', 'Telkomsel', 'skrng', 'signal', 'network', 'difficult', 'package', 'msh', 'normal', 'expensive', 'pdhl', ' Kec ',' stability ',' repaired ',' buy ',' package ',' just ',' TLPN ',' Daily ',' Telkomsel ',' number ',' cellphone ',' printed '"&amp;",' reset ' , 'rare', 'buy', 'package', '']")</f>
        <v>['gini', 'card', 'Telkomsel', 'skrng', 'signal', 'network', 'difficult', 'package', 'msh', 'normal', 'expensive', 'pdhl', ' Kec ',' stability ',' repaired ',' buy ',' package ',' just ',' TLPN ',' Daily ',' Telkomsel ',' number ',' cellphone ',' printed ',' reset ' , 'rare', 'buy', 'package', '']</v>
      </c>
      <c r="D146" s="3">
        <v>1.0</v>
      </c>
    </row>
    <row r="147" ht="15.75" customHeight="1">
      <c r="A147" s="1">
        <v>145.0</v>
      </c>
      <c r="B147" s="3" t="s">
        <v>148</v>
      </c>
      <c r="C147" s="3" t="str">
        <f>IFERROR(__xludf.DUMMYFUNCTION("GOOGLETRANSLATE(B147,""id"",""en"")"),"['like', 'really', 'app', 'Telkomsel', 'check', 'leftover', 'pulse', 'quota', 'features',' sukaa ',' sihh ',' features', ' LIVE ',' streaming ',' Jenuhh ',' Open ',' App ',' Telkomsel ',' Search ',' Entertaining ',' Dehh ',' Watch ',' Video ',' Interestin"&amp;"g ', ""]")</f>
        <v>['like', 'really', 'app', 'Telkomsel', 'check', 'leftover', 'pulse', 'quota', 'features',' sukaa ',' sihh ',' features', ' LIVE ',' streaming ',' Jenuhh ',' Open ',' App ',' Telkomsel ',' Search ',' Entertaining ',' Dehh ',' Watch ',' Video ',' Interesting ', "]</v>
      </c>
      <c r="D147" s="3">
        <v>5.0</v>
      </c>
    </row>
    <row r="148" ht="15.75" customHeight="1">
      <c r="A148" s="1">
        <v>146.0</v>
      </c>
      <c r="B148" s="3" t="s">
        <v>149</v>
      </c>
      <c r="C148" s="3" t="str">
        <f>IFERROR(__xludf.DUMMYFUNCTION("GOOGLETRANSLATE(B148,""id"",""en"")"),"['Like', 'Error', 'Points',' Redeem ',' Telkomsel ',' Polls', 'Reduced', 'Coupon', 'Voucher', 'GMN', 'Exchange', 'Loss',' Points', 'Points',' Use ',' ']")</f>
        <v>['Like', 'Error', 'Points',' Redeem ',' Telkomsel ',' Polls', 'Reduced', 'Coupon', 'Voucher', 'GMN', 'Exchange', 'Loss',' Points', 'Points',' Use ',' ']</v>
      </c>
      <c r="D148" s="3">
        <v>1.0</v>
      </c>
    </row>
    <row r="149" ht="15.75" customHeight="1">
      <c r="A149" s="1">
        <v>147.0</v>
      </c>
      <c r="B149" s="3" t="s">
        <v>150</v>
      </c>
      <c r="C149" s="3" t="str">
        <f>IFERROR(__xludf.DUMMYFUNCTION("GOOGLETRANSLATE(B149,""id"",""en"")"),"['Like', 'application', 'MyTelkomsel', 'Features',' Exchange ',' Points', 'Daily', 'Check', 'Package', 'Internet', 'Phone', 'Like', ' favorites', 'interesting', 'package', 'cheap', 'really', 'staple', 'uenak', 'poll', 'trima', 'ksih', 'telkomsel', '']")</f>
        <v>['Like', 'application', 'MyTelkomsel', 'Features',' Exchange ',' Points', 'Daily', 'Check', 'Package', 'Internet', 'Phone', 'Like', ' favorites', 'interesting', 'package', 'cheap', 'really', 'staple', 'uenak', 'poll', 'trima', 'ksih', 'telkomsel', '']</v>
      </c>
      <c r="D149" s="3">
        <v>5.0</v>
      </c>
    </row>
    <row r="150" ht="15.75" customHeight="1">
      <c r="A150" s="1">
        <v>148.0</v>
      </c>
      <c r="B150" s="3" t="s">
        <v>151</v>
      </c>
      <c r="C150" s="3" t="str">
        <f>IFERROR(__xludf.DUMMYFUNCTION("GOOGLETRANSLATE(B150,""id"",""en"")"),"['Disappointed', 'Telkomsel', 'pulse', 'run out', 'filled', 'reset', 'call', 'turn on', 'data', 'cellular', 'times',' please ',' Telkomsel ',' Overcoming ',' ']")</f>
        <v>['Disappointed', 'Telkomsel', 'pulse', 'run out', 'filled', 'reset', 'call', 'turn on', 'data', 'cellular', 'times',' please ',' Telkomsel ',' Overcoming ',' ']</v>
      </c>
      <c r="D150" s="3">
        <v>1.0</v>
      </c>
    </row>
    <row r="151" ht="15.75" customHeight="1">
      <c r="A151" s="1">
        <v>149.0</v>
      </c>
      <c r="B151" s="3" t="s">
        <v>152</v>
      </c>
      <c r="C151" s="3" t="str">
        <f>IFERROR(__xludf.DUMMYFUNCTION("GOOGLETRANSLATE(B151,""id"",""en"")"),"['Please', 'Telkomsel', 'fix', 'signal', 'buyer', 'buy', 'package', 'data', 'expensive', 'ehh', 'right', 'signal', ' No ',' Please ',' Fix ',' As soon as', 'Mending', 'Change', 'Card', 'Buy', 'Package', 'Expensive', 'Expensive', 'Can't', 'Shame' ]")</f>
        <v>['Please', 'Telkomsel', 'fix', 'signal', 'buyer', 'buy', 'package', 'data', 'expensive', 'ehh', 'right', 'signal', ' No ',' Please ',' Fix ',' As soon as', 'Mending', 'Change', 'Card', 'Buy', 'Package', 'Expensive', 'Expensive', 'Can't', 'Shame' ]</v>
      </c>
      <c r="D151" s="3">
        <v>1.0</v>
      </c>
    </row>
    <row r="152" ht="15.75" customHeight="1">
      <c r="A152" s="1">
        <v>150.0</v>
      </c>
      <c r="B152" s="3" t="s">
        <v>153</v>
      </c>
      <c r="C152" s="3" t="str">
        <f>IFERROR(__xludf.DUMMYFUNCTION("GOOGLETRANSLATE(B152,""id"",""en"")"),"['Hello', 'Telkomsel', 'slow', 'use', 'network', 'slow', 'please', 'repaired', 'signal', 'annoying', 'activity', 'a day', ' ']")</f>
        <v>['Hello', 'Telkomsel', 'slow', 'use', 'network', 'slow', 'please', 'repaired', 'signal', 'annoying', 'activity', 'a day', ' ']</v>
      </c>
      <c r="D152" s="3">
        <v>2.0</v>
      </c>
    </row>
    <row r="153" ht="15.75" customHeight="1">
      <c r="A153" s="1">
        <v>151.0</v>
      </c>
      <c r="B153" s="3" t="s">
        <v>154</v>
      </c>
      <c r="C153" s="3" t="str">
        <f>IFERROR(__xludf.DUMMYFUNCTION("GOOGLETRANSLATE(B153,""id"",""en"")"),"['effective', 'at the time', 'quota', 'run out', 'Telkomsel', 'open', 'please', 'function', 'the application', 'as',' mobile ',' internet ',' Drukya ',' gini ',' how ',' check ',' quota ',' run out ',' gmna ',' buy ',' package ',' open ',' apk ',' krna ',"&amp;"' btuh ' , 'Intrnet']")</f>
        <v>['effective', 'at the time', 'quota', 'run out', 'Telkomsel', 'open', 'please', 'function', 'the application', 'as',' mobile ',' internet ',' Drukya ',' gini ',' how ',' check ',' quota ',' run out ',' gmna ',' buy ',' package ',' open ',' apk ',' krna ',' btuh ' , 'Intrnet']</v>
      </c>
      <c r="D153" s="3">
        <v>3.0</v>
      </c>
    </row>
    <row r="154" ht="15.75" customHeight="1">
      <c r="A154" s="1">
        <v>152.0</v>
      </c>
      <c r="B154" s="3" t="s">
        <v>155</v>
      </c>
      <c r="C154" s="3" t="str">
        <f>IFERROR(__xludf.DUMMYFUNCTION("GOOGLETRANSLATE(B154,""id"",""en"")"),"['Like', 'Package', 'Internet', 'OMG', 'GB', 'HOBBY', 'Watch', 'YouTube', 'Open', 'Tiktok', 'Watch', 'Film', ' right ',' a month ',' plus', 'likes',' reward ',' package ',' data ',' internet ',' stay ',' choose ',' data ',' line ',' etc. ' , '']")</f>
        <v>['Like', 'Package', 'Internet', 'OMG', 'GB', 'HOBBY', 'Watch', 'YouTube', 'Open', 'Tiktok', 'Watch', 'Film', ' right ',' a month ',' plus', 'likes',' reward ',' package ',' data ',' internet ',' stay ',' choose ',' data ',' line ',' etc. ' , '']</v>
      </c>
      <c r="D154" s="3">
        <v>5.0</v>
      </c>
    </row>
    <row r="155" ht="15.75" customHeight="1">
      <c r="A155" s="1">
        <v>153.0</v>
      </c>
      <c r="B155" s="3" t="s">
        <v>156</v>
      </c>
      <c r="C155" s="3" t="str">
        <f>IFERROR(__xludf.DUMMYFUNCTION("GOOGLETRANSLATE(B155,""id"",""en"")"),"['Internet', 'Local', 'Function', 'Out', 'Sia', 'Sia', 'Ctrangan', 'Location', 'Internet', 'Local', 'How', 'Good', ' Telkomsel ',' dupanagan ',' apply ',' internet ',' local ']")</f>
        <v>['Internet', 'Local', 'Function', 'Out', 'Sia', 'Sia', 'Ctrangan', 'Location', 'Internet', 'Local', 'How', 'Good', ' Telkomsel ',' dupanagan ',' apply ',' internet ',' local ']</v>
      </c>
      <c r="D155" s="3">
        <v>1.0</v>
      </c>
    </row>
    <row r="156" ht="15.75" customHeight="1">
      <c r="A156" s="1">
        <v>154.0</v>
      </c>
      <c r="B156" s="3" t="s">
        <v>157</v>
      </c>
      <c r="C156" s="3" t="str">
        <f>IFERROR(__xludf.DUMMYFUNCTION("GOOGLETRANSLATE(B156,""id"",""en"")"),"['MyTelkomsel', 'makes it easy', 'my activities',' leftover ',' quota ',' leftover ',' pulses', 'point', 'rempong', 'check', 'via', 'sms',' Like ',' Combosakti ',' GB ',' Free ',' SMS ',' Free ',' Phone ',' Signal ',' Kenceng ',' Hopefully ',' Maksyosss',"&amp;" 'Trouble', ""]")</f>
        <v>['MyTelkomsel', 'makes it easy', 'my activities',' leftover ',' quota ',' leftover ',' pulses', 'point', 'rempong', 'check', 'via', 'sms',' Like ',' Combosakti ',' GB ',' Free ',' SMS ',' Free ',' Phone ',' Signal ',' Kenceng ',' Hopefully ',' Maksyosss', 'Trouble', "]</v>
      </c>
      <c r="D156" s="3">
        <v>4.0</v>
      </c>
    </row>
    <row r="157" ht="15.75" customHeight="1">
      <c r="A157" s="1">
        <v>155.0</v>
      </c>
      <c r="B157" s="3" t="s">
        <v>158</v>
      </c>
      <c r="C157" s="3" t="str">
        <f>IFERROR(__xludf.DUMMYFUNCTION("GOOGLETRANSLATE(B157,""id"",""en"")"),"['Glad', 'Easy', 'Wear', 'Application', 'Telkomsel', 'Promo', 'The', 'Best', 'Telkomsel', ""]")</f>
        <v>['Glad', 'Easy', 'Wear', 'Application', 'Telkomsel', 'Promo', 'The', 'Best', 'Telkomsel', "]</v>
      </c>
      <c r="D157" s="3">
        <v>4.0</v>
      </c>
    </row>
    <row r="158" ht="15.75" customHeight="1">
      <c r="A158" s="1">
        <v>156.0</v>
      </c>
      <c r="B158" s="3" t="s">
        <v>159</v>
      </c>
      <c r="C158" s="3" t="str">
        <f>IFERROR(__xludf.DUMMYFUNCTION("GOOGLETRANSLATE(B158,""id"",""en"")"),"['users',' Telkomsel ',' happy ',' application ',' Telkomsel ',' App ',' application ',' price ',' package ',' internet ',' cheap ',' makes it easy ',' transact ',' features', 'application', 'Telkomsel', 'mainnyo', 'the', 'best', 'hopefully', 'Telkomsel',"&amp;" 'forward', 'developing', 'amin', ""]")</f>
        <v>['users',' Telkomsel ',' happy ',' application ',' Telkomsel ',' App ',' application ',' price ',' package ',' internet ',' cheap ',' makes it easy ',' transact ',' features', 'application', 'Telkomsel', 'mainnyo', 'the', 'best', 'hopefully', 'Telkomsel', 'forward', 'developing', 'amin', "]</v>
      </c>
      <c r="D158" s="3">
        <v>5.0</v>
      </c>
    </row>
    <row r="159" ht="15.75" customHeight="1">
      <c r="A159" s="1">
        <v>157.0</v>
      </c>
      <c r="B159" s="3" t="s">
        <v>160</v>
      </c>
      <c r="C159" s="3" t="str">
        <f>IFERROR(__xludf.DUMMYFUNCTION("GOOGLETRANSLATE(B159,""id"",""en"")"),"['Severe', 'Package', 'Quota', 'Cut', 'Credit', 'Personal', 'Disappointed', 'Setting', 'LTE', 'Only', 'Tetep', 'Malak', ' pulses', 'regret', 'buy', 'quota', 'Please', 'explanation', 'Read', 'Review', 'Disappointed', 'Please', 'Explanation', 'Have', 'repor"&amp;"t' , 'Email', 'Telkomsel', 'Need', 'Explanation', 'Throw', 'Throw', 'User', 'Telkomsel', 'Setting', 'Only', 'Changed', 'Strange', ' ']")</f>
        <v>['Severe', 'Package', 'Quota', 'Cut', 'Credit', 'Personal', 'Disappointed', 'Setting', 'LTE', 'Only', 'Tetep', 'Malak', ' pulses', 'regret', 'buy', 'quota', 'Please', 'explanation', 'Read', 'Review', 'Disappointed', 'Please', 'Explanation', 'Have', 'report' , 'Email', 'Telkomsel', 'Need', 'Explanation', 'Throw', 'Throw', 'User', 'Telkomsel', 'Setting', 'Only', 'Changed', 'Strange', ' ']</v>
      </c>
      <c r="D159" s="3">
        <v>1.0</v>
      </c>
    </row>
    <row r="160" ht="15.75" customHeight="1">
      <c r="A160" s="1">
        <v>158.0</v>
      </c>
      <c r="B160" s="3" t="s">
        <v>161</v>
      </c>
      <c r="C160" s="3" t="str">
        <f>IFERROR(__xludf.DUMMYFUNCTION("GOOGLETRANSLATE(B160,""id"",""en"")"),"['feature', 'chek', 'bus',' dilten ',' reach ',' provisions', 'users',' Telkomsel ',' gift ',' Telkomsel ',' package ',' data ',' Features', 'Points',' Where ',' users', 'Telkomsel', 'exchange', 'Point', 'obtained', 'coupons',' lottery ',' gift ',' intere"&amp;"sting ',' Undi ' , 'Peeiode', '']")</f>
        <v>['feature', 'chek', 'bus',' dilten ',' reach ',' provisions', 'users',' Telkomsel ',' gift ',' Telkomsel ',' package ',' data ',' Features', 'Points',' Where ',' users', 'Telkomsel', 'exchange', 'Point', 'obtained', 'coupons',' lottery ',' gift ',' interesting ',' Undi ' , 'Peeiode', '']</v>
      </c>
      <c r="D160" s="3">
        <v>5.0</v>
      </c>
    </row>
    <row r="161" ht="15.75" customHeight="1">
      <c r="A161" s="1">
        <v>159.0</v>
      </c>
      <c r="B161" s="3" t="s">
        <v>162</v>
      </c>
      <c r="C161" s="3" t="str">
        <f>IFERROR(__xludf.DUMMYFUNCTION("GOOGLETRANSLATE(B161,""id"",""en"")"),"['Login', 'MyTelkomsel', 'No', 'Sihh', 'The network', 'Open', 'YTB', 'Bgus',' I tried ',' Dihp ',' pulses', 'Sumpot', ' buy ',' pulse ',' right ',' check ',' already ',' stay ',' gimanasihhh ']")</f>
        <v>['Login', 'MyTelkomsel', 'No', 'Sihh', 'The network', 'Open', 'YTB', 'Bgus',' I tried ',' Dihp ',' pulses', 'Sumpot', ' buy ',' pulse ',' right ',' check ',' already ',' stay ',' gimanasihhh ']</v>
      </c>
      <c r="D161" s="3">
        <v>1.0</v>
      </c>
    </row>
    <row r="162" ht="15.75" customHeight="1">
      <c r="A162" s="1">
        <v>160.0</v>
      </c>
      <c r="B162" s="3" t="s">
        <v>163</v>
      </c>
      <c r="C162" s="3" t="str">
        <f>IFERROR(__xludf.DUMMYFUNCTION("GOOGLETRANSLATE(B162,""id"",""en"")"),"['application', 'useful', 'useful', 'check', 'pulse', 'kuorta', 'buy', 'package', 'exchange', 'point', 'benefits', 'other' Samsts', 'Telkomsel', 'innovate', 'products',' telecommonation ',' Indonesia ']")</f>
        <v>['application', 'useful', 'useful', 'check', 'pulse', 'kuorta', 'buy', 'package', 'exchange', 'point', 'benefits', 'other' Samsts', 'Telkomsel', 'innovate', 'products',' telecommonation ',' Indonesia ']</v>
      </c>
      <c r="D162" s="3">
        <v>5.0</v>
      </c>
    </row>
    <row r="163" ht="15.75" customHeight="1">
      <c r="A163" s="1">
        <v>161.0</v>
      </c>
      <c r="B163" s="3" t="s">
        <v>164</v>
      </c>
      <c r="C163" s="3" t="str">
        <f>IFERROR(__xludf.DUMMYFUNCTION("GOOGLETRANSLATE(B163,""id"",""en"")"),"['The network', 'changed', 'sometimes',' quota ',' use ',' play ',' game ',' broken ',' broken ',' lose ',' already ',' move ',' Tower ',' Telkomsel ',' home ',' like ',' Telkomsel ']")</f>
        <v>['The network', 'changed', 'sometimes',' quota ',' use ',' play ',' game ',' broken ',' broken ',' lose ',' already ',' move ',' Tower ',' Telkomsel ',' home ',' like ',' Telkomsel ']</v>
      </c>
      <c r="D163" s="3">
        <v>1.0</v>
      </c>
    </row>
    <row r="164" ht="15.75" customHeight="1">
      <c r="A164" s="1">
        <v>162.0</v>
      </c>
      <c r="B164" s="3" t="s">
        <v>165</v>
      </c>
      <c r="C164" s="3" t="str">
        <f>IFERROR(__xludf.DUMMYFUNCTION("GOOGLETRANSLATE(B164,""id"",""en"")"),"['The application', 'opened', 'check', 'balance', 'reduced', 'dark', 'whether', 'rules',' now ',' weve ',' sabotage ',' nie ',' The application ',' Trouma ',' contents', 'balance', 'ilangkan', 'Where', '']")</f>
        <v>['The application', 'opened', 'check', 'balance', 'reduced', 'dark', 'whether', 'rules',' now ',' weve ',' sabotage ',' nie ',' The application ',' Trouma ',' contents', 'balance', 'ilangkan', 'Where', '']</v>
      </c>
      <c r="D164" s="3">
        <v>2.0</v>
      </c>
    </row>
    <row r="165" ht="15.75" customHeight="1">
      <c r="A165" s="1">
        <v>163.0</v>
      </c>
      <c r="B165" s="3" t="s">
        <v>166</v>
      </c>
      <c r="C165" s="3" t="str">
        <f>IFERROR(__xludf.DUMMYFUNCTION("GOOGLETRANSLATE(B165,""id"",""en"")"),"['Alhamdulillah', 'Application', 'MyTelkomsel', 'Easy', 'Buy', 'Package', 'Data', 'Call', 'SMS', 'Event', 'Like', 'Lucky', ' Draw ',' Daily ',' Check ',' Anyway ',' The ',' Best ', ""]")</f>
        <v>['Alhamdulillah', 'Application', 'MyTelkomsel', 'Easy', 'Buy', 'Package', 'Data', 'Call', 'SMS', 'Event', 'Like', 'Lucky', ' Draw ',' Daily ',' Check ',' Anyway ',' The ',' Best ', "]</v>
      </c>
      <c r="D165" s="3">
        <v>5.0</v>
      </c>
    </row>
    <row r="166" ht="15.75" customHeight="1">
      <c r="A166" s="1">
        <v>164.0</v>
      </c>
      <c r="B166" s="3" t="s">
        <v>167</v>
      </c>
      <c r="C166" s="3" t="str">
        <f>IFERROR(__xludf.DUMMYFUNCTION("GOOGLETRANSLATE(B166,""id"",""en"")"),"['Package', 'Favorites',' Mytsel ',' Package ',' Combo ',' Unlimited ',' thousand ',' Dapetin ',' Telfon ',' Minutes', 'SMS', 'Times',' Physics', 'GB', 'Internet', 'Quota', 'Out', 'Dapet', 'Unlimited', 'Access',' Application ',' Instagram ',' Facebook ','"&amp;" Line ',' Gamemax ' , 'etc.', 'Features',' Tuker ',' Tuker ',' Points', 'Mytsel', 'Favorites',' Karna ',' Dijadied ',' Balance ',' Link ',' Quota ',' Free ',' Check ',' Daily ',' Daily ',' Nukerin ',' Points', '']")</f>
        <v>['Package', 'Favorites',' Mytsel ',' Package ',' Combo ',' Unlimited ',' thousand ',' Dapetin ',' Telfon ',' Minutes', 'SMS', 'Times',' Physics', 'GB', 'Internet', 'Quota', 'Out', 'Dapet', 'Unlimited', 'Access',' Application ',' Instagram ',' Facebook ',' Line ',' Gamemax ' , 'etc.', 'Features',' Tuker ',' Tuker ',' Points', 'Mytsel', 'Favorites',' Karna ',' Dijadied ',' Balance ',' Link ',' Quota ',' Free ',' Check ',' Daily ',' Daily ',' Nukerin ',' Points', '']</v>
      </c>
      <c r="D166" s="3">
        <v>5.0</v>
      </c>
    </row>
    <row r="167" ht="15.75" customHeight="1">
      <c r="A167" s="1">
        <v>165.0</v>
      </c>
      <c r="B167" s="3" t="s">
        <v>168</v>
      </c>
      <c r="C167" s="3" t="str">
        <f>IFERROR(__xludf.DUMMYFUNCTION("GOOGLETRANSLATE(B167,""id"",""en"")"),"['Alhamdulillah', 'MyTelkomsel', 'APP', 'Help', 'Promo', 'Package', 'Cheap', 'Easy', 'Check', 'Balance', 'Package', 'Data', ' Points ',' promo ',' interesting ',' Telkomsel ',' APP ',' Satisfied ',' Anyway ',' Telkomsel ',' Thank "", 'Love', 'Hopefully', "&amp;"'Jaya', 'Success' , '']")</f>
        <v>['Alhamdulillah', 'MyTelkomsel', 'APP', 'Help', 'Promo', 'Package', 'Cheap', 'Easy', 'Check', 'Balance', 'Package', 'Data', ' Points ',' promo ',' interesting ',' Telkomsel ',' APP ',' Satisfied ',' Anyway ',' Telkomsel ',' Thank ", 'Love', 'Hopefully', 'Jaya', 'Success' , '']</v>
      </c>
      <c r="D167" s="3">
        <v>5.0</v>
      </c>
    </row>
    <row r="168" ht="15.75" customHeight="1">
      <c r="A168" s="1">
        <v>166.0</v>
      </c>
      <c r="B168" s="3" t="s">
        <v>169</v>
      </c>
      <c r="C168" s="3" t="str">
        <f>IFERROR(__xludf.DUMMYFUNCTION("GOOGLETRANSLATE(B168,""id"",""en"")"),"['Please', 'Telkomsel', 'Big', 'Company', 'please', 'buy', 'pulse', 'a month', 'please', 'quota', 'finished', 'pulses',' sucked ',' pulses ',' make ',' that's ',' please ',' as 'as', 'people', 'buy', 'pulses', 'thank you']")</f>
        <v>['Please', 'Telkomsel', 'Big', 'Company', 'please', 'buy', 'pulse', 'a month', 'please', 'quota', 'finished', 'pulses',' sucked ',' pulses ',' make ',' that's ',' please ',' as 'as', 'people', 'buy', 'pulses', 'thank you']</v>
      </c>
      <c r="D168" s="3">
        <v>1.0</v>
      </c>
    </row>
    <row r="169" ht="15.75" customHeight="1">
      <c r="A169" s="1">
        <v>167.0</v>
      </c>
      <c r="B169" s="3" t="s">
        <v>170</v>
      </c>
      <c r="C169" s="3" t="str">
        <f>IFERROR(__xludf.DUMMYFUNCTION("GOOGLETRANSLATE(B169,""id"",""en"")"),"['buy', 'package', 'internet', 'quota', 'family', 'package', 'available', 'activated', 'donk', 'min', 'package', 'quota', ' Keluraya ',' Sharing ',' quota ',' parents', 'City', '']")</f>
        <v>['buy', 'package', 'internet', 'quota', 'family', 'package', 'available', 'activated', 'donk', 'min', 'package', 'quota', ' Keluraya ',' Sharing ',' quota ',' parents', 'City', '']</v>
      </c>
      <c r="D169" s="3">
        <v>1.0</v>
      </c>
    </row>
    <row r="170" ht="15.75" customHeight="1">
      <c r="A170" s="1">
        <v>168.0</v>
      </c>
      <c r="B170" s="3" t="s">
        <v>171</v>
      </c>
      <c r="C170" s="3" t="str">
        <f>IFERROR(__xludf.DUMMYFUNCTION("GOOGLETRANSLATE(B170,""id"",""en"")"),"['signal', 'ugly', 'Telkomsel', 'oath', 'nyessel', 'really', 'buy', 'package', 'data', 'telkomsel', 'signal', 'hushkkkkkkkkkkkkkkkkkkkkkkkk' Injaries', 'bad', 'dipedaannn', 'expensive', 'different', 'orprator', 'cheap', 'fast', 'internet', 'suggestion', '"&amp;"buy', 'quota', 'Telkomsel' , 'Updated', 'network', 'internet', '']")</f>
        <v>['signal', 'ugly', 'Telkomsel', 'oath', 'nyessel', 'really', 'buy', 'package', 'data', 'telkomsel', 'signal', 'hushkkkkkkkkkkkkkkkkkkkkkkkk' Injaries', 'bad', 'dipedaannn', 'expensive', 'different', 'orprator', 'cheap', 'fast', 'internet', 'suggestion', 'buy', 'quota', 'Telkomsel' , 'Updated', 'network', 'internet', '']</v>
      </c>
      <c r="D170" s="3">
        <v>1.0</v>
      </c>
    </row>
    <row r="171" ht="15.75" customHeight="1">
      <c r="A171" s="1">
        <v>169.0</v>
      </c>
      <c r="B171" s="3" t="s">
        <v>172</v>
      </c>
      <c r="C171" s="3" t="str">
        <f>IFERROR(__xludf.DUMMYFUNCTION("GOOGLETRANSLATE(B171,""id"",""en"")"),"['Telkomsel', 'famous',' expensive ',' network ',' wide ',' famous', 'expensive', 'internet', 'lemooot', 'hate', 'provider', 'byu', ' Not ',' good ', ""]")</f>
        <v>['Telkomsel', 'famous',' expensive ',' network ',' wide ',' famous', 'expensive', 'internet', 'lemooot', 'hate', 'provider', 'byu', ' Not ',' good ', "]</v>
      </c>
      <c r="D171" s="3">
        <v>1.0</v>
      </c>
    </row>
    <row r="172" ht="15.75" customHeight="1">
      <c r="A172" s="1">
        <v>170.0</v>
      </c>
      <c r="B172" s="3" t="s">
        <v>173</v>
      </c>
      <c r="C172" s="3" t="str">
        <f>IFERROR(__xludf.DUMMYFUNCTION("GOOGLETRANSLATE(B172,""id"",""en"")"),"['Lost', 'pulse', 'thousand', 'count', 'minutes',' koq ',' kayak ',' picked out ',' company ',' dinotif ',' given ',' signs', ' Check ',' green ',' transaction ',' buy ',' package ',' internet ',' cheerful ',' succeed ',' chaotic ',' systemaa ',' ']")</f>
        <v>['Lost', 'pulse', 'thousand', 'count', 'minutes',' koq ',' kayak ',' picked out ',' company ',' dinotif ',' given ',' signs', ' Check ',' green ',' transaction ',' buy ',' package ',' internet ',' cheerful ',' succeed ',' chaotic ',' systemaa ',' ']</v>
      </c>
      <c r="D172" s="3">
        <v>1.0</v>
      </c>
    </row>
    <row r="173" ht="15.75" customHeight="1">
      <c r="A173" s="1">
        <v>171.0</v>
      </c>
      <c r="B173" s="3" t="s">
        <v>174</v>
      </c>
      <c r="C173" s="3" t="str">
        <f>IFERROR(__xludf.DUMMYFUNCTION("GOOGLETRANSLATE(B173,""id"",""en"")"),"['Personal', 'users',' Telkomsel ',' Rural ',' Signal ',' Stable ',' Application ',' Telkomsel ',' Satisfied ',' Application ',' Help ',' Simple ',' Offers', 'interesting', 'cheap', 'bonus',' mantul ',' staple ',' ilove ',' Telkomsel ',' ']")</f>
        <v>['Personal', 'users',' Telkomsel ',' Rural ',' Signal ',' Stable ',' Application ',' Telkomsel ',' Satisfied ',' Application ',' Help ',' Simple ',' Offers', 'interesting', 'cheap', 'bonus',' mantul ',' staple ',' ilove ',' Telkomsel ',' ']</v>
      </c>
      <c r="D173" s="3">
        <v>5.0</v>
      </c>
    </row>
    <row r="174" ht="15.75" customHeight="1">
      <c r="A174" s="1">
        <v>172.0</v>
      </c>
      <c r="B174" s="3" t="s">
        <v>175</v>
      </c>
      <c r="C174" s="3" t="str">
        <f>IFERROR(__xludf.DUMMYFUNCTION("GOOGLETRANSLATE(B174,""id"",""en"")"),"['like', 'really', 'Telkomsel', 'makes it easy', 'buy', 'package', 'features',' easy ',' understandable ',' simple ',' family ',' subscription ',' Package ',' Combo ',' Sakti ',' Buy ',' Package ',' Direct ',' Free ',' Call ',' SMS ',' Voucher ',' Kuy ','"&amp;" Wait ',' Download ' , 'Xixi']")</f>
        <v>['like', 'really', 'Telkomsel', 'makes it easy', 'buy', 'package', 'features',' easy ',' understandable ',' simple ',' family ',' subscription ',' Package ',' Combo ',' Sakti ',' Buy ',' Package ',' Direct ',' Free ',' Call ',' SMS ',' Voucher ',' Kuy ',' Wait ',' Download ' , 'Xixi']</v>
      </c>
      <c r="D174" s="3">
        <v>5.0</v>
      </c>
    </row>
    <row r="175" ht="15.75" customHeight="1">
      <c r="A175" s="1">
        <v>173.0</v>
      </c>
      <c r="B175" s="3" t="s">
        <v>176</v>
      </c>
      <c r="C175" s="3" t="str">
        <f>IFERROR(__xludf.DUMMYFUNCTION("GOOGLETRANSLATE(B175,""id"",""en"")"),"['Please', 'Notice', 'Network', 'Telkomsel', 'here', 'ugly', 'price', 'package', 'quota', 'cheap', 'quality', 'ugly', ' according to ',' price ',' package ',' quota ', ""]")</f>
        <v>['Please', 'Notice', 'Network', 'Telkomsel', 'here', 'ugly', 'price', 'package', 'quota', 'cheap', 'quality', 'ugly', ' according to ',' price ',' package ',' quota ', "]</v>
      </c>
      <c r="D175" s="3">
        <v>2.0</v>
      </c>
    </row>
    <row r="176" ht="15.75" customHeight="1">
      <c r="A176" s="1">
        <v>174.0</v>
      </c>
      <c r="B176" s="3" t="s">
        <v>177</v>
      </c>
      <c r="C176" s="3" t="str">
        <f>IFERROR(__xludf.DUMMYFUNCTION("GOOGLETRANSLATE(B176,""id"",""en"")"),"['Feature', 'buy', 'package', 'buy', 'purchase', 'effective', 'efficient', 'hars',' convoluted ',' squeeze ',' code ',' call ',' Access', 'menu', 'purchase', 'thank you', '']")</f>
        <v>['Feature', 'buy', 'package', 'buy', 'purchase', 'effective', 'efficient', 'hars',' convoluted ',' squeeze ',' code ',' call ',' Access', 'menu', 'purchase', 'thank you', '']</v>
      </c>
      <c r="D176" s="3">
        <v>5.0</v>
      </c>
    </row>
    <row r="177" ht="15.75" customHeight="1">
      <c r="A177" s="1">
        <v>175.0</v>
      </c>
      <c r="B177" s="3" t="s">
        <v>178</v>
      </c>
      <c r="C177" s="3" t="str">
        <f>IFERROR(__xludf.DUMMYFUNCTION("GOOGLETRANSLATE(B177,""id"",""en"")"),"['application', 'Telkomsel', 'makes easier', 'check', 'balance', 'pulsad', 'package', 'internet', 'application', 'useful', 'buy', 'package', ' Monthly ',' Combo ',' Sakti ',' Open ',' Application ',' Click ',' Recent ',' Purchase ',' Kit ',' Buy ',' Packa"&amp;"ge ',' Effective ',' Efficient ' , 'thank you', '']")</f>
        <v>['application', 'Telkomsel', 'makes easier', 'check', 'balance', 'pulsad', 'package', 'internet', 'application', 'useful', 'buy', 'package', ' Monthly ',' Combo ',' Sakti ',' Open ',' Application ',' Click ',' Recent ',' Purchase ',' Kit ',' Buy ',' Package ',' Effective ',' Efficient ' , 'thank you', '']</v>
      </c>
      <c r="D177" s="3">
        <v>5.0</v>
      </c>
    </row>
    <row r="178" ht="15.75" customHeight="1">
      <c r="A178" s="1">
        <v>176.0</v>
      </c>
      <c r="B178" s="3" t="s">
        <v>179</v>
      </c>
      <c r="C178" s="3" t="str">
        <f>IFERROR(__xludf.DUMMYFUNCTION("GOOGLETRANSLATE(B178,""id"",""en"")"),"['disappointed', 'application', 'buy', 'kouta', 'payment', 'application', 'funds',' package ',' kouta ',' entry ',' balance ',' fund ',' reduce', '']")</f>
        <v>['disappointed', 'application', 'buy', 'kouta', 'payment', 'application', 'funds',' package ',' kouta ',' entry ',' balance ',' fund ',' reduce', '']</v>
      </c>
      <c r="D178" s="3">
        <v>2.0</v>
      </c>
    </row>
    <row r="179" ht="15.75" customHeight="1">
      <c r="A179" s="1">
        <v>177.0</v>
      </c>
      <c r="B179" s="3" t="s">
        <v>180</v>
      </c>
      <c r="C179" s="3" t="str">
        <f>IFERROR(__xludf.DUMMYFUNCTION("GOOGLETRANSLATE(B179,""id"",""en"")"),"['Move', 'Provider', 'Image', 'Sun', 'Telkomsel', 'Hope', 'Signal', 'Internet', 'Good', 'in the area', 'Bandung', 'Signal', ' Severe ',' internet ',' slow ',' expensive ',' hadeuuuhhh ',' please ',' President ',' Jokowi ',' Telkomsel ', ""]")</f>
        <v>['Move', 'Provider', 'Image', 'Sun', 'Telkomsel', 'Hope', 'Signal', 'Internet', 'Good', 'in the area', 'Bandung', 'Signal', ' Severe ',' internet ',' slow ',' expensive ',' hadeuuuhhh ',' please ',' President ',' Jokowi ',' Telkomsel ', "]</v>
      </c>
      <c r="D179" s="3">
        <v>3.0</v>
      </c>
    </row>
    <row r="180" ht="15.75" customHeight="1">
      <c r="A180" s="1">
        <v>178.0</v>
      </c>
      <c r="B180" s="3" t="s">
        <v>181</v>
      </c>
      <c r="C180" s="3" t="str">
        <f>IFERROR(__xludf.DUMMYFUNCTION("GOOGLETRANSLATE(B180,""id"",""en"")"),"['Package', 'Combo', 'Sakti', 'Unlimited', 'Powered', 'Yaa', 'Ngadat', 'BNGET', 'Signal', 'Kmaren', 'Kmaren', 'Unlimited', ' smoothly ',' smooth ',' Lok ',' quota ',' main ',' run out ',' unlimited ',' pakek ']")</f>
        <v>['Package', 'Combo', 'Sakti', 'Unlimited', 'Powered', 'Yaa', 'Ngadat', 'BNGET', 'Signal', 'Kmaren', 'Kmaren', 'Unlimited', ' smoothly ',' smooth ',' Lok ',' quota ',' main ',' run out ',' unlimited ',' pakek ']</v>
      </c>
      <c r="D180" s="3">
        <v>1.0</v>
      </c>
    </row>
    <row r="181" ht="15.75" customHeight="1">
      <c r="A181" s="1">
        <v>179.0</v>
      </c>
      <c r="B181" s="3" t="s">
        <v>182</v>
      </c>
      <c r="C181" s="3" t="str">
        <f>IFERROR(__xludf.DUMMYFUNCTION("GOOGLETRANSLATE(B181,""id"",""en"")"),"['Features',' like ',' MyTelkomsel ',' Features', 'Check', 'Remnant', 'Credit', 'Check', 'Remnant', 'Quota', 'Easy', 'Control', ' The rest of ',' pulse ',' quota ',' package ',' combo ',' Sakti ',' unlimitide ',' ']")</f>
        <v>['Features',' like ',' MyTelkomsel ',' Features', 'Check', 'Remnant', 'Credit', 'Check', 'Remnant', 'Quota', 'Easy', 'Control', ' The rest of ',' pulse ',' quota ',' package ',' combo ',' Sakti ',' unlimitide ',' ']</v>
      </c>
      <c r="D181" s="3">
        <v>5.0</v>
      </c>
    </row>
    <row r="182" ht="15.75" customHeight="1">
      <c r="A182" s="1">
        <v>180.0</v>
      </c>
      <c r="B182" s="3" t="s">
        <v>183</v>
      </c>
      <c r="C182" s="3" t="str">
        <f>IFERROR(__xludf.DUMMYFUNCTION("GOOGLETRANSLATE(B182,""id"",""en"")"),"['really', 'really', 'application', 'feature', 'buy', 'package', 'help', 'makes it easier', 'buy', 'package', 'data', 'love', ' Telkomsel ',' ']")</f>
        <v>['really', 'really', 'application', 'feature', 'buy', 'package', 'help', 'makes it easier', 'buy', 'package', 'data', 'love', ' Telkomsel ',' ']</v>
      </c>
      <c r="D182" s="3">
        <v>5.0</v>
      </c>
    </row>
    <row r="183" ht="15.75" customHeight="1">
      <c r="A183" s="1">
        <v>181.0</v>
      </c>
      <c r="B183" s="3" t="s">
        <v>184</v>
      </c>
      <c r="C183" s="3" t="str">
        <f>IFERROR(__xludf.DUMMYFUNCTION("GOOGLETRANSLATE(B183,""id"",""en"")"),"['Features',' like ',' like ',' quota ',' cheap ',' cheap ',' really ',' cheerful ',' GB ',' GB ',' all ',' net ',' GB ',' min ',' hr ',' rb ',' skrng ',' benefit ',' quota ',' cheap ',' really ',' telkomsel ',' already ',' stay ',' ajah ' , 'quota', 'che"&amp;"ap', 'ilang', 'rich', '']")</f>
        <v>['Features',' like ',' like ',' quota ',' cheap ',' cheap ',' really ',' cheerful ',' GB ',' GB ',' all ',' net ',' GB ',' min ',' hr ',' rb ',' skrng ',' benefit ',' quota ',' cheap ',' really ',' telkomsel ',' already ',' stay ',' ajah ' , 'quota', 'cheap', 'ilang', 'rich', '']</v>
      </c>
      <c r="D183" s="3">
        <v>5.0</v>
      </c>
    </row>
    <row r="184" ht="15.75" customHeight="1">
      <c r="A184" s="1">
        <v>182.0</v>
      </c>
      <c r="B184" s="3" t="s">
        <v>185</v>
      </c>
      <c r="C184" s="3" t="str">
        <f>IFERROR(__xludf.DUMMYFUNCTION("GOOGLETRANSLATE(B184,""id"",""en"")"),"['Honest', 'dlu', 'like', 'really', 'APP', 'MyTelkomsel', 'Apalg', 'Karna', 'app', 'made easier', 'buy', 'pulses',' Buy ',' MSIH ',' MSIH ',' BYK ',' BENEFIT ',' APP ',' MyTelkomsel ',' Ngadain ',' Promo ',' Package ',' Feature ',' Like ',' Feature ' , 'D"&amp;"aily', 'Check', 'Karna', 'Exchange', 'Point', 'Package', 'Feature', 'Surprise', 'Deal', 'Karna', 'Moment', 'Promo', ' package ',' crazy ',' gilt ',' best ',' deh ',' telkomsel ',' ']")</f>
        <v>['Honest', 'dlu', 'like', 'really', 'APP', 'MyTelkomsel', 'Apalg', 'Karna', 'app', 'made easier', 'buy', 'pulses',' Buy ',' MSIH ',' MSIH ',' BYK ',' BENEFIT ',' APP ',' MyTelkomsel ',' Ngadain ',' Promo ',' Package ',' Feature ',' Like ',' Feature ' , 'Daily', 'Check', 'Karna', 'Exchange', 'Point', 'Package', 'Feature', 'Surprise', 'Deal', 'Karna', 'Moment', 'Promo', ' package ',' crazy ',' gilt ',' best ',' deh ',' telkomsel ',' ']</v>
      </c>
      <c r="D184" s="3">
        <v>5.0</v>
      </c>
    </row>
    <row r="185" ht="15.75" customHeight="1">
      <c r="A185" s="1">
        <v>183.0</v>
      </c>
      <c r="B185" s="3" t="s">
        <v>186</v>
      </c>
      <c r="C185" s="3" t="str">
        <f>IFERROR(__xludf.DUMMYFUNCTION("GOOGLETRANSLATE(B185,""id"",""en"")"),"['Please', 'Sinyalll', 'repair', 'Telkomsel', 'Sinyal', 'Good', 'Region', 'Cave', 'Gaada', 'Sinya', 'Indonesia', 'Telkom', ' good', '']")</f>
        <v>['Please', 'Sinyalll', 'repair', 'Telkomsel', 'Sinyal', 'Good', 'Region', 'Cave', 'Gaada', 'Sinya', 'Indonesia', 'Telkom', ' good', '']</v>
      </c>
      <c r="D185" s="3">
        <v>1.0</v>
      </c>
    </row>
    <row r="186" ht="15.75" customHeight="1">
      <c r="A186" s="1">
        <v>184.0</v>
      </c>
      <c r="B186" s="3" t="s">
        <v>187</v>
      </c>
      <c r="C186" s="3" t="str">
        <f>IFERROR(__xludf.DUMMYFUNCTION("GOOGLETRANSLATE(B186,""id"",""en"")"),"['TELKOMSEL', 'TELKOMSEL', 'Tasty', 'Very', 'Play', 'Game', 'Server', 'Gamenya', 'Indo', 'Please', 'Cook', 'Delicious',' Lost ',' Joss', 'Exis',' Main ',' Game ']")</f>
        <v>['TELKOMSEL', 'TELKOMSEL', 'Tasty', 'Very', 'Play', 'Game', 'Server', 'Gamenya', 'Indo', 'Please', 'Cook', 'Delicious',' Lost ',' Joss', 'Exis',' Main ',' Game ']</v>
      </c>
      <c r="D186" s="3">
        <v>3.0</v>
      </c>
    </row>
    <row r="187" ht="15.75" customHeight="1">
      <c r="A187" s="1">
        <v>185.0</v>
      </c>
      <c r="B187" s="3" t="s">
        <v>188</v>
      </c>
      <c r="C187" s="3" t="str">
        <f>IFERROR(__xludf.DUMMYFUNCTION("GOOGLETRANSLATE(B187,""id"",""en"")"),"['understand', 'kmn', 'ilangkan', 'pulse', 'dlm', 'bbrapa', 'hours',' ilang ',' rb ',' buy ',' package ',' data ',' pdhal ',' active ',' knp ',' ilang ',' understand ',' pngn ',' cry ',' pdhal ',' package ',' internet ',' msh ',' gb ',' knp ' , 'knp', 'di"&amp;"sappointed', 'difficult', 'finance', 'gini', 'try', '']")</f>
        <v>['understand', 'kmn', 'ilangkan', 'pulse', 'dlm', 'bbrapa', 'hours',' ilang ',' rb ',' buy ',' package ',' data ',' pdhal ',' active ',' knp ',' ilang ',' understand ',' pngn ',' cry ',' pdhal ',' package ',' internet ',' msh ',' gb ',' knp ' , 'knp', 'disappointed', 'difficult', 'finance', 'gini', 'try', '']</v>
      </c>
      <c r="D187" s="3">
        <v>1.0</v>
      </c>
    </row>
    <row r="188" ht="15.75" customHeight="1">
      <c r="A188" s="1">
        <v>186.0</v>
      </c>
      <c r="B188" s="3" t="s">
        <v>189</v>
      </c>
      <c r="C188" s="3" t="str">
        <f>IFERROR(__xludf.DUMMYFUNCTION("GOOGLETRANSLATE(B188,""id"",""en"")"),"['steady', 'buy', 'package', 'exchange', 'point', 'easy', 'application', 'like', 'features',' exchange ',' point ',' point ',' exchanged ',' balance ',' Linkaja ',' love ',' promotion ',' ginian ', ""]")</f>
        <v>['steady', 'buy', 'package', 'exchange', 'point', 'easy', 'application', 'like', 'features',' exchange ',' point ',' point ',' exchanged ',' balance ',' Linkaja ',' love ',' promotion ',' ginian ', "]</v>
      </c>
      <c r="D188" s="3">
        <v>5.0</v>
      </c>
    </row>
    <row r="189" ht="15.75" customHeight="1">
      <c r="A189" s="1">
        <v>187.0</v>
      </c>
      <c r="B189" s="3" t="s">
        <v>190</v>
      </c>
      <c r="C189" s="3" t="str">
        <f>IFERROR(__xludf.DUMMYFUNCTION("GOOGLETRANSLATE(B189,""id"",""en"")"),"['users',' Telkomsel ',' Telkomsel ',' make it easy ',' purchase ',' package ',' package ',' menu ',' application ',' like ',' Like ',' purchase ',' package ',' shopping ',' exchange ',' points', 'roaming', 'routine', 'menu', 'available', 'Telkomsel', 'Te"&amp;"lkomsel', 'Life', ""]")</f>
        <v>['users',' Telkomsel ',' Telkomsel ',' make it easy ',' purchase ',' package ',' package ',' menu ',' application ',' like ',' Like ',' purchase ',' package ',' shopping ',' exchange ',' points', 'roaming', 'routine', 'menu', 'available', 'Telkomsel', 'Telkomsel', 'Life', "]</v>
      </c>
      <c r="D189" s="3">
        <v>5.0</v>
      </c>
    </row>
    <row r="190" ht="15.75" customHeight="1">
      <c r="A190" s="1">
        <v>188.0</v>
      </c>
      <c r="B190" s="3" t="s">
        <v>191</v>
      </c>
      <c r="C190" s="3" t="str">
        <f>IFERROR(__xludf.DUMMYFUNCTION("GOOGLETRANSLATE(B190,""id"",""en"")"),"['Package', 'Like', 'Telkomsel', 'Package', 'Combo', 'Sakti', 'Karna', 'Suitable', 'groups',' Student ',' Revisian ',' Thesis', ' Melalalaui ',' online ',' hope ',' package ',' success', 'Telkomsel', '']")</f>
        <v>['Package', 'Like', 'Telkomsel', 'Package', 'Combo', 'Sakti', 'Karna', 'Suitable', 'groups',' Student ',' Revisian ',' Thesis', ' Melalalaui ',' online ',' hope ',' package ',' success', 'Telkomsel', '']</v>
      </c>
      <c r="D190" s="3">
        <v>5.0</v>
      </c>
    </row>
    <row r="191" ht="15.75" customHeight="1">
      <c r="A191" s="1">
        <v>189.0</v>
      </c>
      <c r="B191" s="3" t="s">
        <v>192</v>
      </c>
      <c r="C191" s="3" t="str">
        <f>IFERROR(__xludf.DUMMYFUNCTION("GOOGLETRANSLATE(B191,""id"",""en"")"),"['SMP', 'now', 'already', 'use', 'provider', 'Diaa', 'understand', 'like', 'replace', 'card', 'internet', 'fall', ' Love ',' Provider ',' Thisii ',' Ajahhh ',' Internet ',' Call ',' Etc. ',' Cana ',' Karna ',' skrng ',' Package ',' already ',' internet ' "&amp;", 'Call', 'SMS', 'Etc.', 'Unlimited', 'Jdkan', 'Nidak', 'again', 'buyii', 'quota', 'weekly', 'Fix', 'Debate', ' Syukaaaaa ',' ']")</f>
        <v>['SMP', 'now', 'already', 'use', 'provider', 'Diaa', 'understand', 'like', 'replace', 'card', 'internet', 'fall', ' Love ',' Provider ',' Thisii ',' Ajahhh ',' Internet ',' Call ',' Etc. ',' Cana ',' Karna ',' skrng ',' Package ',' already ',' internet ' , 'Call', 'SMS', 'Etc.', 'Unlimited', 'Jdkan', 'Nidak', 'again', 'buyii', 'quota', 'weekly', 'Fix', 'Debate', ' Syukaaaaa ',' ']</v>
      </c>
      <c r="D191" s="3">
        <v>5.0</v>
      </c>
    </row>
    <row r="192" ht="15.75" customHeight="1">
      <c r="A192" s="1">
        <v>190.0</v>
      </c>
      <c r="B192" s="3" t="s">
        <v>193</v>
      </c>
      <c r="C192" s="3" t="str">
        <f>IFERROR(__xludf.DUMMYFUNCTION("GOOGLETRANSLATE(B192,""id"",""en"")"),"['Advantages',' Application ',' Telkomsel ',' Hopefully ',' Application ',' Telkomsel ',' Service ',' Best ',' Satisfying ',' In the future ',' Making ',' Products', ' number ',' known ',' loved ',' community ',' success', 'advanced', 'Telkomsel', ""]")</f>
        <v>['Advantages',' Application ',' Telkomsel ',' Hopefully ',' Application ',' Telkomsel ',' Service ',' Best ',' Satisfying ',' In the future ',' Making ',' Products', ' number ',' known ',' loved ',' community ',' success', 'advanced', 'Telkomsel', "]</v>
      </c>
      <c r="D192" s="3">
        <v>5.0</v>
      </c>
    </row>
    <row r="193" ht="15.75" customHeight="1">
      <c r="A193" s="1">
        <v>191.0</v>
      </c>
      <c r="B193" s="3" t="s">
        <v>194</v>
      </c>
      <c r="C193" s="3" t="str">
        <f>IFERROR(__xludf.DUMMYFUNCTION("GOOGLETRANSLATE(B193,""id"",""en"")"),"['likes',' love ',' deh ',' MyTelkomsel ',' makes it easy for me ',' buy ',' package ',' internet ',' features', 'cool', 'cool', 'wrong', ' The other ',' Telkomsel ',' Points', 'Gifts',' Kece ',' Get ',' Switch ',' Points', 'Telkomsel', 'Anyway', 'Telkoms"&amp;"el', 'Recommended', 'Really' , '']")</f>
        <v>['likes',' love ',' deh ',' MyTelkomsel ',' makes it easy for me ',' buy ',' package ',' internet ',' features', 'cool', 'cool', 'wrong', ' The other ',' Telkomsel ',' Points', 'Gifts',' Kece ',' Get ',' Switch ',' Points', 'Telkomsel', 'Anyway', 'Telkomsel', 'Recommended', 'Really' , '']</v>
      </c>
      <c r="D193" s="3">
        <v>5.0</v>
      </c>
    </row>
    <row r="194" ht="15.75" customHeight="1">
      <c r="A194" s="1">
        <v>192.0</v>
      </c>
      <c r="B194" s="3" t="s">
        <v>195</v>
      </c>
      <c r="C194" s="3" t="str">
        <f>IFERROR(__xludf.DUMMYFUNCTION("GOOGLETRANSLATE(B194,""id"",""en"")"),"['Like', 'Features',' Shop ',' Application ',' MyTelkomsel ',' Simple ',' Use ',' Ribet ',' Buy ',' Package ',' Data ',' Tel ',' SMS ',' Package ',' Like ',' Combo ',' Sakti ',' Dlm ',' Package ',' DPT ',' Data ',' Bonus', 'Tel', 'SMS', 'Love' , 'You', 'M"&amp;"yTelkomsel', '']")</f>
        <v>['Like', 'Features',' Shop ',' Application ',' MyTelkomsel ',' Simple ',' Use ',' Ribet ',' Buy ',' Package ',' Data ',' Tel ',' SMS ',' Package ',' Like ',' Combo ',' Sakti ',' Dlm ',' Package ',' DPT ',' Data ',' Bonus', 'Tel', 'SMS', 'Love' , 'You', 'MyTelkomsel', '']</v>
      </c>
      <c r="D194" s="3">
        <v>5.0</v>
      </c>
    </row>
    <row r="195" ht="15.75" customHeight="1">
      <c r="A195" s="1">
        <v>193.0</v>
      </c>
      <c r="B195" s="3" t="s">
        <v>196</v>
      </c>
      <c r="C195" s="3" t="str">
        <f>IFERROR(__xludf.DUMMYFUNCTION("GOOGLETRANSLATE(B195,""id"",""en"")"),"['Telkomsel', 'card', 'expensive', 'signal', 'crows',' regret ',' buy ',' package ',' expensive ',' the network ',' slow ',' severe ',' telkomsel ',' hah ',' gini ',' fiks', 'moved', 'card', 'goodbye', 'signal', 'user', 'loyal', 'disappointed', 'please', "&amp;"'fix' , '']")</f>
        <v>['Telkomsel', 'card', 'expensive', 'signal', 'crows',' regret ',' buy ',' package ',' expensive ',' the network ',' slow ',' severe ',' telkomsel ',' hah ',' gini ',' fiks', 'moved', 'card', 'goodbye', 'signal', 'user', 'loyal', 'disappointed', 'please', 'fix' , '']</v>
      </c>
      <c r="D195" s="3">
        <v>1.0</v>
      </c>
    </row>
    <row r="196" ht="15.75" customHeight="1">
      <c r="A196" s="1">
        <v>194.0</v>
      </c>
      <c r="B196" s="3" t="s">
        <v>197</v>
      </c>
      <c r="C196" s="3" t="str">
        <f>IFERROR(__xludf.DUMMYFUNCTION("GOOGLETRANSLATE(B196,""id"",""en"")"),"['faithful', 'customers',' Telkomsel ',' like ',' application ',' MyTelkomsel ',' easy ',' check ',' quota ',' pulse ',' buy ',' package ',' Data ',' payment ',' Wallet ',' Exchange ',' Points', 'MyTelkomsel', 'Anyway', 'The', 'Best', 'Really', 'Deh', 'Us"&amp;"eful', 'Feature' , 'like', 'really', 'exchange', 'Points', 'Daily', 'Chek', '']")</f>
        <v>['faithful', 'customers',' Telkomsel ',' like ',' application ',' MyTelkomsel ',' easy ',' check ',' quota ',' pulse ',' buy ',' package ',' Data ',' payment ',' Wallet ',' Exchange ',' Points', 'MyTelkomsel', 'Anyway', 'The', 'Best', 'Really', 'Deh', 'Useful', 'Feature' , 'like', 'really', 'exchange', 'Points', 'Daily', 'Chek', '']</v>
      </c>
      <c r="D196" s="3">
        <v>5.0</v>
      </c>
    </row>
    <row r="197" ht="15.75" customHeight="1">
      <c r="A197" s="1">
        <v>195.0</v>
      </c>
      <c r="B197" s="3" t="s">
        <v>198</v>
      </c>
      <c r="C197" s="3" t="str">
        <f>IFERROR(__xludf.DUMMYFUNCTION("GOOGLETRANSLATE(B197,""id"",""en"")"),"['Like', 'Daily', 'Check', 'Points',' Package ',' Data ',' MPE ',' Quota ',' Free ',' Promo ',' Package ',' Superdeal ',' Steady ',' Deh ',' Telkomsel ',' ']")</f>
        <v>['Like', 'Daily', 'Check', 'Points',' Package ',' Data ',' MPE ',' Quota ',' Free ',' Promo ',' Package ',' Superdeal ',' Steady ',' Deh ',' Telkomsel ',' ']</v>
      </c>
      <c r="D197" s="3">
        <v>5.0</v>
      </c>
    </row>
    <row r="198" ht="15.75" customHeight="1">
      <c r="A198" s="1">
        <v>196.0</v>
      </c>
      <c r="B198" s="3" t="s">
        <v>199</v>
      </c>
      <c r="C198" s="3" t="str">
        <f>IFERROR(__xludf.DUMMYFUNCTION("GOOGLETRANSLATE(B198,""id"",""en"")"),"['Features',' Points', 'Buy', 'Package', 'Liked', 'Application', 'Package', 'Moon', 'Buy', 'Combo', 'Sakti', 'Package', ' Complete ',' Internet ',' Phone ',' Application ',' Sometimes', 'Down', 'Stable', 'Telkomsel', 'Options',' Dozens', 'Increase', 'Feat"&amp;"ures',' Feature ' , 'application', 'modern', 'easy', 'circles', 'speed', 'internet', '']")</f>
        <v>['Features',' Points', 'Buy', 'Package', 'Liked', 'Application', 'Package', 'Moon', 'Buy', 'Combo', 'Sakti', 'Package', ' Complete ',' Internet ',' Phone ',' Application ',' Sometimes', 'Down', 'Stable', 'Telkomsel', 'Options',' Dozens', 'Increase', 'Features',' Feature ' , 'application', 'modern', 'easy', 'circles', 'speed', 'internet', '']</v>
      </c>
      <c r="D198" s="3">
        <v>5.0</v>
      </c>
    </row>
    <row r="199" ht="15.75" customHeight="1">
      <c r="A199" s="1">
        <v>197.0</v>
      </c>
      <c r="B199" s="3" t="s">
        <v>200</v>
      </c>
      <c r="C199" s="3" t="str">
        <f>IFERROR(__xludf.DUMMYFUNCTION("GOOGLETRANSLATE(B199,""id"",""en"")"),"['Please', 'Sorry', 'Network', 'Stable', 'Move', 'Main', 'Game', 'Lemot', 'Disturbing', ""]")</f>
        <v>['Please', 'Sorry', 'Network', 'Stable', 'Move', 'Main', 'Game', 'Lemot', 'Disturbing', "]</v>
      </c>
      <c r="D199" s="3">
        <v>3.0</v>
      </c>
    </row>
    <row r="200" ht="15.75" customHeight="1">
      <c r="A200" s="1">
        <v>198.0</v>
      </c>
      <c r="B200" s="3" t="s">
        <v>201</v>
      </c>
      <c r="C200" s="3" t="str">
        <f>IFERROR(__xludf.DUMMYFUNCTION("GOOGLETRANSLATE(B200,""id"",""en"")"),"['service', 'satisfying', 'tip', 'east', 'Indonesia', 'exact', 'Papua', 'aspects',' price ',' affordable ',' promit ',' aspects', ' signal ',' setabilia ',' contact ',' Family ',' Java ',' Mercy ',' Nyari ',' signal ',' Terimaksih ',' Telkomsel ', ""]")</f>
        <v>['service', 'satisfying', 'tip', 'east', 'Indonesia', 'exact', 'Papua', 'aspects',' price ',' affordable ',' promit ',' aspects', ' signal ',' setabilia ',' contact ',' Family ',' Java ',' Mercy ',' Nyari ',' signal ',' Terimaksih ',' Telkomsel ', "]</v>
      </c>
      <c r="D200" s="3">
        <v>5.0</v>
      </c>
    </row>
    <row r="201" ht="15.75" customHeight="1">
      <c r="A201" s="1">
        <v>199.0</v>
      </c>
      <c r="B201" s="3" t="s">
        <v>202</v>
      </c>
      <c r="C201" s="3" t="str">
        <f>IFERROR(__xludf.DUMMYFUNCTION("GOOGLETRANSLATE(B201,""id"",""en"")"),"['Package', 'promo', 'unlimited', 'package', 'GB', 'steady', 'features',' daily ',' check ',' cool ',' bonus', 'features',' Payment ',' Wallet ',' Transaction ',' Fortune ',' Cashback ']")</f>
        <v>['Package', 'promo', 'unlimited', 'package', 'GB', 'steady', 'features',' daily ',' check ',' cool ',' bonus', 'features',' Payment ',' Wallet ',' Transaction ',' Fortune ',' Cashback ']</v>
      </c>
      <c r="D201" s="3">
        <v>5.0</v>
      </c>
    </row>
    <row r="202" ht="15.75" customHeight="1">
      <c r="A202" s="1">
        <v>200.0</v>
      </c>
      <c r="B202" s="3" t="s">
        <v>203</v>
      </c>
      <c r="C202" s="3" t="str">
        <f>IFERROR(__xludf.DUMMYFUNCTION("GOOGLETRANSLATE(B202,""id"",""en"")"),"['Satisfied', 'Features',' Apps', 'Salah', 'Only', 'Subscribe', 'Package', 'Combo', 'Sakti', 'Monthly', 'Comfortable', 'Package', ' Complete ',' Package ',' Internet ',' Multimedia ',' Unlimited ',' Telephone ',' SMS ',' Satisfied ',' Anyway ',' Jaya ',' "&amp;"Telkomsel ', ""]")</f>
        <v>['Satisfied', 'Features',' Apps', 'Salah', 'Only', 'Subscribe', 'Package', 'Combo', 'Sakti', 'Monthly', 'Comfortable', 'Package', ' Complete ',' Package ',' Internet ',' Multimedia ',' Unlimited ',' Telephone ',' SMS ',' Satisfied ',' Anyway ',' Jaya ',' Telkomsel ', "]</v>
      </c>
      <c r="D202" s="3">
        <v>5.0</v>
      </c>
    </row>
    <row r="203" ht="15.75" customHeight="1">
      <c r="A203" s="1">
        <v>201.0</v>
      </c>
      <c r="B203" s="3" t="s">
        <v>204</v>
      </c>
      <c r="C203" s="3" t="str">
        <f>IFERROR(__xludf.DUMMYFUNCTION("GOOGLETRANSLATE(B203,""id"",""en"")"),"['December', 'January', 'knapa', 'network', 'Telkomsel', 'bad', 'Telkomsel', 'worst', 'he rich', 'December', 'network', 'ilang', ' Play ',' Game ',' Online ',' Mobile ',' Use ',' Telkomsel ',' Main ',' Game ',' Online ',' Disruption ',' Notification ',' R"&amp;"elated ',' gngguan ' , 'skarang', 'high school', 'Please', 'explanation', 'rich', 'gini', 'move', 'provider', 'main', 'network', 'internet']")</f>
        <v>['December', 'January', 'knapa', 'network', 'Telkomsel', 'bad', 'Telkomsel', 'worst', 'he rich', 'December', 'network', 'ilang', ' Play ',' Game ',' Online ',' Mobile ',' Use ',' Telkomsel ',' Main ',' Game ',' Online ',' Disruption ',' Notification ',' Related ',' gngguan ' , 'skarang', 'high school', 'Please', 'explanation', 'rich', 'gini', 'move', 'provider', 'main', 'network', 'internet']</v>
      </c>
      <c r="D203" s="3">
        <v>2.0</v>
      </c>
    </row>
    <row r="204" ht="15.75" customHeight="1">
      <c r="A204" s="1">
        <v>202.0</v>
      </c>
      <c r="B204" s="3" t="s">
        <v>205</v>
      </c>
      <c r="C204" s="3" t="str">
        <f>IFERROR(__xludf.DUMMYFUNCTION("GOOGLETRANSLATE(B204,""id"",""en"")"),"['use', 'Telkomsel', 'practical', 'run out', 'pulse', 'quota', 'tired', 'home', 'stay', 'click', 'click', 'lie', ' Buy ',' Quota ',' Save ',' Direct ',' Exchange ',' Points', 'As Liver', 'Heart', 'Cuss',' Dwnld ',' Guaranteed ',' Raying ',' Deh ' , '']")</f>
        <v>['use', 'Telkomsel', 'practical', 'run out', 'pulse', 'quota', 'tired', 'home', 'stay', 'click', 'click', 'lie', ' Buy ',' Quota ',' Save ',' Direct ',' Exchange ',' Points', 'As Liver', 'Heart', 'Cuss',' Dwnld ',' Guaranteed ',' Raying ',' Deh ' , '']</v>
      </c>
      <c r="D204" s="3">
        <v>5.0</v>
      </c>
    </row>
    <row r="205" ht="15.75" customHeight="1">
      <c r="A205" s="1">
        <v>203.0</v>
      </c>
      <c r="B205" s="3" t="s">
        <v>206</v>
      </c>
      <c r="C205" s="3" t="str">
        <f>IFERROR(__xludf.DUMMYFUNCTION("GOOGLETRANSLATE(B205,""id"",""en"")"),"['please', 'Telkomsel', 'fix', 'network', 'move', 'server', 'honest', 'disappointed', 'really', 'Telkomsel', 'buy', 'quota', ' Expensive ',' Pakei ',' Try ', ""]")</f>
        <v>['please', 'Telkomsel', 'fix', 'network', 'move', 'server', 'honest', 'disappointed', 'really', 'Telkomsel', 'buy', 'quota', ' Expensive ',' Pakei ',' Try ', "]</v>
      </c>
      <c r="D205" s="3">
        <v>1.0</v>
      </c>
    </row>
    <row r="206" ht="15.75" customHeight="1">
      <c r="A206" s="1">
        <v>204.0</v>
      </c>
      <c r="B206" s="3" t="s">
        <v>207</v>
      </c>
      <c r="C206" s="3" t="str">
        <f>IFERROR(__xludf.DUMMYFUNCTION("GOOGLETRANSLATE(B206,""id"",""en"")"),"['use', 'Telkomsel', 'big one', 'bad', 'speed', 'internet', 'reduced', 'drastic', 'change', 'network', 'get', 'access',' Internet ',' Telkomsel ',' keep ',' quality ',' left ',' replace ',' provider ']")</f>
        <v>['use', 'Telkomsel', 'big one', 'bad', 'speed', 'internet', 'reduced', 'drastic', 'change', 'network', 'get', 'access',' Internet ',' Telkomsel ',' keep ',' quality ',' left ',' replace ',' provider ']</v>
      </c>
      <c r="D206" s="3">
        <v>3.0</v>
      </c>
    </row>
    <row r="207" ht="15.75" customHeight="1">
      <c r="A207" s="1">
        <v>205.0</v>
      </c>
      <c r="B207" s="3" t="s">
        <v>208</v>
      </c>
      <c r="C207" s="3" t="str">
        <f>IFERROR(__xludf.DUMMYFUNCTION("GOOGLETRANSLATE(B207,""id"",""en"")"),"['application', 'wuww', 'cape', 'check', 'quota', 'run out', 'quota', 'just', 'choose', 'according to', 'Selara', 'Tencu', ' Bingit ',' Telkomsel ',' Wuhhhu ', ""]")</f>
        <v>['application', 'wuww', 'cape', 'check', 'quota', 'run out', 'quota', 'just', 'choose', 'according to', 'Selara', 'Tencu', ' Bingit ',' Telkomsel ',' Wuhhhu ', "]</v>
      </c>
      <c r="D207" s="3">
        <v>5.0</v>
      </c>
    </row>
    <row r="208" ht="15.75" customHeight="1">
      <c r="A208" s="1">
        <v>206.0</v>
      </c>
      <c r="B208" s="3" t="s">
        <v>209</v>
      </c>
      <c r="C208" s="3" t="str">
        <f>IFERROR(__xludf.DUMMYFUNCTION("GOOGLETRANSLATE(B208,""id"",""en"")"),"['like', 'application', 'makes it easy', 'check', 'quota', 'check', 'pulse', 'choose', 'macem', 'quota', 'according to', 'needs',' The program ',' Daily ',' Check ',' Okay ',' Get ',' Quota ',' Pay ',' Sometimes', 'Required', 'Reward', 'Instagram', 'YouTu"&amp;"be', 'WhatsApp' , 'GB', 'for', 'hope', 'promo', 'mytelkomsel']")</f>
        <v>['like', 'application', 'makes it easy', 'check', 'quota', 'check', 'pulse', 'choose', 'macem', 'quota', 'according to', 'needs',' The program ',' Daily ',' Check ',' Okay ',' Get ',' Quota ',' Pay ',' Sometimes', 'Required', 'Reward', 'Instagram', 'YouTube', 'WhatsApp' , 'GB', 'for', 'hope', 'promo', 'mytelkomsel']</v>
      </c>
      <c r="D208" s="3">
        <v>5.0</v>
      </c>
    </row>
    <row r="209" ht="15.75" customHeight="1">
      <c r="A209" s="1">
        <v>207.0</v>
      </c>
      <c r="B209" s="3" t="s">
        <v>210</v>
      </c>
      <c r="C209" s="3" t="str">
        <f>IFERROR(__xludf.DUMMYFUNCTION("GOOGLETRANSLATE(B209,""id"",""en"")"),"['Telkomsel', 'help', 'gamer', 'easy', 'buy', 'quota', 'pitur', 'help', 'transaction', 'easy', 'plus',' promo ',' good ',' really ',' Top ',' diamond ',' link ',' network ',' stable ',' essence ',' Telkomsel ',' The ',' BEAST ',' Satisfied ',' Telkomsel '"&amp;" , 'inexpensive', '']")</f>
        <v>['Telkomsel', 'help', 'gamer', 'easy', 'buy', 'quota', 'pitur', 'help', 'transaction', 'easy', 'plus',' promo ',' good ',' really ',' Top ',' diamond ',' link ',' network ',' stable ',' essence ',' Telkomsel ',' The ',' BEAST ',' Satisfied ',' Telkomsel ' , 'inexpensive', '']</v>
      </c>
      <c r="D209" s="3">
        <v>5.0</v>
      </c>
    </row>
    <row r="210" ht="15.75" customHeight="1">
      <c r="A210" s="1">
        <v>208.0</v>
      </c>
      <c r="B210" s="3" t="s">
        <v>211</v>
      </c>
      <c r="C210" s="3" t="str">
        <f>IFERROR(__xludf.DUMMYFUNCTION("GOOGLETRANSLATE(B210,""id"",""en"")"),"['Fix', 'Quality', 'Signal', 'Telkom', 'Kayak', 'Play', 'Game', 'Slow', 'Really', 'Game', 'Contain', 'Curhatan', ' Hatred ',' complain ',' Kisah ',' Player ',' Telkomsel ',' slow ',' signal ',' threat ',' download ',' Severe ',' buffering ',' really ' , '"&amp;"expensive', 'doang', 'quality', 'mah']")</f>
        <v>['Fix', 'Quality', 'Signal', 'Telkom', 'Kayak', 'Play', 'Game', 'Slow', 'Really', 'Game', 'Contain', 'Curhatan', ' Hatred ',' complain ',' Kisah ',' Player ',' Telkomsel ',' slow ',' signal ',' threat ',' download ',' Severe ',' buffering ',' really ' , 'expensive', 'doang', 'quality', 'mah']</v>
      </c>
      <c r="D210" s="3">
        <v>1.0</v>
      </c>
    </row>
    <row r="211" ht="15.75" customHeight="1">
      <c r="A211" s="1">
        <v>209.0</v>
      </c>
      <c r="B211" s="3" t="s">
        <v>212</v>
      </c>
      <c r="C211" s="3" t="str">
        <f>IFERROR(__xludf.DUMMYFUNCTION("GOOGLETRANSLATE(B211,""id"",""en"")"),"['Feature', 'buy', 'Package', 'go', 'counter', 'artisan', 'sell', 'pulse', 'buy', 'package', 'data', 'package', ' internet ',' phone ',' sms', 'steady']")</f>
        <v>['Feature', 'buy', 'Package', 'go', 'counter', 'artisan', 'sell', 'pulse', 'buy', 'package', 'data', 'package', ' internet ',' phone ',' sms', 'steady']</v>
      </c>
      <c r="D211" s="3">
        <v>4.0</v>
      </c>
    </row>
    <row r="212" ht="15.75" customHeight="1">
      <c r="A212" s="1">
        <v>210.0</v>
      </c>
      <c r="B212" s="3" t="s">
        <v>213</v>
      </c>
      <c r="C212" s="3" t="str">
        <f>IFERROR(__xludf.DUMMYFUNCTION("GOOGLETRANSLATE(B212,""id"",""en"")"),"['Hello', 'Telkomsel', 'grateful', 'really', 'Telkomsel', 'already', 'Dri', 'era', 'school', 'UDH', 'Telkomsel', 'now', ' UDH ',' Marriage ',' Child ',' Telkomsel ',' SLLU ',' Mnjadi ',' Best ',' Heart ',' Network ',' Good ',' Price ',' Save ',' Really ' "&amp;", 'features', 'application', 'Telkomsel', 'Telkomsel', 'emang', 'The', 'Best', ""]")</f>
        <v>['Hello', 'Telkomsel', 'grateful', 'really', 'Telkomsel', 'already', 'Dri', 'era', 'school', 'UDH', 'Telkomsel', 'now', ' UDH ',' Marriage ',' Child ',' Telkomsel ',' SLLU ',' Mnjadi ',' Best ',' Heart ',' Network ',' Good ',' Price ',' Save ',' Really ' , 'features', 'application', 'Telkomsel', 'Telkomsel', 'emang', 'The', 'Best', "]</v>
      </c>
      <c r="D212" s="3">
        <v>5.0</v>
      </c>
    </row>
    <row r="213" ht="15.75" customHeight="1">
      <c r="A213" s="1">
        <v>211.0</v>
      </c>
      <c r="B213" s="3" t="s">
        <v>214</v>
      </c>
      <c r="C213" s="3" t="str">
        <f>IFERROR(__xludf.DUMMYFUNCTION("GOOGLETRANSLATE(B213,""id"",""en"")"),"['really', 'really', 'application', 'mytelkomsel', 'features',' really ',' tuker ',' point ',' prize ',' play ',' play ',' promo ',' Very ',' Top ',' Markotop ',' Deh ',' Telkomsel ',' users', 'Telkomsel', 'happy', 'really', 'application', 'MyTelkomsel', "&amp;"'favorite', 'MyTelkomsel' , 'really', 'gave', 'discount', 'users', 'Telkomsel', 'buy', 'hemattt', 'the rest', 'deh', 'love', 'telkomsel']")</f>
        <v>['really', 'really', 'application', 'mytelkomsel', 'features',' really ',' tuker ',' point ',' prize ',' play ',' play ',' promo ',' Very ',' Top ',' Markotop ',' Deh ',' Telkomsel ',' users', 'Telkomsel', 'happy', 'really', 'application', 'MyTelkomsel', 'favorite', 'MyTelkomsel' , 'really', 'gave', 'discount', 'users', 'Telkomsel', 'buy', 'hemattt', 'the rest', 'deh', 'love', 'telkomsel']</v>
      </c>
      <c r="D213" s="3">
        <v>5.0</v>
      </c>
    </row>
    <row r="214" ht="15.75" customHeight="1">
      <c r="A214" s="1">
        <v>212.0</v>
      </c>
      <c r="B214" s="3" t="s">
        <v>215</v>
      </c>
      <c r="C214" s="3" t="str">
        <f>IFERROR(__xludf.DUMMYFUNCTION("GOOGLETRANSLATE(B214,""id"",""en"")"),"['signal', 'Telkomsel', 'ugly', 'really', 'reflects',' motion ',' Indonesia ',' forward ',' Telkomsel ',' government ',' forward ',' advanced ',' Government ',' advanced ',' first ']")</f>
        <v>['signal', 'Telkomsel', 'ugly', 'really', 'reflects',' motion ',' Indonesia ',' forward ',' Telkomsel ',' government ',' forward ',' advanced ',' Government ',' advanced ',' first ']</v>
      </c>
      <c r="D214" s="3">
        <v>1.0</v>
      </c>
    </row>
    <row r="215" ht="15.75" customHeight="1">
      <c r="A215" s="1">
        <v>213.0</v>
      </c>
      <c r="B215" s="3" t="s">
        <v>216</v>
      </c>
      <c r="C215" s="3" t="str">
        <f>IFERROR(__xludf.DUMMYFUNCTION("GOOGLETRANSLATE(B215,""id"",""en"")"),"['Salah', 'Like', 'Application', 'Telkomsel', 'Buy', 'Package', 'Quota', 'Young', 'Simple', 'Subscribe', 'Card', 'Subscribe', ' Package ',' Quota ',' Combo ',' Sakti ',' Unlimited ',' Ribet ',' Go ',' Counter ',' Love ',' Telkomsel ']")</f>
        <v>['Salah', 'Like', 'Application', 'Telkomsel', 'Buy', 'Package', 'Quota', 'Young', 'Simple', 'Subscribe', 'Card', 'Subscribe', ' Package ',' Quota ',' Combo ',' Sakti ',' Unlimited ',' Ribet ',' Go ',' Counter ',' Love ',' Telkomsel ']</v>
      </c>
      <c r="D215" s="3">
        <v>5.0</v>
      </c>
    </row>
    <row r="216" ht="15.75" customHeight="1">
      <c r="A216" s="1">
        <v>214.0</v>
      </c>
      <c r="B216" s="3" t="s">
        <v>217</v>
      </c>
      <c r="C216" s="3" t="str">
        <f>IFERROR(__xludf.DUMMYFUNCTION("GOOGLETRANSLATE(B216,""id"",""en"")"),"['Thank you', 'Telkomsel', 'Application', 'Easy', 'Purchase', 'Package', 'Easy', 'Cheap', 'Application', 'Quota', 'Free', 'Daily', ' Check ',' Application ',' Layi ',' Layi ',' Hepi ',' Prize ',' Stay ',' Click ',' Application ',' Hopefully ',' Biaa ',' C"&amp;"hance ',' Win ' , 'Layday', 'Points', 'Success', 'MyTelkomsel', ""]")</f>
        <v>['Thank you', 'Telkomsel', 'Application', 'Easy', 'Purchase', 'Package', 'Easy', 'Cheap', 'Application', 'Quota', 'Free', 'Daily', ' Check ',' Application ',' Layi ',' Layi ',' Hepi ',' Prize ',' Stay ',' Click ',' Application ',' Hopefully ',' Biaa ',' Chance ',' Win ' , 'Layday', 'Points', 'Success', 'MyTelkomsel', "]</v>
      </c>
      <c r="D216" s="3">
        <v>5.0</v>
      </c>
    </row>
    <row r="217" ht="15.75" customHeight="1">
      <c r="A217" s="1">
        <v>215.0</v>
      </c>
      <c r="B217" s="3" t="s">
        <v>218</v>
      </c>
      <c r="C217" s="3" t="str">
        <f>IFERROR(__xludf.DUMMYFUNCTION("GOOGLETRANSLATE(B217,""id"",""en"")"),"['promo', 'msih', 'buy', 'bbrpa', 'knpa', 'buy', 'pdahal', 'msih', 'printed', 'writing', 'menu', 'buy', ' package ',' please ',' fix ',' regretting ',' php ',' kya ',' gini ']")</f>
        <v>['promo', 'msih', 'buy', 'bbrpa', 'knpa', 'buy', 'pdahal', 'msih', 'printed', 'writing', 'menu', 'buy', ' package ',' please ',' fix ',' regretting ',' php ',' kya ',' gini ']</v>
      </c>
      <c r="D217" s="3">
        <v>3.0</v>
      </c>
    </row>
    <row r="218" ht="15.75" customHeight="1">
      <c r="A218" s="1">
        <v>216.0</v>
      </c>
      <c r="B218" s="3" t="s">
        <v>219</v>
      </c>
      <c r="C218" s="3" t="str">
        <f>IFERROR(__xludf.DUMMYFUNCTION("GOOGLETRANSLATE(B218,""id"",""en"")"),"['Like', 'APK', 'Easy', 'Purchase', 'Package', 'Bonus',' Telfon ',' Family ',' Disturbed ',' Telkomsel ',' Signal ',' There ',' Current ',' Recommended ',' really ',' in my opinion ',' Exchange ',' Points', 'Haduuuhh', 'Happy', 'really', 'Exchange', 'Poin"&amp;"ts',' Ditch ',' exchanged ' , 'piece', 'price', 'APK', 'Linkaja', 'hope', 'in the future', 'bonus', ""]")</f>
        <v>['Like', 'APK', 'Easy', 'Purchase', 'Package', 'Bonus',' Telfon ',' Family ',' Disturbed ',' Telkomsel ',' Signal ',' There ',' Current ',' Recommended ',' really ',' in my opinion ',' Exchange ',' Points', 'Haduuuhh', 'Happy', 'really', 'Exchange', 'Points',' Ditch ',' exchanged ' , 'piece', 'price', 'APK', 'Linkaja', 'hope', 'in the future', 'bonus', "]</v>
      </c>
      <c r="D218" s="3">
        <v>5.0</v>
      </c>
    </row>
    <row r="219" ht="15.75" customHeight="1">
      <c r="A219" s="1">
        <v>217.0</v>
      </c>
      <c r="B219" s="3" t="s">
        <v>220</v>
      </c>
      <c r="C219" s="3" t="str">
        <f>IFERROR(__xludf.DUMMYFUNCTION("GOOGLETRANSLATE(B219,""id"",""en"")"),"['disappointed', 'annoyed', 'signal', 'severe', 'slow', 'no', 'signal', 'wifi', 'use', 'data', 'internet', 'die', ' representing ',' users', 'Telkomsel', 'disappointed', 'already', 'Package', 'Mahallll', 'Quality', 'Signal', 'Severe', 'Please', 'Fix', 'Pe"&amp;"ople' , 'moved', 'operator', 'network', 'tks', '']")</f>
        <v>['disappointed', 'annoyed', 'signal', 'severe', 'slow', 'no', 'signal', 'wifi', 'use', 'data', 'internet', 'die', ' representing ',' users', 'Telkomsel', 'disappointed', 'already', 'Package', 'Mahallll', 'Quality', 'Signal', 'Severe', 'Please', 'Fix', 'People' , 'moved', 'operator', 'network', 'tks', '']</v>
      </c>
      <c r="D219" s="3">
        <v>1.0</v>
      </c>
    </row>
    <row r="220" ht="15.75" customHeight="1">
      <c r="A220" s="1">
        <v>218.0</v>
      </c>
      <c r="B220" s="3" t="s">
        <v>221</v>
      </c>
      <c r="C220" s="3" t="str">
        <f>IFERROR(__xludf.DUMMYFUNCTION("GOOGLETRANSLATE(B220,""id"",""en"")"),"['', 'fave', 'application', 'APS', 'check', 'pulse', 'check', 'quota', 'buy', 'package', 'exchange', 'Points',' pay ',' Shopeepay ',' skrg ',' cashback ',' basically ',' loyal ',' deh ',' MyTelkomsel ',' The ',' One ',' and ',' Only ', ""]")</f>
        <v>['', 'fave', 'application', 'APS', 'check', 'pulse', 'check', 'quota', 'buy', 'package', 'exchange', 'Points',' pay ',' Shopeepay ',' skrg ',' cashback ',' basically ',' loyal ',' deh ',' MyTelkomsel ',' The ',' One ',' and ',' Only ', "]</v>
      </c>
      <c r="D220" s="3">
        <v>5.0</v>
      </c>
    </row>
    <row r="221" ht="15.75" customHeight="1">
      <c r="A221" s="1">
        <v>219.0</v>
      </c>
      <c r="B221" s="3" t="s">
        <v>222</v>
      </c>
      <c r="C221" s="3" t="str">
        <f>IFERROR(__xludf.DUMMYFUNCTION("GOOGLETRANSLATE(B221,""id"",""en"")"),"['It's up', 'people', 'application', 'MyTelkomsel', 'help', 'check', 'pulse', 'quota', 'hope', 'easy', 'hopefully', 'signal', ' Network ',' Telkomsel ',' Thanks', 'Telkomsel', 'Indonesia']")</f>
        <v>['It's up', 'people', 'application', 'MyTelkomsel', 'help', 'check', 'pulse', 'quota', 'hope', 'easy', 'hopefully', 'signal', ' Network ',' Telkomsel ',' Thanks', 'Telkomsel', 'Indonesia']</v>
      </c>
      <c r="D221" s="3">
        <v>5.0</v>
      </c>
    </row>
    <row r="222" ht="15.75" customHeight="1">
      <c r="A222" s="1">
        <v>220.0</v>
      </c>
      <c r="B222" s="3" t="s">
        <v>223</v>
      </c>
      <c r="C222" s="3" t="str">
        <f>IFERROR(__xludf.DUMMYFUNCTION("GOOGLETRANSLATE(B222,""id"",""en"")"),"['Telkomsel', 'Network', 'Bad', 'Deface', 'Bangat', 'Telkomsel', 'Darling', 'The card', 'discarded', 'already', 'number', 'suggestion', ' Buy ',' Card ',' Thinking ',' Buy ',' Card ',' Telkomsel ']")</f>
        <v>['Telkomsel', 'Network', 'Bad', 'Deface', 'Bangat', 'Telkomsel', 'Darling', 'The card', 'discarded', 'already', 'number', 'suggestion', ' Buy ',' Card ',' Thinking ',' Buy ',' Card ',' Telkomsel ']</v>
      </c>
      <c r="D222" s="3">
        <v>1.0</v>
      </c>
    </row>
    <row r="223" ht="15.75" customHeight="1">
      <c r="A223" s="1">
        <v>221.0</v>
      </c>
      <c r="B223" s="3" t="s">
        <v>224</v>
      </c>
      <c r="C223" s="3" t="str">
        <f>IFERROR(__xludf.DUMMYFUNCTION("GOOGLETRANSLATE(B223,""id"",""en"")"),"['MyTelkomsel', 'help', 'really', 'checked', 'quota', 'right', 'purchase', 'kuotajadi', 'practical', 'promo', 'promo', 'quota', ' App ',' JDI ',' Save ',' Features', 'Telkomsel', 'Polls',' Very ',' Prizes', ""]")</f>
        <v>['MyTelkomsel', 'help', 'really', 'checked', 'quota', 'right', 'purchase', 'kuotajadi', 'practical', 'promo', 'promo', 'quota', ' App ',' JDI ',' Save ',' Features', 'Telkomsel', 'Polls',' Very ',' Prizes', "]</v>
      </c>
      <c r="D223" s="3">
        <v>5.0</v>
      </c>
    </row>
    <row r="224" ht="15.75" customHeight="1">
      <c r="A224" s="1">
        <v>222.0</v>
      </c>
      <c r="B224" s="3" t="s">
        <v>225</v>
      </c>
      <c r="C224" s="3" t="str">
        <f>IFERROR(__xludf.DUMMYFUNCTION("GOOGLETRANSLATE(B224,""id"",""en"")"),"['Use', 'Application', 'Fun', 'Buy', 'Select', 'Package', 'Internet', 'Ribet', 'Reward', 'LHO', 'RECOMMEND', 'DEH', ' the main thing is']")</f>
        <v>['Use', 'Application', 'Fun', 'Buy', 'Select', 'Package', 'Internet', 'Ribet', 'Reward', 'LHO', 'RECOMMEND', 'DEH', ' the main thing is']</v>
      </c>
      <c r="D224" s="3">
        <v>5.0</v>
      </c>
    </row>
    <row r="225" ht="15.75" customHeight="1">
      <c r="A225" s="1">
        <v>223.0</v>
      </c>
      <c r="B225" s="3" t="s">
        <v>226</v>
      </c>
      <c r="C225" s="3" t="str">
        <f>IFERROR(__xludf.DUMMYFUNCTION("GOOGLETRANSLATE(B225,""id"",""en"")"),"['Like', 'Application', 'MyTelkomsel', 'Daily', 'Checkin', 'Exchange', 'Points',' Application ',' Easy ',' Hopefully ',' In the future ',' look ',' Update ',' Cool ']")</f>
        <v>['Like', 'Application', 'MyTelkomsel', 'Daily', 'Checkin', 'Exchange', 'Points',' Application ',' Easy ',' Hopefully ',' In the future ',' look ',' Update ',' Cool ']</v>
      </c>
      <c r="D225" s="3">
        <v>5.0</v>
      </c>
    </row>
    <row r="226" ht="15.75" customHeight="1">
      <c r="A226" s="1">
        <v>224.0</v>
      </c>
      <c r="B226" s="3" t="s">
        <v>227</v>
      </c>
      <c r="C226" s="3" t="str">
        <f>IFERROR(__xludf.DUMMYFUNCTION("GOOGLETRANSLATE(B226,""id"",""en"")"),"['The network', 'astagfirullah', 'ugly', 'bangetttttt', 'drizzle', 'signal', 'network', 'lost', 'pdhl', 'price', 'packetanny', 'cheap' Network ',' ugly ', ""]")</f>
        <v>['The network', 'astagfirullah', 'ugly', 'bangetttttt', 'drizzle', 'signal', 'network', 'lost', 'pdhl', 'price', 'packetanny', 'cheap' Network ',' ugly ', "]</v>
      </c>
      <c r="D226" s="3">
        <v>1.0</v>
      </c>
    </row>
    <row r="227" ht="15.75" customHeight="1">
      <c r="A227" s="1">
        <v>225.0</v>
      </c>
      <c r="B227" s="3" t="s">
        <v>228</v>
      </c>
      <c r="C227" s="3" t="str">
        <f>IFERROR(__xludf.DUMMYFUNCTION("GOOGLETRANSLATE(B227,""id"",""en"")"),"['quota', 'application', 'unlimited', 'automatic', 'used', 'top', 'package', 'use', 'unlimited', '']")</f>
        <v>['quota', 'application', 'unlimited', 'automatic', 'used', 'top', 'package', 'use', 'unlimited', '']</v>
      </c>
      <c r="D227" s="3">
        <v>1.0</v>
      </c>
    </row>
    <row r="228" ht="15.75" customHeight="1">
      <c r="A228" s="1">
        <v>226.0</v>
      </c>
      <c r="B228" s="3" t="s">
        <v>229</v>
      </c>
      <c r="C228" s="3" t="str">
        <f>IFERROR(__xludf.DUMMYFUNCTION("GOOGLETRANSLATE(B228,""id"",""en"")"),"['users',' Telkomsel ',' Age ',' SMP ',' Sampe ',' Lecture ',' The ',' Best ',' Stay ',' Region ',' Remote ',' signal ',' Bags', 'Features',' Chek ',' Gift ',' DAPT ',' Bonus', 'Quota', 'Internet', 'Telkomsel', 'Points',' Exchange ',' Voucher ',' Voucher "&amp;"' , 'recommendation', '']")</f>
        <v>['users',' Telkomsel ',' Age ',' SMP ',' Sampe ',' Lecture ',' The ',' Best ',' Stay ',' Region ',' Remote ',' signal ',' Bags', 'Features',' Chek ',' Gift ',' DAPT ',' Bonus', 'Quota', 'Internet', 'Telkomsel', 'Points',' Exchange ',' Voucher ',' Voucher ' , 'recommendation', '']</v>
      </c>
      <c r="D228" s="3">
        <v>4.0</v>
      </c>
    </row>
    <row r="229" ht="15.75" customHeight="1">
      <c r="A229" s="1">
        <v>227.0</v>
      </c>
      <c r="B229" s="3" t="s">
        <v>230</v>
      </c>
      <c r="C229" s="3" t="str">
        <f>IFERROR(__xludf.DUMMYFUNCTION("GOOGLETRANSLATE(B229,""id"",""en"")"),"['Features',' like ',' MyTelkomsel ',' Features', 'Reward', 'Extra', 'Quota', 'Features',' KERREN ',' INTEREST ',' BANGETTT ',' Active ',' Check ',' Application ',' MyTelkomsel ',' Reward ',' extra ',' quota ',' wahh ',' happy ',' bangettt ',' forget ',' "&amp;"mytelkomsel ',' my activities', '']")</f>
        <v>['Features',' like ',' MyTelkomsel ',' Features', 'Reward', 'Extra', 'Quota', 'Features',' KERREN ',' INTEREST ',' BANGETTT ',' Active ',' Check ',' Application ',' MyTelkomsel ',' Reward ',' extra ',' quota ',' wahh ',' happy ',' bangettt ',' forget ',' mytelkomsel ',' my activities', '']</v>
      </c>
      <c r="D229" s="3">
        <v>5.0</v>
      </c>
    </row>
    <row r="230" ht="15.75" customHeight="1">
      <c r="A230" s="1">
        <v>228.0</v>
      </c>
      <c r="B230" s="3" t="s">
        <v>231</v>
      </c>
      <c r="C230" s="3" t="str">
        <f>IFERROR(__xludf.DUMMYFUNCTION("GOOGLETRANSLATE(B230,""id"",""en"")"),"['app', 'help', 'buy', 'package', 'data', 'cheap', 'bought', 'simple', 'really', 'features',' like ',' buy ',' Package ',' Data ',' Features', 'Exchange', 'Points',' Hopefully ',' In the future ',' Enhanced ',' Features', 'Promo', 'Good', 'Luck', 'Team' ,"&amp;" 'Developer', 'Telkomsel', 'App', '']")</f>
        <v>['app', 'help', 'buy', 'package', 'data', 'cheap', 'bought', 'simple', 'really', 'features',' like ',' buy ',' Package ',' Data ',' Features', 'Exchange', 'Points',' Hopefully ',' In the future ',' Enhanced ',' Features', 'Promo', 'Good', 'Luck', 'Team' , 'Developer', 'Telkomsel', 'App', '']</v>
      </c>
      <c r="D230" s="3">
        <v>5.0</v>
      </c>
    </row>
    <row r="231" ht="15.75" customHeight="1">
      <c r="A231" s="1">
        <v>229.0</v>
      </c>
      <c r="B231" s="3" t="s">
        <v>232</v>
      </c>
      <c r="C231" s="3" t="str">
        <f>IFERROR(__xludf.DUMMYFUNCTION("GOOGLETRANSLATE(B231,""id"",""en"")"),"['Package', 'Like', 'Telkomsel', 'Combo', 'Sakti', 'Unlimeted', 'Why', 'Price', 'Cheap', 'Very', 'Quota', 'Low', ' quota ',' internet ',' main ',' access', 'content', 'quota', 'call', 'Telkomsel', 'quota', 'sms',' telkomsel ',' full ',' hour ' , 'Loe', 'p"&amp;"ackage', 'network', 'Telkomsel', 'emang', 'top', 'deh', '']")</f>
        <v>['Package', 'Like', 'Telkomsel', 'Combo', 'Sakti', 'Unlimeted', 'Why', 'Price', 'Cheap', 'Very', 'Quota', 'Low', ' quota ',' internet ',' main ',' access', 'content', 'quota', 'call', 'Telkomsel', 'quota', 'sms',' telkomsel ',' full ',' hour ' , 'Loe', 'package', 'network', 'Telkomsel', 'emang', 'top', 'deh', '']</v>
      </c>
      <c r="D231" s="3">
        <v>5.0</v>
      </c>
    </row>
    <row r="232" ht="15.75" customHeight="1">
      <c r="A232" s="1">
        <v>230.0</v>
      </c>
      <c r="B232" s="3" t="s">
        <v>233</v>
      </c>
      <c r="C232" s="3" t="str">
        <f>IFERROR(__xludf.DUMMYFUNCTION("GOOGLETRANSLATE(B232,""id"",""en"")"),"['application', 'convenience', 'promo', 'abundant', 'like', 'features',' exchange ',' point ',' right ',' really ',' useful ',' really ',' application', '']")</f>
        <v>['application', 'convenience', 'promo', 'abundant', 'like', 'features',' exchange ',' point ',' right ',' really ',' useful ',' really ',' application', '']</v>
      </c>
      <c r="D232" s="3">
        <v>5.0</v>
      </c>
    </row>
    <row r="233" ht="15.75" customHeight="1">
      <c r="A233" s="1">
        <v>231.0</v>
      </c>
      <c r="B233" s="3" t="s">
        <v>234</v>
      </c>
      <c r="C233" s="3" t="str">
        <f>IFERROR(__xludf.DUMMYFUNCTION("GOOGLETRANSLATE(B233,""id"",""en"")"),"['likes',' Telkomsel ',' makes it easy ',' purchase ',' package ',' data ',' promo ',' interesting ',' borrow ',' kouta ',' emergency ',' like ',' Features', 'Exchange', 'Points',' Daily ',' Check ',' Application ',' Help ',' Convenience ',' Best ',' Stag"&amp;"e ']")</f>
        <v>['likes',' Telkomsel ',' makes it easy ',' purchase ',' package ',' data ',' promo ',' interesting ',' borrow ',' kouta ',' emergency ',' like ',' Features', 'Exchange', 'Points',' Daily ',' Check ',' Application ',' Help ',' Convenience ',' Best ',' Stage ']</v>
      </c>
      <c r="D233" s="3">
        <v>5.0</v>
      </c>
    </row>
    <row r="234" ht="15.75" customHeight="1">
      <c r="A234" s="1">
        <v>232.0</v>
      </c>
      <c r="B234" s="3" t="s">
        <v>235</v>
      </c>
      <c r="C234" s="3" t="str">
        <f>IFERROR(__xludf.DUMMYFUNCTION("GOOGLETRANSLATE(B234,""id"",""en"")"),"['', 'Recommend', 'network', 'Telkomsel', 'Severe', 'slow', 'like', 'rain', 'slow', 'already', 'expensive', 'price', 'mah ',' price ',' expensive ',' speed ',' network ',' good ', ""]")</f>
        <v>['', 'Recommend', 'network', 'Telkomsel', 'Severe', 'slow', 'like', 'rain', 'slow', 'already', 'expensive', 'price', 'mah ',' price ',' expensive ',' speed ',' network ',' good ', "]</v>
      </c>
      <c r="D234" s="3">
        <v>1.0</v>
      </c>
    </row>
    <row r="235" ht="15.75" customHeight="1">
      <c r="A235" s="1">
        <v>233.0</v>
      </c>
      <c r="B235" s="3" t="s">
        <v>236</v>
      </c>
      <c r="C235" s="3" t="str">
        <f>IFERROR(__xludf.DUMMYFUNCTION("GOOGLETRANSLATE(B235,""id"",""en"")"),"['gmn', 'buy', 'package', 'data', 'pdhal', 'udh', 'update', 'restar', 'udh', 'move', 'already', 'signal', ' Good ',' knpa ',' buy ',' package ',' data ',' ']")</f>
        <v>['gmn', 'buy', 'package', 'data', 'pdhal', 'udh', 'update', 'restar', 'udh', 'move', 'already', 'signal', ' Good ',' knpa ',' buy ',' package ',' data ',' ']</v>
      </c>
      <c r="D235" s="3">
        <v>3.0</v>
      </c>
    </row>
    <row r="236" ht="15.75" customHeight="1">
      <c r="A236" s="1">
        <v>234.0</v>
      </c>
      <c r="B236" s="3" t="s">
        <v>237</v>
      </c>
      <c r="C236" s="3" t="str">
        <f>IFERROR(__xludf.DUMMYFUNCTION("GOOGLETRANSLATE(B236,""id"",""en"")"),"['Telkomsel', 'Network', 'internet', 'slow', 'Bangat', 'filling', 'combo', 'like', 'like', 'gini', 'mending', 'move', ' Provider ',' ']")</f>
        <v>['Telkomsel', 'Network', 'internet', 'slow', 'Bangat', 'filling', 'combo', 'like', 'like', 'gini', 'mending', 'move', ' Provider ',' ']</v>
      </c>
      <c r="D236" s="3">
        <v>1.0</v>
      </c>
    </row>
    <row r="237" ht="15.75" customHeight="1">
      <c r="A237" s="1">
        <v>235.0</v>
      </c>
      <c r="B237" s="3" t="s">
        <v>238</v>
      </c>
      <c r="C237" s="3" t="str">
        <f>IFERROR(__xludf.DUMMYFUNCTION("GOOGLETRANSLATE(B237,""id"",""en"")"),"['apk', 'sya', 'like', 'benefits',' point ',' daily ',' check ',' exchange ',' point ',' program ',' lottery ',' hepi ',' Thanks', 'Love', 'Telkomsel']")</f>
        <v>['apk', 'sya', 'like', 'benefits',' point ',' daily ',' check ',' exchange ',' point ',' program ',' lottery ',' hepi ',' Thanks', 'Love', 'Telkomsel']</v>
      </c>
      <c r="D237" s="3">
        <v>5.0</v>
      </c>
    </row>
    <row r="238" ht="15.75" customHeight="1">
      <c r="A238" s="1">
        <v>236.0</v>
      </c>
      <c r="B238" s="3" t="s">
        <v>239</v>
      </c>
      <c r="C238" s="3" t="str">
        <f>IFERROR(__xludf.DUMMYFUNCTION("GOOGLETRANSLATE(B238,""id"",""en"")"),"['application', 'opportunity', 'benefits',' users', 'like', 'application', 'Telkomsel', 'Daily', 'check', 'situ', 'benefits',' example ',' Points', 'discount', 'allshop', 'quota', 'lose', 'great', '']")</f>
        <v>['application', 'opportunity', 'benefits',' users', 'like', 'application', 'Telkomsel', 'Daily', 'check', 'situ', 'benefits',' example ',' Points', 'discount', 'allshop', 'quota', 'lose', 'great', '']</v>
      </c>
      <c r="D238" s="3">
        <v>5.0</v>
      </c>
    </row>
    <row r="239" ht="15.75" customHeight="1">
      <c r="A239" s="1">
        <v>237.0</v>
      </c>
      <c r="B239" s="3" t="s">
        <v>240</v>
      </c>
      <c r="C239" s="3" t="str">
        <f>IFERROR(__xludf.DUMMYFUNCTION("GOOGLETRANSLATE(B239,""id"",""en"")"),"['Network', 'no', 'stable', 'sometimes',' sometimes', 'good', 'sometimes',' bad ',' yesterday ',' the network ',' good ',' the network ',' Damaged ',' Please ',' The Network ',' Cepet ',' Fix ',' Karenasaya ',' User ',' Card ',' Telkomsel ',' Satisfied ',"&amp;"' Network ']")</f>
        <v>['Network', 'no', 'stable', 'sometimes',' sometimes', 'good', 'sometimes',' bad ',' yesterday ',' the network ',' good ',' the network ',' Damaged ',' Please ',' The Network ',' Cepet ',' Fix ',' Karenasaya ',' User ',' Card ',' Telkomsel ',' Satisfied ',' Network ']</v>
      </c>
      <c r="D239" s="3">
        <v>2.0</v>
      </c>
    </row>
    <row r="240" ht="15.75" customHeight="1">
      <c r="A240" s="1">
        <v>238.0</v>
      </c>
      <c r="B240" s="3" t="s">
        <v>241</v>
      </c>
      <c r="C240" s="3" t="str">
        <f>IFERROR(__xludf.DUMMYFUNCTION("GOOGLETRANSLATE(B240,""id"",""en"")"),"['borrow', 'pulse', 'combo', 'rb', 'stlh', 'contents',' pls', 'rb', 'already', 'chick', 'thousand', 'leftover', ' Thousands', 'Bilg', 'BLM', 'BYR', 'Turn', 'buy', 'pls',' RB ',' Cut ',' Rb ',' please ',' Telkomsel ',' repay ' , 'already', 'subscription', "&amp;"'here', 'ugly', '']")</f>
        <v>['borrow', 'pulse', 'combo', 'rb', 'stlh', 'contents',' pls', 'rb', 'already', 'chick', 'thousand', 'leftover', ' Thousands', 'Bilg', 'BLM', 'BYR', 'Turn', 'buy', 'pls',' RB ',' Cut ',' Rb ',' please ',' Telkomsel ',' repay ' , 'already', 'subscription', 'here', 'ugly', '']</v>
      </c>
      <c r="D240" s="3">
        <v>1.0</v>
      </c>
    </row>
    <row r="241" ht="15.75" customHeight="1">
      <c r="A241" s="1">
        <v>239.0</v>
      </c>
      <c r="B241" s="3" t="s">
        <v>242</v>
      </c>
      <c r="C241" s="3" t="str">
        <f>IFERROR(__xludf.DUMMYFUNCTION("GOOGLETRANSLATE(B241,""id"",""en"")"),"['bad', 'Switch', 'card', 'Hello', 'Deority', 'bad', 'signal', 'internet', 'slow', 'Padah', 'replace', 'potato', ' ']")</f>
        <v>['bad', 'Switch', 'card', 'Hello', 'Deority', 'bad', 'signal', 'internet', 'slow', 'Padah', 'replace', 'potato', ' ']</v>
      </c>
      <c r="D241" s="3">
        <v>1.0</v>
      </c>
    </row>
    <row r="242" ht="15.75" customHeight="1">
      <c r="A242" s="1">
        <v>240.0</v>
      </c>
      <c r="B242" s="3" t="s">
        <v>243</v>
      </c>
      <c r="C242" s="3" t="str">
        <f>IFERROR(__xludf.DUMMYFUNCTION("GOOGLETRANSLATE(B242,""id"",""en"")"),"['application', 'kece', 'promo', 'convenience', 'offered', 'like', 'daily', 'checkin', 'get', 'point', 'quota', 'help', ' really ',' deh ',' just ']")</f>
        <v>['application', 'kece', 'promo', 'convenience', 'offered', 'like', 'daily', 'checkin', 'get', 'point', 'quota', 'help', ' really ',' deh ',' just ']</v>
      </c>
      <c r="D242" s="3">
        <v>5.0</v>
      </c>
    </row>
    <row r="243" ht="15.75" customHeight="1">
      <c r="A243" s="1">
        <v>241.0</v>
      </c>
      <c r="B243" s="3" t="s">
        <v>244</v>
      </c>
      <c r="C243" s="3" t="str">
        <f>IFERROR(__xludf.DUMMYFUNCTION("GOOGLETRANSLATE(B243,""id"",""en"")"),"['application', 'recommendation', 'really', 'knp', 'recommendation', 'check', 'pulse', 'check', 'quota', 'buy', 'quota', 'application', ' MyTelkomsel ',' Like ',' features', 'points',' guys', 'KNP', 'Points',' Exchange ',' Gift ',' Guys', 'Kyk', 'balance'"&amp;", 'Linkaja' , 'Etc.', 'guys', 'guys', 'Yuk', 'Hurry', 'Download', 'MyTelkomsel', 'guys']")</f>
        <v>['application', 'recommendation', 'really', 'knp', 'recommendation', 'check', 'pulse', 'check', 'quota', 'buy', 'quota', 'application', ' MyTelkomsel ',' Like ',' features', 'points',' guys', 'KNP', 'Points',' Exchange ',' Gift ',' Guys', 'Kyk', 'balance', 'Linkaja' , 'Etc.', 'guys', 'guys', 'Yuk', 'Hurry', 'Download', 'MyTelkomsel', 'guys']</v>
      </c>
      <c r="D243" s="3">
        <v>5.0</v>
      </c>
    </row>
    <row r="244" ht="15.75" customHeight="1">
      <c r="A244" s="1">
        <v>242.0</v>
      </c>
      <c r="B244" s="3" t="s">
        <v>245</v>
      </c>
      <c r="C244" s="3" t="str">
        <f>IFERROR(__xludf.DUMMYFUNCTION("GOOGLETRANSLATE(B244,""id"",""en"")"),"['only', 'reason', 'use', 'provider', 'Gara', 'number', 'already', 'dipake', 'many years',' mah ',' Gaenak ',' really ',' Claiming ',' Koutaa ',' Local ',' Enter ',' Word ',' DLU ',' Dipake ',' Forging ',' Activation ',' Koutaa ',' No "", 'Sight', 'Fill' "&amp;", 'reset', 'Kouta', 'credit', 'repeated', 'Gara', 'package', 'empty', 'tbtb', 'pulse', 'coakes',' notif ',' coakes', ' Abis', 'pulse', 'strange']")</f>
        <v>['only', 'reason', 'use', 'provider', 'Gara', 'number', 'already', 'dipake', 'many years',' mah ',' Gaenak ',' really ',' Claiming ',' Koutaa ',' Local ',' Enter ',' Word ',' DLU ',' Dipake ',' Forging ',' Activation ',' Koutaa ',' No ", 'Sight', 'Fill' , 'reset', 'Kouta', 'credit', 'repeated', 'Gara', 'package', 'empty', 'tbtb', 'pulse', 'coakes',' notif ',' coakes', ' Abis', 'pulse', 'strange']</v>
      </c>
      <c r="D244" s="3">
        <v>1.0</v>
      </c>
    </row>
    <row r="245" ht="15.75" customHeight="1">
      <c r="A245" s="1">
        <v>243.0</v>
      </c>
      <c r="B245" s="3" t="s">
        <v>246</v>
      </c>
      <c r="C245" s="3" t="str">
        <f>IFERROR(__xludf.DUMMYFUNCTION("GOOGLETRANSLATE(B245,""id"",""en"")"),"['use', 'card', 'Telkomsel', 'really', 'application', 'MyTelkomsel', 'Kaena', 'offer', 'package', 'exciting', 'promo', 'interesting', ' Exchange ',' points', 'results',' contents', 'reset', 'pulses',' like ',' buy ',' package ',' combo ',' Sakti ',' unlim"&amp;"ited ',' price ' , 'according to', 'pocket', 'need', 'quota', 'choose', 'Satisfied', 'really', 'watch', 'youtube', 'play', 'tiktok', 'Instagram', ' Facebook ',' WhatsApp ',' Line ',' Buy ',' Package ',' Easy ',' Use ',' Credit ',' Use ',' Gopay ',' Linkaj"&amp;"a ', ""]")</f>
        <v>['use', 'card', 'Telkomsel', 'really', 'application', 'MyTelkomsel', 'Kaena', 'offer', 'package', 'exciting', 'promo', 'interesting', ' Exchange ',' points', 'results',' contents', 'reset', 'pulses',' like ',' buy ',' package ',' combo ',' Sakti ',' unlimited ',' price ' , 'according to', 'pocket', 'need', 'quota', 'choose', 'Satisfied', 'really', 'watch', 'youtube', 'play', 'tiktok', 'Instagram', ' Facebook ',' WhatsApp ',' Line ',' Buy ',' Package ',' Easy ',' Use ',' Credit ',' Use ',' Gopay ',' Linkaja ', "]</v>
      </c>
      <c r="D245" s="3">
        <v>5.0</v>
      </c>
    </row>
    <row r="246" ht="15.75" customHeight="1">
      <c r="A246" s="1">
        <v>244.0</v>
      </c>
      <c r="B246" s="3" t="s">
        <v>247</v>
      </c>
      <c r="C246" s="3" t="str">
        <f>IFERROR(__xludf.DUMMYFUNCTION("GOOGLETRANSLATE(B246,""id"",""en"")"),"['promo', 'like', 'kouta', 'tranquility', 'main', 'kouta', 'tranquility', 'Instagram', 'super', 'duperran', 'wowww', 'bangett', ' Under ',' RB ',' already ',' get ',' Kouta ',' tranquility ',' unlimited ',' that's', 'Need', 'a day', 'Like', 'promo' , 'Unl"&amp;"imited', 'RbU', 'Satisfied', 'Celled', 'Limit', 'Daily', 'Check', 'Get', 'Kouta', 'GB', 'Loohhh', 'Wowww', ' Asikk ',' Anyway ',' My soul ',' Soul ',' Telkomsel ',' Love ',' You ',' Telkomsel ',' Jaya ',' continued ', ""]")</f>
        <v>['promo', 'like', 'kouta', 'tranquility', 'main', 'kouta', 'tranquility', 'Instagram', 'super', 'duperran', 'wowww', 'bangett', ' Under ',' RB ',' already ',' get ',' Kouta ',' tranquility ',' unlimited ',' that's', 'Need', 'a day', 'Like', 'promo' , 'Unlimited', 'RbU', 'Satisfied', 'Celled', 'Limit', 'Daily', 'Check', 'Get', 'Kouta', 'GB', 'Loohhh', 'Wowww', ' Asikk ',' Anyway ',' My soul ',' Soul ',' Telkomsel ',' Love ',' You ',' Telkomsel ',' Jaya ',' continued ', "]</v>
      </c>
      <c r="D246" s="3">
        <v>5.0</v>
      </c>
    </row>
    <row r="247" ht="15.75" customHeight="1">
      <c r="A247" s="1">
        <v>245.0</v>
      </c>
      <c r="B247" s="3" t="s">
        <v>248</v>
      </c>
      <c r="C247" s="3" t="str">
        <f>IFERROR(__xludf.DUMMYFUNCTION("GOOGLETRANSLATE(B247,""id"",""en"")"),"['ugly', 'Telkomsel', 'slow', 'admin', 'believe', 'customer', 'try', 'fix', 'check', 'Benrlemot', 'Peforma', 'ugly', ' Internet ']")</f>
        <v>['ugly', 'Telkomsel', 'slow', 'admin', 'believe', 'customer', 'try', 'fix', 'check', 'Benrlemot', 'Peforma', 'ugly', ' Internet ']</v>
      </c>
      <c r="D247" s="3">
        <v>1.0</v>
      </c>
    </row>
    <row r="248" ht="15.75" customHeight="1">
      <c r="A248" s="1">
        <v>246.0</v>
      </c>
      <c r="B248" s="3" t="s">
        <v>249</v>
      </c>
      <c r="C248" s="3" t="str">
        <f>IFERROR(__xludf.DUMMYFUNCTION("GOOGLETRANSLATE(B248,""id"",""en"")"),"['Use', 'Telkomsel', 'Easy', 'Where', 'Klau', 'Features',' Like ',' Exchange ',' Point ',' exchanged ',' JGAN ',' Forgot ',' Buy ',' combo ',' bonus', 'nelp', 'sms',' quota ',' steady ']")</f>
        <v>['Use', 'Telkomsel', 'Easy', 'Where', 'Klau', 'Features',' Like ',' Exchange ',' Point ',' exchanged ',' JGAN ',' Forgot ',' Buy ',' combo ',' bonus', 'nelp', 'sms',' quota ',' steady ']</v>
      </c>
      <c r="D248" s="3">
        <v>5.0</v>
      </c>
    </row>
    <row r="249" ht="15.75" customHeight="1">
      <c r="A249" s="1">
        <v>247.0</v>
      </c>
      <c r="B249" s="3" t="s">
        <v>250</v>
      </c>
      <c r="C249" s="3" t="str">
        <f>IFERROR(__xludf.DUMMYFUNCTION("GOOGLETRANSLATE(B249,""id"",""en"")"),"['Login', 'What', 'Make', 'Application', 'Try', 'Some', 'Thing', 'Went', 'Wrong', 'Already', 'Try', ' Login ',' pulp ']")</f>
        <v>['Login', 'What', 'Make', 'Application', 'Try', 'Some', 'Thing', 'Went', 'Wrong', 'Already', 'Try', ' Login ',' pulp ']</v>
      </c>
      <c r="D249" s="3">
        <v>1.0</v>
      </c>
    </row>
    <row r="250" ht="15.75" customHeight="1">
      <c r="A250" s="1">
        <v>248.0</v>
      </c>
      <c r="B250" s="3" t="s">
        <v>251</v>
      </c>
      <c r="C250" s="3" t="str">
        <f>IFERROR(__xludf.DUMMYFUNCTION("GOOGLETRANSLATE(B250,""id"",""en"")"),"['Wear', 'Telkomsel', 'number', 'Change', 'Lecture', 'Child', 'hehehe', 'Bring', 'Where', 'Sinyal', 'Steady', 'Strength', ' signal ',' doubt ',' village ',' inland ',' sumatra ',' amazed ',' Telkomsel ',' already ',' that's', 'package', 'unlimited', 'joss"&amp;"s',' basically ' , '']")</f>
        <v>['Wear', 'Telkomsel', 'number', 'Change', 'Lecture', 'Child', 'hehehe', 'Bring', 'Where', 'Sinyal', 'Steady', 'Strength', ' signal ',' doubt ',' village ',' inland ',' sumatra ',' amazed ',' Telkomsel ',' already ',' that's', 'package', 'unlimited', 'josss',' basically ' , '']</v>
      </c>
      <c r="D250" s="3">
        <v>5.0</v>
      </c>
    </row>
    <row r="251" ht="15.75" customHeight="1">
      <c r="A251" s="1">
        <v>249.0</v>
      </c>
      <c r="B251" s="3" t="s">
        <v>252</v>
      </c>
      <c r="C251" s="3" t="str">
        <f>IFERROR(__xludf.DUMMYFUNCTION("GOOGLETRANSLATE(B251,""id"",""en"")"),"['Log', 'MyTelkomsel', 'Get', 'Information', 'Promo', 'Promo', 'Latest', 'Telkomsel', 'Purchase', 'Package', 'Internet', 'Easy', ' The rest of ',' pulse ',' quota ',' touch ',' staple ',' MyTelkomsel ',' help ',' vocational "", 'service', 'Telkomsel']")</f>
        <v>['Log', 'MyTelkomsel', 'Get', 'Information', 'Promo', 'Promo', 'Latest', 'Telkomsel', 'Purchase', 'Package', 'Internet', 'Easy', ' The rest of ',' pulse ',' quota ',' touch ',' staple ',' MyTelkomsel ',' help ',' vocational ", 'service', 'Telkomsel']</v>
      </c>
      <c r="D251" s="3">
        <v>4.0</v>
      </c>
    </row>
    <row r="252" ht="15.75" customHeight="1">
      <c r="A252" s="1">
        <v>250.0</v>
      </c>
      <c r="B252" s="3" t="s">
        <v>253</v>
      </c>
      <c r="C252" s="3" t="str">
        <f>IFERROR(__xludf.DUMMYFUNCTION("GOOGLETRANSLATE(B252,""id"",""en"")"),"['like', 'really', 'features',' check ',' quota ',' pulse ',' buy ',' package ',' data ',' feature ',' check ',' quota ',' Credit ',' late ',' contents', 'pulse', 'buy', 'package', 'data', '']")</f>
        <v>['like', 'really', 'features',' check ',' quota ',' pulse ',' buy ',' package ',' data ',' feature ',' check ',' quota ',' Credit ',' late ',' contents', 'pulse', 'buy', 'package', 'data', '']</v>
      </c>
      <c r="D252" s="3">
        <v>5.0</v>
      </c>
    </row>
    <row r="253" ht="15.75" customHeight="1">
      <c r="A253" s="1">
        <v>251.0</v>
      </c>
      <c r="B253" s="3" t="s">
        <v>254</v>
      </c>
      <c r="C253" s="3" t="str">
        <f>IFERROR(__xludf.DUMMYFUNCTION("GOOGLETRANSLATE(B253,""id"",""en"")"),"['Thank you', 'Yaa', 'MyTelkomsel', 'Members',' People ',' Indonesia ',' BNOY ',' Features', 'MyTelkomsel', 'Like', 'Veronica', 'Constraints',' complicated ',' lived ',' contact ',' Veronica ',' Daily ',' check ',' can ',' point ',' quota ',' plg ',' like"&amp;" ',' package ' , 'combo', 'unlimeted', 'aahh', 'mantaps', 'pkonya', 'mytelkomsel', '']")</f>
        <v>['Thank you', 'Yaa', 'MyTelkomsel', 'Members',' People ',' Indonesia ',' BNOY ',' Features', 'MyTelkomsel', 'Like', 'Veronica', 'Constraints',' complicated ',' lived ',' contact ',' Veronica ',' Daily ',' check ',' can ',' point ',' quota ',' plg ',' like ',' package ' , 'combo', 'unlimeted', 'aahh', 'mantaps', 'pkonya', 'mytelkomsel', '']</v>
      </c>
      <c r="D253" s="3">
        <v>5.0</v>
      </c>
    </row>
    <row r="254" ht="15.75" customHeight="1">
      <c r="A254" s="1">
        <v>252.0</v>
      </c>
      <c r="B254" s="3" t="s">
        <v>255</v>
      </c>
      <c r="C254" s="3" t="str">
        <f>IFERROR(__xludf.DUMMYFUNCTION("GOOGLETRANSLATE(B254,""id"",""en"")"),"['Credit', 'Reduced', 'Wear', 'Please', 'Bngt', 'Fix', 'Bug', 'Harmed', ""]")</f>
        <v>['Credit', 'Reduced', 'Wear', 'Please', 'Bngt', 'Fix', 'Bug', 'Harmed', "]</v>
      </c>
      <c r="D254" s="3">
        <v>1.0</v>
      </c>
    </row>
    <row r="255" ht="15.75" customHeight="1">
      <c r="A255" s="1">
        <v>253.0</v>
      </c>
      <c r="B255" s="3" t="s">
        <v>256</v>
      </c>
      <c r="C255" s="3" t="str">
        <f>IFERROR(__xludf.DUMMYFUNCTION("GOOGLETRANSLATE(B255,""id"",""en"")"),"['Application', 'Help', 'Troublesome', 'RAM', 'Lemot', 'Telkomsel', 'Famous',' Sophisticated ',' Superior ',' Disappointed ',' Customer ',' Application ',' The slow ',' use ',' failed ',' Loading ',' DSB ',' Recommended ',' Anyway ',' File ',' Anyway ',' "&amp;"Gile ',' Kagak ',' Neh ',' Application ' , 'pressing', 'direct', 'appears', 'application', 'provider', 'next door', '']")</f>
        <v>['Application', 'Help', 'Troublesome', 'RAM', 'Lemot', 'Telkomsel', 'Famous',' Sophisticated ',' Superior ',' Disappointed ',' Customer ',' Application ',' The slow ',' use ',' failed ',' Loading ',' DSB ',' Recommended ',' Anyway ',' File ',' Anyway ',' Gile ',' Kagak ',' Neh ',' Application ' , 'pressing', 'direct', 'appears', 'application', 'provider', 'next door', '']</v>
      </c>
      <c r="D255" s="3">
        <v>1.0</v>
      </c>
    </row>
    <row r="256" ht="15.75" customHeight="1">
      <c r="A256" s="1">
        <v>254.0</v>
      </c>
      <c r="B256" s="3" t="s">
        <v>257</v>
      </c>
      <c r="C256" s="3" t="str">
        <f>IFERROR(__xludf.DUMMYFUNCTION("GOOGLETRANSLATE(B256,""id"",""en"")"),"['', 'Telkomsel', 'my priority', 'features',' features', 'interesting', 'missed', 'promo', 'promo', 'interesting', 'collect', 'point', 'exchange ',' Thank you ',' MyTelkomsel ',' ']")</f>
        <v>['', 'Telkomsel', 'my priority', 'features',' features', 'interesting', 'missed', 'promo', 'promo', 'interesting', 'collect', 'point', 'exchange ',' Thank you ',' MyTelkomsel ',' ']</v>
      </c>
      <c r="D256" s="3">
        <v>5.0</v>
      </c>
    </row>
    <row r="257" ht="15.75" customHeight="1">
      <c r="A257" s="1">
        <v>255.0</v>
      </c>
      <c r="B257" s="3" t="s">
        <v>258</v>
      </c>
      <c r="C257" s="3" t="str">
        <f>IFERROR(__xludf.DUMMYFUNCTION("GOOGLETRANSLATE(B257,""id"",""en"")"),"['Network', 'good', 'knpa', 'leg', 'mulu', 'play', 'game', 'strange', 'mah', 'fix', 'loss',' happiness', ' Play ',' Game ',' Lose ',' Kara ',' Leg ',' Trys', 'Disappointed', 'Pkoata', 'mah']")</f>
        <v>['Network', 'good', 'knpa', 'leg', 'mulu', 'play', 'game', 'strange', 'mah', 'fix', 'loss',' happiness', ' Play ',' Game ',' Lose ',' Kara ',' Leg ',' Trys', 'Disappointed', 'Pkoata', 'mah']</v>
      </c>
      <c r="D257" s="3">
        <v>1.0</v>
      </c>
    </row>
    <row r="258" ht="15.75" customHeight="1">
      <c r="A258" s="1">
        <v>256.0</v>
      </c>
      <c r="B258" s="3" t="s">
        <v>259</v>
      </c>
      <c r="C258" s="3" t="str">
        <f>IFERROR(__xludf.DUMMYFUNCTION("GOOGLETRANSLATE(B258,""id"",""en"")"),"['already', 'feels',' UDH ',' application ',' MyTelkomsel ',' UDH ',' good ',' really ',' the application ',' light ',' easy ',' understand ',' features', 'complete', 'wrong', 'features',' like ',' really ',' buy ',' package ',' yes', 'buy', 'package', 'f"&amp;"ortunately', 'cashback' , 'discount', 'transaction', 'super', 'complete', 'Linkaja', 'Ovo', 'Gopay', 'funds',' etc. ',' Raying ',' MyTelkomsel ',' Udh ',' Easy ',' Fortunately ',' Thks', 'MyTelkomsel', '']")</f>
        <v>['already', 'feels',' UDH ',' application ',' MyTelkomsel ',' UDH ',' good ',' really ',' the application ',' light ',' easy ',' understand ',' features', 'complete', 'wrong', 'features',' like ',' really ',' buy ',' package ',' yes', 'buy', 'package', 'fortunately', 'cashback' , 'discount', 'transaction', 'super', 'complete', 'Linkaja', 'Ovo', 'Gopay', 'funds',' etc. ',' Raying ',' MyTelkomsel ',' Udh ',' Easy ',' Fortunately ',' Thks', 'MyTelkomsel', '']</v>
      </c>
      <c r="D258" s="3">
        <v>5.0</v>
      </c>
    </row>
    <row r="259" ht="15.75" customHeight="1">
      <c r="A259" s="1">
        <v>257.0</v>
      </c>
      <c r="B259" s="3" t="s">
        <v>260</v>
      </c>
      <c r="C259" s="3" t="str">
        <f>IFERROR(__xludf.DUMMYFUNCTION("GOOGLETRANSLATE(B259,""id"",""en"")"),"['MyTelkomsel', 'Application', 'Self', 'Service', 'User', 'Experience', 'Easy', 'Customer', 'Telkomsel', 'Contents',' Pulse ',' Pay ',' bill ',' search ',' activation ',' package ',' check ',' exchange ',' point ',' step ',' easy ',' mytelkomsel ',' use '"&amp;",' data ',' pulses' , 'Package', 'Internet', 'Telkomsel', 'Anyway', 'fast', 'practical', ""]")</f>
        <v>['MyTelkomsel', 'Application', 'Self', 'Service', 'User', 'Experience', 'Easy', 'Customer', 'Telkomsel', 'Contents',' Pulse ',' Pay ',' bill ',' search ',' activation ',' package ',' check ',' exchange ',' point ',' step ',' easy ',' mytelkomsel ',' use ',' data ',' pulses' , 'Package', 'Internet', 'Telkomsel', 'Anyway', 'fast', 'practical', "]</v>
      </c>
      <c r="D259" s="3">
        <v>5.0</v>
      </c>
    </row>
    <row r="260" ht="15.75" customHeight="1">
      <c r="A260" s="1">
        <v>258.0</v>
      </c>
      <c r="B260" s="3" t="s">
        <v>261</v>
      </c>
      <c r="C260" s="3" t="str">
        <f>IFERROR(__xludf.DUMMYFUNCTION("GOOGLETRANSLATE(B260,""id"",""en"")"),"['Speed', 'internet', 'good', 'location', 'right', 'network', 'Telkomsel', 'good', 'barnya', 'full', 'development', 'decline', ' The bar ',' Dapet ',' Defensive ',' Provider ',' Favorite ',' Kerena ',' Network ',' Good ',' Very ',' Mbps', ""]")</f>
        <v>['Speed', 'internet', 'good', 'location', 'right', 'network', 'Telkomsel', 'good', 'barnya', 'full', 'development', 'decline', ' The bar ',' Dapet ',' Defensive ',' Provider ',' Favorite ',' Kerena ',' Network ',' Good ',' Very ',' Mbps', "]</v>
      </c>
      <c r="D260" s="3">
        <v>2.0</v>
      </c>
    </row>
    <row r="261" ht="15.75" customHeight="1">
      <c r="A261" s="1">
        <v>259.0</v>
      </c>
      <c r="B261" s="3" t="s">
        <v>262</v>
      </c>
      <c r="C261" s="3" t="str">
        <f>IFERROR(__xludf.DUMMYFUNCTION("GOOGLETRANSLATE(B261,""id"",""en"")"),"['Features',' Like ',' Features', 'Dayli', 'Chek', 'and', 'Features',' Combo ',' Sakti ',' Telkomsel ',' Juarantk ',' Regency ',' City ',' network ',' used ',' repaired ',' service ',' Telkomsel ',' slow ',' disturbing ',' forward ',' towering ',' Telkoms"&amp;"el ',' enthusiasts', ""]")</f>
        <v>['Features',' Like ',' Features', 'Dayli', 'Chek', 'and', 'Features',' Combo ',' Sakti ',' Telkomsel ',' Juarantk ',' Regency ',' City ',' network ',' used ',' repaired ',' service ',' Telkomsel ',' slow ',' disturbing ',' forward ',' towering ',' Telkomsel ',' enthusiasts', "]</v>
      </c>
      <c r="D261" s="3">
        <v>5.0</v>
      </c>
    </row>
    <row r="262" ht="15.75" customHeight="1">
      <c r="A262" s="1">
        <v>260.0</v>
      </c>
      <c r="B262" s="3" t="s">
        <v>263</v>
      </c>
      <c r="C262" s="3" t="str">
        <f>IFERROR(__xludf.DUMMYFUNCTION("GOOGLETRANSLATE(B262,""id"",""en"")"),"['likes',' application ',' use ',' easy ',' promo ',' interesting ',' merchant ',' choice ',' promo ',' package ',' internet ',' purchase ',' Credit ',' merchant ',' For example ',' Link ',' Cash ',' Back ',' interesting ',' loyal ',' Telkomsel ', ""]")</f>
        <v>['likes',' application ',' use ',' easy ',' promo ',' interesting ',' merchant ',' choice ',' promo ',' package ',' internet ',' purchase ',' Credit ',' merchant ',' For example ',' Link ',' Cash ',' Back ',' interesting ',' loyal ',' Telkomsel ', "]</v>
      </c>
      <c r="D262" s="3">
        <v>5.0</v>
      </c>
    </row>
    <row r="263" ht="15.75" customHeight="1">
      <c r="A263" s="1">
        <v>261.0</v>
      </c>
      <c r="B263" s="3" t="s">
        <v>264</v>
      </c>
      <c r="C263" s="3" t="str">
        <f>IFERROR(__xludf.DUMMYFUNCTION("GOOGLETRANSLATE(B263,""id"",""en"")"),"['Dissel', 'dowload', 'apk', 'truss',' take ',' pket ',' game ',' mlh ',' ngc ',' bsa ',' gunainn ',' feel ',' "", 'APK', 'Money', 'NGC', 'TPI', 'Disappointed', 'Because', 'BSA', 'Gnainn', 'Disappointed', 'Bnget', 'Sumpah' , 'Jngann', 'dowload', 'APK', ''"&amp;"]")</f>
        <v>['Dissel', 'dowload', 'apk', 'truss',' take ',' pket ',' game ',' mlh ',' ngc ',' bsa ',' gunainn ',' feel ',' ", 'APK', 'Money', 'NGC', 'TPI', 'Disappointed', 'Because', 'BSA', 'Gnainn', 'Disappointed', 'Bnget', 'Sumpah' , 'Jngann', 'dowload', 'APK', '']</v>
      </c>
      <c r="D263" s="3">
        <v>1.0</v>
      </c>
    </row>
    <row r="264" ht="15.75" customHeight="1">
      <c r="A264" s="1">
        <v>262.0</v>
      </c>
      <c r="B264" s="3" t="s">
        <v>265</v>
      </c>
      <c r="C264" s="3" t="str">
        <f>IFERROR(__xludf.DUMMYFUNCTION("GOOGLETRANSLATE(B264,""id"",""en"")"),"['Happy', 'Satisfied', 'Application', 'Telkomsel', 'Package', 'Quota', 'Data', 'Data', 'Instagram', 'YouTube', 'Cheap', 'Irit', ' Costs', 'smooth', 'connection', 'wasteful', 'usage', 'data', 'application', 'Telkomsel', 'recommend', 'friend', 'friend', 'fa"&amp;"mily', 'wear' , 'Application', 'Telkomsel', 'A family', 'use', 'Telkomsel', 'Mantap', '']")</f>
        <v>['Happy', 'Satisfied', 'Application', 'Telkomsel', 'Package', 'Quota', 'Data', 'Data', 'Instagram', 'YouTube', 'Cheap', 'Irit', ' Costs', 'smooth', 'connection', 'wasteful', 'usage', 'data', 'application', 'Telkomsel', 'recommend', 'friend', 'friend', 'family', 'wear' , 'Application', 'Telkomsel', 'A family', 'use', 'Telkomsel', 'Mantap', '']</v>
      </c>
      <c r="D264" s="3">
        <v>5.0</v>
      </c>
    </row>
    <row r="265" ht="15.75" customHeight="1">
      <c r="A265" s="1">
        <v>263.0</v>
      </c>
      <c r="B265" s="3" t="s">
        <v>266</v>
      </c>
      <c r="C265" s="3" t="str">
        <f>IFERROR(__xludf.DUMMYFUNCTION("GOOGLETRANSLATE(B265,""id"",""en"")"),"['Alhamdulillah', 'Wear', 'Application', 'MyTelkomsel', 'SERBA', 'EASY', 'ISI', 'Credit', 'Register', 'Package', 'Phone', 'SMS', ' Internet ',' easy ',' promo ',' follow ',' ']")</f>
        <v>['Alhamdulillah', 'Wear', 'Application', 'MyTelkomsel', 'SERBA', 'EASY', 'ISI', 'Credit', 'Register', 'Package', 'Phone', 'SMS', ' Internet ',' easy ',' promo ',' follow ',' ']</v>
      </c>
      <c r="D265" s="3">
        <v>5.0</v>
      </c>
    </row>
    <row r="266" ht="15.75" customHeight="1">
      <c r="A266" s="1">
        <v>264.0</v>
      </c>
      <c r="B266" s="3" t="s">
        <v>267</v>
      </c>
      <c r="C266" s="3" t="str">
        <f>IFERROR(__xludf.DUMMYFUNCTION("GOOGLETRANSLATE(B266,""id"",""en"")"),"['Suggestion', 'quota', 'run out', 'open', 'application', 'Telkomsel', 'application', 'next door', 'already', 'like', 'package', 'data', ' Telkomsel ',' repaired ',' opened ',' the application ',' quota ',' run out ',' accessed ',' Package ',' data ',' th"&amp;"ank you ']")</f>
        <v>['Suggestion', 'quota', 'run out', 'open', 'application', 'Telkomsel', 'application', 'next door', 'already', 'like', 'package', 'data', ' Telkomsel ',' repaired ',' opened ',' the application ',' quota ',' run out ',' accessed ',' Package ',' data ',' thank you ']</v>
      </c>
      <c r="D266" s="3">
        <v>5.0</v>
      </c>
    </row>
    <row r="267" ht="15.75" customHeight="1">
      <c r="A267" s="1">
        <v>265.0</v>
      </c>
      <c r="B267" s="3" t="s">
        <v>268</v>
      </c>
      <c r="C267" s="3" t="str">
        <f>IFERROR(__xludf.DUMMYFUNCTION("GOOGLETRANSLATE(B267,""id"",""en"")"),"['like', 'really', 'use', 'APL', 'process',' easy ',' fast ',' complicated ',' choice ',' promo ',' worry ',' buy ',' Package ',' Data ',' MyTelkomsel ',' Super ',' Save ',' ']")</f>
        <v>['like', 'really', 'use', 'APL', 'process',' easy ',' fast ',' complicated ',' choice ',' promo ',' worry ',' buy ',' Package ',' Data ',' MyTelkomsel ',' Super ',' Save ',' ']</v>
      </c>
      <c r="D267" s="3">
        <v>5.0</v>
      </c>
    </row>
    <row r="268" ht="15.75" customHeight="1">
      <c r="A268" s="1">
        <v>266.0</v>
      </c>
      <c r="B268" s="3" t="s">
        <v>269</v>
      </c>
      <c r="C268" s="3" t="str">
        <f>IFERROR(__xludf.DUMMYFUNCTION("GOOGLETRANSLATE(B268,""id"",""en"")"),"['customer', 'loyal', 'combo', 'Sakti', 'unlimited', 'in my opinion', 'Sakti', 'really', 'package', 'internet', 'multimedia', 'telephone', ' SMS ',' Surprise ',' Deal ',' miss', 'Gercep', 'buy', 'Features',' Favorite ',' Send ',' Gift ',' Where ',' Send '"&amp;",' Credit ' , 'Package', 'Internet', 'Family', 'Telkomsel', 'Comfortable', 'Convenience', 'Love', 'MyTelkomsel']")</f>
        <v>['customer', 'loyal', 'combo', 'Sakti', 'unlimited', 'in my opinion', 'Sakti', 'really', 'package', 'internet', 'multimedia', 'telephone', ' SMS ',' Surprise ',' Deal ',' miss', 'Gercep', 'buy', 'Features',' Favorite ',' Send ',' Gift ',' Where ',' Send ',' Credit ' , 'Package', 'Internet', 'Family', 'Telkomsel', 'Comfortable', 'Convenience', 'Love', 'MyTelkomsel']</v>
      </c>
      <c r="D268" s="3">
        <v>5.0</v>
      </c>
    </row>
    <row r="269" ht="15.75" customHeight="1">
      <c r="A269" s="1">
        <v>267.0</v>
      </c>
      <c r="B269" s="3" t="s">
        <v>270</v>
      </c>
      <c r="C269" s="3" t="str">
        <f>IFERROR(__xludf.DUMMYFUNCTION("GOOGLETRANSLATE(B269,""id"",""en"")"),"['Shocked', 'Features',' Service ',' Phone ',' Unique ',' Deliberate ',' Try ',' Exciting ',' Litu ',' Phone ',' Cool ',' Feature ',' already ',' steady ',' type ',' payment ',' already ',' thanks', 'mytelkomsel']")</f>
        <v>['Shocked', 'Features',' Service ',' Phone ',' Unique ',' Deliberate ',' Try ',' Exciting ',' Litu ',' Phone ',' Cool ',' Feature ',' already ',' steady ',' type ',' payment ',' already ',' thanks', 'mytelkomsel']</v>
      </c>
      <c r="D269" s="3">
        <v>5.0</v>
      </c>
    </row>
    <row r="270" ht="15.75" customHeight="1">
      <c r="A270" s="1">
        <v>268.0</v>
      </c>
      <c r="B270" s="3" t="s">
        <v>271</v>
      </c>
      <c r="C270" s="3" t="str">
        <f>IFERROR(__xludf.DUMMYFUNCTION("GOOGLETRANSLATE(B270,""id"",""en"")"),"['package', 'like', 'MyTelkomsel', 'package', 'emergency', 'application', 'MyTelkomsel', 'package', 'emergency', 'loaned', 'pay', 'pulses',' filled ',' package ',' emergency ',' useful ',' on the way ',' in place ',' borrow ',' package ',' emergency ',' m"&amp;"ytelkomsel ',' package ',' apply ',' GB ' , 'Minutes', 'Call', 'SMS', '']")</f>
        <v>['package', 'like', 'MyTelkomsel', 'package', 'emergency', 'application', 'MyTelkomsel', 'package', 'emergency', 'loaned', 'pay', 'pulses',' filled ',' package ',' emergency ',' useful ',' on the way ',' in place ',' borrow ',' package ',' emergency ',' mytelkomsel ',' package ',' apply ',' GB ' , 'Minutes', 'Call', 'SMS', '']</v>
      </c>
      <c r="D270" s="3">
        <v>5.0</v>
      </c>
    </row>
    <row r="271" ht="15.75" customHeight="1">
      <c r="A271" s="1">
        <v>269.0</v>
      </c>
      <c r="B271" s="3" t="s">
        <v>272</v>
      </c>
      <c r="C271" s="3" t="str">
        <f>IFERROR(__xludf.DUMMYFUNCTION("GOOGLETRANSLATE(B271,""id"",""en"")"),"['use', 'Telkomsel', 'internet', 'quota', 'GB', 'Unlimited', 'Satisfied', 'Bener', 'Taku', 'Network', 'Terbaek', 'Application', ' MyTelkomsel ',' help ',' check ',' leftover ',' quota ',' credit ',' selection ',' package ',' data ',' hope ',' MyTelkomsel "&amp;"',' known ',' among ' , 'community', 'users', 'success', 'Telkomsel', '']")</f>
        <v>['use', 'Telkomsel', 'internet', 'quota', 'GB', 'Unlimited', 'Satisfied', 'Bener', 'Taku', 'Network', 'Terbaek', 'Application', ' MyTelkomsel ',' help ',' check ',' leftover ',' quota ',' credit ',' selection ',' package ',' data ',' hope ',' MyTelkomsel ',' known ',' among ' , 'community', 'users', 'success', 'Telkomsel', '']</v>
      </c>
      <c r="D271" s="3">
        <v>5.0</v>
      </c>
    </row>
    <row r="272" ht="15.75" customHeight="1">
      <c r="A272" s="1">
        <v>270.0</v>
      </c>
      <c r="B272" s="3" t="s">
        <v>273</v>
      </c>
      <c r="C272" s="3" t="str">
        <f>IFERROR(__xludf.DUMMYFUNCTION("GOOGLETRANSLATE(B272,""id"",""en"")"),"['Come on', 'fix', 'signal', 'bug', 'feel', 'disappointed', 'quality', 'Telkomsel', 'consumer', 'loyal', 'use', 'provider', ' Survive ',' skrg ',' development ',' Hadeuhhh ',' auto ',' moved ',' neighbor ',' next door ',' ']")</f>
        <v>['Come on', 'fix', 'signal', 'bug', 'feel', 'disappointed', 'quality', 'Telkomsel', 'consumer', 'loyal', 'use', 'provider', ' Survive ',' skrg ',' development ',' Hadeuhhh ',' auto ',' moved ',' neighbor ',' next door ',' ']</v>
      </c>
      <c r="D272" s="3">
        <v>1.0</v>
      </c>
    </row>
    <row r="273" ht="15.75" customHeight="1">
      <c r="A273" s="1">
        <v>271.0</v>
      </c>
      <c r="B273" s="3" t="s">
        <v>274</v>
      </c>
      <c r="C273" s="3" t="str">
        <f>IFERROR(__xludf.DUMMYFUNCTION("GOOGLETRANSLATE(B273,""id"",""en"")"),"['application', 'Telkomsel', 'makes it easier', 'buy', 'quota', 'package', 'cheap', 'practical', 'package', 'quota', 'my favorite', 'thousand', ' already ',' satisfied ',' internet ',' lapse ',' bag ',' crisis', 'promo', 'daily', 'check', 'exchanged', 'gi"&amp;"ft', 'diligent', 'absent' , 'Doang', 'Telkomsel', 'App', 'Cool', '']")</f>
        <v>['application', 'Telkomsel', 'makes it easier', 'buy', 'quota', 'package', 'cheap', 'practical', 'package', 'quota', 'my favorite', 'thousand', ' already ',' satisfied ',' internet ',' lapse ',' bag ',' crisis', 'promo', 'daily', 'check', 'exchanged', 'gift', 'diligent', 'absent' , 'Doang', 'Telkomsel', 'App', 'Cool', '']</v>
      </c>
      <c r="D273" s="3">
        <v>5.0</v>
      </c>
    </row>
    <row r="274" ht="15.75" customHeight="1">
      <c r="A274" s="1">
        <v>272.0</v>
      </c>
      <c r="B274" s="3" t="s">
        <v>275</v>
      </c>
      <c r="C274" s="3" t="str">
        <f>IFERROR(__xludf.DUMMYFUNCTION("GOOGLETRANSLATE(B274,""id"",""en"")"),"['really', 'really', 'application', 'MyTelkomsel', 'promo', 'diverse', 'choice', 'payment', 'transaction', 'application', 'features',' Daily ',' Chek ',' Likes', 'Package', 'Internet', 'Combo', 'Sakti', 'Choice', '']")</f>
        <v>['really', 'really', 'application', 'MyTelkomsel', 'promo', 'diverse', 'choice', 'payment', 'transaction', 'application', 'features',' Daily ',' Chek ',' Likes', 'Package', 'Internet', 'Combo', 'Sakti', 'Choice', '']</v>
      </c>
      <c r="D274" s="3">
        <v>5.0</v>
      </c>
    </row>
    <row r="275" ht="15.75" customHeight="1">
      <c r="A275" s="1">
        <v>273.0</v>
      </c>
      <c r="B275" s="3" t="s">
        <v>276</v>
      </c>
      <c r="C275" s="3" t="str">
        <f>IFERROR(__xludf.DUMMYFUNCTION("GOOGLETRANSLATE(B275,""id"",""en"")"),"['package', 'like', 'package', 'tranquility', 'Instagram', 'hobby', 'really', 'watch', 'live', 'lives',' Telkomsel ',' like ',' Pantengin ',' profit ',' package ',' unlimited ',' no ',' dizziness', 'dizziness',' deh ',' watch ',' live ',' all day ',' pric"&amp;"e ',' cheap ' , 'choice', 'package', 'unlimited', 'GB', 'GB', 'GB', 'GB', 'GB', 'Eitss',' get ',' promo ',' buy ',' Shopeepay ',' cashback ',' already ',' cheap ',' cheap ',' thank you, '']")</f>
        <v>['package', 'like', 'package', 'tranquility', 'Instagram', 'hobby', 'really', 'watch', 'live', 'lives',' Telkomsel ',' like ',' Pantengin ',' profit ',' package ',' unlimited ',' no ',' dizziness', 'dizziness',' deh ',' watch ',' live ',' all day ',' price ',' cheap ' , 'choice', 'package', 'unlimited', 'GB', 'GB', 'GB', 'GB', 'GB', 'Eitss',' get ',' promo ',' buy ',' Shopeepay ',' cashback ',' already ',' cheap ',' cheap ',' thank you, '']</v>
      </c>
      <c r="D275" s="3">
        <v>5.0</v>
      </c>
    </row>
    <row r="276" ht="15.75" customHeight="1">
      <c r="A276" s="1">
        <v>274.0</v>
      </c>
      <c r="B276" s="3" t="s">
        <v>277</v>
      </c>
      <c r="C276" s="3" t="str">
        <f>IFERROR(__xludf.DUMMYFUNCTION("GOOGLETRANSLATE(B276,""id"",""en"")"),"['', 'service', 'Telkomsel', 'bad', 'week', 'buy', 'package', 'price', 'run out', 'buy', 'package', 'package', 'raised ',' Packed ',' Weekly ',' trick ', ""]")</f>
        <v>['', 'service', 'Telkomsel', 'bad', 'week', 'buy', 'package', 'price', 'run out', 'buy', 'package', 'package', 'raised ',' Packed ',' Weekly ',' trick ', "]</v>
      </c>
      <c r="D276" s="3">
        <v>1.0</v>
      </c>
    </row>
    <row r="277" ht="15.75" customHeight="1">
      <c r="A277" s="1">
        <v>275.0</v>
      </c>
      <c r="B277" s="3" t="s">
        <v>278</v>
      </c>
      <c r="C277" s="3" t="str">
        <f>IFERROR(__xludf.DUMMYFUNCTION("GOOGLETRANSLATE(B277,""id"",""en"")"),"['Telkomsel', 'provider', 'signal', 'package', 'data', 'signal', 'sometimes', 'ilang']")</f>
        <v>['Telkomsel', 'provider', 'signal', 'package', 'data', 'signal', 'sometimes', 'ilang']</v>
      </c>
      <c r="D277" s="3">
        <v>1.0</v>
      </c>
    </row>
    <row r="278" ht="15.75" customHeight="1">
      <c r="A278" s="1">
        <v>276.0</v>
      </c>
      <c r="B278" s="3" t="s">
        <v>279</v>
      </c>
      <c r="C278" s="3" t="str">
        <f>IFERROR(__xludf.DUMMYFUNCTION("GOOGLETRANSLATE(B278,""id"",""en"")"),"['like', 'application', 'buy', 'package', 'internet', 'according to', 'choice', 'payment', 'fun', 'choice', 'pay', 'pulses',' Linkaja ',' Gopay ',' Ovo ',' Shopeepay ',' Fund ',' Basically ',' Recommended ',' Really ',' Deh ',' Features', 'Like', 'Daily',"&amp;" 'Chek' , 'package', 'like', 'package', 'internet', 'omg', 'promo', 'buy', 'application', 'mytelkomsel', '']")</f>
        <v>['like', 'application', 'buy', 'package', 'internet', 'according to', 'choice', 'payment', 'fun', 'choice', 'pay', 'pulses',' Linkaja ',' Gopay ',' Ovo ',' Shopeepay ',' Fund ',' Basically ',' Recommended ',' Really ',' Deh ',' Features', 'Like', 'Daily', 'Chek' , 'package', 'like', 'package', 'internet', 'omg', 'promo', 'buy', 'application', 'mytelkomsel', '']</v>
      </c>
      <c r="D278" s="3">
        <v>5.0</v>
      </c>
    </row>
    <row r="279" ht="15.75" customHeight="1">
      <c r="A279" s="1">
        <v>277.0</v>
      </c>
      <c r="B279" s="3" t="s">
        <v>280</v>
      </c>
      <c r="C279" s="3" t="str">
        <f>IFERROR(__xludf.DUMMYFUNCTION("GOOGLETRANSLATE(B279,""id"",""en"")"),"['Took', 'Telkomsel', 'Love', 'Convenience', 'Very', 'Life', 'Cuan', 'Henti', 'Quota', 'Luber', 'Signal', ' Okay ',' Nices', 'already', 'Download', 'Telkomsel']")</f>
        <v>['Took', 'Telkomsel', 'Love', 'Convenience', 'Very', 'Life', 'Cuan', 'Henti', 'Quota', 'Luber', 'Signal', ' Okay ',' Nices', 'already', 'Download', 'Telkomsel']</v>
      </c>
      <c r="D279" s="3">
        <v>5.0</v>
      </c>
    </row>
    <row r="280" ht="15.75" customHeight="1">
      <c r="A280" s="1">
        <v>278.0</v>
      </c>
      <c r="B280" s="3" t="s">
        <v>281</v>
      </c>
      <c r="C280" s="3" t="str">
        <f>IFERROR(__xludf.DUMMYFUNCTION("GOOGLETRANSLATE(B280,""id"",""en"")"),"['Since', 'application', 'my cellphone', 'complicated', 'check', 'leftover', 'pulse', 'leftover', 'quota', 'stay', 'open', 'right', ' Looks', 'Application', 'MyTelkomsel', 'Easy', 'Deepening', 'World', 'Maya', 'Buy', 'Credit', 'Quota', 'Internet', 'Asked'"&amp;", 'Need' , 'payment', 'diverse', 'choice', 'easy', 'deh', 'application', 'mytelkomsel', 'features',' daily ',' chek ',' features', 'like', ' Gifts', 'quota', 'internet', '']")</f>
        <v>['Since', 'application', 'my cellphone', 'complicated', 'check', 'leftover', 'pulse', 'leftover', 'quota', 'stay', 'open', 'right', ' Looks', 'Application', 'MyTelkomsel', 'Easy', 'Deepening', 'World', 'Maya', 'Buy', 'Credit', 'Quota', 'Internet', 'Asked', 'Need' , 'payment', 'diverse', 'choice', 'easy', 'deh', 'application', 'mytelkomsel', 'features',' daily ',' chek ',' features', 'like', ' Gifts', 'quota', 'internet', '']</v>
      </c>
      <c r="D280" s="3">
        <v>5.0</v>
      </c>
    </row>
    <row r="281" ht="15.75" customHeight="1">
      <c r="A281" s="1">
        <v>279.0</v>
      </c>
      <c r="B281" s="3" t="s">
        <v>282</v>
      </c>
      <c r="C281" s="3" t="str">
        <f>IFERROR(__xludf.DUMMYFUNCTION("GOOGLETRANSLATE(B281,""id"",""en"")"),"['thank', 'love', 'Telkomsel', 'application', 'as cool as',' like ',' features', 'daily', 'chek', 'collect', 'stamp', 'gift', ' Quota ',' internet ',' package ',' like ',' package ',' combo ',' Sakti ',' ']")</f>
        <v>['thank', 'love', 'Telkomsel', 'application', 'as cool as',' like ',' features', 'daily', 'chek', 'collect', 'stamp', 'gift', ' Quota ',' internet ',' package ',' like ',' package ',' combo ',' Sakti ',' ']</v>
      </c>
      <c r="D281" s="3">
        <v>5.0</v>
      </c>
    </row>
    <row r="282" ht="15.75" customHeight="1">
      <c r="A282" s="1">
        <v>280.0</v>
      </c>
      <c r="B282" s="3" t="s">
        <v>283</v>
      </c>
      <c r="C282" s="3" t="str">
        <f>IFERROR(__xludf.DUMMYFUNCTION("GOOGLETRANSLATE(B282,""id"",""en"")"),"['like', 'application', 'buy', 'package', 'internet', 'according to', 'choice', 'payment', 'fun', 'choice', 'pay', 'pulses',' Linkaja ',' Gopay ',' Ovo ',' Fund ',' Anyway ',' Recommended ',' Very ',' Deh ',' Features', 'Like', 'Daily', 'Chek', ""]")</f>
        <v>['like', 'application', 'buy', 'package', 'internet', 'according to', 'choice', 'payment', 'fun', 'choice', 'pay', 'pulses',' Linkaja ',' Gopay ',' Ovo ',' Fund ',' Anyway ',' Recommended ',' Very ',' Deh ',' Features', 'Like', 'Daily', 'Chek', "]</v>
      </c>
      <c r="D282" s="3">
        <v>5.0</v>
      </c>
    </row>
    <row r="283" ht="15.75" customHeight="1">
      <c r="A283" s="1">
        <v>281.0</v>
      </c>
      <c r="B283" s="3" t="s">
        <v>284</v>
      </c>
      <c r="C283" s="3" t="str">
        <f>IFERROR(__xludf.DUMMYFUNCTION("GOOGLETRANSLATE(B283,""id"",""en"")"),"['Disappointed', 'Heavy', 'Application', 'HRI', 'BSA', 'Opened', 'Uda', 'Try', 'Many', 'Times',' Sousal ',' JLEK ',' now ',' PDHL ',' KRTU ',' expensive ',' according to ',' quality ',' beg ',' repaired ',' server ',' smkin ',' severe ',' Telkomsel ',' pd"&amp;"hl ' , 'Mkek', 'Lma', ""]")</f>
        <v>['Disappointed', 'Heavy', 'Application', 'HRI', 'BSA', 'Opened', 'Uda', 'Try', 'Many', 'Times',' Sousal ',' JLEK ',' now ',' PDHL ',' KRTU ',' expensive ',' according to ',' quality ',' beg ',' repaired ',' server ',' smkin ',' severe ',' Telkomsel ',' pdhl ' , 'Mkek', 'Lma', "]</v>
      </c>
      <c r="D283" s="3">
        <v>1.0</v>
      </c>
    </row>
    <row r="284" ht="15.75" customHeight="1">
      <c r="A284" s="1">
        <v>282.0</v>
      </c>
      <c r="B284" s="3" t="s">
        <v>285</v>
      </c>
      <c r="C284" s="3" t="str">
        <f>IFERROR(__xludf.DUMMYFUNCTION("GOOGLETRANSLATE(B284,""id"",""en"")"),"['application', 'useful', 'makes it easier', 'users',' Telkomsel ',' features', 'Daily', 'check', 'gift', 'features',' Points', 'Switch', ' Points', 'Telkomsel', 'Voucher', 'Food', 'Entertainment', 'Health', 'Sports',' Udian ',' Road ',' Road ',' Donation"&amp;"s', 'Etc.', 'Features' , 'contents', 'pulse', 'buy', 'package', 'easy', 'fast', '']")</f>
        <v>['application', 'useful', 'makes it easier', 'users',' Telkomsel ',' features', 'Daily', 'check', 'gift', 'features',' Points', 'Switch', ' Points', 'Telkomsel', 'Voucher', 'Food', 'Entertainment', 'Health', 'Sports',' Udian ',' Road ',' Road ',' Donations', 'Etc.', 'Features' , 'contents', 'pulse', 'buy', 'package', 'easy', 'fast', '']</v>
      </c>
      <c r="D284" s="3">
        <v>5.0</v>
      </c>
    </row>
    <row r="285" ht="15.75" customHeight="1">
      <c r="A285" s="1">
        <v>283.0</v>
      </c>
      <c r="B285" s="3" t="s">
        <v>286</v>
      </c>
      <c r="C285" s="3" t="str">
        <f>IFERROR(__xludf.DUMMYFUNCTION("GOOGLETRANSLATE(B285,""id"",""en"")"),"['application', 'MyTelkomsel', 'informative', 'amenities',' good ',' speed ',' respond ',' fast ',' like ',' features', 'Daily', 'Chek', ' Package ',' Internet ',' Veronica ',' fast ',' Bales', 'Ribet', 'Contact', '']")</f>
        <v>['application', 'MyTelkomsel', 'informative', 'amenities',' good ',' speed ',' respond ',' fast ',' like ',' features', 'Daily', 'Chek', ' Package ',' Internet ',' Veronica ',' fast ',' Bales', 'Ribet', 'Contact', '']</v>
      </c>
      <c r="D285" s="3">
        <v>5.0</v>
      </c>
    </row>
    <row r="286" ht="15.75" customHeight="1">
      <c r="A286" s="1">
        <v>284.0</v>
      </c>
      <c r="B286" s="3" t="s">
        <v>287</v>
      </c>
      <c r="C286" s="3" t="str">
        <f>IFERROR(__xludf.DUMMYFUNCTION("GOOGLETRANSLATE(B286,""id"",""en"")"),"['', 'Thank you', 'MyTelkomsel', 'Features',' Features', 'Attractive', 'Use', 'Buy', 'Send', 'Pulse', 'Package', 'Data', 'Voucher ',' Voucher ',' interesting ',' get ',' forget ',' Collect ',' point ',' miss', 'promo', 'promo', 'wowww', 'get', 'ayooooooo'"&amp;", 'friend', 'download', 'application', 'MyTelkomsel', 'tap', 'tap', 'tap', 'tap', 'fast', 'download', 'nyesel', 'application', 'mytelkomsel ',' ']")</f>
        <v>['', 'Thank you', 'MyTelkomsel', 'Features',' Features', 'Attractive', 'Use', 'Buy', 'Send', 'Pulse', 'Package', 'Data', 'Voucher ',' Voucher ',' interesting ',' get ',' forget ',' Collect ',' point ',' miss', 'promo', 'promo', 'wowww', 'get', 'ayooooooo', 'friend', 'download', 'application', 'MyTelkomsel', 'tap', 'tap', 'tap', 'tap', 'fast', 'download', 'nyesel', 'application', 'mytelkomsel ',' ']</v>
      </c>
      <c r="D286" s="3">
        <v>5.0</v>
      </c>
    </row>
    <row r="287" ht="15.75" customHeight="1">
      <c r="A287" s="1">
        <v>285.0</v>
      </c>
      <c r="B287" s="3" t="s">
        <v>288</v>
      </c>
      <c r="C287" s="3" t="str">
        <f>IFERROR(__xludf.DUMMYFUNCTION("GOOGLETRANSLATE(B287,""id"",""en"")"),"['Assalamualaikum', 'Yuk', 'Download', 'Application', 'MyTelkomsel', 'Helpful', 'Good', 'really', 'in my opinion', 'Features',' like ',' MyTelkomsel ',' Features', 'Points',' Gifts', 'Features',' Points', 'Gifts',' Total ',' Points', 'Have', 'exchanged', "&amp;"'gifts',' attractive ',' Package ' , 'Like', 'Combo', 'Sakti', 'Unlimited', 'thousand', 'Package', 'Unlimited', 'Quality', 'Signal', 'Good', 'Satisfied', 'Wear', ' MyTelkomsel ',' ']")</f>
        <v>['Assalamualaikum', 'Yuk', 'Download', 'Application', 'MyTelkomsel', 'Helpful', 'Good', 'really', 'in my opinion', 'Features',' like ',' MyTelkomsel ',' Features', 'Points',' Gifts', 'Features',' Points', 'Gifts',' Total ',' Points', 'Have', 'exchanged', 'gifts',' attractive ',' Package ' , 'Like', 'Combo', 'Sakti', 'Unlimited', 'thousand', 'Package', 'Unlimited', 'Quality', 'Signal', 'Good', 'Satisfied', 'Wear', ' MyTelkomsel ',' ']</v>
      </c>
      <c r="D287" s="3">
        <v>5.0</v>
      </c>
    </row>
    <row r="288" ht="15.75" customHeight="1">
      <c r="A288" s="1">
        <v>286.0</v>
      </c>
      <c r="B288" s="3" t="s">
        <v>289</v>
      </c>
      <c r="C288" s="3" t="str">
        <f>IFERROR(__xludf.DUMMYFUNCTION("GOOGLETRANSLATE(B288,""id"",""en"")"),"['use', 'Telkomsel', 'operator', 'worst', 'stop', 'use', 'Telkomsel', 'use', 'city', 'tri', 'use', 'Indosat', ' Use ',' Telkomsel ',' Signal ',' Weak ',' Discard ',' Discard ',' Money ',' Buy ',' City ',' Telkomsel ',' Discard ',' Discard ',' Waiting ' , "&amp;"'signal', 'dipped', 'signal', 'operator', 'smooth', 'strong', 'congratulations', 'stay', 'Telkomsel', 'congratulations', ""]")</f>
        <v>['use', 'Telkomsel', 'operator', 'worst', 'stop', 'use', 'Telkomsel', 'use', 'city', 'tri', 'use', 'Indosat', ' Use ',' Telkomsel ',' Signal ',' Weak ',' Discard ',' Discard ',' Money ',' Buy ',' City ',' Telkomsel ',' Discard ',' Discard ',' Waiting ' , 'signal', 'dipped', 'signal', 'operator', 'smooth', 'strong', 'congratulations', 'stay', 'Telkomsel', 'congratulations', "]</v>
      </c>
      <c r="D288" s="3">
        <v>1.0</v>
      </c>
    </row>
    <row r="289" ht="15.75" customHeight="1">
      <c r="A289" s="1">
        <v>287.0</v>
      </c>
      <c r="B289" s="3" t="s">
        <v>290</v>
      </c>
      <c r="C289" s="3" t="str">
        <f>IFERROR(__xludf.DUMMYFUNCTION("GOOGLETRANSLATE(B289,""id"",""en"")"),"['Complete', 'provider', 'Telkomsel', 'donlod', 'application', 'Telkomsel', 'expensive', 'in my opinion', 'tuhhh', 'dngan', 'application', 'easy', ' Dapetin ',' Bonus', 'Features',' Ciamik ',' Kusuka ',' Daily ',' Chek ',' Quota ',' Free ',' Genting ',' J"&amp;"ga ',' Like ',' Feature ' , 'Send', 'Gift', 'Jeera', 'Ribet', 'Transfer', 'Credit', '']")</f>
        <v>['Complete', 'provider', 'Telkomsel', 'donlod', 'application', 'Telkomsel', 'expensive', 'in my opinion', 'tuhhh', 'dngan', 'application', 'easy', ' Dapetin ',' Bonus', 'Features',' Ciamik ',' Kusuka ',' Daily ',' Chek ',' Quota ',' Free ',' Genting ',' Jga ',' Like ',' Feature ' , 'Send', 'Gift', 'Jeera', 'Ribet', 'Transfer', 'Credit', '']</v>
      </c>
      <c r="D289" s="3">
        <v>5.0</v>
      </c>
    </row>
    <row r="290" ht="15.75" customHeight="1">
      <c r="A290" s="1">
        <v>288.0</v>
      </c>
      <c r="B290" s="3" t="s">
        <v>291</v>
      </c>
      <c r="C290" s="3" t="str">
        <f>IFERROR(__xludf.DUMMYFUNCTION("GOOGLETRANSLATE(B290,""id"",""en"")"),"['Confused', 'Sis',' hehehe ',' Actually ',' Features', 'Good', 'Application', 'Telkomsel', 'Daily', 'Check', 'Features',' Help ',' people ',' people ',' quota ',' stay ',' run out ',' kend ',' pulse ',' point ',' Telkomsel ',' card ',' claim ',' reward '"&amp;",' accept ' , 'Reward', 'Sis', 'Yesterday', 'Fill', 'Credit', 'Points', 'Kasih', 'Rate', 'Star', 'Sis', 'Disappointed', 'Feature']")</f>
        <v>['Confused', 'Sis',' hehehe ',' Actually ',' Features', 'Good', 'Application', 'Telkomsel', 'Daily', 'Check', 'Features',' Help ',' people ',' people ',' quota ',' stay ',' run out ',' kend ',' pulse ',' point ',' Telkomsel ',' card ',' claim ',' reward ',' accept ' , 'Reward', 'Sis', 'Yesterday', 'Fill', 'Credit', 'Points', 'Kasih', 'Rate', 'Star', 'Sis', 'Disappointed', 'Feature']</v>
      </c>
      <c r="D290" s="3">
        <v>3.0</v>
      </c>
    </row>
    <row r="291" ht="15.75" customHeight="1">
      <c r="A291" s="1">
        <v>289.0</v>
      </c>
      <c r="B291" s="3" t="s">
        <v>292</v>
      </c>
      <c r="C291" s="3" t="str">
        <f>IFERROR(__xludf.DUMMYFUNCTION("GOOGLETRANSLATE(B291,""id"",""en"")"),"['application', 'good', 'check', 'pulse', 'check', 'quota', 'internet', 'buy', 'pulse', 'buy', 'package', 'internet', ' price ',' cheap ',' payment ',' diverse ',' features', 'like', 'daily', 'chek', 'package', 'like', 'combo', 'magic']")</f>
        <v>['application', 'good', 'check', 'pulse', 'check', 'quota', 'internet', 'buy', 'pulse', 'buy', 'package', 'internet', ' price ',' cheap ',' payment ',' diverse ',' features', 'like', 'daily', 'chek', 'package', 'like', 'combo', 'magic']</v>
      </c>
      <c r="D291" s="3">
        <v>5.0</v>
      </c>
    </row>
    <row r="292" ht="15.75" customHeight="1">
      <c r="A292" s="1">
        <v>290.0</v>
      </c>
      <c r="B292" s="3" t="s">
        <v>293</v>
      </c>
      <c r="C292" s="3" t="str">
        <f>IFERROR(__xludf.DUMMYFUNCTION("GOOGLETRANSLATE(B292,""id"",""en"")"),"['Package', 'like', 'use', 'Combo', 'Sakti', 'Call', 'SMS', 'additional', 'quota', 'GB', 'RECOMMENDED', 'really', ' Gaees', 'like', 'Save', 'Yuk', 'Install', 'Telkomsel', 'App', '']")</f>
        <v>['Package', 'like', 'use', 'Combo', 'Sakti', 'Call', 'SMS', 'additional', 'quota', 'GB', 'RECOMMENDED', 'really', ' Gaees', 'like', 'Save', 'Yuk', 'Install', 'Telkomsel', 'App', '']</v>
      </c>
      <c r="D292" s="3">
        <v>5.0</v>
      </c>
    </row>
    <row r="293" ht="15.75" customHeight="1">
      <c r="A293" s="1">
        <v>291.0</v>
      </c>
      <c r="B293" s="3" t="s">
        <v>294</v>
      </c>
      <c r="C293" s="3" t="str">
        <f>IFERROR(__xludf.DUMMYFUNCTION("GOOGLETRANSLATE(B293,""id"",""en"")"),"['Like', 'Features',' Exchange ',' Points', 'Fun', 'Really', 'Nukerin', 'Gift', 'Free', 'Balance', 'Linkaja', 'Free', ' given ',' promo ',' quota ',' cheap ',' abis', 'thanks',' really ',' Telkomsel ',' ']")</f>
        <v>['Like', 'Features',' Exchange ',' Points', 'Fun', 'Really', 'Nukerin', 'Gift', 'Free', 'Balance', 'Linkaja', 'Free', ' given ',' promo ',' quota ',' cheap ',' abis', 'thanks',' really ',' Telkomsel ',' ']</v>
      </c>
      <c r="D293" s="3">
        <v>5.0</v>
      </c>
    </row>
    <row r="294" ht="15.75" customHeight="1">
      <c r="A294" s="1">
        <v>292.0</v>
      </c>
      <c r="B294" s="3" t="s">
        <v>295</v>
      </c>
      <c r="C294" s="3" t="str">
        <f>IFERROR(__xludf.DUMMYFUNCTION("GOOGLETRANSLATE(B294,""id"",""en"")"),"['Package', 'Telkomsel', 'Like', 'Package', 'Combo', 'Sakti', 'Install', 'Package', 'Plus',' Telfon ',' SMS ',' Practical ',' Combo ',' Sakti ',' already ',' unlimited ',' Anyway ',' Baguss', ""]")</f>
        <v>['Package', 'Telkomsel', 'Like', 'Package', 'Combo', 'Sakti', 'Install', 'Package', 'Plus',' Telfon ',' SMS ',' Practical ',' Combo ',' Sakti ',' already ',' unlimited ',' Anyway ',' Baguss', "]</v>
      </c>
      <c r="D294" s="3">
        <v>5.0</v>
      </c>
    </row>
    <row r="295" ht="15.75" customHeight="1">
      <c r="A295" s="1">
        <v>293.0</v>
      </c>
      <c r="B295" s="3" t="s">
        <v>296</v>
      </c>
      <c r="C295" s="3" t="str">
        <f>IFERROR(__xludf.DUMMYFUNCTION("GOOGLETRANSLATE(B295,""id"",""en"")"),"['Hay', 'Telkomsel', 'Like', 'Features',' Features', 'Telkomsel', 'Contents',' reset ',' Credit ',' Linkaja ',' Gopay ',' Shopeepay ',' Funds', 'ovo', 'convenience', 'transact', 'contents',' reset ',' credit ',' Telkomsel ',' Like ',' Telkomsel ',' transf"&amp;"er ',' pulses', 'exchange' , 'Points',' useful ',' interesting ',' month ',' gift ',' interesting ',' pulse ',' cellphone ',' motor ',' car ',' love ',' you ',' Telkomsel ']")</f>
        <v>['Hay', 'Telkomsel', 'Like', 'Features',' Features', 'Telkomsel', 'Contents',' reset ',' Credit ',' Linkaja ',' Gopay ',' Shopeepay ',' Funds', 'ovo', 'convenience', 'transact', 'contents',' reset ',' credit ',' Telkomsel ',' Like ',' Telkomsel ',' transfer ',' pulses', 'exchange' , 'Points',' useful ',' interesting ',' month ',' gift ',' interesting ',' pulse ',' cellphone ',' motor ',' car ',' love ',' you ',' Telkomsel ']</v>
      </c>
      <c r="D295" s="3">
        <v>5.0</v>
      </c>
    </row>
    <row r="296" ht="15.75" customHeight="1">
      <c r="A296" s="1">
        <v>294.0</v>
      </c>
      <c r="B296" s="3" t="s">
        <v>297</v>
      </c>
      <c r="C296" s="3" t="str">
        <f>IFERROR(__xludf.DUMMYFUNCTION("GOOGLETRANSLATE(B296,""id"",""en"")"),"['', 'Application', 'Telkomsel', 'makes it easier', 'check', 'credit', 'quota', 'point', 'have', 'open', 'application', 'feature', 'application ',' like ',' application ',' Telkomsel ',' service ',' daily ',' check ',' where ',' get ',' quota ',' internet"&amp;" ',' collect ',' stamp ', 'check', 'dayaaa', '']")</f>
        <v>['', 'Application', 'Telkomsel', 'makes it easier', 'check', 'credit', 'quota', 'point', 'have', 'open', 'application', 'feature', 'application ',' like ',' application ',' Telkomsel ',' service ',' daily ',' check ',' where ',' get ',' quota ',' internet ',' collect ',' stamp ', 'check', 'dayaaa', '']</v>
      </c>
      <c r="D296" s="3">
        <v>5.0</v>
      </c>
    </row>
    <row r="297" ht="15.75" customHeight="1">
      <c r="A297" s="1">
        <v>295.0</v>
      </c>
      <c r="B297" s="3" t="s">
        <v>298</v>
      </c>
      <c r="C297" s="3" t="str">
        <f>IFERROR(__xludf.DUMMYFUNCTION("GOOGLETRANSLATE(B297,""id"",""en"")"),"['application', 'help', 'check', 'pulse', 'quota', 'data', 'purchase', 'package', 'internet', 'interaction', 'promo', 'best', ' Telkomsel ',' Daily ',' Daily ',' Check ',' Beneficial ',' Point ',' Exchanged ',' Promo ',' Package ',' Data ',' Best ',' Use "&amp;"',' Application ' ]")</f>
        <v>['application', 'help', 'check', 'pulse', 'quota', 'data', 'purchase', 'package', 'internet', 'interaction', 'promo', 'best', ' Telkomsel ',' Daily ',' Daily ',' Check ',' Beneficial ',' Point ',' Exchanged ',' Promo ',' Package ',' Data ',' Best ',' Use ',' Application ' ]</v>
      </c>
      <c r="D297" s="3">
        <v>5.0</v>
      </c>
    </row>
    <row r="298" ht="15.75" customHeight="1">
      <c r="A298" s="1">
        <v>296.0</v>
      </c>
      <c r="B298" s="3" t="s">
        <v>299</v>
      </c>
      <c r="C298" s="3" t="str">
        <f>IFERROR(__xludf.DUMMYFUNCTION("GOOGLETRANSLATE(B298,""id"",""en"")"),"['already', 'use', 'application', 'MyTelkomsel', 'in my opinion', 'profitable', 'really', 'use', 'application', 'economical', 'easy', 'features',' buy ',' quota ',' internet ',' lebjh ',' cheap ',' promo ',' tuker ',' point ',' get ',' gift ',' hopefully "&amp;"',' MyTelkomsel ',' application ' , 'best']")</f>
        <v>['already', 'use', 'application', 'MyTelkomsel', 'in my opinion', 'profitable', 'really', 'use', 'application', 'economical', 'easy', 'features',' buy ',' quota ',' internet ',' lebjh ',' cheap ',' promo ',' tuker ',' point ',' get ',' gift ',' hopefully ',' MyTelkomsel ',' application ' , 'best']</v>
      </c>
      <c r="D298" s="3">
        <v>5.0</v>
      </c>
    </row>
    <row r="299" ht="15.75" customHeight="1">
      <c r="A299" s="1">
        <v>297.0</v>
      </c>
      <c r="B299" s="3" t="s">
        <v>300</v>
      </c>
      <c r="C299" s="3" t="str">
        <f>IFERROR(__xludf.DUMMYFUNCTION("GOOGLETRANSLATE(B299,""id"",""en"")"),"['application', 'MyTelkomsel', 'easy', 'stay', 'pilah', 'select', 'buy', 'quota', 'quota', 'lap', 'quota', 'unlimited', ' Daily ',' OMG ',' Cheap ',' Combo ',' Sakti ',' Mainstay ',' I ',' Thank you ',' Telkomsel ']")</f>
        <v>['application', 'MyTelkomsel', 'easy', 'stay', 'pilah', 'select', 'buy', 'quota', 'quota', 'lap', 'quota', 'unlimited', ' Daily ',' OMG ',' Cheap ',' Combo ',' Sakti ',' Mainstay ',' I ',' Thank you ',' Telkomsel ']</v>
      </c>
      <c r="D299" s="3">
        <v>5.0</v>
      </c>
    </row>
    <row r="300" ht="15.75" customHeight="1">
      <c r="A300" s="1">
        <v>298.0</v>
      </c>
      <c r="B300" s="3" t="s">
        <v>301</v>
      </c>
      <c r="C300" s="3" t="str">
        <f>IFERROR(__xludf.DUMMYFUNCTION("GOOGLETRANSLATE(B300,""id"",""en"")"),"['please', 'fix', 'purchase', 'package', 'internet', 'times',' application ',' talk ',' because ',' experience ',' loss', 'right', ' purchase ',' package ',' internet ',' balance ',' buy ',' package ',' internet ',' succeed ',' tack ',' cost ',' normal ',"&amp;" ""]")</f>
        <v>['please', 'fix', 'purchase', 'package', 'internet', 'times',' application ',' talk ',' because ',' experience ',' loss', 'right', ' purchase ',' package ',' internet ',' balance ',' buy ',' package ',' internet ',' succeed ',' tack ',' cost ',' normal ', "]</v>
      </c>
      <c r="D300" s="3">
        <v>1.0</v>
      </c>
    </row>
    <row r="301" ht="15.75" customHeight="1">
      <c r="A301" s="1">
        <v>299.0</v>
      </c>
      <c r="B301" s="3" t="s">
        <v>302</v>
      </c>
      <c r="C301" s="3" t="str">
        <f>IFERROR(__xludf.DUMMYFUNCTION("GOOGLETRANSLATE(B301,""id"",""en"")"),"['help', 'checks', 'package', 'quota', 'purchase', 'package', 'data', 'price', 'special', 'package', 'promo', ""]")</f>
        <v>['help', 'checks', 'package', 'quota', 'purchase', 'package', 'data', 'price', 'special', 'package', 'promo', "]</v>
      </c>
      <c r="D301" s="3">
        <v>5.0</v>
      </c>
    </row>
    <row r="302" ht="15.75" customHeight="1">
      <c r="A302" s="1">
        <v>300.0</v>
      </c>
      <c r="B302" s="3" t="s">
        <v>303</v>
      </c>
      <c r="C302" s="3" t="str">
        <f>IFERROR(__xludf.DUMMYFUNCTION("GOOGLETRANSLATE(B302,""id"",""en"")"),"['Network', 'Telkomsel', 'Melek', 'quota', 'contents', 'play', 'game', 'ngelek', 'recommended', 'suggest', 'download', 'APK']")</f>
        <v>['Network', 'Telkomsel', 'Melek', 'quota', 'contents', 'play', 'game', 'ngelek', 'recommended', 'suggest', 'download', 'APK']</v>
      </c>
      <c r="D302" s="3">
        <v>1.0</v>
      </c>
    </row>
    <row r="303" ht="15.75" customHeight="1">
      <c r="A303" s="1">
        <v>301.0</v>
      </c>
      <c r="B303" s="3" t="s">
        <v>304</v>
      </c>
      <c r="C303" s="3" t="str">
        <f>IFERROR(__xludf.DUMMYFUNCTION("GOOGLETRANSLATE(B303,""id"",""en"")"),"['likes',' provider ',' Telkomsel ',' signal ',' strong ',' provider ',' dead ',' lights', 'follow', 'missing', 'signal', 'signal', ' Telkomsel ',' Clock ',' Full ',' Like ',' Package ',' Combo ',' Seat ',' Complete ',' Content ',' SMS ',' Quota ',' Tel '"&amp;",' a month ' , 'Thank you', 'Telkomsel', 'Increase', 'signal', 'yaa', ""]")</f>
        <v>['likes',' provider ',' Telkomsel ',' signal ',' strong ',' provider ',' dead ',' lights', 'follow', 'missing', 'signal', 'signal', ' Telkomsel ',' Clock ',' Full ',' Like ',' Package ',' Combo ',' Seat ',' Complete ',' Content ',' SMS ',' Quota ',' Tel ',' a month ' , 'Thank you', 'Telkomsel', 'Increase', 'signal', 'yaa', "]</v>
      </c>
      <c r="D303" s="3">
        <v>5.0</v>
      </c>
    </row>
    <row r="304" ht="15.75" customHeight="1">
      <c r="A304" s="1">
        <v>302.0</v>
      </c>
      <c r="B304" s="3" t="s">
        <v>305</v>
      </c>
      <c r="C304" s="3" t="str">
        <f>IFERROR(__xludf.DUMMYFUNCTION("GOOGLETRANSLATE(B304,""id"",""en"")"),"['thank', 'love', 'APK', 'MyTelkomsel', 'easy', 'check', 'quota', 'pulse', 'easy', 'promo', 'interesting', 'Telkomsel', ' missed ',' following ',' Lottery ',' Telkomsel ',' good ',' easy ',' transaction ',' type ',' payment ',' love ',' star ', ""]")</f>
        <v>['thank', 'love', 'APK', 'MyTelkomsel', 'easy', 'check', 'quota', 'pulse', 'easy', 'promo', 'interesting', 'Telkomsel', ' missed ',' following ',' Lottery ',' Telkomsel ',' good ',' easy ',' transaction ',' type ',' payment ',' love ',' star ', "]</v>
      </c>
      <c r="D304" s="3">
        <v>5.0</v>
      </c>
    </row>
    <row r="305" ht="15.75" customHeight="1">
      <c r="A305" s="1">
        <v>303.0</v>
      </c>
      <c r="B305" s="3" t="s">
        <v>306</v>
      </c>
      <c r="C305" s="3" t="str">
        <f>IFERROR(__xludf.DUMMYFUNCTION("GOOGLETRANSLATE(B305,""id"",""en"")"),"['Hello', 'Review', 'Honest', 'Features',' Like ',' MyTelkomsel ',' Send ',' Gift ',' Like ',' Very ',' Feature ',' Easy ',' krm ',' pulse ',' then 'contents', 'quota', 'internet', 'month', 'understand', 'mother', 'rada', 'gaptek', 'features', 'easy' , 'r"&amp;"eally', 'people', 'people', 'old', 'taste', 'apart', 'videocall', 'deh', 'day', 'network', 'internet', 'super', ' Fast ',' Disconnect ',' Disconnect ',' champion ',' Bangetttt ',' ']")</f>
        <v>['Hello', 'Review', 'Honest', 'Features',' Like ',' MyTelkomsel ',' Send ',' Gift ',' Like ',' Very ',' Feature ',' Easy ',' krm ',' pulse ',' then 'contents', 'quota', 'internet', 'month', 'understand', 'mother', 'rada', 'gaptek', 'features', 'easy' , 'really', 'people', 'people', 'old', 'taste', 'apart', 'videocall', 'deh', 'day', 'network', 'internet', 'super', ' Fast ',' Disconnect ',' Disconnect ',' champion ',' Bangetttt ',' ']</v>
      </c>
      <c r="D305" s="3">
        <v>5.0</v>
      </c>
    </row>
    <row r="306" ht="15.75" customHeight="1">
      <c r="A306" s="1">
        <v>304.0</v>
      </c>
      <c r="B306" s="3" t="s">
        <v>307</v>
      </c>
      <c r="C306" s="3" t="str">
        <f>IFERROR(__xludf.DUMMYFUNCTION("GOOGLETRANSLATE(B306,""id"",""en"")"),"['application', 'just', 'sometimes',' bug ',' repaired ',' the rest ',' good ',' easy ',' features', 'features',' present ',' good ',' view ',' variant ',' quota ',' Show ',' features', 'Daily', 'check', 'profitable', 'lovers',' free ',' stay ',' check ',"&amp;"' GB ' , 'Free', 'Thank you', 'MyTelkomsel']")</f>
        <v>['application', 'just', 'sometimes',' bug ',' repaired ',' the rest ',' good ',' easy ',' features', 'features',' present ',' good ',' view ',' variant ',' quota ',' Show ',' features', 'Daily', 'check', 'profitable', 'lovers',' free ',' stay ',' check ',' GB ' , 'Free', 'Thank you', 'MyTelkomsel']</v>
      </c>
      <c r="D306" s="3">
        <v>5.0</v>
      </c>
    </row>
    <row r="307" ht="15.75" customHeight="1">
      <c r="A307" s="1">
        <v>305.0</v>
      </c>
      <c r="B307" s="3" t="s">
        <v>308</v>
      </c>
      <c r="C307" s="3" t="str">
        <f>IFERROR(__xludf.DUMMYFUNCTION("GOOGLETRANSLATE(B307,""id"",""en"")"),"['MyTelkomsel', 'really', 'weakness',' consumer ',' promo ',' quota ',' cheap ',' yyyeay ',' happy ',' really ',' quota ',' abundant ',' Speed ​​',' Surf ',' Level ',' Maximum ',' Price ',' Minimal ',' Interface ',' Attractive ',' Easy ',' Operated ',' An"&amp;"yway ',' Needs', 'Ringgel' , 'Select', 'click', 'Thanks', 'Linkaja', 'promo', 'quota', 'unlimited', 'for', 'Days', '']")</f>
        <v>['MyTelkomsel', 'really', 'weakness',' consumer ',' promo ',' quota ',' cheap ',' yyyeay ',' happy ',' really ',' quota ',' abundant ',' Speed ​​',' Surf ',' Level ',' Maximum ',' Price ',' Minimal ',' Interface ',' Attractive ',' Easy ',' Operated ',' Anyway ',' Needs', 'Ringgel' , 'Select', 'click', 'Thanks', 'Linkaja', 'promo', 'quota', 'unlimited', 'for', 'Days', '']</v>
      </c>
      <c r="D307" s="3">
        <v>5.0</v>
      </c>
    </row>
    <row r="308" ht="15.75" customHeight="1">
      <c r="A308" s="1">
        <v>306.0</v>
      </c>
      <c r="B308" s="3" t="s">
        <v>309</v>
      </c>
      <c r="C308" s="3" t="str">
        <f>IFERROR(__xludf.DUMMYFUNCTION("GOOGLETRANSLATE(B308,""id"",""en"")"),"['Good', 'promo', 'package', 'data', 'leftover', 'pulse', 'leftover', 'data', 'point', 'pulled', 'check', 'balance', ' Linkaja ',' complete ',' simple ',' yuk ',' jng ',' forget ',' application ',' get ',' profit ',' ']")</f>
        <v>['Good', 'promo', 'package', 'data', 'leftover', 'pulse', 'leftover', 'data', 'point', 'pulled', 'check', 'balance', ' Linkaja ',' complete ',' simple ',' yuk ',' jng ',' forget ',' application ',' get ',' profit ',' ']</v>
      </c>
      <c r="D308" s="3">
        <v>5.0</v>
      </c>
    </row>
    <row r="309" ht="15.75" customHeight="1">
      <c r="A309" s="1">
        <v>307.0</v>
      </c>
      <c r="B309" s="3" t="s">
        <v>310</v>
      </c>
      <c r="C309" s="3" t="str">
        <f>IFERROR(__xludf.DUMMYFUNCTION("GOOGLETRANSLATE(B309,""id"",""en"")"),"['Customer', 'Telkomsel', 'Skli', 'Benefit', 'DPT', 'DOWNLOW', 'APP', 'MyTelkomsel', 'there', 'Saaya', 'exchanges',' Points', ' Mliki ',' Easy ',' Exchange ',' Points', 'Bonus',' Link ',' Exchange ',' Points', 'Lottery', 'Slalu', ""]")</f>
        <v>['Customer', 'Telkomsel', 'Skli', 'Benefit', 'DPT', 'DOWNLOW', 'APP', 'MyTelkomsel', 'there', 'Saaya', 'exchanges',' Points', ' Mliki ',' Easy ',' Exchange ',' Points', 'Bonus',' Link ',' Exchange ',' Points', 'Lottery', 'Slalu', "]</v>
      </c>
      <c r="D309" s="3">
        <v>5.0</v>
      </c>
    </row>
    <row r="310" ht="15.75" customHeight="1">
      <c r="A310" s="1">
        <v>308.0</v>
      </c>
      <c r="B310" s="3" t="s">
        <v>311</v>
      </c>
      <c r="C310" s="3" t="str">
        <f>IFERROR(__xludf.DUMMYFUNCTION("GOOGLETRANSLATE(B310,""id"",""en"")"),"['like', 'really', 'feature', 'buy', 'package', 'choice', 'payment', 'super', 'complete', 'like', 'application', 'operator', ' Complete ',' Indonesia ',' pastinyan ',' best ',' really ',' choice ',' cashback ',' happy ',' really ',' deh ',' network ',' ma"&amp;"hh ',' indonesia ' , '']")</f>
        <v>['like', 'really', 'feature', 'buy', 'package', 'choice', 'payment', 'super', 'complete', 'like', 'application', 'operator', ' Complete ',' Indonesia ',' pastinyan ',' best ',' really ',' choice ',' cashback ',' happy ',' really ',' deh ',' network ',' mahh ',' indonesia ' , '']</v>
      </c>
      <c r="D310" s="3">
        <v>5.0</v>
      </c>
    </row>
    <row r="311" ht="15.75" customHeight="1">
      <c r="A311" s="1">
        <v>309.0</v>
      </c>
      <c r="B311" s="3" t="s">
        <v>312</v>
      </c>
      <c r="C311" s="3" t="str">
        <f>IFERROR(__xludf.DUMMYFUNCTION("GOOGLETRANSLATE(B311,""id"",""en"")"),"['Feature', 'buy', 'package', 'fill', 'reset', 'pulse', 'features',' help ',' run out ',' pulse ',' package ',' internet ',' Anyway ',' Benified ',' really ',' Dech ',' Innovation ',' MyTelkomsel ',' ']")</f>
        <v>['Feature', 'buy', 'package', 'fill', 'reset', 'pulse', 'features',' help ',' run out ',' pulse ',' package ',' internet ',' Anyway ',' Benified ',' really ',' Dech ',' Innovation ',' MyTelkomsel ',' ']</v>
      </c>
      <c r="D311" s="3">
        <v>5.0</v>
      </c>
    </row>
    <row r="312" ht="15.75" customHeight="1">
      <c r="A312" s="1">
        <v>310.0</v>
      </c>
      <c r="B312" s="3" t="s">
        <v>313</v>
      </c>
      <c r="C312" s="3" t="str">
        <f>IFERROR(__xludf.DUMMYFUNCTION("GOOGLETRANSLATE(B312,""id"",""en"")"),"['Like', 'Package', 'Combo', 'Sakti', 'Quota', 'Package', 'SMS', 'Nelfon', 'Times',' Purchase ',' Hopefully ',' Feature ',' Switch ',' pulse ',' balance ',' Linkaja ',' account ',' tone ']")</f>
        <v>['Like', 'Package', 'Combo', 'Sakti', 'Quota', 'Package', 'SMS', 'Nelfon', 'Times',' Purchase ',' Hopefully ',' Feature ',' Switch ',' pulse ',' balance ',' Linkaja ',' account ',' tone ']</v>
      </c>
      <c r="D312" s="3">
        <v>5.0</v>
      </c>
    </row>
    <row r="313" ht="15.75" customHeight="1">
      <c r="A313" s="1">
        <v>311.0</v>
      </c>
      <c r="B313" s="3" t="s">
        <v>314</v>
      </c>
      <c r="C313" s="3" t="str">
        <f>IFERROR(__xludf.DUMMYFUNCTION("GOOGLETRANSLATE(B313,""id"",""en"")"),"['Features',' Favorites', 'Daily', 'Check', 'Features',' Reward ',' Customer ',' Faithful ',' Telkomsel ',' Features', 'SetiDka', 'Choice', ' gift ',' Certain ',' Free ',' quota ',' extra ',' awaited ',' hope ',' future ',' bnyak ',' choice ',' reward ','"&amp;" prize ',' varies' , 'choice', 'package', 'internet', 'price', 'affordable']")</f>
        <v>['Features',' Favorites', 'Daily', 'Check', 'Features',' Reward ',' Customer ',' Faithful ',' Telkomsel ',' Features', 'SetiDka', 'Choice', ' gift ',' Certain ',' Free ',' quota ',' extra ',' awaited ',' hope ',' future ',' bnyak ',' choice ',' reward ',' prize ',' varies' , 'choice', 'package', 'internet', 'price', 'affordable']</v>
      </c>
      <c r="D313" s="3">
        <v>5.0</v>
      </c>
    </row>
    <row r="314" ht="15.75" customHeight="1">
      <c r="A314" s="1">
        <v>312.0</v>
      </c>
      <c r="B314" s="3" t="s">
        <v>315</v>
      </c>
      <c r="C314" s="3" t="str">
        <f>IFERROR(__xludf.DUMMYFUNCTION("GOOGLETRANSLATE(B314,""id"",""en"")"),"['application', 'Telkomsel', 'useful', 'user', 'card', 'Telkomsel', 'check', 'promo', 'likes',' daily ',' check ',' capital ',' absent ',' rich ',' child ',' school ',' quota ',' basically ',' useful ',' really ', ""]")</f>
        <v>['application', 'Telkomsel', 'useful', 'user', 'card', 'Telkomsel', 'check', 'promo', 'likes',' daily ',' check ',' capital ',' absent ',' rich ',' child ',' school ',' quota ',' basically ',' useful ',' really ', "]</v>
      </c>
      <c r="D314" s="3">
        <v>5.0</v>
      </c>
    </row>
    <row r="315" ht="15.75" customHeight="1">
      <c r="A315" s="1">
        <v>313.0</v>
      </c>
      <c r="B315" s="3" t="s">
        <v>316</v>
      </c>
      <c r="C315" s="3" t="str">
        <f>IFERROR(__xludf.DUMMYFUNCTION("GOOGLETRANSLATE(B315,""id"",""en"")"),"['application', 'MyTelkomsel', 'features',' complete ',' easy ',' contents', 'reset', 'pulse', 'buy', 'quota', 'package', 'internet', ' Choice ',' payment ',' promo ',' Cuan ',' ']")</f>
        <v>['application', 'MyTelkomsel', 'features',' complete ',' easy ',' contents', 'reset', 'pulse', 'buy', 'quota', 'package', 'internet', ' Choice ',' payment ',' promo ',' Cuan ',' ']</v>
      </c>
      <c r="D315" s="3">
        <v>5.0</v>
      </c>
    </row>
    <row r="316" ht="15.75" customHeight="1">
      <c r="A316" s="1">
        <v>314.0</v>
      </c>
      <c r="B316" s="3" t="s">
        <v>317</v>
      </c>
      <c r="C316" s="3" t="str">
        <f>IFERROR(__xludf.DUMMYFUNCTION("GOOGLETRANSLATE(B316,""id"",""en"")"),"['Like', 'Features',' Exchange ',' Points', 'Points',' Get ',' After ',' Contents', 'Reset', 'Credit', 'Transfer', 'Credit', ' Sharing ',' pulses', 'Points',' Points', 'Get', 'Exchange', 'Credit', 'Contents',' Balance ',' Linkaja ',' Enjoy ',' Game ',' Vi"&amp;"deo ' , 'game', 'buy', 'food', 'shopping', 'minimarket', 'supermarket', 'shopping', 'point', 'you know', 'point', 'collected', 'mgkn', ' Explucted ',' Gift ',' Super ',' Cool ',' Year ',' Car ',' Motor ',' Credit ',' Etc. ',' Jka ',' Lucky ']")</f>
        <v>['Like', 'Features',' Exchange ',' Points', 'Points',' Get ',' After ',' Contents', 'Reset', 'Credit', 'Transfer', 'Credit', ' Sharing ',' pulses', 'Points',' Points', 'Get', 'Exchange', 'Credit', 'Contents',' Balance ',' Linkaja ',' Enjoy ',' Game ',' Video ' , 'game', 'buy', 'food', 'shopping', 'minimarket', 'supermarket', 'shopping', 'point', 'you know', 'point', 'collected', 'mgkn', ' Explucted ',' Gift ',' Super ',' Cool ',' Year ',' Car ',' Motor ',' Credit ',' Etc. ',' Jka ',' Lucky ']</v>
      </c>
      <c r="D316" s="3">
        <v>5.0</v>
      </c>
    </row>
    <row r="317" ht="15.75" customHeight="1">
      <c r="A317" s="1">
        <v>315.0</v>
      </c>
      <c r="B317" s="3" t="s">
        <v>318</v>
      </c>
      <c r="C317" s="3" t="str">
        <f>IFERROR(__xludf.DUMMYFUNCTION("GOOGLETRANSLATE(B317,""id"",""en"")"),"['Thank you', 'Telkomsel', 'accompany me', 'Surfing', 'World', 'Maya', 'Rating', 'Fine', 'Kalu', 'Rain', 'Trouble', 'Network', ' Error ',' package ',' like ',' package ',' GB ',' GB ',' price ',' affordable ',' Fadlanbatik ']")</f>
        <v>['Thank you', 'Telkomsel', 'accompany me', 'Surfing', 'World', 'Maya', 'Rating', 'Fine', 'Kalu', 'Rain', 'Trouble', 'Network', ' Error ',' package ',' like ',' package ',' GB ',' GB ',' price ',' affordable ',' Fadlanbatik ']</v>
      </c>
      <c r="D317" s="3">
        <v>5.0</v>
      </c>
    </row>
    <row r="318" ht="15.75" customHeight="1">
      <c r="A318" s="1">
        <v>316.0</v>
      </c>
      <c r="B318" s="3" t="s">
        <v>319</v>
      </c>
      <c r="C318" s="3" t="str">
        <f>IFERROR(__xludf.DUMMYFUNCTION("GOOGLETRANSLATE(B318,""id"",""en"")"),"['users',' Telkomsel ',' tens', 'application', 'Telkomsel', 'already', 'Benerr', 'luck', 'Krna', 'HR', 'SLLU', 'check', ' Daily ',' Prizes', 'Bruma', 'Points',' Juha ',' Package ',' Data ',' Recommy ',' Film ',' Use ',' Telkomsel ',' Network ',' Normal ' "&amp;", 'Menunjamh', 'communication', 'hopefully', 'Telkomsel', 'users', 'Success', 'SLLU', 'innovate']")</f>
        <v>['users',' Telkomsel ',' tens', 'application', 'Telkomsel', 'already', 'Benerr', 'luck', 'Krna', 'HR', 'SLLU', 'check', ' Daily ',' Prizes', 'Bruma', 'Points',' Juha ',' Package ',' Data ',' Recommy ',' Film ',' Use ',' Telkomsel ',' Network ',' Normal ' , 'Menunjamh', 'communication', 'hopefully', 'Telkomsel', 'users', 'Success', 'SLLU', 'innovate']</v>
      </c>
      <c r="D318" s="3">
        <v>5.0</v>
      </c>
    </row>
    <row r="319" ht="15.75" customHeight="1">
      <c r="A319" s="1">
        <v>317.0</v>
      </c>
      <c r="B319" s="3" t="s">
        <v>320</v>
      </c>
      <c r="C319" s="3" t="str">
        <f>IFERROR(__xludf.DUMMYFUNCTION("GOOGLETRANSLATE(B319,""id"",""en"")"),"['Features',' like ',' Features', 'Package', 'Combo', 'Sakti', 'GB', 'RB', 'RB', 'Complete', 'Package', 'Call', ' SMS ',' internet ',' Full ',' in all ',' network ',' package ',' supriseedeal ',' unlimited ',' Telkomsel ',' already ',' subscription ',' pa"&amp;"ckage ',' combo ' , 'saktinya', 'app', 'Telkomsel', 'easy', 'buy', 'search', 'package', 'buy', 'package', '']")</f>
        <v>['Features',' like ',' Features', 'Package', 'Combo', 'Sakti', 'GB', 'RB', 'RB', 'Complete', 'Package', 'Call', ' SMS ',' internet ',' Full ',' in all ',' network ',' package ',' supriseedeal ',' unlimited ',' Telkomsel ',' already ',' subscription ',' package ',' combo ' , 'saktinya', 'app', 'Telkomsel', 'easy', 'buy', 'search', 'package', 'buy', 'package', '']</v>
      </c>
      <c r="D319" s="3">
        <v>5.0</v>
      </c>
    </row>
    <row r="320" ht="15.75" customHeight="1">
      <c r="A320" s="1">
        <v>318.0</v>
      </c>
      <c r="B320" s="3" t="s">
        <v>321</v>
      </c>
      <c r="C320" s="3" t="str">
        <f>IFERROR(__xludf.DUMMYFUNCTION("GOOGLETRANSLATE(B320,""id"",""en"")"),"['like', 'really', 'application', 'Telkomsel', 'check', 'quota', 'check', 'point', 'list', 'package', 'easy', 'redeem', ' Points', 'Packages',' Internet ',' Combo ',' Sakti ',' Internet ',' OMG ',' Etc. ',' Mandatory ',' Bangey ',' Donlod ',' App ', ""]")</f>
        <v>['like', 'really', 'application', 'Telkomsel', 'check', 'quota', 'check', 'point', 'list', 'package', 'easy', 'redeem', ' Points', 'Packages',' Internet ',' Combo ',' Sakti ',' Internet ',' OMG ',' Etc. ',' Mandatory ',' Bangey ',' Donlod ',' App ', "]</v>
      </c>
      <c r="D320" s="3">
        <v>5.0</v>
      </c>
    </row>
    <row r="321" ht="15.75" customHeight="1">
      <c r="A321" s="1">
        <v>319.0</v>
      </c>
      <c r="B321" s="3" t="s">
        <v>322</v>
      </c>
      <c r="C321" s="3" t="str">
        <f>IFERROR(__xludf.DUMMYFUNCTION("GOOGLETRANSLATE(B321,""id"",""en"")"),"['Help', 'Activity', 'Features',' Points', 'Fill', 'Reset', 'Points',' Exchange ',' Gift ',' Gift ',' Exciting ',' Anyway ',' like']")</f>
        <v>['Help', 'Activity', 'Features',' Points', 'Fill', 'Reset', 'Points',' Exchange ',' Gift ',' Gift ',' Exciting ',' Anyway ',' like']</v>
      </c>
      <c r="D321" s="3">
        <v>5.0</v>
      </c>
    </row>
    <row r="322" ht="15.75" customHeight="1">
      <c r="A322" s="1">
        <v>320.0</v>
      </c>
      <c r="B322" s="3" t="s">
        <v>323</v>
      </c>
      <c r="C322" s="3" t="str">
        <f>IFERROR(__xludf.DUMMYFUNCTION("GOOGLETRANSLATE(B322,""id"",""en"")"),"['Since', 'Decided', 'Card', 'Telkomsel', 'Alhamdulillah', 'Very', 'Benefit', 'Network', 'Enter', 'Region', 'said', 'Used', ' Easy ',' contents', 'pulse', 'transfer', 'pulse', 'amazing', 'contents',' reset ',' dpet ',' point ',' exchanged ',' lottery ',' "&amp;"voucher ' , 'balance', 'Linkaja', 'Thank you', 'Telkomsel']")</f>
        <v>['Since', 'Decided', 'Card', 'Telkomsel', 'Alhamdulillah', 'Very', 'Benefit', 'Network', 'Enter', 'Region', 'said', 'Used', ' Easy ',' contents', 'pulse', 'transfer', 'pulse', 'amazing', 'contents',' reset ',' dpet ',' point ',' exchanged ',' lottery ',' voucher ' , 'balance', 'Linkaja', 'Thank you', 'Telkomsel']</v>
      </c>
      <c r="D322" s="3">
        <v>5.0</v>
      </c>
    </row>
    <row r="323" ht="15.75" customHeight="1">
      <c r="A323" s="1">
        <v>321.0</v>
      </c>
      <c r="B323" s="3" t="s">
        <v>324</v>
      </c>
      <c r="C323" s="3" t="str">
        <f>IFERROR(__xludf.DUMMYFUNCTION("GOOGLETRANSLATE(B323,""id"",""en"")"),"['Wonder', 'deh', 'already', 'enter', 'application', 'verification', 'sms',' enter ',' web ',' simple ',' verification ',' pin ',' Password ',' already ',' application ',' open ',' here ',' lose ',' provider ',' simple ',' ']")</f>
        <v>['Wonder', 'deh', 'already', 'enter', 'application', 'verification', 'sms',' enter ',' web ',' simple ',' verification ',' pin ',' Password ',' already ',' application ',' open ',' here ',' lose ',' provider ',' simple ',' ']</v>
      </c>
      <c r="D323" s="3">
        <v>1.0</v>
      </c>
    </row>
    <row r="324" ht="15.75" customHeight="1">
      <c r="A324" s="1">
        <v>322.0</v>
      </c>
      <c r="B324" s="3" t="s">
        <v>325</v>
      </c>
      <c r="C324" s="3" t="str">
        <f>IFERROR(__xludf.DUMMYFUNCTION("GOOGLETRANSLATE(B324,""id"",""en"")"),"['MyTelkomsel', 'application', 'addicted', 'addicted', 'buy', 'pulses',' addicted ',' buy ',' quota ',' addicted ',' promo ',' promo ',' MyTelkomsel ',' addicted ',' times', 'Exchange', 'Points',' Follow ',' Giveaway ',' MyTelkomsel ',' Family ',' Friends"&amp;"', 'Friends',' Friends', 'Anyway' , 'MyTelkomsel', 'leading', 'trusted', 'proven', 'quality', 'thank', 'love', 'MyTelkomsel', ""]")</f>
        <v>['MyTelkomsel', 'application', 'addicted', 'addicted', 'buy', 'pulses',' addicted ',' buy ',' quota ',' addicted ',' promo ',' promo ',' MyTelkomsel ',' addicted ',' times', 'Exchange', 'Points',' Follow ',' Giveaway ',' MyTelkomsel ',' Family ',' Friends', 'Friends',' Friends', 'Anyway' , 'MyTelkomsel', 'leading', 'trusted', 'proven', 'quality', 'thank', 'love', 'MyTelkomsel', "]</v>
      </c>
      <c r="D324" s="3">
        <v>5.0</v>
      </c>
    </row>
    <row r="325" ht="15.75" customHeight="1">
      <c r="A325" s="1">
        <v>323.0</v>
      </c>
      <c r="B325" s="3" t="s">
        <v>326</v>
      </c>
      <c r="C325" s="3" t="str">
        <f>IFERROR(__xludf.DUMMYFUNCTION("GOOGLETRANSLATE(B325,""id"",""en"")"),"['satisfying', 'buy', 'pulse', 'package', 'easy', 'payment', 'choice', 'practical', 'worry', 'run out', 'pulses',' urgent ',' Promo ',' Event ',' really ',' like ',' features', 'Daily', 'Chek', 'Pay', 'Like', 'Package', 'Combo', 'Sakti', 'Unlimited' , 'Te"&amp;"lkomsel', 'price', 'package', 'internet', 'cheap', 'compared to', 'love', 'Telkomsel', '']")</f>
        <v>['satisfying', 'buy', 'pulse', 'package', 'easy', 'payment', 'choice', 'practical', 'worry', 'run out', 'pulses',' urgent ',' Promo ',' Event ',' really ',' like ',' features', 'Daily', 'Chek', 'Pay', 'Like', 'Package', 'Combo', 'Sakti', 'Unlimited' , 'Telkomsel', 'price', 'package', 'internet', 'cheap', 'compared to', 'love', 'Telkomsel', '']</v>
      </c>
      <c r="D325" s="3">
        <v>5.0</v>
      </c>
    </row>
    <row r="326" ht="15.75" customHeight="1">
      <c r="A326" s="1">
        <v>324.0</v>
      </c>
      <c r="B326" s="3" t="s">
        <v>327</v>
      </c>
      <c r="C326" s="3" t="str">
        <f>IFERROR(__xludf.DUMMYFUNCTION("GOOGLETRANSLATE(B326,""id"",""en"")"),"['Satisfied', 'Telkomsel', 'Package', 'Internet', 'Unlimited', 'GB', 'Rp', 'Save', 'Thank', 'You', 'MyTelkomsel']")</f>
        <v>['Satisfied', 'Telkomsel', 'Package', 'Internet', 'Unlimited', 'GB', 'Rp', 'Save', 'Thank', 'You', 'MyTelkomsel']</v>
      </c>
      <c r="D326" s="3">
        <v>5.0</v>
      </c>
    </row>
    <row r="327" ht="15.75" customHeight="1">
      <c r="A327" s="1">
        <v>325.0</v>
      </c>
      <c r="B327" s="3" t="s">
        <v>328</v>
      </c>
      <c r="C327" s="3" t="str">
        <f>IFERROR(__xludf.DUMMYFUNCTION("GOOGLETRANSLATE(B327,""id"",""en"")"),"['application', 'steady', 'save', 'space', 'storage', 'user', 'friendly', 'promo', 'giveaway', 'provide', 'application', ' steady']")</f>
        <v>['application', 'steady', 'save', 'space', 'storage', 'user', 'friendly', 'promo', 'giveaway', 'provide', 'application', ' steady']</v>
      </c>
      <c r="D327" s="3">
        <v>5.0</v>
      </c>
    </row>
    <row r="328" ht="15.75" customHeight="1">
      <c r="A328" s="1">
        <v>326.0</v>
      </c>
      <c r="B328" s="3" t="s">
        <v>329</v>
      </c>
      <c r="C328" s="3" t="str">
        <f>IFERROR(__xludf.DUMMYFUNCTION("GOOGLETRANSLATE(B328,""id"",""en"")"),"['Feature', 'Help', 'Favorites',' Exchange ',' Points', 'Balance', 'Link', 'Rescuer', 'Credit', 'Thinning', 'Feature', 'Exchange', ' Points', 'Shopback', 'User', 'Marketplace', 'Cashback', 'Shopback', 'Exchange', 'Points',' Telkomsel ',' Useful ',' Save '"&amp;",' Expenditures', 'Shopping' , 'Cool', 'MyTelkomsel', 'Continue', 'Undi', 'Hepi', 'Curious', 'users', 'Telkomsel', 'fortunate']")</f>
        <v>['Feature', 'Help', 'Favorites',' Exchange ',' Points', 'Balance', 'Link', 'Rescuer', 'Credit', 'Thinning', 'Feature', 'Exchange', ' Points', 'Shopback', 'User', 'Marketplace', 'Cashback', 'Shopback', 'Exchange', 'Points',' Telkomsel ',' Useful ',' Save ',' Expenditures', 'Shopping' , 'Cool', 'MyTelkomsel', 'Continue', 'Undi', 'Hepi', 'Curious', 'users', 'Telkomsel', 'fortunate']</v>
      </c>
      <c r="D328" s="3">
        <v>5.0</v>
      </c>
    </row>
    <row r="329" ht="15.75" customHeight="1">
      <c r="A329" s="1">
        <v>327.0</v>
      </c>
      <c r="B329" s="3" t="s">
        <v>330</v>
      </c>
      <c r="C329" s="3" t="str">
        <f>IFERROR(__xludf.DUMMYFUNCTION("GOOGLETRANSLATE(B329,""id"",""en"")"),"['application', 'good', 'list', 'package', 'complete', 'application', 'Telkomsel', 'like', 'really', 'application', 'make it easy', 'purchase', ' Internet packages', '']")</f>
        <v>['application', 'good', 'list', 'package', 'complete', 'application', 'Telkomsel', 'like', 'really', 'application', 'make it easy', 'purchase', ' Internet packages', '']</v>
      </c>
      <c r="D329" s="3">
        <v>5.0</v>
      </c>
    </row>
    <row r="330" ht="15.75" customHeight="1">
      <c r="A330" s="1">
        <v>328.0</v>
      </c>
      <c r="B330" s="3" t="s">
        <v>331</v>
      </c>
      <c r="C330" s="3" t="str">
        <f>IFERROR(__xludf.DUMMYFUNCTION("GOOGLETRANSLATE(B330,""id"",""en"")"),"['', 'Telkomsel', 'Mantull', 'abizzz', 'internet', 'banter', 'package', 'cancer', 'pouch', 'dry', 'cave', 'like', 'paketan ',' Combo ',' Sakti ',' bonus', 'additional', 'quota', 'GB', 'bonus',' subscription ',' Disney ',' Hotstar ',' emang ',' Telkomsel '"&amp;", 'The', 'Best', '']")</f>
        <v>['', 'Telkomsel', 'Mantull', 'abizzz', 'internet', 'banter', 'package', 'cancer', 'pouch', 'dry', 'cave', 'like', 'paketan ',' Combo ',' Sakti ',' bonus', 'additional', 'quota', 'GB', 'bonus',' subscription ',' Disney ',' Hotstar ',' emang ',' Telkomsel ', 'The', 'Best', '']</v>
      </c>
      <c r="D330" s="3">
        <v>5.0</v>
      </c>
    </row>
    <row r="331" ht="15.75" customHeight="1">
      <c r="A331" s="1">
        <v>329.0</v>
      </c>
      <c r="B331" s="3" t="s">
        <v>332</v>
      </c>
      <c r="C331" s="3" t="str">
        <f>IFERROR(__xludf.DUMMYFUNCTION("GOOGLETRANSLATE(B331,""id"",""en"")"),"['like', 'really', 'feature', 'buy', 'package', 'pay', 'know', 'credit', 'Linkaja', 'Gopay', 'funds',' wallet ',' Cool ',' no ',' emang ',' deh ',' application ',' mytelkomsel ',' ']")</f>
        <v>['like', 'really', 'feature', 'buy', 'package', 'pay', 'know', 'credit', 'Linkaja', 'Gopay', 'funds',' wallet ',' Cool ',' no ',' emang ',' deh ',' application ',' mytelkomsel ',' ']</v>
      </c>
      <c r="D331" s="3">
        <v>5.0</v>
      </c>
    </row>
    <row r="332" ht="15.75" customHeight="1">
      <c r="A332" s="1">
        <v>330.0</v>
      </c>
      <c r="B332" s="3" t="s">
        <v>333</v>
      </c>
      <c r="C332" s="3" t="str">
        <f>IFERROR(__xludf.DUMMYFUNCTION("GOOGLETRANSLATE(B332,""id"",""en"")"),"['application', 'MyTelkomsel', 'help', 'makes it easy', 'check', 'pulse', 'buy', 'quota', 'top', 'money', 'package', 'quota', ' Like ',' quota ',' lapse ',' quota ',' used ',' according to ',' need ',' mainly ',' MyTelkomsel ',' best ']")</f>
        <v>['application', 'MyTelkomsel', 'help', 'makes it easy', 'check', 'pulse', 'buy', 'quota', 'top', 'money', 'package', 'quota', ' Like ',' quota ',' lapse ',' quota ',' used ',' according to ',' need ',' mainly ',' MyTelkomsel ',' best ']</v>
      </c>
      <c r="D332" s="3">
        <v>5.0</v>
      </c>
    </row>
    <row r="333" ht="15.75" customHeight="1">
      <c r="A333" s="1">
        <v>331.0</v>
      </c>
      <c r="B333" s="3" t="s">
        <v>334</v>
      </c>
      <c r="C333" s="3" t="str">
        <f>IFERROR(__xludf.DUMMYFUNCTION("GOOGLETRANSLATE(B333,""id"",""en"")"),"['', 'Telkomsel', 'have', 'look', 'good', 'neat', 'it's easy', 'users',' check ',' number ',' telephone ',' leftover ',' pulsa ',' leftover ',' quota ',' exchanging ',' Telkomsel ',' Points', 'have', 'Telkomsel', 'have', 'features',' it's easy ',' buy ','"&amp;" need ', 'Digital', 'Payment', 'Features', 'Like', 'Daily', 'Check', 'There', 'Check', 'Stamp', 'Exchange', 'Gift', ""]")</f>
        <v>['', 'Telkomsel', 'have', 'look', 'good', 'neat', 'it's easy', 'users',' check ',' number ',' telephone ',' leftover ',' pulsa ',' leftover ',' quota ',' exchanging ',' Telkomsel ',' Points', 'have', 'Telkomsel', 'have', 'features',' it's easy ',' buy ',' need ', 'Digital', 'Payment', 'Features', 'Like', 'Daily', 'Check', 'There', 'Check', 'Stamp', 'Exchange', 'Gift', "]</v>
      </c>
      <c r="D333" s="3">
        <v>5.0</v>
      </c>
    </row>
    <row r="334" ht="15.75" customHeight="1">
      <c r="A334" s="1">
        <v>332.0</v>
      </c>
      <c r="B334" s="3" t="s">
        <v>335</v>
      </c>
      <c r="C334" s="3" t="str">
        <f>IFERROR(__xludf.DUMMYFUNCTION("GOOGLETRANSLATE(B334,""id"",""en"")"),"['Use', 'MyTelkomsel', 'easy', 'cheap', 'like', 'package', 'combo', 'Sakti', 'package', 'stew', 'according to', ' Anyway ',' Success', 'Telkomsel', '']")</f>
        <v>['Use', 'MyTelkomsel', 'easy', 'cheap', 'like', 'package', 'combo', 'Sakti', 'package', 'stew', 'according to', ' Anyway ',' Success', 'Telkomsel', '']</v>
      </c>
      <c r="D334" s="3">
        <v>5.0</v>
      </c>
    </row>
    <row r="335" ht="15.75" customHeight="1">
      <c r="A335" s="1">
        <v>333.0</v>
      </c>
      <c r="B335" s="3" t="s">
        <v>336</v>
      </c>
      <c r="C335" s="3" t="str">
        <f>IFERROR(__xludf.DUMMYFUNCTION("GOOGLETRANSLATE(B335,""id"",""en"")"),"['really', 'really', 'application', 'MyTelkomsel', 'price', 'package', 'data', 'affordable', 'combo', 'Sakti', 'quota', 'main', ' run out ',' worry ',' play ',' sosmed ',' features', 'daily', 'check', 'dapetin', 'bonus',' quota ',' asyiik ',' really ',' b"&amp;"asics' , 'Love', 'MyTelkomsel', '']")</f>
        <v>['really', 'really', 'application', 'MyTelkomsel', 'price', 'package', 'data', 'affordable', 'combo', 'Sakti', 'quota', 'main', ' run out ',' worry ',' play ',' sosmed ',' features', 'daily', 'check', 'dapetin', 'bonus',' quota ',' asyiik ',' really ',' basics' , 'Love', 'MyTelkomsel', '']</v>
      </c>
      <c r="D335" s="3">
        <v>5.0</v>
      </c>
    </row>
    <row r="336" ht="15.75" customHeight="1">
      <c r="A336" s="1">
        <v>334.0</v>
      </c>
      <c r="B336" s="3" t="s">
        <v>337</v>
      </c>
      <c r="C336" s="3" t="str">
        <f>IFERROR(__xludf.DUMMYFUNCTION("GOOGLETRANSLATE(B336,""id"",""en"")"),"['Useful', 'Applicative', 'Application', 'Telkomsel', 'Direct', 'Connected', 'Link', 'Easy', 'Fill', 'Pulse', 'Paketan', 'Data', ' ']")</f>
        <v>['Useful', 'Applicative', 'Application', 'Telkomsel', 'Direct', 'Connected', 'Link', 'Easy', 'Fill', 'Pulse', 'Paketan', 'Data', ' ']</v>
      </c>
      <c r="D336" s="3">
        <v>5.0</v>
      </c>
    </row>
    <row r="337" ht="15.75" customHeight="1">
      <c r="A337" s="1">
        <v>335.0</v>
      </c>
      <c r="B337" s="3" t="s">
        <v>338</v>
      </c>
      <c r="C337" s="3" t="str">
        <f>IFERROR(__xludf.DUMMYFUNCTION("GOOGLETRANSLATE(B337,""id"",""en"")"),"['Suka', 'really', 'Application', 'practical', 'complete', 'top', 'pulse', 'contents',' package ',' reward ',' home ',' quality ',' Min ',' subscription ',' Package ',' Combo ',' Sakti ',' Benefit ',' Internet ',' Unlimited ',' Free ',' Telfon ',' SMS ','"&amp;" Yeayy ',' MyFavorite ' , 'package', '']")</f>
        <v>['Suka', 'really', 'Application', 'practical', 'complete', 'top', 'pulse', 'contents',' package ',' reward ',' home ',' quality ',' Min ',' subscription ',' Package ',' Combo ',' Sakti ',' Benefit ',' Internet ',' Unlimited ',' Free ',' Telfon ',' SMS ',' Yeayy ',' MyFavorite ' , 'package', '']</v>
      </c>
      <c r="D337" s="3">
        <v>5.0</v>
      </c>
    </row>
    <row r="338" ht="15.75" customHeight="1">
      <c r="A338" s="1">
        <v>336.0</v>
      </c>
      <c r="B338" s="3" t="s">
        <v>339</v>
      </c>
      <c r="C338" s="3" t="str">
        <f>IFERROR(__xludf.DUMMYFUNCTION("GOOGLETRANSLATE(B338,""id"",""en"")"),"['Application', 'MyTelkomsel', 'App', 'Useful', 'User', 'Card', 'Telkomsel', 'Information', 'Additional', 'Get', 'Check', 'USSD', ' Code ',' makes it easy ',' leftover ',' pulse ',' leftover ',' package ',' internet ',' active ',' application ',' makes it"&amp;" easy ',' search ',' package ',' internet ' , 'offer', 'price', 'best', 'makes it easy', 'redemption', 'point', 'voucher', 'discount', '']")</f>
        <v>['Application', 'MyTelkomsel', 'App', 'Useful', 'User', 'Card', 'Telkomsel', 'Information', 'Additional', 'Get', 'Check', 'USSD', ' Code ',' makes it easy ',' leftover ',' pulse ',' leftover ',' package ',' internet ',' active ',' application ',' makes it easy ',' search ',' package ',' internet ' , 'offer', 'price', 'best', 'makes it easy', 'redemption', 'point', 'voucher', 'discount', '']</v>
      </c>
      <c r="D338" s="3">
        <v>5.0</v>
      </c>
    </row>
    <row r="339" ht="15.75" customHeight="1">
      <c r="A339" s="1">
        <v>337.0</v>
      </c>
      <c r="B339" s="3" t="s">
        <v>340</v>
      </c>
      <c r="C339" s="3" t="str">
        <f>IFERROR(__xludf.DUMMYFUNCTION("GOOGLETRANSLATE(B339,""id"",""en"")"),"['like', 'application', 'makes it easy', 'users',' application ',' see ',' credit ',' buy ',' pulse ',' buy ',' quota ',' internet ',' check ',' quota ',' internet ',' check ',' point ',' like ',' daily ',' chek ',' reward ',' really ']")</f>
        <v>['like', 'application', 'makes it easy', 'users',' application ',' see ',' credit ',' buy ',' pulse ',' buy ',' quota ',' internet ',' check ',' quota ',' internet ',' check ',' point ',' like ',' daily ',' chek ',' reward ',' really ']</v>
      </c>
      <c r="D339" s="3">
        <v>5.0</v>
      </c>
    </row>
    <row r="340" ht="15.75" customHeight="1">
      <c r="A340" s="1">
        <v>338.0</v>
      </c>
      <c r="B340" s="3" t="s">
        <v>341</v>
      </c>
      <c r="C340" s="3" t="str">
        <f>IFERROR(__xludf.DUMMYFUNCTION("GOOGLETRANSLATE(B340,""id"",""en"")"),"['Help', 'transaction', 'electronics',' difficult ',' lgi ',' deh ',' buy ',' package ',' pulse ',' counter ',' closest ',' stay ',' Open ',' Application ',' MyTelkomsel ',' Stay ',' Direct ',' Buy ',' Thank ',' Love ',' MyTelkomsel ', ""]")</f>
        <v>['Help', 'transaction', 'electronics',' difficult ',' lgi ',' deh ',' buy ',' package ',' pulse ',' counter ',' closest ',' stay ',' Open ',' Application ',' MyTelkomsel ',' Stay ',' Direct ',' Buy ',' Thank ',' Love ',' MyTelkomsel ', "]</v>
      </c>
      <c r="D340" s="3">
        <v>5.0</v>
      </c>
    </row>
    <row r="341" ht="15.75" customHeight="1">
      <c r="A341" s="1">
        <v>339.0</v>
      </c>
      <c r="B341" s="3" t="s">
        <v>342</v>
      </c>
      <c r="C341" s="3" t="str">
        <f>IFERROR(__xludf.DUMMYFUNCTION("GOOGLETRANSLATE(B341,""id"",""en"")"),"['Please', 'Sorry', 'Message', 'Message', 'Written', 'BLM', 'Pay', 'Data', 'Emergency', 'Pay', 'BLM', 'Package', ' emergency ',' please ',' help ',' karna ']")</f>
        <v>['Please', 'Sorry', 'Message', 'Message', 'Written', 'BLM', 'Pay', 'Data', 'Emergency', 'Pay', 'BLM', 'Package', ' emergency ',' please ',' help ',' karna ']</v>
      </c>
      <c r="D341" s="3">
        <v>4.0</v>
      </c>
    </row>
    <row r="342" ht="15.75" customHeight="1">
      <c r="A342" s="1">
        <v>340.0</v>
      </c>
      <c r="B342" s="3" t="s">
        <v>343</v>
      </c>
      <c r="C342" s="3" t="str">
        <f>IFERROR(__xludf.DUMMYFUNCTION("GOOGLETRANSLATE(B342,""id"",""en"")"),"['satisfying', 'buy', 'pulse', 'package', 'easy', 'cheap', 'fast', 'payment', 'choice', 'shop', 'pay', 'no', ' worried ',' run out ',' pulse ',' at the time ',' urgent ',' promo ',' event ',' like ',' features', 'daily', 'chek', 'pay', 'get' , 'Macem', ''"&amp;"]")</f>
        <v>['satisfying', 'buy', 'pulse', 'package', 'easy', 'cheap', 'fast', 'payment', 'choice', 'shop', 'pay', 'no', ' worried ',' run out ',' pulse ',' at the time ',' urgent ',' promo ',' event ',' like ',' features', 'daily', 'chek', 'pay', 'get' , 'Macem', '']</v>
      </c>
      <c r="D342" s="3">
        <v>5.0</v>
      </c>
    </row>
    <row r="343" ht="15.75" customHeight="1">
      <c r="A343" s="1">
        <v>341.0</v>
      </c>
      <c r="B343" s="3" t="s">
        <v>344</v>
      </c>
      <c r="C343" s="3" t="str">
        <f>IFERROR(__xludf.DUMMYFUNCTION("GOOGLETRANSLATE(B343,""id"",""en"")"),"['application', 'useful', 'features',' good ',' contents', 'pulse', 'buy', 'package', 'donation', 'features',' Like ',' fitu ',' Veronica ',' obstacles', 'direct', 'chat', 'Dengen', 'fast', 'resolved', 'call', 'call', 'center', 'Telkomsel', 'thank', 'love"&amp;"' , 'Telkomsel', 'present', 'benefits', 'Indonesia', '']")</f>
        <v>['application', 'useful', 'features',' good ',' contents', 'pulse', 'buy', 'package', 'donation', 'features',' Like ',' fitu ',' Veronica ',' obstacles', 'direct', 'chat', 'Dengen', 'fast', 'resolved', 'call', 'call', 'center', 'Telkomsel', 'thank', 'love' , 'Telkomsel', 'present', 'benefits', 'Indonesia', '']</v>
      </c>
      <c r="D343" s="3">
        <v>5.0</v>
      </c>
    </row>
    <row r="344" ht="15.75" customHeight="1">
      <c r="A344" s="1">
        <v>342.0</v>
      </c>
      <c r="B344" s="3" t="s">
        <v>345</v>
      </c>
      <c r="C344" s="3" t="str">
        <f>IFERROR(__xludf.DUMMYFUNCTION("GOOGLETRANSLATE(B344,""id"",""en"")"),"['Download', 'Application', 'MyTelkomsel', 'Ribet', 'Check', 'Credit', 'Check', 'Quota', 'Call', 'SMS', 'Package', 'Data', ' Check ',' Balance ',' Linkaja ',' Open ',' Application ',' In my opinion ',' Help ',' Equipped ',' Feature ',' Like ',' Exchange '"&amp;",' Points', 'Swinger' , 'Points',' Telkomsel ',' application ',' MyTelkomsel ',' balance ',' Linkaja ',' increased ',' RB ',' Rupiah ',' Not bad ',' buy ',' snack ',' Nakar ',' Points', 'The opportunity', 'Win', 'Samsung', 'Ultra', 'TKS', 'MyTelkomsel', "&amp;"""]")</f>
        <v>['Download', 'Application', 'MyTelkomsel', 'Ribet', 'Check', 'Credit', 'Check', 'Quota', 'Call', 'SMS', 'Package', 'Data', ' Check ',' Balance ',' Linkaja ',' Open ',' Application ',' In my opinion ',' Help ',' Equipped ',' Feature ',' Like ',' Exchange ',' Points', 'Swinger' , 'Points',' Telkomsel ',' application ',' MyTelkomsel ',' balance ',' Linkaja ',' increased ',' RB ',' Rupiah ',' Not bad ',' buy ',' snack ',' Nakar ',' Points', 'The opportunity', 'Win', 'Samsung', 'Ultra', 'TKS', 'MyTelkomsel', "]</v>
      </c>
      <c r="D344" s="3">
        <v>5.0</v>
      </c>
    </row>
    <row r="345" ht="15.75" customHeight="1">
      <c r="A345" s="1">
        <v>343.0</v>
      </c>
      <c r="B345" s="3" t="s">
        <v>346</v>
      </c>
      <c r="C345" s="3" t="str">
        <f>IFERROR(__xludf.DUMMYFUNCTION("GOOGLETRANSLATE(B345,""id"",""en"")"),"['manteppp', 'really', 'application', 'profit', 'get', 'pulse', 'free', 'promo', 'lottery', 'gift', 'good', 'job', ' good luck', '']")</f>
        <v>['manteppp', 'really', 'application', 'profit', 'get', 'pulse', 'free', 'promo', 'lottery', 'gift', 'good', 'job', ' good luck', '']</v>
      </c>
      <c r="D345" s="3">
        <v>5.0</v>
      </c>
    </row>
    <row r="346" ht="15.75" customHeight="1">
      <c r="A346" s="1">
        <v>344.0</v>
      </c>
      <c r="B346" s="3" t="s">
        <v>347</v>
      </c>
      <c r="C346" s="3" t="str">
        <f>IFERROR(__xludf.DUMMYFUNCTION("GOOGLETRANSLATE(B346,""id"",""en"")"),"['', 'Telkomsel', 'application', 'easy', 'user', 'loyal', 'Telkomsel', 'interface', 'tasty', 'viewed', 'login', 'easy', 'features ',' features', 'in it', 'help', 'really', 'wrong', 'features',' my favorite ',' check ',' leftover ',' quota ',' features', '"&amp;"use', 'quota', 'the rest', 'saving', 'quota', 'internet', 'save', 'buy', 'quota', 'internet', 'quota', 'internet', 'finished', 'accept ', 'love', '']")</f>
        <v>['', 'Telkomsel', 'application', 'easy', 'user', 'loyal', 'Telkomsel', 'interface', 'tasty', 'viewed', 'login', 'easy', 'features ',' features', 'in it', 'help', 'really', 'wrong', 'features',' my favorite ',' check ',' leftover ',' quota ',' features', 'use', 'quota', 'the rest', 'saving', 'quota', 'internet', 'save', 'buy', 'quota', 'internet', 'quota', 'internet', 'finished', 'accept ', 'love', '']</v>
      </c>
      <c r="D346" s="3">
        <v>5.0</v>
      </c>
    </row>
    <row r="347" ht="15.75" customHeight="1">
      <c r="A347" s="1">
        <v>345.0</v>
      </c>
      <c r="B347" s="3" t="s">
        <v>348</v>
      </c>
      <c r="C347" s="3" t="str">
        <f>IFERROR(__xludf.DUMMYFUNCTION("GOOGLETRANSLATE(B347,""id"",""en"")"),"['', 'Application', 'MyTelkomsel', 'Like', 'Features',' Daily ',' Check ',' Telkomsel ',' Points', 'Promo', 'Understanding', 'Women', 'Easy ',' Teriberr ',' smell ',' promo ',' feature ',' choice ',' package ',' update ',' check ',' sapatau ',' surprise '"&amp;",' deal ',' basics', 'MyTelkomsel', 'Help', 'Customer', 'User', 'Data', 'Internet', 'Telkomsel', ""]")</f>
        <v>['', 'Application', 'MyTelkomsel', 'Like', 'Features',' Daily ',' Check ',' Telkomsel ',' Points', 'Promo', 'Understanding', 'Women', 'Easy ',' Teriberr ',' smell ',' promo ',' feature ',' choice ',' package ',' update ',' check ',' sapatau ',' surprise ',' deal ',' basics', 'MyTelkomsel', 'Help', 'Customer', 'User', 'Data', 'Internet', 'Telkomsel', "]</v>
      </c>
      <c r="D347" s="3">
        <v>5.0</v>
      </c>
    </row>
    <row r="348" ht="15.75" customHeight="1">
      <c r="A348" s="1">
        <v>346.0</v>
      </c>
      <c r="B348" s="3" t="s">
        <v>349</v>
      </c>
      <c r="C348" s="3" t="str">
        <f>IFERROR(__xludf.DUMMYFUNCTION("GOOGLETRANSLATE(B348,""id"",""en"")"),"['Like', 'Features',' Daily ',' Chek ',' Package ',' Combo ',' Sakti ',' Unlimited ',' Karna ',' Buy ',' Application ',' Telkomsel ',' Prices', 'packages',' internet ',' unlimited ',' cheap ',' appeal ',' ']")</f>
        <v>['Like', 'Features',' Daily ',' Chek ',' Package ',' Combo ',' Sakti ',' Unlimited ',' Karna ',' Buy ',' Application ',' Telkomsel ',' Prices', 'packages',' internet ',' unlimited ',' cheap ',' appeal ',' ']</v>
      </c>
      <c r="D348" s="3">
        <v>5.0</v>
      </c>
    </row>
    <row r="349" ht="15.75" customHeight="1">
      <c r="A349" s="1">
        <v>347.0</v>
      </c>
      <c r="B349" s="3" t="s">
        <v>350</v>
      </c>
      <c r="C349" s="3" t="str">
        <f>IFERROR(__xludf.DUMMYFUNCTION("GOOGLETRANSLATE(B349,""id"",""en"")"),"['application', 'MyTelkomsel', 'easy', 'check', 'pulse', 'quota', 'internet', 'buy', 'pulse', 'quota', 'internet', 'promo', ' interesting']")</f>
        <v>['application', 'MyTelkomsel', 'easy', 'check', 'pulse', 'quota', 'internet', 'buy', 'pulse', 'quota', 'internet', 'promo', ' interesting']</v>
      </c>
      <c r="D349" s="3">
        <v>5.0</v>
      </c>
    </row>
    <row r="350" ht="15.75" customHeight="1">
      <c r="A350" s="1">
        <v>348.0</v>
      </c>
      <c r="B350" s="3" t="s">
        <v>351</v>
      </c>
      <c r="C350" s="3" t="str">
        <f>IFERROR(__xludf.DUMMYFUNCTION("GOOGLETRANSLATE(B350,""id"",""en"")"),"['Application', 'Telkomsel', 'Helpful', 'User', 'KarenabMetakkan', 'Purchase', 'Package', 'Data', 'Credit', 'Exchange', 'Points',' Gunain ',' application ',' buy ',' package ',' data ',' cheap ',' lho ',' drpd ',' diconter ',' payment ',' easy ',' use ','"&amp;" linkaja ',' apalgi ' , 'quota', 'he told', 'cheap', 'really', 'buy', 'quota', 'throng', 'thank you', 'Telkomsel', 'keep', 'multiply', 'features',' Unique ',' inside ',' the application ',' Happy ',' use ',' Telkomsel ', ""]")</f>
        <v>['Application', 'Telkomsel', 'Helpful', 'User', 'KarenabMetakkan', 'Purchase', 'Package', 'Data', 'Credit', 'Exchange', 'Points',' Gunain ',' application ',' buy ',' package ',' data ',' cheap ',' lho ',' drpd ',' diconter ',' payment ',' easy ',' use ',' linkaja ',' apalgi ' , 'quota', 'he told', 'cheap', 'really', 'buy', 'quota', 'throng', 'thank you', 'Telkomsel', 'keep', 'multiply', 'features',' Unique ',' inside ',' the application ',' Happy ',' use ',' Telkomsel ', "]</v>
      </c>
      <c r="D350" s="3">
        <v>5.0</v>
      </c>
    </row>
    <row r="351" ht="15.75" customHeight="1">
      <c r="A351" s="1">
        <v>349.0</v>
      </c>
      <c r="B351" s="3" t="s">
        <v>352</v>
      </c>
      <c r="C351" s="3" t="str">
        <f>IFERROR(__xludf.DUMMYFUNCTION("GOOGLETRANSLATE(B351,""id"",""en"")"),"['Help', 'application', 'MyTelkomsel', 'easy', 'purchase', 'package', 'easy', 'leftover', 'credit', 'quota', 'feature', 'like', ' MyTelkomsel ',' Daily ',' Checkin ',' Reward ',' DPT ',' Collection ',' Stamp ',' Heart ']")</f>
        <v>['Help', 'application', 'MyTelkomsel', 'easy', 'purchase', 'package', 'easy', 'leftover', 'credit', 'quota', 'feature', 'like', ' MyTelkomsel ',' Daily ',' Checkin ',' Reward ',' DPT ',' Collection ',' Stamp ',' Heart ']</v>
      </c>
      <c r="D351" s="3">
        <v>5.0</v>
      </c>
    </row>
    <row r="352" ht="15.75" customHeight="1">
      <c r="A352" s="1">
        <v>350.0</v>
      </c>
      <c r="B352" s="3" t="s">
        <v>353</v>
      </c>
      <c r="C352" s="3" t="str">
        <f>IFERROR(__xludf.DUMMYFUNCTION("GOOGLETRANSLATE(B352,""id"",""en"")"),"['application', 'favorite', 'check', 'pulse', 'check', 'quota', 'buy', 'package', 'exchange', 'point', 'use', 'application', ' MyTelkomsel ',' Application ',' Disappointed ',' Check ',' Points', 'Love', 'Deh']")</f>
        <v>['application', 'favorite', 'check', 'pulse', 'check', 'quota', 'buy', 'package', 'exchange', 'point', 'use', 'application', ' MyTelkomsel ',' Application ',' Disappointed ',' Check ',' Points', 'Love', 'Deh']</v>
      </c>
      <c r="D352" s="3">
        <v>5.0</v>
      </c>
    </row>
    <row r="353" ht="15.75" customHeight="1">
      <c r="A353" s="1">
        <v>351.0</v>
      </c>
      <c r="B353" s="3" t="s">
        <v>354</v>
      </c>
      <c r="C353" s="3" t="str">
        <f>IFERROR(__xludf.DUMMYFUNCTION("GOOGLETRANSLATE(B353,""id"",""en"")"),"['already', 'use', 'Telkomsel', 'right', 'college', 'already', 'home', 'ladder', 'child', 'use', 'Telkomsel', 'The', ' Best ',' signal ',' package ',' promo ',' call ',' quota ',' wusss', 'wuss',' wusss', 'slow', 'provider', 'mainstay', 'number' , 'for me"&amp;"', 'loyal', 'difficult', 'turn', '']")</f>
        <v>['already', 'use', 'Telkomsel', 'right', 'college', 'already', 'home', 'ladder', 'child', 'use', 'Telkomsel', 'The', ' Best ',' signal ',' package ',' promo ',' call ',' quota ',' wusss', 'wuss',' wusss', 'slow', 'provider', 'mainstay', 'number' , 'for me', 'loyal', 'difficult', 'turn', '']</v>
      </c>
      <c r="D353" s="3">
        <v>5.0</v>
      </c>
    </row>
    <row r="354" ht="15.75" customHeight="1">
      <c r="A354" s="1">
        <v>352.0</v>
      </c>
      <c r="B354" s="3" t="s">
        <v>355</v>
      </c>
      <c r="C354" s="3" t="str">
        <f>IFERROR(__xludf.DUMMYFUNCTION("GOOGLETRANSLATE(B354,""id"",""en"")"),"['Like', 'Application', 'Telkomsel', 'Karnabhamya', 'With', 'Click', 'Already', 'Access to', 'Muai', 'Check', 'Kouta', 'Credit', ' activation ',' card ',' basically ',' bnayak ',' deh ',' discussed ',' koutabtuh ',' paing ',' like ',' combo ',' wakti ',' "&amp;"because 'there' , 'already', 'package', 'data', 'package', 'nelfon', 'SMS', 'play', 'game', 'Rice', 'Newlen', 'Anyway', 'Telkomsel', ' Best ',' deh ',' already ',' combo ',' magic ',' kayakan ',' kaykanya ',' steady ',' bangetttttt ']")</f>
        <v>['Like', 'Application', 'Telkomsel', 'Karnabhamya', 'With', 'Click', 'Already', 'Access to', 'Muai', 'Check', 'Kouta', 'Credit', ' activation ',' card ',' basically ',' bnayak ',' deh ',' discussed ',' koutabtuh ',' paing ',' like ',' combo ',' wakti ',' because 'there' , 'already', 'package', 'data', 'package', 'nelfon', 'SMS', 'play', 'game', 'Rice', 'Newlen', 'Anyway', 'Telkomsel', ' Best ',' deh ',' already ',' combo ',' magic ',' kayakan ',' kaykanya ',' steady ',' bangetttttt ']</v>
      </c>
      <c r="D354" s="3">
        <v>5.0</v>
      </c>
    </row>
    <row r="355" ht="15.75" customHeight="1">
      <c r="A355" s="1">
        <v>353.0</v>
      </c>
      <c r="B355" s="3" t="s">
        <v>356</v>
      </c>
      <c r="C355" s="3" t="str">
        <f>IFERROR(__xludf.DUMMYFUNCTION("GOOGLETRANSLATE(B355,""id"",""en"")"),"['application', 'MyTelkomsel', 'okay', 'really', 'help', 'really', 'check', 'pulse', 'balance', 'Linkaja', 'quota', 'exchange', ' Points', 'Promo', 'Best', 'Deal', 'Like', 'Application', 'Recommended']")</f>
        <v>['application', 'MyTelkomsel', 'okay', 'really', 'help', 'really', 'check', 'pulse', 'balance', 'Linkaja', 'quota', 'exchange', ' Points', 'Promo', 'Best', 'Deal', 'Like', 'Application', 'Recommended']</v>
      </c>
      <c r="D355" s="3">
        <v>5.0</v>
      </c>
    </row>
    <row r="356" ht="15.75" customHeight="1">
      <c r="A356" s="1">
        <v>354.0</v>
      </c>
      <c r="B356" s="3" t="s">
        <v>357</v>
      </c>
      <c r="C356" s="3" t="str">
        <f>IFERROR(__xludf.DUMMYFUNCTION("GOOGLETRANSLATE(B356,""id"",""en"")"),"['Likes',' Features', 'Exchange', 'Points',' Offers', 'Linkaja', 'Shopping', 'Products',' Parcel ',' Etc. ',' Package ',' Like ',' Save ',' Package ',' OMG ',' GB ',' Package ',' Subscribe ',' MaxStream ',' GB ',' Current ',' Save ',' Cool ',' Love ',' My"&amp;"Telkomsel ' , 'application', 'easy', 'features', 'complete', 'really', 'update', 'fast', '']")</f>
        <v>['Likes',' Features', 'Exchange', 'Points',' Offers', 'Linkaja', 'Shopping', 'Products',' Parcel ',' Etc. ',' Package ',' Like ',' Save ',' Package ',' OMG ',' GB ',' Package ',' Subscribe ',' MaxStream ',' GB ',' Current ',' Save ',' Cool ',' Love ',' MyTelkomsel ' , 'application', 'easy', 'features', 'complete', 'really', 'update', 'fast', '']</v>
      </c>
      <c r="D356" s="3">
        <v>5.0</v>
      </c>
    </row>
    <row r="357" ht="15.75" customHeight="1">
      <c r="A357" s="1">
        <v>355.0</v>
      </c>
      <c r="B357" s="3" t="s">
        <v>358</v>
      </c>
      <c r="C357" s="3" t="str">
        <f>IFERROR(__xludf.DUMMYFUNCTION("GOOGLETRANSLATE(B357,""id"",""en"")"),"['application', 'MyTelkomsel', 'help', 'buy', 'kouta', 'package', 'need', 'according to', 'funds',' application ',' features', 'like', ' shopping ',' choice ',' buy ',' package ',' kouta ',' karna ',' promo ',' special ',' interesting ',' rather ',' buy '"&amp;",' dicounter ',' minimarket ' , '']")</f>
        <v>['application', 'MyTelkomsel', 'help', 'buy', 'kouta', 'package', 'need', 'according to', 'funds',' application ',' features', 'like', ' shopping ',' choice ',' buy ',' package ',' kouta ',' karna ',' promo ',' special ',' interesting ',' rather ',' buy ',' dicounter ',' minimarket ' , '']</v>
      </c>
      <c r="D357" s="3">
        <v>5.0</v>
      </c>
    </row>
    <row r="358" ht="15.75" customHeight="1">
      <c r="A358" s="1">
        <v>356.0</v>
      </c>
      <c r="B358" s="3" t="s">
        <v>359</v>
      </c>
      <c r="C358" s="3" t="str">
        <f>IFERROR(__xludf.DUMMYFUNCTION("GOOGLETRANSLATE(B358,""id"",""en"")"),"['Feature', 'Application', 'MyTelkomsel', 'Like', 'Fill', 'Credit', 'Buy', 'Package', 'Favorite', 'Exchange', 'Reward', ' Offered ',' Varied ',' Certain ',' Prizes', 'Helpful', 'Very', 'Success',' Telkomsel ']")</f>
        <v>['Feature', 'Application', 'MyTelkomsel', 'Like', 'Fill', 'Credit', 'Buy', 'Package', 'Favorite', 'Exchange', 'Reward', ' Offered ',' Varied ',' Certain ',' Prizes', 'Helpful', 'Very', 'Success',' Telkomsel ']</v>
      </c>
      <c r="D358" s="3">
        <v>5.0</v>
      </c>
    </row>
    <row r="359" ht="15.75" customHeight="1">
      <c r="A359" s="1">
        <v>357.0</v>
      </c>
      <c r="B359" s="3" t="s">
        <v>360</v>
      </c>
      <c r="C359" s="3" t="str">
        <f>IFERROR(__xludf.DUMMYFUNCTION("GOOGLETRANSLATE(B359,""id"",""en"")"),"['Since', 'On', 'Sell', 'Online', 'Buy', 'RAM', 'Select', 'Download', 'MyTelkomsel', 'Apps',' Buy ',' Package ',' Internet ',' cheap ',' select ',' package ',' need ',' get ',' gift ',' quota ',' daily ',' check ',' leftover ',' quota ',' pulse ' , 'scare"&amp;"d', 'quota', 'run out', 'follow', 'lottery', 'prize', 'point', 'useful', 'package', 'favorite', 'combo', 'sick', ' Full ',' quota ',' internet ',' plus', 'free', 'SMS', 'TELFON']")</f>
        <v>['Since', 'On', 'Sell', 'Online', 'Buy', 'RAM', 'Select', 'Download', 'MyTelkomsel', 'Apps',' Buy ',' Package ',' Internet ',' cheap ',' select ',' package ',' need ',' get ',' gift ',' quota ',' daily ',' check ',' leftover ',' quota ',' pulse ' , 'scared', 'quota', 'run out', 'follow', 'lottery', 'prize', 'point', 'useful', 'package', 'favorite', 'combo', 'sick', ' Full ',' quota ',' internet ',' plus', 'free', 'SMS', 'TELFON']</v>
      </c>
      <c r="D359" s="3">
        <v>5.0</v>
      </c>
    </row>
    <row r="360" ht="15.75" customHeight="1">
      <c r="A360" s="1">
        <v>358.0</v>
      </c>
      <c r="B360" s="3" t="s">
        <v>361</v>
      </c>
      <c r="C360" s="3" t="str">
        <f>IFERROR(__xludf.DUMMYFUNCTION("GOOGLETRANSLATE(B360,""id"",""en"")"),"['Telkomsel', 'bad', 'really', 'network', 'ugly', 'really', 'really', 'really', 'price', 'package', 'data', 'expensive', ' network ',' disappointing ',' muter ',' muter ',' until ',' dizzy ']")</f>
        <v>['Telkomsel', 'bad', 'really', 'network', 'ugly', 'really', 'really', 'really', 'price', 'package', 'data', 'expensive', ' network ',' disappointing ',' muter ',' muter ',' until ',' dizzy ']</v>
      </c>
      <c r="D360" s="3">
        <v>1.0</v>
      </c>
    </row>
    <row r="361" ht="15.75" customHeight="1">
      <c r="A361" s="1">
        <v>359.0</v>
      </c>
      <c r="B361" s="3" t="s">
        <v>362</v>
      </c>
      <c r="C361" s="3" t="str">
        <f>IFERROR(__xludf.DUMMYFUNCTION("GOOGLETRANSLATE(B361,""id"",""en"")"),"['Dahla', 'Bener', 'Bener', 'Not', 'Recoduced', 'Provider', 'King', 'Provider', 'Signal', 'ugly', 'really', 'cave', ' Already ',' send ',' email ',' some ',' times', 'Tetep', 'change', 'how', 'Telkomsel', 'sinya', 'threat', 'cave', 'disappointed' , 'Provi"&amp;"der', 'Dahlah', 'moved', 'cave']")</f>
        <v>['Dahla', 'Bener', 'Bener', 'Not', 'Recoduced', 'Provider', 'King', 'Provider', 'Signal', 'ugly', 'really', 'cave', ' Already ',' send ',' email ',' some ',' times', 'Tetep', 'change', 'how', 'Telkomsel', 'sinya', 'threat', 'cave', 'disappointed' , 'Provider', 'Dahlah', 'moved', 'cave']</v>
      </c>
      <c r="D361" s="3">
        <v>1.0</v>
      </c>
    </row>
    <row r="362" ht="15.75" customHeight="1">
      <c r="A362" s="1">
        <v>360.0</v>
      </c>
      <c r="B362" s="3" t="s">
        <v>363</v>
      </c>
      <c r="C362" s="3" t="str">
        <f>IFERROR(__xludf.DUMMYFUNCTION("GOOGLETRANSLATE(B362,""id"",""en"")"),"['company', 'thinking', 'customers',' credit ',' locked ',' buy ',' package ',' data ',' blm ',' buy ',' package ',' data ',' pulses', 'out', 'keuang', 'Telkomsel', 'company', 'lose', 'company', 'company', 'next door', 'thinking', 'customer', 'poor' , 'In"&amp;"formation', 'company', 'times',' poor ',' money ',' company ',' old ',' arrogant ',' rich ',' speed ',' arrogant ',' network ',' The widest ',' lose ',' think ',' customer ',' loyal ']")</f>
        <v>['company', 'thinking', 'customers',' credit ',' locked ',' buy ',' package ',' data ',' blm ',' buy ',' package ',' data ',' pulses', 'out', 'keuang', 'Telkomsel', 'company', 'lose', 'company', 'company', 'next door', 'thinking', 'customer', 'poor' , 'Information', 'company', 'times',' poor ',' money ',' company ',' old ',' arrogant ',' rich ',' speed ',' arrogant ',' network ',' The widest ',' lose ',' think ',' customer ',' loyal ']</v>
      </c>
      <c r="D362" s="3">
        <v>5.0</v>
      </c>
    </row>
    <row r="363" ht="15.75" customHeight="1">
      <c r="A363" s="1">
        <v>361.0</v>
      </c>
      <c r="B363" s="3" t="s">
        <v>364</v>
      </c>
      <c r="C363" s="3" t="str">
        <f>IFERROR(__xludf.DUMMYFUNCTION("GOOGLETRANSLATE(B363,""id"",""en"")"),"['Assalamu', 'alaikum', 'fed up', 'Telkomsel', 'astagfirullah', 'patient', 'buy', 'pulse', 'no', 'sumps',' loss', 'cave', ' No ',' bills', 'pulse', 'debt', 'GAXEL', 'Telkomsel', 'how', 'gajelass',' onnn ',' pulsaa ',' package ',' scorched ' , 'Hour', 'alr"&amp;"eady', 'Abis', 'Busett', 'Dahh', 'Tuhh', 'comfortable', 'really', 'yearnn', 'cave', 'comenn', 'skrngg']")</f>
        <v>['Assalamu', 'alaikum', 'fed up', 'Telkomsel', 'astagfirullah', 'patient', 'buy', 'pulse', 'no', 'sumps',' loss', 'cave', ' No ',' bills', 'pulse', 'debt', 'GAXEL', 'Telkomsel', 'how', 'gajelass',' onnn ',' pulsaa ',' package ',' scorched ' , 'Hour', 'already', 'Abis', 'Busett', 'Dahh', 'Tuhh', 'comfortable', 'really', 'yearnn', 'cave', 'comenn', 'skrngg']</v>
      </c>
      <c r="D363" s="3">
        <v>1.0</v>
      </c>
    </row>
    <row r="364" ht="15.75" customHeight="1">
      <c r="A364" s="1">
        <v>362.0</v>
      </c>
      <c r="B364" s="3" t="s">
        <v>365</v>
      </c>
      <c r="C364" s="3" t="str">
        <f>IFERROR(__xludf.DUMMYFUNCTION("GOOGLETRANSLATE(B364,""id"",""en"")"),"['error', 'need', 'network', 'strong', 'skrng', 'network', 'good', 'quota', 'expensive', 'customer', 'satisfied', 'please', ' Note ',' Satisfaction ',' Customer ',' Minimal ',' Network ',' Bad ',' BNI ',' Quotes', 'Love', 'Cheap', 'Anjingg', 'Promo', 'Pac"&amp;"kage' , 'Package', 'Emergency', 'for', 'Anjingh']")</f>
        <v>['error', 'need', 'network', 'strong', 'skrng', 'network', 'good', 'quota', 'expensive', 'customer', 'satisfied', 'please', ' Note ',' Satisfaction ',' Customer ',' Minimal ',' Network ',' Bad ',' BNI ',' Quotes', 'Love', 'Cheap', 'Anjingg', 'Promo', 'Package' , 'Package', 'Emergency', 'for', 'Anjingh']</v>
      </c>
      <c r="D364" s="3">
        <v>1.0</v>
      </c>
    </row>
    <row r="365" ht="15.75" customHeight="1">
      <c r="A365" s="1">
        <v>363.0</v>
      </c>
      <c r="B365" s="3" t="s">
        <v>366</v>
      </c>
      <c r="C365" s="3" t="str">
        <f>IFERROR(__xludf.DUMMYFUNCTION("GOOGLETRANSLATE(B365,""id"",""en"")"),"['Restore', 'System', 'Payment', 'Linkaja', 'Ribet', 'Very', 'Internet', 'Payment', 'Linkaja', 'Hoping', 'System', 'Payment', ' Linkaja ',' thank you ']")</f>
        <v>['Restore', 'System', 'Payment', 'Linkaja', 'Ribet', 'Very', 'Internet', 'Payment', 'Linkaja', 'Hoping', 'System', 'Payment', ' Linkaja ',' thank you ']</v>
      </c>
      <c r="D365" s="3">
        <v>3.0</v>
      </c>
    </row>
    <row r="366" ht="15.75" customHeight="1">
      <c r="A366" s="1">
        <v>364.0</v>
      </c>
      <c r="B366" s="3" t="s">
        <v>367</v>
      </c>
      <c r="C366" s="3" t="str">
        <f>IFERROR(__xludf.DUMMYFUNCTION("GOOGLETRANSLATE(B366,""id"",""en"")"),"['cheap', 'reigned', 'Install', 'ksh', 'profit', 'provider', 'ad', 'kirain', 'lbh', 'cheap', 'taunya', 'got', ' trap ',' Batman ',' tour ',' shopping ',' online ',' ']")</f>
        <v>['cheap', 'reigned', 'Install', 'ksh', 'profit', 'provider', 'ad', 'kirain', 'lbh', 'cheap', 'taunya', 'got', ' trap ',' Batman ',' tour ',' shopping ',' online ',' ']</v>
      </c>
      <c r="D366" s="3">
        <v>1.0</v>
      </c>
    </row>
    <row r="367" ht="15.75" customHeight="1">
      <c r="A367" s="1">
        <v>365.0</v>
      </c>
      <c r="B367" s="3" t="s">
        <v>368</v>
      </c>
      <c r="C367" s="3" t="str">
        <f>IFERROR(__xludf.DUMMYFUNCTION("GOOGLETRANSLATE(B367,""id"",""en"")"),"['recommended', 'card', 'gajelas',' quota ',' expensive ',' quality ',' ugly ',' network ',' ugly ',' severe ',' disappointed ',' really ',' High School ',' Telkomsel ',' ']")</f>
        <v>['recommended', 'card', 'gajelas',' quota ',' expensive ',' quality ',' ugly ',' network ',' ugly ',' severe ',' disappointed ',' really ',' High School ',' Telkomsel ',' ']</v>
      </c>
      <c r="D367" s="3">
        <v>1.0</v>
      </c>
    </row>
    <row r="368" ht="15.75" customHeight="1">
      <c r="A368" s="1">
        <v>366.0</v>
      </c>
      <c r="B368" s="3" t="s">
        <v>369</v>
      </c>
      <c r="C368" s="3" t="str">
        <f>IFERROR(__xludf.DUMMYFUNCTION("GOOGLETRANSLATE(B368,""id"",""en"")"),"['run out', 'package', 'stop', 'topup', 'pulse', 'card', 'leave', 'run out', 'try', 'good', 'sell', 'package', ' night ',' smooth ',' yaa ',' rain ',' severe ',' medung ',' slow ',' noon ',' hole ',' slow ',' really ',' hurts', 'pulses' , 'Reduced', 'thou"&amp;"sands', 'people', 'money', 'missing', 'buy', 'grade', 'Package', 'Telkomsel', 'king', 'catfish', ""]")</f>
        <v>['run out', 'package', 'stop', 'topup', 'pulse', 'card', 'leave', 'run out', 'try', 'good', 'sell', 'package', ' night ',' smooth ',' yaa ',' rain ',' severe ',' medung ',' slow ',' noon ',' hole ',' slow ',' really ',' hurts', 'pulses' , 'Reduced', 'thousands', 'people', 'money', 'missing', 'buy', 'grade', 'Package', 'Telkomsel', 'king', 'catfish', "]</v>
      </c>
      <c r="D368" s="3">
        <v>1.0</v>
      </c>
    </row>
    <row r="369" ht="15.75" customHeight="1">
      <c r="A369" s="1">
        <v>367.0</v>
      </c>
      <c r="B369" s="3" t="s">
        <v>370</v>
      </c>
      <c r="C369" s="3" t="str">
        <f>IFERROR(__xludf.DUMMYFUNCTION("GOOGLETRANSLATE(B369,""id"",""en"")"),"['Think', 'You', 'Eliminate', 'Promo', 'Quota', 'Cheap', 'Leave', 'Telkomsel', 'Yesterday', 'Proud of', 'Solution', 'Contact', ' Via ',' email ',' Monoton ']")</f>
        <v>['Think', 'You', 'Eliminate', 'Promo', 'Quota', 'Cheap', 'Leave', 'Telkomsel', 'Yesterday', 'Proud of', 'Solution', 'Contact', ' Via ',' email ',' Monoton ']</v>
      </c>
      <c r="D369" s="3">
        <v>1.0</v>
      </c>
    </row>
    <row r="370" ht="15.75" customHeight="1">
      <c r="A370" s="1">
        <v>368.0</v>
      </c>
      <c r="B370" s="3" t="s">
        <v>371</v>
      </c>
      <c r="C370" s="3" t="str">
        <f>IFERROR(__xludf.DUMMYFUNCTION("GOOGLETRANSLATE(B370,""id"",""en"")"),"['Run', 'Dri', 'Assessment', 'Application', 'Please', 'Telkomsel', 'Network', 'Maximize', 'Expensive', 'Rate', 'Raise', 'Quality', ' Donk ',' Increase ', ""]")</f>
        <v>['Run', 'Dri', 'Assessment', 'Application', 'Please', 'Telkomsel', 'Network', 'Maximize', 'Expensive', 'Rate', 'Raise', 'Quality', ' Donk ',' Increase ', "]</v>
      </c>
      <c r="D370" s="3">
        <v>1.0</v>
      </c>
    </row>
    <row r="371" ht="15.75" customHeight="1">
      <c r="A371" s="1">
        <v>369.0</v>
      </c>
      <c r="B371" s="3" t="s">
        <v>372</v>
      </c>
      <c r="C371" s="3" t="str">
        <f>IFERROR(__xludf.DUMMYFUNCTION("GOOGLETRANSLATE(B371,""id"",""en"")"),"['buy', 'quota', 'lapse', 'no', 'kebaca', 'pdhl', 'money', 'gopay', 'funds',' drained ',' fast ',' overcome ',' Bug ',' TPI ',' Money ',' Delete ',' The Application ']")</f>
        <v>['buy', 'quota', 'lapse', 'no', 'kebaca', 'pdhl', 'money', 'gopay', 'funds',' drained ',' fast ',' overcome ',' Bug ',' TPI ',' Money ',' Delete ',' The Application ']</v>
      </c>
      <c r="D371" s="3">
        <v>2.0</v>
      </c>
    </row>
    <row r="372" ht="15.75" customHeight="1">
      <c r="A372" s="1">
        <v>370.0</v>
      </c>
      <c r="B372" s="3" t="s">
        <v>373</v>
      </c>
      <c r="C372" s="3" t="str">
        <f>IFERROR(__xludf.DUMMYFUNCTION("GOOGLETRANSLATE(B372,""id"",""en"")"),"['please', 'Telkomsel', 'buy', 'package', 'unlimited', 'thousand', 'entry', 'processed', 'waited']")</f>
        <v>['please', 'Telkomsel', 'buy', 'package', 'unlimited', 'thousand', 'entry', 'processed', 'waited']</v>
      </c>
      <c r="D372" s="3">
        <v>1.0</v>
      </c>
    </row>
    <row r="373" ht="15.75" customHeight="1">
      <c r="A373" s="1">
        <v>371.0</v>
      </c>
      <c r="B373" s="3" t="s">
        <v>374</v>
      </c>
      <c r="C373" s="3" t="str">
        <f>IFERROR(__xludf.DUMMYFUNCTION("GOOGLETRANSLATE(B373,""id"",""en"")"),"['Disappointed', 'Application', 'Disappointed', 'Telkomsel', 'Tide', 'Package', 'RB', 'Wrong', 'Unlimited', 'YouTube', 'Tide', 'Watch', ' YouTube ',' quota ',' reduced ',' times', 'install', 'Package', 'Telkomsel', '']")</f>
        <v>['Disappointed', 'Application', 'Disappointed', 'Telkomsel', 'Tide', 'Package', 'RB', 'Wrong', 'Unlimited', 'YouTube', 'Tide', 'Watch', ' YouTube ',' quota ',' reduced ',' times', 'install', 'Package', 'Telkomsel', '']</v>
      </c>
      <c r="D373" s="3">
        <v>1.0</v>
      </c>
    </row>
    <row r="374" ht="15.75" customHeight="1">
      <c r="A374" s="1">
        <v>372.0</v>
      </c>
      <c r="B374" s="3" t="s">
        <v>375</v>
      </c>
      <c r="C374" s="3" t="str">
        <f>IFERROR(__xludf.DUMMYFUNCTION("GOOGLETRANSLATE(B374,""id"",""en"")"),"['apk', 'ngak', 'keluahan', 'answer', 'try', 'move', 'network', 'etc.', 'already', 'called', 'just', 'search', ' Fortunately ',' serving ',' user ',' ']")</f>
        <v>['apk', 'ngak', 'keluahan', 'answer', 'try', 'move', 'network', 'etc.', 'already', 'called', 'just', 'search', ' Fortunately ',' serving ',' user ',' ']</v>
      </c>
      <c r="D374" s="3">
        <v>1.0</v>
      </c>
    </row>
    <row r="375" ht="15.75" customHeight="1">
      <c r="A375" s="1">
        <v>373.0</v>
      </c>
      <c r="B375" s="3" t="s">
        <v>376</v>
      </c>
      <c r="C375" s="3" t="str">
        <f>IFERROR(__xludf.DUMMYFUNCTION("GOOGLETRANSLATE(B375,""id"",""en"")"),"['Network', 'Telkom', 'Disconnect', 'Rich', 'Current', 'Jaya', 'Sekrang', 'mah', 'poor', 'right', 'Weather', 'cloud', ' Network ',' Stabilll ',' ']")</f>
        <v>['Network', 'Telkom', 'Disconnect', 'Rich', 'Current', 'Jaya', 'Sekrang', 'mah', 'poor', 'right', 'Weather', 'cloud', ' Network ',' Stabilll ',' ']</v>
      </c>
      <c r="D375" s="3">
        <v>1.0</v>
      </c>
    </row>
    <row r="376" ht="15.75" customHeight="1">
      <c r="A376" s="1">
        <v>374.0</v>
      </c>
      <c r="B376" s="3" t="s">
        <v>377</v>
      </c>
      <c r="C376" s="3" t="str">
        <f>IFERROR(__xludf.DUMMYFUNCTION("GOOGLETRANSLATE(B376,""id"",""en"")"),"['please', 'Sya', 'Yesterday', 'Top', 'Game', 'Credit', 'Sya', 'Cut', 'TPI', 'Diamond', 'Msuk', 'Gmna', ' network ',' KNP ',' Setabil ',' then ',' GBSA ',' Main ',' Game ',' Sekampung ',' Dsini ',' EMG ',' Lemot ',' JRINGAN ',' Telkomsel ' , 'please', 'gn"&amp;"ila', 'bru', 'buy', 'package', 'msak', 'bsa', 'dgunai', 'then', 'a day', 'already', 'Smok', ' Medan ',' Sumatran ',' North ',' Pancur ',' Stone ',' Please ',' Attention ',' Disappointed ',' Udh ',' Change ',' Setting ',' Jingan ',' Automatic ' , 'high sch"&amp;"ool', 'mnual', 'uda', 'mode', 'plane', 'udh', 'kcwa', 'ajg']")</f>
        <v>['please', 'Sya', 'Yesterday', 'Top', 'Game', 'Credit', 'Sya', 'Cut', 'TPI', 'Diamond', 'Msuk', 'Gmna', ' network ',' KNP ',' Setabil ',' then ',' GBSA ',' Main ',' Game ',' Sekampung ',' Dsini ',' EMG ',' Lemot ',' JRINGAN ',' Telkomsel ' , 'please', 'gnila', 'bru', 'buy', 'package', 'msak', 'bsa', 'dgunai', 'then', 'a day', 'already', 'Smok', ' Medan ',' Sumatran ',' North ',' Pancur ',' Stone ',' Please ',' Attention ',' Disappointed ',' Udh ',' Change ',' Setting ',' Jingan ',' Automatic ' , 'high school', 'mnual', 'uda', 'mode', 'plane', 'udh', 'kcwa', 'ajg']</v>
      </c>
      <c r="D376" s="3">
        <v>1.0</v>
      </c>
    </row>
    <row r="377" ht="15.75" customHeight="1">
      <c r="A377" s="1">
        <v>375.0</v>
      </c>
      <c r="B377" s="3" t="s">
        <v>378</v>
      </c>
      <c r="C377" s="3" t="str">
        <f>IFERROR(__xludf.DUMMYFUNCTION("GOOGLETRANSLATE(B377,""id"",""en"")"),"['buy', 'package', 'package', 'check', 'in', 'credit', 'reduced', 'right', 'check', 'pulse', 'pulse', 'pulse', ' Reduced ',' Gara ',' authentin ',' internet ',' package ',' buy ', ""]")</f>
        <v>['buy', 'package', 'package', 'check', 'in', 'credit', 'reduced', 'right', 'check', 'pulse', 'pulse', 'pulse', ' Reduced ',' Gara ',' authentin ',' internet ',' package ',' buy ', "]</v>
      </c>
      <c r="D377" s="3">
        <v>1.0</v>
      </c>
    </row>
    <row r="378" ht="15.75" customHeight="1">
      <c r="A378" s="1">
        <v>376.0</v>
      </c>
      <c r="B378" s="3" t="s">
        <v>379</v>
      </c>
      <c r="C378" s="3" t="str">
        <f>IFERROR(__xludf.DUMMYFUNCTION("GOOGLETRANSLATE(B378,""id"",""en"")"),"['Error', 'Mulu', 'App', 'UDH', 'Clear', 'cache', 'UDH', 'Force', 'Stop', 'UDH', 'Install', 'reset', ' slow ',' severe ',' check ',' active ',' pulse ',' right ',' check ',' error ',' what ']")</f>
        <v>['Error', 'Mulu', 'App', 'UDH', 'Clear', 'cache', 'UDH', 'Force', 'Stop', 'UDH', 'Install', 'reset', ' slow ',' severe ',' check ',' active ',' pulse ',' right ',' check ',' error ',' what ']</v>
      </c>
      <c r="D378" s="3">
        <v>1.0</v>
      </c>
    </row>
    <row r="379" ht="15.75" customHeight="1">
      <c r="A379" s="1">
        <v>377.0</v>
      </c>
      <c r="B379" s="3" t="s">
        <v>380</v>
      </c>
      <c r="C379" s="3" t="str">
        <f>IFERROR(__xludf.DUMMYFUNCTION("GOOGLETRANSLATE(B379,""id"",""en"")"),"['come here', 'signal', 'sympathy', 'severe', 'disappointed', 'stay', 'city', 'jakarta', 'signal', 'good', 'please', 'pay attention', ' officials', 'Telkomsel', 'try', 'times',' please ',' check ',' field ',' exist ',' report ',' via ',' chat ',' veronika"&amp;" ',' machine ' , 'finishing', 'Try', 'plunge', 'spaciousness',' check ',' Siknal ',' officials', 'Telkomsel', 'Exis',' Where ',' logo ',' Motomu ',' Telkomsel ',' Severe ',' ']")</f>
        <v>['come here', 'signal', 'sympathy', 'severe', 'disappointed', 'stay', 'city', 'jakarta', 'signal', 'good', 'please', 'pay attention', ' officials', 'Telkomsel', 'try', 'times',' please ',' check ',' field ',' exist ',' report ',' via ',' chat ',' veronika ',' machine ' , 'finishing', 'Try', 'plunge', 'spaciousness',' check ',' Siknal ',' officials', 'Telkomsel', 'Exis',' Where ',' logo ',' Motomu ',' Telkomsel ',' Severe ',' ']</v>
      </c>
      <c r="D379" s="3">
        <v>1.0</v>
      </c>
    </row>
    <row r="380" ht="15.75" customHeight="1">
      <c r="A380" s="1">
        <v>378.0</v>
      </c>
      <c r="B380" s="3" t="s">
        <v>381</v>
      </c>
      <c r="C380" s="3" t="str">
        <f>IFERROR(__xludf.DUMMYFUNCTION("GOOGLETRANSLATE(B380,""id"",""en"")"),"['heavy', 'application', 'Loading', 'slow', 'dlu', 'use', 'application', 'light', 'please', 'fix', 'repair', 'love', ' Star ',' deh ']")</f>
        <v>['heavy', 'application', 'Loading', 'slow', 'dlu', 'use', 'application', 'light', 'please', 'fix', 'repair', 'love', ' Star ',' deh ']</v>
      </c>
      <c r="D380" s="3">
        <v>1.0</v>
      </c>
    </row>
    <row r="381" ht="15.75" customHeight="1">
      <c r="A381" s="1">
        <v>379.0</v>
      </c>
      <c r="B381" s="3" t="s">
        <v>382</v>
      </c>
      <c r="C381" s="3" t="str">
        <f>IFERROR(__xludf.DUMMYFUNCTION("GOOGLETRANSLATE(B381,""id"",""en"")"),"['Program', 'Spread', 'Hepy', 'Bener', 'Hundreds',' Points', 'Exchange', 'Nihil', 'Draw', 'Announce', 'Sosmed', 'Television', ' signal ',' kayak ',' snail ',' price ',' package ',' expensive ',' signal ',' internet ',' satisfying ',' disappointed ']")</f>
        <v>['Program', 'Spread', 'Hepy', 'Bener', 'Hundreds',' Points', 'Exchange', 'Nihil', 'Draw', 'Announce', 'Sosmed', 'Television', ' signal ',' kayak ',' snail ',' price ',' package ',' expensive ',' signal ',' internet ',' satisfying ',' disappointed ']</v>
      </c>
      <c r="D381" s="3">
        <v>5.0</v>
      </c>
    </row>
    <row r="382" ht="15.75" customHeight="1">
      <c r="A382" s="1">
        <v>380.0</v>
      </c>
      <c r="B382" s="3" t="s">
        <v>383</v>
      </c>
      <c r="C382" s="3" t="str">
        <f>IFERROR(__xludf.DUMMYFUNCTION("GOOGLETRANSLATE(B382,""id"",""en"")"),"['Paketan', 'Cheap', 'Call', 'Telkomsel', 'Free', 'Hopefully', 'In the future', 'discount', 'discount', 'amazing', 'Telkomsel', 'emang', ' The ',' Best ',' Love ',' You ']")</f>
        <v>['Paketan', 'Cheap', 'Call', 'Telkomsel', 'Free', 'Hopefully', 'In the future', 'discount', 'discount', 'amazing', 'Telkomsel', 'emang', ' The ',' Best ',' Love ',' You ']</v>
      </c>
      <c r="D382" s="3">
        <v>5.0</v>
      </c>
    </row>
    <row r="383" ht="15.75" customHeight="1">
      <c r="A383" s="1">
        <v>381.0</v>
      </c>
      <c r="B383" s="3" t="s">
        <v>384</v>
      </c>
      <c r="C383" s="3" t="str">
        <f>IFERROR(__xludf.DUMMYFUNCTION("GOOGLETRANSLATE(B383,""id"",""en"")"),"['Sabang', 'Sabang', 'Merauke', 'Leet', 'Operator', 'Shy', 'Card', 'The Network', 'Sabang', 'Marauke', 'Good', 'Kayak', ' Telkomsel ',' play ',' game ',' ping it ',' slow ',' base ',' Telkomsel ',' weak ',' lose ', ""]")</f>
        <v>['Sabang', 'Sabang', 'Merauke', 'Leet', 'Operator', 'Shy', 'Card', 'The Network', 'Sabang', 'Marauke', 'Good', 'Kayak', ' Telkomsel ',' play ',' game ',' ping it ',' slow ',' base ',' Telkomsel ',' weak ',' lose ', "]</v>
      </c>
      <c r="D383" s="3">
        <v>1.0</v>
      </c>
    </row>
    <row r="384" ht="15.75" customHeight="1">
      <c r="A384" s="1">
        <v>382.0</v>
      </c>
      <c r="B384" s="3" t="s">
        <v>385</v>
      </c>
      <c r="C384" s="3" t="str">
        <f>IFERROR(__xludf.DUMMYFUNCTION("GOOGLETRANSLATE(B384,""id"",""en"")"),"['signal', 'bad', 'lose', 'users',' Telkomsel ',' disappointed ',' contact ',' telegram ',' gada ',' change ',' bot ',' move ',' Providers', 'Ajah', 'Disappointed']")</f>
        <v>['signal', 'bad', 'lose', 'users',' Telkomsel ',' disappointed ',' contact ',' telegram ',' gada ',' change ',' bot ',' move ',' Providers', 'Ajah', 'Disappointed']</v>
      </c>
      <c r="D384" s="3">
        <v>1.0</v>
      </c>
    </row>
    <row r="385" ht="15.75" customHeight="1">
      <c r="A385" s="1">
        <v>383.0</v>
      </c>
      <c r="B385" s="3" t="s">
        <v>386</v>
      </c>
      <c r="C385" s="3" t="str">
        <f>IFERROR(__xludf.DUMMYFUNCTION("GOOGLETRANSLATE(B385,""id"",""en"")"),"['cell phone', 'provider', 'sympathy', 'signal', 'good', 'open', 'application', 'Telkomsel', 'network', 'error', 'fill', 'quota', ' retail ',' yaa ',' care ',' Katin ',' wasteful ',' enjoy ',' service ',' signal ',' good ',' indonesia ',' please ',' price"&amp;" ',' quota ' , 'cheap', 'at least', 'love', 'feedback', 'customer', '']")</f>
        <v>['cell phone', 'provider', 'sympathy', 'signal', 'good', 'open', 'application', 'Telkomsel', 'network', 'error', 'fill', 'quota', ' retail ',' yaa ',' care ',' Katin ',' wasteful ',' enjoy ',' service ',' signal ',' good ',' indonesia ',' please ',' price ',' quota ' , 'cheap', 'at least', 'love', 'feedback', 'customer', '']</v>
      </c>
      <c r="D385" s="3">
        <v>1.0</v>
      </c>
    </row>
    <row r="386" ht="15.75" customHeight="1">
      <c r="A386" s="1">
        <v>384.0</v>
      </c>
      <c r="B386" s="3" t="s">
        <v>387</v>
      </c>
      <c r="C386" s="3" t="str">
        <f>IFERROR(__xludf.DUMMYFUNCTION("GOOGLETRANSLATE(B386,""id"",""en"")"),"['woi', 'balikain', 'pulse', 'disappear', 'buy', 'package', 'data', 'enter', 'disappear', 'then', 'check', 'left', ' quota ',' then ',' check ',' pulse ',' how ',' nihh ',' change ',' loss', 'ngak', '']")</f>
        <v>['woi', 'balikain', 'pulse', 'disappear', 'buy', 'package', 'data', 'enter', 'disappear', 'then', 'check', 'left', ' quota ',' then ',' check ',' pulse ',' how ',' nihh ',' change ',' loss', 'ngak', '']</v>
      </c>
      <c r="D386" s="3">
        <v>1.0</v>
      </c>
    </row>
    <row r="387" ht="15.75" customHeight="1">
      <c r="A387" s="1">
        <v>385.0</v>
      </c>
      <c r="B387" s="3" t="s">
        <v>388</v>
      </c>
      <c r="C387" s="3" t="str">
        <f>IFERROR(__xludf.DUMMYFUNCTION("GOOGLETRANSLATE(B387,""id"",""en"")"),"['entry', 'the application', 'difficult', 'Boz', 'Need', 'Confirmation', 'Ribet', 'Kayak', 'Indosat', 'Card', 'Link', 'Enter', ' APK ',' Telkomsel ',' Persusually ',' Boz ',' Card ',' Telkomsel ',' Card ',' Boz ', ""]")</f>
        <v>['entry', 'the application', 'difficult', 'Boz', 'Need', 'Confirmation', 'Ribet', 'Kayak', 'Indosat', 'Card', 'Link', 'Enter', ' APK ',' Telkomsel ',' Persusually ',' Boz ',' Card ',' Telkomsel ',' Card ',' Boz ', "]</v>
      </c>
      <c r="D387" s="3">
        <v>1.0</v>
      </c>
    </row>
    <row r="388" ht="15.75" customHeight="1">
      <c r="A388" s="1">
        <v>386.0</v>
      </c>
      <c r="B388" s="3" t="s">
        <v>389</v>
      </c>
      <c r="C388" s="3" t="str">
        <f>IFERROR(__xludf.DUMMYFUNCTION("GOOGLETRANSLATE(B388,""id"",""en"")"),"['halah', 'Mending', 'Tri', 'IM', 'Compared', 'Reversed', 'Jargon', 'Reach', 'Large', 'Network', 'Fastest', 'Best', ' slow ',' signal ',' stable ',' buy ',' package ',' thousand ',' network ',' abal ',' abal ',' quality ',' ']")</f>
        <v>['halah', 'Mending', 'Tri', 'IM', 'Compared', 'Reversed', 'Jargon', 'Reach', 'Large', 'Network', 'Fastest', 'Best', ' slow ',' signal ',' stable ',' buy ',' package ',' thousand ',' network ',' abal ',' abal ',' quality ',' ']</v>
      </c>
      <c r="D388" s="3">
        <v>1.0</v>
      </c>
    </row>
    <row r="389" ht="15.75" customHeight="1">
      <c r="A389" s="1">
        <v>387.0</v>
      </c>
      <c r="B389" s="3" t="s">
        <v>390</v>
      </c>
      <c r="C389" s="3" t="str">
        <f>IFERROR(__xludf.DUMMYFUNCTION("GOOGLETRANSLATE(B389,""id"",""en"")"),"['Yes', 'Min', 'Telkomsel', 'Leading', 'Please', 'Slogan', 'Telkomsel', 'Return', 'Jaya', 'Leading', 'Signal', 'yes' GB ',' according to ',' price ',' aka ',' slow ',' ']")</f>
        <v>['Yes', 'Min', 'Telkomsel', 'Leading', 'Please', 'Slogan', 'Telkomsel', 'Return', 'Jaya', 'Leading', 'Signal', 'yes' GB ',' according to ',' price ',' aka ',' slow ',' ']</v>
      </c>
      <c r="D389" s="3">
        <v>1.0</v>
      </c>
    </row>
    <row r="390" ht="15.75" customHeight="1">
      <c r="A390" s="1">
        <v>388.0</v>
      </c>
      <c r="B390" s="3" t="s">
        <v>391</v>
      </c>
      <c r="C390" s="3" t="str">
        <f>IFERROR(__xludf.DUMMYFUNCTION("GOOGLETRANSLATE(B390,""id"",""en"")"),"['Asade', 'KONLOLL', 'Credit', 'Internet', 'Buy', 'Credit', 'DPET', 'Free', 'Data', 'Internet', 'Nggk', 'DPET', ' GB ',' Toll ',' Kontolll ',' Juwancokk ',' Weve ',' Love ',' Description ',' Bener ',' Todd ', ""]")</f>
        <v>['Asade', 'KONLOLL', 'Credit', 'Internet', 'Buy', 'Credit', 'DPET', 'Free', 'Data', 'Internet', 'Nggk', 'DPET', ' GB ',' Toll ',' Kontolll ',' Juwancokk ',' Weve ',' Love ',' Description ',' Bener ',' Todd ', "]</v>
      </c>
      <c r="D390" s="3">
        <v>1.0</v>
      </c>
    </row>
    <row r="391" ht="15.75" customHeight="1">
      <c r="A391" s="1">
        <v>389.0</v>
      </c>
      <c r="B391" s="3" t="s">
        <v>392</v>
      </c>
      <c r="C391" s="3" t="str">
        <f>IFERROR(__xludf.DUMMYFUNCTION("GOOGLETRANSLATE(B391,""id"",""en"")"),"['', 'base', 'stale', 'Telkomsel', 'See', 'Application', 'Good', 'Try', 'Mama', 'Mama', 'Pokonya', 'Download', 'Telkomsel ',' Okkkkkk ',' ']")</f>
        <v>['', 'base', 'stale', 'Telkomsel', 'See', 'Application', 'Good', 'Try', 'Mama', 'Mama', 'Pokonya', 'Download', 'Telkomsel ',' Okkkkkk ',' ']</v>
      </c>
      <c r="D391" s="3">
        <v>5.0</v>
      </c>
    </row>
    <row r="392" ht="15.75" customHeight="1">
      <c r="A392" s="1">
        <v>390.0</v>
      </c>
      <c r="B392" s="3" t="s">
        <v>393</v>
      </c>
      <c r="C392" s="3" t="str">
        <f>IFERROR(__xludf.DUMMYFUNCTION("GOOGLETRANSLATE(B392,""id"",""en"")"),"['sorry', 'admin', 'love', 'star', 'because', 'Telkomsel', 'sympathy', 'ugly', 'stay', 'city', 'consistency', ' Telkomsel ',' decreases', 'Network', 'Best', 'Indonesia', 'Please', 'Fix', 'Customer', 'Disappointed', 'Thank you']")</f>
        <v>['sorry', 'admin', 'love', 'star', 'because', 'Telkomsel', 'sympathy', 'ugly', 'stay', 'city', 'consistency', ' Telkomsel ',' decreases', 'Network', 'Best', 'Indonesia', 'Please', 'Fix', 'Customer', 'Disappointed', 'Thank you']</v>
      </c>
      <c r="D392" s="3">
        <v>3.0</v>
      </c>
    </row>
    <row r="393" ht="15.75" customHeight="1">
      <c r="A393" s="1">
        <v>391.0</v>
      </c>
      <c r="B393" s="3" t="s">
        <v>394</v>
      </c>
      <c r="C393" s="3" t="str">
        <f>IFERROR(__xludf.DUMMYFUNCTION("GOOGLETRANSLATE(B393,""id"",""en"")"),"['Yesterday', 'in the month', 'December', 'January', 'bonus',' served ',' Telkomsel ',' Hopefully ',' Service ',' Increases', 'Useful', 'Customer', ' Telkomsel ']")</f>
        <v>['Yesterday', 'in the month', 'December', 'January', 'bonus',' served ',' Telkomsel ',' Hopefully ',' Service ',' Increases', 'Useful', 'Customer', ' Telkomsel ']</v>
      </c>
      <c r="D393" s="3">
        <v>5.0</v>
      </c>
    </row>
    <row r="394" ht="15.75" customHeight="1">
      <c r="A394" s="1">
        <v>392.0</v>
      </c>
      <c r="B394" s="3" t="s">
        <v>395</v>
      </c>
      <c r="C394" s="3" t="str">
        <f>IFERROR(__xludf.DUMMYFUNCTION("GOOGLETRANSLATE(B394,""id"",""en"")"),"['Telkomsel', 'package', 'expensive', 'signal', 'slow', 'try', 'emang', 'package', 'expensive', 'signal', 'strength', 'loss',' really ',' cave ',' suggestion ',' bro ',' package ',' cheap ',' signal ',' setabilia ',' safe ',' ']")</f>
        <v>['Telkomsel', 'package', 'expensive', 'signal', 'slow', 'try', 'emang', 'package', 'expensive', 'signal', 'strength', 'loss',' really ',' cave ',' suggestion ',' bro ',' package ',' cheap ',' signal ',' setabilia ',' safe ',' ']</v>
      </c>
      <c r="D394" s="3">
        <v>1.0</v>
      </c>
    </row>
    <row r="395" ht="15.75" customHeight="1">
      <c r="A395" s="1">
        <v>393.0</v>
      </c>
      <c r="B395" s="3" t="s">
        <v>396</v>
      </c>
      <c r="C395" s="3" t="str">
        <f>IFERROR(__xludf.DUMMYFUNCTION("GOOGLETRANSLATE(B395,""id"",""en"")"),"['Disappointed', 'Jartu', 'Telkomsel', 'Sya', 'buy', 'emang', 'wat', 'quota', 'internet', 'bgtu', 'dbpke', 'bsa', ' Udh ',' Report ',' Knip ',' BKL ',' Bnerin ',' Udh ',' Wait ',' BSA ',' BGTU ',' TLPN ',' Have ',' Wait ',' Ampe ' , 'kpn', 'waiting', 'los"&amp;"s', 'sya', 'buy', 'quota', 'gini', 'crax', ""]")</f>
        <v>['Disappointed', 'Jartu', 'Telkomsel', 'Sya', 'buy', 'emang', 'wat', 'quota', 'internet', 'bgtu', 'dbpke', 'bsa', ' Udh ',' Report ',' Knip ',' BKL ',' Bnerin ',' Udh ',' Wait ',' BSA ',' BGTU ',' TLPN ',' Have ',' Wait ',' Ampe ' , 'kpn', 'waiting', 'loss', 'sya', 'buy', 'quota', 'gini', 'crax', "]</v>
      </c>
      <c r="D395" s="3">
        <v>1.0</v>
      </c>
    </row>
    <row r="396" ht="15.75" customHeight="1">
      <c r="A396" s="1">
        <v>394.0</v>
      </c>
      <c r="B396" s="3" t="s">
        <v>397</v>
      </c>
      <c r="C396" s="3" t="str">
        <f>IFERROR(__xludf.DUMMYFUNCTION("GOOGLETRANSLATE(B396,""id"",""en"")"),"['Dozens',' Number ',' Telkomsel ',' Age ',' SIM ',' Card ',' Chip ',' Age ',' Android ',' Upgrade ',' Number ',' Lost ',' Cloning ',' GraPARI ',' Telkomsel ',' loyal ',' number ',' VIP ',' package ',' internet ',' SMS ',' telephone ',' cheap ',' festive "&amp;"',' thank you ' , 'Telkomsel', 'Telkomsel', 'Proveder', 'number', 'Indonesia', 'Hopefully', 'Leading', 'Success', ""]")</f>
        <v>['Dozens',' Number ',' Telkomsel ',' Age ',' SIM ',' Card ',' Chip ',' Age ',' Android ',' Upgrade ',' Number ',' Lost ',' Cloning ',' GraPARI ',' Telkomsel ',' loyal ',' number ',' VIP ',' package ',' internet ',' SMS ',' telephone ',' cheap ',' festive ',' thank you ' , 'Telkomsel', 'Telkomsel', 'Proveder', 'number', 'Indonesia', 'Hopefully', 'Leading', 'Success', "]</v>
      </c>
      <c r="D396" s="3">
        <v>5.0</v>
      </c>
    </row>
    <row r="397" ht="15.75" customHeight="1">
      <c r="A397" s="1">
        <v>395.0</v>
      </c>
      <c r="B397" s="3" t="s">
        <v>398</v>
      </c>
      <c r="C397" s="3" t="str">
        <f>IFERROR(__xludf.DUMMYFUNCTION("GOOGLETRANSLATE(B397,""id"",""en"")"),"['', 'buy', 'pulse', 'enter', 'buy', 'package', 'said', 'balance', 'printed', 'balance', 'cuy', 'buy', 'package ',' Minutes', 'nganggin', 'balance', 'forced', 'buy', 'cheap', '']")</f>
        <v>['', 'buy', 'pulse', 'enter', 'buy', 'package', 'said', 'balance', 'printed', 'balance', 'cuy', 'buy', 'package ',' Minutes', 'nganggin', 'balance', 'forced', 'buy', 'cheap', '']</v>
      </c>
      <c r="D397" s="3">
        <v>1.0</v>
      </c>
    </row>
    <row r="398" ht="15.75" customHeight="1">
      <c r="A398" s="1">
        <v>396.0</v>
      </c>
      <c r="B398" s="3" t="s">
        <v>399</v>
      </c>
      <c r="C398" s="3" t="str">
        <f>IFERROR(__xludf.DUMMYFUNCTION("GOOGLETRANSLATE(B398,""id"",""en"")"),"['Complaints',' little ',' min ',' knpa ',' promo ',' internet ',' buy ',' please ',' wait ',' wait ',' enter ',' package ',' Try ',' times', 'ajja', 'that's',' ']")</f>
        <v>['Complaints',' little ',' min ',' knpa ',' promo ',' internet ',' buy ',' please ',' wait ',' wait ',' enter ',' package ',' Try ',' times', 'ajja', 'that's',' ']</v>
      </c>
      <c r="D398" s="3">
        <v>1.0</v>
      </c>
    </row>
    <row r="399" ht="15.75" customHeight="1">
      <c r="A399" s="1">
        <v>397.0</v>
      </c>
      <c r="B399" s="3" t="s">
        <v>400</v>
      </c>
      <c r="C399" s="3" t="str">
        <f>IFERROR(__xludf.DUMMYFUNCTION("GOOGLETRANSLATE(B399,""id"",""en"")"),"['Asik', 'really', 'application', 'buy', 'package', 'call', 'sms',' internet ',' exchange ',' point ',' gift ',' cool ',' finish']")</f>
        <v>['Asik', 'really', 'application', 'buy', 'package', 'call', 'sms',' internet ',' exchange ',' point ',' gift ',' cool ',' finish']</v>
      </c>
      <c r="D399" s="3">
        <v>4.0</v>
      </c>
    </row>
    <row r="400" ht="15.75" customHeight="1">
      <c r="A400" s="1">
        <v>398.0</v>
      </c>
      <c r="B400" s="3" t="s">
        <v>401</v>
      </c>
      <c r="C400" s="3" t="str">
        <f>IFERROR(__xludf.DUMMYFUNCTION("GOOGLETRANSLATE(B400,""id"",""en"")"),"['application', 'mwnyebalkan', 'register', 'right', 'enter', 'told', 'list', 'Damn', 'suppose', 'requirements',' subscription ',' Disney ',' Hostar ',' use ',' application ',' Males', 'Download', '']")</f>
        <v>['application', 'mwnyebalkan', 'register', 'right', 'enter', 'told', 'list', 'Damn', 'suppose', 'requirements',' subscription ',' Disney ',' Hostar ',' use ',' application ',' Males', 'Download', '']</v>
      </c>
      <c r="D400" s="3">
        <v>1.0</v>
      </c>
    </row>
    <row r="401" ht="15.75" customHeight="1">
      <c r="A401" s="1">
        <v>399.0</v>
      </c>
      <c r="B401" s="3" t="s">
        <v>402</v>
      </c>
      <c r="C401" s="3" t="str">
        <f>IFERROR(__xludf.DUMMYFUNCTION("GOOGLETRANSLATE(B401,""id"",""en"")"),"['Disappointed', 'promo', 'promo', 'offer', 'real', 'promo', 'buy', 'base', 'Applikas',' Nipu ',' hoax ',' network ',' Ngellag ',' price ',' package ',' expensive ',' guarantee ',' fluency ',' network ',' Sangan ',' disappointed ']")</f>
        <v>['Disappointed', 'promo', 'promo', 'offer', 'real', 'promo', 'buy', 'base', 'Applikas',' Nipu ',' hoax ',' network ',' Ngellag ',' price ',' package ',' expensive ',' guarantee ',' fluency ',' network ',' Sangan ',' disappointed ']</v>
      </c>
      <c r="D401" s="3">
        <v>1.0</v>
      </c>
    </row>
    <row r="402" ht="15.75" customHeight="1">
      <c r="A402" s="1">
        <v>400.0</v>
      </c>
      <c r="B402" s="3" t="s">
        <v>403</v>
      </c>
      <c r="C402" s="3" t="str">
        <f>IFERROR(__xludf.DUMMYFUNCTION("GOOGLETRANSLATE(B402,""id"",""en"")"),"['Application', 'Telkomsel', 'announced', 'winner', 'door', 'prize', 'regret', 'sympathy', 'already', 'replace']")</f>
        <v>['Application', 'Telkomsel', 'announced', 'winner', 'door', 'prize', 'regret', 'sympathy', 'already', 'replace']</v>
      </c>
      <c r="D402" s="3">
        <v>1.0</v>
      </c>
    </row>
    <row r="403" ht="15.75" customHeight="1">
      <c r="A403" s="1">
        <v>401.0</v>
      </c>
      <c r="B403" s="3" t="s">
        <v>404</v>
      </c>
      <c r="C403" s="3" t="str">
        <f>IFERROR(__xludf.DUMMYFUNCTION("GOOGLETRANSLATE(B403,""id"",""en"")"),"['Disappointed', 'brp', 'times',' contact ',' Veronica ',' via ',' chat ',' network ',' slow ',' pdhl ',' quota ',' connected ',' Direct ',' direct ',' awaited ',' clock ',' response ',' tomorrow ',' tried ',' complain ', ""]")</f>
        <v>['Disappointed', 'brp', 'times',' contact ',' Veronica ',' via ',' chat ',' network ',' slow ',' pdhl ',' quota ',' connected ',' Direct ',' direct ',' awaited ',' clock ',' response ',' tomorrow ',' tried ',' complain ', "]</v>
      </c>
      <c r="D403" s="3">
        <v>1.0</v>
      </c>
    </row>
    <row r="404" ht="15.75" customHeight="1">
      <c r="A404" s="1">
        <v>402.0</v>
      </c>
      <c r="B404" s="3" t="s">
        <v>405</v>
      </c>
      <c r="C404" s="3" t="str">
        <f>IFERROR(__xludf.DUMMYFUNCTION("GOOGLETRANSLATE(B404,""id"",""en"")"),"['Disappointed', 'Telkomsel', 'Network', 'here', 'Difficult', 'Auto', 'Rotation', 'Service', 'Disappointing', '']")</f>
        <v>['Disappointed', 'Telkomsel', 'Network', 'here', 'Difficult', 'Auto', 'Rotation', 'Service', 'Disappointing', '']</v>
      </c>
      <c r="D404" s="3">
        <v>1.0</v>
      </c>
    </row>
    <row r="405" ht="15.75" customHeight="1">
      <c r="A405" s="1">
        <v>403.0</v>
      </c>
      <c r="B405" s="3" t="s">
        <v>406</v>
      </c>
      <c r="C405" s="3" t="str">
        <f>IFERROR(__xludf.DUMMYFUNCTION("GOOGLETRANSLATE(B405,""id"",""en"")"),"['signal', 'Telkomsel', 'Karuan', 'signal', 'in', 'home', 'fast', 'stable', 'boro', 'boro', 'ngeleg', 'road', ' signal ',' ugly ',' really ',' down ',' the application ',' Different ',' promo ',' price ',' just ',' difference ',' quota ',' expensive ',' s"&amp;"ignal ' , 'Kayak', 'Snail', 'Kepai', 'quota', 'Ministry of Education and Culture', 'Zoom', 'My Area', ""]")</f>
        <v>['signal', 'Telkomsel', 'Karuan', 'signal', 'in', 'home', 'fast', 'stable', 'boro', 'boro', 'ngeleg', 'road', ' signal ',' ugly ',' really ',' down ',' the application ',' Different ',' promo ',' price ',' just ',' difference ',' quota ',' expensive ',' signal ' , 'Kayak', 'Snail', 'Kepai', 'quota', 'Ministry of Education and Culture', 'Zoom', 'My Area', "]</v>
      </c>
      <c r="D405" s="3">
        <v>1.0</v>
      </c>
    </row>
    <row r="406" ht="15.75" customHeight="1">
      <c r="A406" s="1">
        <v>404.0</v>
      </c>
      <c r="B406" s="3" t="s">
        <v>407</v>
      </c>
      <c r="C406" s="3" t="str">
        <f>IFERROR(__xludf.DUMMYFUNCTION("GOOGLETRANSLATE(B406,""id"",""en"")"),"['users', 'Telkomsel', 'bored', 'complaint', 'Severe', 'network', 'internet', 'cut "",' pulse ',' quota ',' internet ',' apply ',' ']")</f>
        <v>['users', 'Telkomsel', 'bored', 'complaint', 'Severe', 'network', 'internet', 'cut ",' pulse ',' quota ',' internet ',' apply ',' ']</v>
      </c>
      <c r="D406" s="3">
        <v>1.0</v>
      </c>
    </row>
    <row r="407" ht="15.75" customHeight="1">
      <c r="A407" s="1">
        <v>405.0</v>
      </c>
      <c r="B407" s="3" t="s">
        <v>408</v>
      </c>
      <c r="C407" s="3" t="str">
        <f>IFERROR(__xludf.DUMMYFUNCTION("GOOGLETRANSLATE(B407,""id"",""en"")"),"['Please', 'Fix', 'Network', 'Network', 'Pelangement', 'Telkomsel', 'Card', 'Card', 'Upgrade', 'Signal', 'Skrng', 'Alamin', ' network ',' contents', 'package', 'price', 'rb', 'rb', 'network', 'direct', 'changed', 'unlimited', 'meaning', 'unlimited', 'Telk"&amp;"omsel' , 'boundary', 'limit']")</f>
        <v>['Please', 'Fix', 'Network', 'Network', 'Pelangement', 'Telkomsel', 'Card', 'Card', 'Upgrade', 'Signal', 'Skrng', 'Alamin', ' network ',' contents', 'package', 'price', 'rb', 'rb', 'network', 'direct', 'changed', 'unlimited', 'meaning', 'unlimited', 'Telkomsel' , 'boundary', 'limit']</v>
      </c>
      <c r="D407" s="3">
        <v>1.0</v>
      </c>
    </row>
    <row r="408" ht="15.75" customHeight="1">
      <c r="A408" s="1">
        <v>406.0</v>
      </c>
      <c r="B408" s="3" t="s">
        <v>409</v>
      </c>
      <c r="C408" s="3" t="str">
        <f>IFERROR(__xludf.DUMMYFUNCTION("GOOGLETRANSLATE(B408,""id"",""en"")"),"['process',' buy ',' package ',' unlimited ',' failed ',' pulse ',' kingottt ',' please ',' rating ',' back ',' pulse ',' joking ',' Warning ',' Telkomsel ']")</f>
        <v>['process',' buy ',' package ',' unlimited ',' failed ',' pulse ',' kingottt ',' please ',' rating ',' back ',' pulse ',' joking ',' Warning ',' Telkomsel ']</v>
      </c>
      <c r="D408" s="3">
        <v>1.0</v>
      </c>
    </row>
    <row r="409" ht="15.75" customHeight="1">
      <c r="A409" s="1">
        <v>407.0</v>
      </c>
      <c r="B409" s="3" t="s">
        <v>410</v>
      </c>
      <c r="C409" s="3" t="str">
        <f>IFERROR(__xludf.DUMMYFUNCTION("GOOGLETRANSLATE(B409,""id"",""en"")"),"['Please', 'Urndusin', 'signal', 'Gausah', 'Nursin', 'ilang', 'Customer', 'sympathy', 'expensive', 'Jabanin', 'signal', 'good', ' Now ',' Threat ',' really ',' crazy ',' please ',' urgent ',' signal ',' ush ',' upgrade ', ""]")</f>
        <v>['Please', 'Urndusin', 'signal', 'Gausah', 'Nursin', 'ilang', 'Customer', 'sympathy', 'expensive', 'Jabanin', 'signal', 'good', ' Now ',' Threat ',' really ',' crazy ',' please ',' urgent ',' signal ',' ush ',' upgrade ', "]</v>
      </c>
      <c r="D409" s="3">
        <v>1.0</v>
      </c>
    </row>
    <row r="410" ht="15.75" customHeight="1">
      <c r="A410" s="1">
        <v>408.0</v>
      </c>
      <c r="B410" s="3" t="s">
        <v>411</v>
      </c>
      <c r="C410" s="3" t="str">
        <f>IFERROR(__xludf.DUMMYFUNCTION("GOOGLETRANSLATE(B410,""id"",""en"")"),"['experience', 'bad', 'Telkomsel', 'Please', 'network', 'repaired', 'yes',' price ',' according to ',' high school ',' performance ',' Please ',' Sorry ',' Sya ',' comfortable ',' because ',' disappointed ',' network ',' please ',' yaa ',' expand ',' stre"&amp;"ngth ',' network ',' CEO ',' as expensive ' , 'Whatever', 'bgus', 'bought', 'love', 'rate', 'star', 'dlu', 'yaa', 'udh', 'lined', 'bru', ""]")</f>
        <v>['experience', 'bad', 'Telkomsel', 'Please', 'network', 'repaired', 'yes',' price ',' according to ',' high school ',' performance ',' Please ',' Sorry ',' Sya ',' comfortable ',' because ',' disappointed ',' network ',' please ',' yaa ',' expand ',' strength ',' network ',' CEO ',' as expensive ' , 'Whatever', 'bgus', 'bought', 'love', 'rate', 'star', 'dlu', 'yaa', 'udh', 'lined', 'bru', "]</v>
      </c>
      <c r="D410" s="3">
        <v>2.0</v>
      </c>
    </row>
    <row r="411" ht="15.75" customHeight="1">
      <c r="A411" s="1">
        <v>409.0</v>
      </c>
      <c r="B411" s="3" t="s">
        <v>412</v>
      </c>
      <c r="C411" s="3" t="str">
        <f>IFERROR(__xludf.DUMMYFUNCTION("GOOGLETRANSLATE(B411,""id"",""en"")"),"['Disappointed', 'Customer', 'Network', 'Telkomsel', 'already', 'ugly', 'Enngak', 'browsing', 'anything', 'buy', 'package', 'browsing', ' Watch ',' YouTube ',' Customer ',' Disappointed ',' Telkomsel ']")</f>
        <v>['Disappointed', 'Customer', 'Network', 'Telkomsel', 'already', 'ugly', 'Enngak', 'browsing', 'anything', 'buy', 'package', 'browsing', ' Watch ',' YouTube ',' Customer ',' Disappointed ',' Telkomsel ']</v>
      </c>
      <c r="D411" s="3">
        <v>1.0</v>
      </c>
    </row>
    <row r="412" ht="15.75" customHeight="1">
      <c r="A412" s="1">
        <v>410.0</v>
      </c>
      <c r="B412" s="3" t="s">
        <v>413</v>
      </c>
      <c r="C412" s="3" t="str">
        <f>IFERROR(__xludf.DUMMYFUNCTION("GOOGLETRANSLATE(B412,""id"",""en"")"),"['Network', 'Telkomsel', 'stable', 'slow', 'forced', 'moved', 'operator', 'next door', 'Mending', 'Delete', 'Telkomsel', 'Useful', ' network ',' internet ',' rich ',' taii ',' buy ',' package ',' expensive ',' results', '']")</f>
        <v>['Network', 'Telkomsel', 'stable', 'slow', 'forced', 'moved', 'operator', 'next door', 'Mending', 'Delete', 'Telkomsel', 'Useful', ' network ',' internet ',' rich ',' taii ',' buy ',' package ',' expensive ',' results', '']</v>
      </c>
      <c r="D412" s="3">
        <v>1.0</v>
      </c>
    </row>
    <row r="413" ht="15.75" customHeight="1">
      <c r="A413" s="1">
        <v>411.0</v>
      </c>
      <c r="B413" s="3" t="s">
        <v>414</v>
      </c>
      <c r="C413" s="3" t="str">
        <f>IFERROR(__xludf.DUMMYFUNCTION("GOOGLETRANSLATE(B413,""id"",""en"")"),"['', 'Lord', 'None', 'Assessment', 'Application', 'Helping', 'Riweh', 'Promo', 'SMS', 'PLIGY', 'Sync', 'Saying', 'Email' ',' Min ',' column ',' comment ',' deliver ',' opinions', 'email', 'change', 'understand', 'application', 'use', 'customer', ""]")</f>
        <v>['', 'Lord', 'None', 'Assessment', 'Application', 'Helping', 'Riweh', 'Promo', 'SMS', 'PLIGY', 'Sync', 'Saying', 'Email' ',' Min ',' column ',' comment ',' deliver ',' opinions', 'email', 'change', 'understand', 'application', 'use', 'customer', "]</v>
      </c>
      <c r="D413" s="3">
        <v>1.0</v>
      </c>
    </row>
    <row r="414" ht="15.75" customHeight="1">
      <c r="A414" s="1">
        <v>412.0</v>
      </c>
      <c r="B414" s="3" t="s">
        <v>415</v>
      </c>
      <c r="C414" s="3" t="str">
        <f>IFERROR(__xludf.DUMMYFUNCTION("GOOGLETRANSLATE(B414,""id"",""en"")"),"['Please', 'Fix', 'Signal', 'Price', 'Doang', 'Removed', 'Signal', 'Badk', 'Crazy', 'Deh', 'Telkomsel', 'Bagusan', ' Provider ',' next door ',' cheap ',' signal ',' good ',' ']")</f>
        <v>['Please', 'Fix', 'Signal', 'Price', 'Doang', 'Removed', 'Signal', 'Badk', 'Crazy', 'Deh', 'Telkomsel', 'Bagusan', ' Provider ',' next door ',' cheap ',' signal ',' good ',' ']</v>
      </c>
      <c r="D414" s="3">
        <v>1.0</v>
      </c>
    </row>
    <row r="415" ht="15.75" customHeight="1">
      <c r="A415" s="1">
        <v>413.0</v>
      </c>
      <c r="B415" s="3" t="s">
        <v>416</v>
      </c>
      <c r="C415" s="3" t="str">
        <f>IFERROR(__xludf.DUMMYFUNCTION("GOOGLETRANSLATE(B415,""id"",""en"")"),"['Sorry', 'love', 'star', 'user', 'Telkomsel', 'good', 'signal', 'skrng', 'signal', 'ugly', 'city', 'please', ' Fix ',' Teuna ',' Telkomsel ',' Move ',' Proveder ',' Already ',' Try ',' Move ',' Mode ',' Network ',' Automatic ',' ugly ',' Sinyal ' ]")</f>
        <v>['Sorry', 'love', 'star', 'user', 'Telkomsel', 'good', 'signal', 'skrng', 'signal', 'ugly', 'city', 'please', ' Fix ',' Teuna ',' Telkomsel ',' Move ',' Proveder ',' Already ',' Try ',' Move ',' Mode ',' Network ',' Automatic ',' ugly ',' Sinyal ' ]</v>
      </c>
      <c r="D415" s="3">
        <v>1.0</v>
      </c>
    </row>
    <row r="416" ht="15.75" customHeight="1">
      <c r="A416" s="1">
        <v>414.0</v>
      </c>
      <c r="B416" s="3" t="s">
        <v>417</v>
      </c>
      <c r="C416" s="3" t="str">
        <f>IFERROR(__xludf.DUMMYFUNCTION("GOOGLETRANSLATE(B416,""id"",""en"")"),"['The application', 'knp', 'buy', 'package', 'difficult', 'slow', 'sometimes',' kirain ',' package ',' use ',' after ',' purchase ',' error ',' notification ',' before ',' error ',' run out ',' pulse ',' please ',' right ',' policy ',' php ']")</f>
        <v>['The application', 'knp', 'buy', 'package', 'difficult', 'slow', 'sometimes',' kirain ',' package ',' use ',' after ',' purchase ',' error ',' notification ',' before ',' error ',' run out ',' pulse ',' please ',' right ',' policy ',' php ']</v>
      </c>
      <c r="D416" s="3">
        <v>1.0</v>
      </c>
    </row>
    <row r="417" ht="15.75" customHeight="1">
      <c r="A417" s="1">
        <v>415.0</v>
      </c>
      <c r="B417" s="3" t="s">
        <v>418</v>
      </c>
      <c r="C417" s="3" t="str">
        <f>IFERROR(__xludf.DUMMYFUNCTION("GOOGLETRANSLATE(B417,""id"",""en"")"),"['Buy', 'Credit', 'Shopee', 'Pay', 'Cashback', 'then', 'Buy', 'Package', 'Internet', 'Disappointed', 'Really', ""]")</f>
        <v>['Buy', 'Credit', 'Shopee', 'Pay', 'Cashback', 'then', 'Buy', 'Package', 'Internet', 'Disappointed', 'Really', "]</v>
      </c>
      <c r="D417" s="3">
        <v>3.0</v>
      </c>
    </row>
    <row r="418" ht="15.75" customHeight="1">
      <c r="A418" s="1">
        <v>416.0</v>
      </c>
      <c r="B418" s="3" t="s">
        <v>419</v>
      </c>
      <c r="C418" s="3" t="str">
        <f>IFERROR(__xludf.DUMMYFUNCTION("GOOGLETRANSLATE(B418,""id"",""en"")"),"['Telkomsel', 'disappointing', 'Praises',' insulted ',' independent ',' where ',' network ',' slow ',' times', 'please', 'responded', 'comment', ' complain ',' network ',' alarming ',' Thanks']")</f>
        <v>['Telkomsel', 'disappointing', 'Praises',' insulted ',' independent ',' where ',' network ',' slow ',' times', 'please', 'responded', 'comment', ' complain ',' network ',' alarming ',' Thanks']</v>
      </c>
      <c r="D418" s="3">
        <v>1.0</v>
      </c>
    </row>
    <row r="419" ht="15.75" customHeight="1">
      <c r="A419" s="1">
        <v>417.0</v>
      </c>
      <c r="B419" s="3" t="s">
        <v>420</v>
      </c>
      <c r="C419" s="3" t="str">
        <f>IFERROR(__xludf.DUMMYFUNCTION("GOOGLETRANSLATE(B419,""id"",""en"")"),"['Package', 'Data', 'printed', 'On', 'Many', 'Times',' Click ',' Buy ',' Package ',' Gabisa ',' Buy ',' History ',' Purchases', 'ngeapain', 'sold', 'gabisa', 'bought', '']")</f>
        <v>['Package', 'Data', 'printed', 'On', 'Many', 'Times',' Click ',' Buy ',' Package ',' Gabisa ',' Buy ',' History ',' Purchases', 'ngeapain', 'sold', 'gabisa', 'bought', '']</v>
      </c>
      <c r="D419" s="3">
        <v>1.0</v>
      </c>
    </row>
    <row r="420" ht="15.75" customHeight="1">
      <c r="A420" s="1">
        <v>418.0</v>
      </c>
      <c r="B420" s="3" t="s">
        <v>421</v>
      </c>
      <c r="C420" s="3" t="str">
        <f>IFERROR(__xludf.DUMMYFUNCTION("GOOGLETRANSLATE(B420,""id"",""en"")"),"['sesiaii', 'application', 'Application', 'MyTelkomsel', 'written', 'quota', 'GB', 'bought', 'original', 'GB', 'price', 'Dipedun', ' according to ',' wrong ',' disappointing ',' ']")</f>
        <v>['sesiaii', 'application', 'Application', 'MyTelkomsel', 'written', 'quota', 'GB', 'bought', 'original', 'GB', 'price', 'Dipedun', ' according to ',' wrong ',' disappointing ',' ']</v>
      </c>
      <c r="D420" s="3">
        <v>1.0</v>
      </c>
    </row>
    <row r="421" ht="15.75" customHeight="1">
      <c r="A421" s="1">
        <v>419.0</v>
      </c>
      <c r="B421" s="3" t="s">
        <v>422</v>
      </c>
      <c r="C421" s="3" t="str">
        <f>IFERROR(__xludf.DUMMYFUNCTION("GOOGLETRANSLATE(B421,""id"",""en"")"),"['Bener', 'Threat', 'yeah', 'APK', 'update', 'good', 'right', 'steady', 'many', 'times',' apk ',' update ',' Threat ',' The network ',' threat ',' provider ',' artisan ',' tipuuuuu ',' credit ',' reduced ',' Turn on ',' cellular ',' call ',' phone ',' fra"&amp;"ud ' , 'Shared', '']")</f>
        <v>['Bener', 'Threat', 'yeah', 'APK', 'update', 'good', 'right', 'steady', 'many', 'times',' apk ',' update ',' Threat ',' The network ',' threat ',' provider ',' artisan ',' tipuuuuu ',' credit ',' reduced ',' Turn on ',' cellular ',' call ',' phone ',' fraud ' , 'Shared', '']</v>
      </c>
      <c r="D421" s="3">
        <v>1.0</v>
      </c>
    </row>
    <row r="422" ht="15.75" customHeight="1">
      <c r="A422" s="1">
        <v>420.0</v>
      </c>
      <c r="B422" s="3" t="s">
        <v>423</v>
      </c>
      <c r="C422" s="3" t="str">
        <f>IFERROR(__xludf.DUMMYFUNCTION("GOOGLETRANSLATE(B422,""id"",""en"")"),"['buy', 'quota', 'funds',' response ',' please ',' lock ',' pulse ',' rich ',' axis', 'because', 'second', 'quota', ' Abis', 'pulse', 'sumps',' likes', 'like', 'dead', 'dead', 'terrain', 'play', 'game', 'dead', 'please', 'fix' , 'network']")</f>
        <v>['buy', 'quota', 'funds',' response ',' please ',' lock ',' pulse ',' rich ',' axis', 'because', 'second', 'quota', ' Abis', 'pulse', 'sumps',' likes', 'like', 'dead', 'dead', 'terrain', 'play', 'game', 'dead', 'please', 'fix' , 'network']</v>
      </c>
      <c r="D422" s="3">
        <v>1.0</v>
      </c>
    </row>
    <row r="423" ht="15.75" customHeight="1">
      <c r="A423" s="1">
        <v>421.0</v>
      </c>
      <c r="B423" s="3" t="s">
        <v>424</v>
      </c>
      <c r="C423" s="3" t="str">
        <f>IFERROR(__xludf.DUMMYFUNCTION("GOOGLETRANSLATE(B423,""id"",""en"")"),"['min', 'Telkomsel', 'no', 'system', 'payment', 'connected', 'Linkaja', 'min', 'Telkomsel', 'trouble', ""]")</f>
        <v>['min', 'Telkomsel', 'no', 'system', 'payment', 'connected', 'Linkaja', 'min', 'Telkomsel', 'trouble', "]</v>
      </c>
      <c r="D423" s="3">
        <v>2.0</v>
      </c>
    </row>
    <row r="424" ht="15.75" customHeight="1">
      <c r="A424" s="1">
        <v>422.0</v>
      </c>
      <c r="B424" s="3" t="s">
        <v>425</v>
      </c>
      <c r="C424" s="3" t="str">
        <f>IFERROR(__xludf.DUMMYFUNCTION("GOOGLETRANSLATE(B424,""id"",""en"")"),"['', 'Customer', 'number', 'Telkomsel', 'use', 'package', 'combo', 'Sakti', 'hope', 'wear', 'package', 'unlimitedmax', 'card ', 'come on', '']")</f>
        <v>['', 'Customer', 'number', 'Telkomsel', 'use', 'package', 'combo', 'Sakti', 'hope', 'wear', 'package', 'unlimitedmax', 'card ', 'come on', '']</v>
      </c>
      <c r="D424" s="3">
        <v>1.0</v>
      </c>
    </row>
    <row r="425" ht="15.75" customHeight="1">
      <c r="A425" s="1">
        <v>423.0</v>
      </c>
      <c r="B425" s="3" t="s">
        <v>426</v>
      </c>
      <c r="C425" s="3" t="str">
        <f>IFERROR(__xludf.DUMMYFUNCTION("GOOGLETRANSLATE(B425,""id"",""en"")"),"['woi', 'cave', 'buy', 'package', 'promo', 'processed', 'active', 'package', 'edit', 'minute', 'buy', 'promo', ' Credit ',' Reduced ',' Tamatt ',' Disappointed ',' ALII ']")</f>
        <v>['woi', 'cave', 'buy', 'package', 'promo', 'processed', 'active', 'package', 'edit', 'minute', 'buy', 'promo', ' Credit ',' Reduced ',' Tamatt ',' Disappointed ',' ALII ']</v>
      </c>
      <c r="D425" s="3">
        <v>1.0</v>
      </c>
    </row>
    <row r="426" ht="15.75" customHeight="1">
      <c r="A426" s="1">
        <v>424.0</v>
      </c>
      <c r="B426" s="3" t="s">
        <v>427</v>
      </c>
      <c r="C426" s="3" t="str">
        <f>IFERROR(__xludf.DUMMYFUNCTION("GOOGLETRANSLATE(B426,""id"",""en"")"),"['Credit', 'Cut', 'DPT', 'SMS', 'Package', 'Internet', 'Quota', 'Say "",' Maintenance ',' System ',' Maintenance ',' System ',' His name is', 'detrimental', 'person', 'please', 'repaired', 'already', 'signal', 'gaje', 'here', 'dilapidated', 'service', ""]")</f>
        <v>['Credit', 'Cut', 'DPT', 'SMS', 'Package', 'Internet', 'Quota', 'Say ",' Maintenance ',' System ',' Maintenance ',' System ',' His name is', 'detrimental', 'person', 'please', 'repaired', 'already', 'signal', 'gaje', 'here', 'dilapidated', 'service', "]</v>
      </c>
      <c r="D426" s="3">
        <v>1.0</v>
      </c>
    </row>
    <row r="427" ht="15.75" customHeight="1">
      <c r="A427" s="1">
        <v>425.0</v>
      </c>
      <c r="B427" s="3" t="s">
        <v>428</v>
      </c>
      <c r="C427" s="3" t="str">
        <f>IFERROR(__xludf.DUMMYFUNCTION("GOOGLETRANSLATE(B427,""id"",""en"")"),"['Crazy', 'really', 'Telkomsel', 'buy', 'Package', 'YouTube', 'then', 'couple', 'watch', 'YouTube', 'once', 'check', ' pulses', 'used', 'run out', 'pulses',' thousand ',' application ',' plusin ',' feature ',' key ',' pulse ',' rich ',' operator ',' tepak"&amp;"e ' , 'Telkomsel', '']")</f>
        <v>['Crazy', 'really', 'Telkomsel', 'buy', 'Package', 'YouTube', 'then', 'couple', 'watch', 'YouTube', 'once', 'check', ' pulses', 'used', 'run out', 'pulses',' thousand ',' application ',' plusin ',' feature ',' key ',' pulse ',' rich ',' operator ',' tepake ' , 'Telkomsel', '']</v>
      </c>
      <c r="D427" s="3">
        <v>1.0</v>
      </c>
    </row>
    <row r="428" ht="15.75" customHeight="1">
      <c r="A428" s="1">
        <v>426.0</v>
      </c>
      <c r="B428" s="3" t="s">
        <v>429</v>
      </c>
      <c r="C428" s="3" t="str">
        <f>IFERROR(__xludf.DUMMYFUNCTION("GOOGLETRANSLATE(B428,""id"",""en"")"),"['update', 'nominal', 'balance', 'Linkaja', 'fill', 'balance', 'Link', 'disappear', 'news',' please ',' Overcome ',' error ',' Rating ',' downhill ']")</f>
        <v>['update', 'nominal', 'balance', 'Linkaja', 'fill', 'balance', 'Link', 'disappear', 'news',' please ',' Overcome ',' error ',' Rating ',' downhill ']</v>
      </c>
      <c r="D428" s="3">
        <v>1.0</v>
      </c>
    </row>
    <row r="429" ht="15.75" customHeight="1">
      <c r="A429" s="1">
        <v>427.0</v>
      </c>
      <c r="B429" s="3" t="s">
        <v>430</v>
      </c>
      <c r="C429" s="3" t="str">
        <f>IFERROR(__xludf.DUMMYFUNCTION("GOOGLETRANSLATE(B429,""id"",""en"")"),"['likes',' speed ',' internet ',' Telkomsel ',' play ',' game ',' skrng ',' slow ',' slow ',' really ',' third ',' slow ',' Thank you ',' Telkomsel ',' Lost ',' Maen ',' Game ',' ']")</f>
        <v>['likes',' speed ',' internet ',' Telkomsel ',' play ',' game ',' skrng ',' slow ',' slow ',' really ',' third ',' slow ',' Thank you ',' Telkomsel ',' Lost ',' Maen ',' Game ',' ']</v>
      </c>
      <c r="D429" s="3">
        <v>1.0</v>
      </c>
    </row>
    <row r="430" ht="15.75" customHeight="1">
      <c r="A430" s="1">
        <v>428.0</v>
      </c>
      <c r="B430" s="3" t="s">
        <v>431</v>
      </c>
      <c r="C430" s="3" t="str">
        <f>IFERROR(__xludf.DUMMYFUNCTION("GOOGLETRANSLATE(B430,""id"",""en"")"),"['Customer', 'Flash', 'Automatic', 'Upgrade', 'SIM', 'Card', 'Complaint', 'Sinyal', 'Slow', 'Package', 'Non', 'Active', ' network ',' cellular ',' provider ',' pulse ',' sumps', 'dlm']")</f>
        <v>['Customer', 'Flash', 'Automatic', 'Upgrade', 'SIM', 'Card', 'Complaint', 'Sinyal', 'Slow', 'Package', 'Non', 'Active', ' network ',' cellular ',' provider ',' pulse ',' sumps', 'dlm']</v>
      </c>
      <c r="D430" s="3">
        <v>2.0</v>
      </c>
    </row>
    <row r="431" ht="15.75" customHeight="1">
      <c r="A431" s="1">
        <v>429.0</v>
      </c>
      <c r="B431" s="3" t="s">
        <v>432</v>
      </c>
      <c r="C431" s="3" t="str">
        <f>IFERROR(__xludf.DUMMYFUNCTION("GOOGLETRANSLATE(B431,""id"",""en"")"),"['application', 'good', 'network', 'etc.', 'okay', 'environment', 'supports',' fit ',' log ',' duration ',' second ',' loading ',' Level ',' multiptenizes', 'promo', 'multiply', 'bakti', 'social', '']")</f>
        <v>['application', 'good', 'network', 'etc.', 'okay', 'environment', 'supports',' fit ',' log ',' duration ',' second ',' loading ',' Level ',' multiptenizes', 'promo', 'multiply', 'bakti', 'social', '']</v>
      </c>
      <c r="D431" s="3">
        <v>4.0</v>
      </c>
    </row>
    <row r="432" ht="15.75" customHeight="1">
      <c r="A432" s="1">
        <v>430.0</v>
      </c>
      <c r="B432" s="3" t="s">
        <v>433</v>
      </c>
      <c r="C432" s="3" t="str">
        <f>IFERROR(__xludf.DUMMYFUNCTION("GOOGLETRANSLATE(B432,""id"",""en"")"),"['Network', 'Internet', 'Region', 'Hamlet', 'Tlondan', 'Kel', 'Kec', 'Selopampang', 'Kab', 'Temanggung', 'Province', 'Java', ' Network ',' internet ',' supports', 'home', 'Please', 'Expand', 'Tower', 'Telkomsel', 'community', 'enjoy', 'Telkomsel', 'Bener'"&amp;", 'right' , 'cellular', 'Indonesia', 'Please', 'Management']")</f>
        <v>['Network', 'Internet', 'Region', 'Hamlet', 'Tlondan', 'Kel', 'Kec', 'Selopampang', 'Kab', 'Temanggung', 'Province', 'Java', ' Network ',' internet ',' supports', 'home', 'Please', 'Expand', 'Tower', 'Telkomsel', 'community', 'enjoy', 'Telkomsel', 'Bener', 'right' , 'cellular', 'Indonesia', 'Please', 'Management']</v>
      </c>
      <c r="D432" s="3">
        <v>5.0</v>
      </c>
    </row>
    <row r="433" ht="15.75" customHeight="1">
      <c r="A433" s="1">
        <v>431.0</v>
      </c>
      <c r="B433" s="3" t="s">
        <v>434</v>
      </c>
      <c r="C433" s="3" t="str">
        <f>IFERROR(__xludf.DUMMYFUNCTION("GOOGLETRANSLATE(B433,""id"",""en"")"),"['YTH', 'Telkomsel', 'express',' complaints', 'Where', 'Yesterday', 'Points',' Telkomsel ',' Darling ',' Experience ',' Recovery ',' Naturally ',' Filling ',' Credit ',' Marking ',' Credit ',' Usually ',' Points', 'Telkomsel', 'Increases',' Charging ',' C"&amp;"redit ',' Points', 'Change' , 'Accept', 'Love', 'Please', 'Solution', '']")</f>
        <v>['YTH', 'Telkomsel', 'express',' complaints', 'Where', 'Yesterday', 'Points',' Telkomsel ',' Darling ',' Experience ',' Recovery ',' Naturally ',' Filling ',' Credit ',' Marking ',' Credit ',' Usually ',' Points', 'Telkomsel', 'Increases',' Charging ',' Credit ',' Points', 'Change' , 'Accept', 'Love', 'Please', 'Solution', '']</v>
      </c>
      <c r="D433" s="3">
        <v>2.0</v>
      </c>
    </row>
    <row r="434" ht="15.75" customHeight="1">
      <c r="A434" s="1">
        <v>432.0</v>
      </c>
      <c r="B434" s="3" t="s">
        <v>435</v>
      </c>
      <c r="C434" s="3" t="str">
        <f>IFERROR(__xludf.DUMMYFUNCTION("GOOGLETRANSLATE(B434,""id"",""en"")"),"['Provider', 'slow', 'network', 'Provider', 'Since', 'Released', 'Package', 'Unlimited', 'submit', 'complaint', 'Sales',' repair ',' network ',' my location ',' wonder ',' take ',' fortunately ',' respond ',' complaints', 'customer', 'as a result', 'flock"&amp;"ed', 'moved', 'Indosat', 'stable' , 'The network', 'hope', 'network', 'Telkomsel', 'dying', 'in the future', ""]")</f>
        <v>['Provider', 'slow', 'network', 'Provider', 'Since', 'Released', 'Package', 'Unlimited', 'submit', 'complaint', 'Sales',' repair ',' network ',' my location ',' wonder ',' take ',' fortunately ',' respond ',' complaints', 'customer', 'as a result', 'flocked', 'moved', 'Indosat', 'stable' , 'The network', 'hope', 'network', 'Telkomsel', 'dying', 'in the future', "]</v>
      </c>
      <c r="D434" s="3">
        <v>1.0</v>
      </c>
    </row>
    <row r="435" ht="15.75" customHeight="1">
      <c r="A435" s="1">
        <v>433.0</v>
      </c>
      <c r="B435" s="3" t="s">
        <v>436</v>
      </c>
      <c r="C435" s="3" t="str">
        <f>IFERROR(__xludf.DUMMYFUNCTION("GOOGLETRANSLATE(B435,""id"",""en"")"),"['Min', 'Package', 'PHP', 'Promo', 'GB', 'RB', 'PAS', 'Purchased', 'Processed', 'then', 'Sampe', 'For' Try ',' please ',' deleted ',' bought ', ""]")</f>
        <v>['Min', 'Package', 'PHP', 'Promo', 'GB', 'RB', 'PAS', 'Purchased', 'Processed', 'then', 'Sampe', 'For' Try ',' please ',' deleted ',' bought ', "]</v>
      </c>
      <c r="D435" s="3">
        <v>2.0</v>
      </c>
    </row>
    <row r="436" ht="15.75" customHeight="1">
      <c r="A436" s="1">
        <v>434.0</v>
      </c>
      <c r="B436" s="3" t="s">
        <v>437</v>
      </c>
      <c r="C436" s="3" t="str">
        <f>IFERROR(__xludf.DUMMYFUNCTION("GOOGLETRANSLATE(B436,""id"",""en"")"),"['efficient', 'download', 'application', 'krna', 'promo', 'accurate', 'suits',' location ',' lose ',' purchase ',' content ',' application ',' Cheap ',' vendor ',' counter ',' pulse ',' top ',' ']")</f>
        <v>['efficient', 'download', 'application', 'krna', 'promo', 'accurate', 'suits',' location ',' lose ',' purchase ',' content ',' application ',' Cheap ',' vendor ',' counter ',' pulse ',' top ',' ']</v>
      </c>
      <c r="D436" s="3">
        <v>5.0</v>
      </c>
    </row>
    <row r="437" ht="15.75" customHeight="1">
      <c r="A437" s="1">
        <v>435.0</v>
      </c>
      <c r="B437" s="3" t="s">
        <v>438</v>
      </c>
      <c r="C437" s="3" t="str">
        <f>IFERROR(__xludf.DUMMYFUNCTION("GOOGLETRANSLATE(B437,""id"",""en"")"),"['Telkomsel', 'kouta', 'pulse', 'sucked', 'quota', 'quota', 'clock', 'network', 'rich', 'gini', 'patahin', 'card', ' Telkomsel ',' Rates', 'expensive', 'compared to', 'operator', 'Makai', 'Telkomsel', ""]")</f>
        <v>['Telkomsel', 'kouta', 'pulse', 'sucked', 'quota', 'quota', 'clock', 'network', 'rich', 'gini', 'patahin', 'card', ' Telkomsel ',' Rates', 'expensive', 'compared to', 'operator', 'Makai', 'Telkomsel', "]</v>
      </c>
      <c r="D437" s="3">
        <v>1.0</v>
      </c>
    </row>
    <row r="438" ht="15.75" customHeight="1">
      <c r="A438" s="1">
        <v>436.0</v>
      </c>
      <c r="B438" s="3" t="s">
        <v>439</v>
      </c>
      <c r="C438" s="3" t="str">
        <f>IFERROR(__xludf.DUMMYFUNCTION("GOOGLETRANSLATE(B438,""id"",""en"")"),"['Telkomsel', 'skrg', 'kayak', 'network', 'catfish', 'buy', 'package', 'quota', 'yng', 'show', 'telkomsel', 'waiting', ' because ',' transaction ']")</f>
        <v>['Telkomsel', 'skrg', 'kayak', 'network', 'catfish', 'buy', 'package', 'quota', 'yng', 'show', 'telkomsel', 'waiting', ' because ',' transaction ']</v>
      </c>
      <c r="D438" s="3">
        <v>2.0</v>
      </c>
    </row>
    <row r="439" ht="15.75" customHeight="1">
      <c r="A439" s="1">
        <v>437.0</v>
      </c>
      <c r="B439" s="3" t="s">
        <v>440</v>
      </c>
      <c r="C439" s="3" t="str">
        <f>IFERROR(__xludf.DUMMYFUNCTION("GOOGLETRANSLATE(B439,""id"",""en"")"),"['', 'buy', 'kuto', 'leftover', 'speed', 'Mbps',' slow ',' signal ',' full ',' harmed ',' otw ',' moved ',' provider ',' ']")</f>
        <v>['', 'buy', 'kuto', 'leftover', 'speed', 'Mbps',' slow ',' signal ',' full ',' harmed ',' otw ',' moved ',' provider ',' ']</v>
      </c>
      <c r="D439" s="3">
        <v>1.0</v>
      </c>
    </row>
    <row r="440" ht="15.75" customHeight="1">
      <c r="A440" s="1">
        <v>438.0</v>
      </c>
      <c r="B440" s="3" t="s">
        <v>441</v>
      </c>
      <c r="C440" s="3" t="str">
        <f>IFERROR(__xludf.DUMMYFUNCTION("GOOGLETRANSLATE(B440,""id"",""en"")"),"['move', 'provider', 'donk', 'tuuu', 'telkomsel', 'here', 'quota', 'tetep', 'expensive', 'network', 'down', 'ratting', ' Stars', 'only', 'already', 'Loohh', 'Bener', 'repaired', '']")</f>
        <v>['move', 'provider', 'donk', 'tuuu', 'telkomsel', 'here', 'quota', 'tetep', 'expensive', 'network', 'down', 'ratting', ' Stars', 'only', 'already', 'Loohh', 'Bener', 'repaired', '']</v>
      </c>
      <c r="D440" s="3">
        <v>1.0</v>
      </c>
    </row>
    <row r="441" ht="15.75" customHeight="1">
      <c r="A441" s="1">
        <v>439.0</v>
      </c>
      <c r="B441" s="3" t="s">
        <v>442</v>
      </c>
      <c r="C441" s="3" t="str">
        <f>IFERROR(__xludf.DUMMYFUNCTION("GOOGLETRANSLATE(B441,""id"",""en"")"),"['account', 'Starmaker', 'buy', 'VIP', 'Telkomsel', 'information', 'Available', 'Please', 'The info', 'thank you']")</f>
        <v>['account', 'Starmaker', 'buy', 'VIP', 'Telkomsel', 'information', 'Available', 'Please', 'The info', 'thank you']</v>
      </c>
      <c r="D441" s="3">
        <v>2.0</v>
      </c>
    </row>
    <row r="442" ht="15.75" customHeight="1">
      <c r="A442" s="1">
        <v>440.0</v>
      </c>
      <c r="B442" s="3" t="s">
        <v>443</v>
      </c>
      <c r="C442" s="3" t="str">
        <f>IFERROR(__xludf.DUMMYFUNCTION("GOOGLETRANSLATE(B442,""id"",""en"")"),"['The package', 'expensive', 'package', 'Different', 'Gini', 'friend', 'package', 'combo', 'Rbu', 'it', 'GB', 'pokonya', ' the package ',' Different ',' friend ',' cheap ',' package ']")</f>
        <v>['The package', 'expensive', 'package', 'Different', 'Gini', 'friend', 'package', 'combo', 'Rbu', 'it', 'GB', 'pokonya', ' the package ',' Different ',' friend ',' cheap ',' package ']</v>
      </c>
      <c r="D442" s="3">
        <v>2.0</v>
      </c>
    </row>
    <row r="443" ht="15.75" customHeight="1">
      <c r="A443" s="1">
        <v>441.0</v>
      </c>
      <c r="B443" s="3" t="s">
        <v>444</v>
      </c>
      <c r="C443" s="3" t="str">
        <f>IFERROR(__xludf.DUMMYFUNCTION("GOOGLETRANSLATE(B443,""id"",""en"")"),"['TGL', 'Jan', 'PKL', 'ISI', 'Credit', 'APL', 'Link', 'Balance', 'Link', 'Success',' Reduced ',' Balance ',' pulses', 'entry', 'gmn', 'reverse it', 'tlg', 'check', 'disappointed', 'Jan', 'thank', 'love', 'hub', 'link', 'followed up' , '']")</f>
        <v>['TGL', 'Jan', 'PKL', 'ISI', 'Credit', 'APL', 'Link', 'Balance', 'Link', 'Success',' Reduced ',' Balance ',' pulses', 'entry', 'gmn', 'reverse it', 'tlg', 'check', 'disappointed', 'Jan', 'thank', 'love', 'hub', 'link', 'followed up' , '']</v>
      </c>
      <c r="D443" s="3">
        <v>4.0</v>
      </c>
    </row>
    <row r="444" ht="15.75" customHeight="1">
      <c r="A444" s="1">
        <v>442.0</v>
      </c>
      <c r="B444" s="3" t="s">
        <v>445</v>
      </c>
      <c r="C444" s="3" t="str">
        <f>IFERROR(__xludf.DUMMYFUNCTION("GOOGLETRANSLATE(B444,""id"",""en"")"),"['Sorry', 'Koata', 'Game', 'Complete', 'Buy', 'Koata', 'Game', 'Game', 'Name', 'Game', 'Art', ' Please ',' enter ',' Package ',' Gamemax ',' ']")</f>
        <v>['Sorry', 'Koata', 'Game', 'Complete', 'Buy', 'Koata', 'Game', 'Game', 'Name', 'Game', 'Art', ' Please ',' enter ',' Package ',' Gamemax ',' ']</v>
      </c>
      <c r="D444" s="3">
        <v>4.0</v>
      </c>
    </row>
    <row r="445" ht="15.75" customHeight="1">
      <c r="A445" s="1">
        <v>443.0</v>
      </c>
      <c r="B445" s="3" t="s">
        <v>446</v>
      </c>
      <c r="C445" s="3" t="str">
        <f>IFERROR(__xludf.DUMMYFUNCTION("GOOGLETRANSLATE(B445,""id"",""en"")"),"['Severe', 'enter', 'Telkomsel', 'Wait', 'SMS', 'fix', 'quota', 'cheap', 'expensive', 'covid', 'price', 'rich', ' ']")</f>
        <v>['Severe', 'enter', 'Telkomsel', 'Wait', 'SMS', 'fix', 'quota', 'cheap', 'expensive', 'covid', 'price', 'rich', ' ']</v>
      </c>
      <c r="D445" s="3">
        <v>1.0</v>
      </c>
    </row>
    <row r="446" ht="15.75" customHeight="1">
      <c r="A446" s="1">
        <v>444.0</v>
      </c>
      <c r="B446" s="3" t="s">
        <v>447</v>
      </c>
      <c r="C446" s="3" t="str">
        <f>IFERROR(__xludf.DUMMYFUNCTION("GOOGLETRANSLATE(B446,""id"",""en"")"),"['Woyy', 'Telkomsel', 'already', 'times',' contents', 'pulse', 'package', 'internet', 'right', 'contents',' pulse ',' pulse ',' Reduced ',' Tlong ',' Lahh ',' Telkomsel ',' already ',' package ',' expensive ',' expensive ',' pulse ',' sucked ']")</f>
        <v>['Woyy', 'Telkomsel', 'already', 'times',' contents', 'pulse', 'package', 'internet', 'right', 'contents',' pulse ',' pulse ',' Reduced ',' Tlong ',' Lahh ',' Telkomsel ',' already ',' package ',' expensive ',' expensive ',' pulse ',' sucked ']</v>
      </c>
      <c r="D446" s="3">
        <v>1.0</v>
      </c>
    </row>
    <row r="447" ht="15.75" customHeight="1">
      <c r="A447" s="1">
        <v>445.0</v>
      </c>
      <c r="B447" s="3" t="s">
        <v>448</v>
      </c>
      <c r="C447" s="3" t="str">
        <f>IFERROR(__xludf.DUMMYFUNCTION("GOOGLETRANSLATE(B447,""id"",""en"")"),"['Ampist', 'signal', 'Telkomsel', 'alternating', 'Telkomsel', 'change', 'internet', 'difficult', 'because', 'stay', 'near' Mountain ',' signal ',' stuck ',' rollung ',' report ',' backend ',' results', 'try', 'deh', 'team', 'textnition', 'location', 'truz"&amp;"' , 'Internet', 'Dimari', 'Season', 'Promo', 'Ajah', 'Darkenin', 'Signal', 'Diramed', 'continue', 'Deh', 'Telkomsel', 'worn', ' Signal ',' Region ',' Great ',' ']")</f>
        <v>['Ampist', 'signal', 'Telkomsel', 'alternating', 'Telkomsel', 'change', 'internet', 'difficult', 'because', 'stay', 'near' Mountain ',' signal ',' stuck ',' rollung ',' report ',' backend ',' results', 'try', 'deh', 'team', 'textnition', 'location', 'truz' , 'Internet', 'Dimari', 'Season', 'Promo', 'Ajah', 'Darkenin', 'Signal', 'Diramed', 'continue', 'Deh', 'Telkomsel', 'worn', ' Signal ',' Region ',' Great ',' ']</v>
      </c>
      <c r="D447" s="3">
        <v>1.0</v>
      </c>
    </row>
    <row r="448" ht="15.75" customHeight="1">
      <c r="A448" s="1">
        <v>446.0</v>
      </c>
      <c r="B448" s="3" t="s">
        <v>449</v>
      </c>
      <c r="C448" s="3" t="str">
        <f>IFERROR(__xludf.DUMMYFUNCTION("GOOGLETRANSLATE(B448,""id"",""en"")"),"['Telkomsel', 'bad', 'disappointing', 'week', 'used', 'customer', 'postpaid', 'quota', 'use', 'burrriuuuukkkkkk']")</f>
        <v>['Telkomsel', 'bad', 'disappointing', 'week', 'used', 'customer', 'postpaid', 'quota', 'use', 'burrriuuuukkkkkk']</v>
      </c>
      <c r="D448" s="3">
        <v>1.0</v>
      </c>
    </row>
    <row r="449" ht="15.75" customHeight="1">
      <c r="A449" s="1">
        <v>447.0</v>
      </c>
      <c r="B449" s="3" t="s">
        <v>450</v>
      </c>
      <c r="C449" s="3" t="str">
        <f>IFERROR(__xludf.DUMMYFUNCTION("GOOGLETRANSLATE(B449,""id"",""en"")"),"['difficult', 'buy', 'package', 'application', 'strange', 'disorder', 'package', 'abis',' pulse ',' udh ',' sumps', 'mulu', ' pulses', 'signal', 'junk', 'disorder', 'poor']")</f>
        <v>['difficult', 'buy', 'package', 'application', 'strange', 'disorder', 'package', 'abis',' pulse ',' udh ',' sumps', 'mulu', ' pulses', 'signal', 'junk', 'disorder', 'poor']</v>
      </c>
      <c r="D449" s="3">
        <v>1.0</v>
      </c>
    </row>
    <row r="450" ht="15.75" customHeight="1">
      <c r="A450" s="1">
        <v>448.0</v>
      </c>
      <c r="B450" s="3" t="s">
        <v>451</v>
      </c>
      <c r="C450" s="3" t="str">
        <f>IFERROR(__xludf.DUMMYFUNCTION("GOOGLETRANSLATE(B450,""id"",""en"")"),"['Nomer', 'promo', 'ehhh', 'bought', 'transaction', 'success',' package ',' entry ',' already ',' repeated ',' poor ',' provider ',' PHP ',' ']")</f>
        <v>['Nomer', 'promo', 'ehhh', 'bought', 'transaction', 'success',' package ',' entry ',' already ',' repeated ',' poor ',' provider ',' PHP ',' ']</v>
      </c>
      <c r="D450" s="3">
        <v>1.0</v>
      </c>
    </row>
    <row r="451" ht="15.75" customHeight="1">
      <c r="A451" s="1">
        <v>449.0</v>
      </c>
      <c r="B451" s="3" t="s">
        <v>452</v>
      </c>
      <c r="C451" s="3" t="str">
        <f>IFERROR(__xludf.DUMMYFUNCTION("GOOGLETRANSLATE(B451,""id"",""en"")"),"['package', 'nggk', 'package', 'buy', 'lost', 'appears',' package ',' nggk ',' expensive ',' according to ',' need ',' package ',' Divided ',' ']")</f>
        <v>['package', 'nggk', 'package', 'buy', 'lost', 'appears',' package ',' nggk ',' expensive ',' according to ',' need ',' package ',' Divided ',' ']</v>
      </c>
      <c r="D451" s="3">
        <v>1.0</v>
      </c>
    </row>
    <row r="452" ht="15.75" customHeight="1">
      <c r="A452" s="1">
        <v>450.0</v>
      </c>
      <c r="B452" s="3" t="s">
        <v>453</v>
      </c>
      <c r="C452" s="3" t="str">
        <f>IFERROR(__xludf.DUMMYFUNCTION("GOOGLETRANSLATE(B452,""id"",""en"")"),"['update', 'bug', 'daily', 'check', 'claim', 'gift', 'situ', 'description', 'cutting', 'pulse', 'okay', 'appears',' Description ',' Reedem ',' SUCCESS ',' Points', 'Credit', 'Points',' Gara ',' Update ',' Latest ',' Points', 'Lost', 'Maxut', 'What' , 'ple"&amp;"ase', 'fix']")</f>
        <v>['update', 'bug', 'daily', 'check', 'claim', 'gift', 'situ', 'description', 'cutting', 'pulse', 'okay', 'appears',' Description ',' Reedem ',' SUCCESS ',' Points', 'Credit', 'Points',' Gara ',' Update ',' Latest ',' Points', 'Lost', 'Maxut', 'What' , 'please', 'fix']</v>
      </c>
      <c r="D452" s="3">
        <v>1.0</v>
      </c>
    </row>
    <row r="453" ht="15.75" customHeight="1">
      <c r="A453" s="1">
        <v>451.0</v>
      </c>
      <c r="B453" s="3" t="s">
        <v>454</v>
      </c>
      <c r="C453" s="3" t="str">
        <f>IFERROR(__xludf.DUMMYFUNCTION("GOOGLETRANSLATE(B453,""id"",""en"")"),"['satisfying', 'quota', 'cheap', 'bonus',' check ',' pokonya ',' The ',' best ',' deh ',' suggestion ',' please ',' Top ',' special ',' game ',' cheap ',' accompanied ',' quota ',' internet ']")</f>
        <v>['satisfying', 'quota', 'cheap', 'bonus',' check ',' pokonya ',' The ',' best ',' deh ',' suggestion ',' please ',' Top ',' special ',' game ',' cheap ',' accompanied ',' quota ',' internet ']</v>
      </c>
      <c r="D453" s="3">
        <v>5.0</v>
      </c>
    </row>
    <row r="454" ht="15.75" customHeight="1">
      <c r="A454" s="1">
        <v>452.0</v>
      </c>
      <c r="B454" s="3" t="s">
        <v>455</v>
      </c>
      <c r="C454" s="3" t="str">
        <f>IFERROR(__xludf.DUMMYFUNCTION("GOOGLETRANSLATE(B454,""id"",""en"")"),"['network', 'Telkomsel', 'smakin', 'maen', 'game', 'online', 'like', 'ngelag', 'game', 'pub', 'promo', 'package', ' INTERNAT ',' Meng8uanny ',' please ',' as soon as possible ',' fix ',' net ',' disappointed ',' spirit ',' fix ', ""]")</f>
        <v>['network', 'Telkomsel', 'smakin', 'maen', 'game', 'online', 'like', 'ngelag', 'game', 'pub', 'promo', 'package', ' INTERNAT ',' Meng8uanny ',' please ',' as soon as possible ',' fix ',' net ',' disappointed ',' spirit ',' fix ', "]</v>
      </c>
      <c r="D454" s="3">
        <v>1.0</v>
      </c>
    </row>
    <row r="455" ht="15.75" customHeight="1">
      <c r="A455" s="1">
        <v>453.0</v>
      </c>
      <c r="B455" s="3" t="s">
        <v>456</v>
      </c>
      <c r="C455" s="3" t="str">
        <f>IFERROR(__xludf.DUMMYFUNCTION("GOOGLETRANSLATE(B455,""id"",""en"")"),"['Telkomsel', 'error', 'buy', 'package', 'GB', 'RB', 'Many', 'enter', 'package', 'data', 'pulses',' no ',' Reduced ',' confused ',' buy ',' package ',' TSB ',' ']")</f>
        <v>['Telkomsel', 'error', 'buy', 'package', 'GB', 'RB', 'Many', 'enter', 'package', 'data', 'pulses',' no ',' Reduced ',' confused ',' buy ',' package ',' TSB ',' ']</v>
      </c>
      <c r="D455" s="3">
        <v>2.0</v>
      </c>
    </row>
    <row r="456" ht="15.75" customHeight="1">
      <c r="A456" s="1">
        <v>454.0</v>
      </c>
      <c r="B456" s="3" t="s">
        <v>457</v>
      </c>
      <c r="C456" s="3" t="str">
        <f>IFERROR(__xludf.DUMMYFUNCTION("GOOGLETRANSLATE(B456,""id"",""en"")"),"['night', 'buy', 'package', 'daily', 'GB', 'brief', 'run out', 'clock', 'doang', 'just', 'open', 'kagak' hours', 'bought', 'clock', 'night', 'run out', 'hours',' morning ',' Please ',' kagak ',' kayak ',' Telkomsel ']")</f>
        <v>['night', 'buy', 'package', 'daily', 'GB', 'brief', 'run out', 'clock', 'doang', 'just', 'open', 'kagak' hours', 'bought', 'clock', 'night', 'run out', 'hours',' morning ',' Please ',' kagak ',' kayak ',' Telkomsel ']</v>
      </c>
      <c r="D456" s="3">
        <v>1.0</v>
      </c>
    </row>
    <row r="457" ht="15.75" customHeight="1">
      <c r="A457" s="1">
        <v>455.0</v>
      </c>
      <c r="B457" s="3" t="s">
        <v>458</v>
      </c>
      <c r="C457" s="3" t="str">
        <f>IFERROR(__xludf.DUMMYFUNCTION("GOOGLETRANSLATE(B457,""id"",""en"")"),"['here', 'Ngeluh', 'Telkomsel', 'already', 'signal', 'severe', 'connection', 'severe', 'price', 'mah', 'expensive', 'according to' Price ',' Disappointed ']")</f>
        <v>['here', 'Ngeluh', 'Telkomsel', 'already', 'signal', 'severe', 'connection', 'severe', 'price', 'mah', 'expensive', 'according to' Price ',' Disappointed ']</v>
      </c>
      <c r="D457" s="3">
        <v>1.0</v>
      </c>
    </row>
    <row r="458" ht="15.75" customHeight="1">
      <c r="A458" s="1">
        <v>456.0</v>
      </c>
      <c r="B458" s="3" t="s">
        <v>459</v>
      </c>
      <c r="C458" s="3" t="str">
        <f>IFERROR(__xludf.DUMMYFUNCTION("GOOGLETRANSLATE(B458,""id"",""en"")"),"['credit', 'saia', 'like', 'steal', 'steal', 'yesterday', 'contents',' pulse ',' thousand ',' pakek ',' taunya ',' right ',' Check ',' pulse ',' already ',' reduced ',' appain ',' kaish ',' you ',' star ']")</f>
        <v>['credit', 'saia', 'like', 'steal', 'steal', 'yesterday', 'contents',' pulse ',' thousand ',' pakek ',' taunya ',' right ',' Check ',' pulse ',' already ',' reduced ',' appain ',' kaish ',' you ',' star ']</v>
      </c>
      <c r="D458" s="3">
        <v>1.0</v>
      </c>
    </row>
    <row r="459" ht="15.75" customHeight="1">
      <c r="A459" s="1">
        <v>457.0</v>
      </c>
      <c r="B459" s="3" t="s">
        <v>460</v>
      </c>
      <c r="C459" s="3" t="str">
        <f>IFERROR(__xludf.DUMMYFUNCTION("GOOGLETRANSLATE(B459,""id"",""en"")"),"['disgust', 'ama', 'provider', 'severe', 'disappointed', 'severe', 'signal', 'udh', 'rich', 'stay', 'sea', 'expensive', ' Doang ',' essence ',' card ',' decent ',' use ',' ']")</f>
        <v>['disgust', 'ama', 'provider', 'severe', 'disappointed', 'severe', 'signal', 'udh', 'rich', 'stay', 'sea', 'expensive', ' Doang ',' essence ',' card ',' decent ',' use ',' ']</v>
      </c>
      <c r="D459" s="3">
        <v>1.0</v>
      </c>
    </row>
    <row r="460" ht="15.75" customHeight="1">
      <c r="A460" s="1">
        <v>458.0</v>
      </c>
      <c r="B460" s="3" t="s">
        <v>461</v>
      </c>
      <c r="C460" s="3" t="str">
        <f>IFERROR(__xludf.DUMMYFUNCTION("GOOGLETRANSLATE(B460,""id"",""en"")"),"['Disappointed', 'Telkomsel', 'SMS', 'Promo', 'Telkomsel', 'Enter', 'Try', 'Purchase', 'Different', 'SMS', 'Promo', 'Telkomsel', ' Send ',' Please ',' Fix ',' Sis']")</f>
        <v>['Disappointed', 'Telkomsel', 'SMS', 'Promo', 'Telkomsel', 'Enter', 'Try', 'Purchase', 'Different', 'SMS', 'Promo', 'Telkomsel', ' Send ',' Please ',' Fix ',' Sis']</v>
      </c>
      <c r="D460" s="3">
        <v>1.0</v>
      </c>
    </row>
    <row r="461" ht="15.75" customHeight="1">
      <c r="A461" s="1">
        <v>459.0</v>
      </c>
      <c r="B461" s="3" t="s">
        <v>462</v>
      </c>
      <c r="C461" s="3" t="str">
        <f>IFERROR(__xludf.DUMMYFUNCTION("GOOGLETRANSLATE(B461,""id"",""en"")"),"['applicator', 'suggestion', 'klu', 'application', 'add', 'menu', 'pulse', 'lock', 'network', 'internet', 'cell', 'sometimes' consumers', 'Kouta', 'internet', 'run out', 'warning', 'kouta', 'run out', 'pulses',' used ',' promo ',' interesting ',' feature "&amp;"',' one step ' , 'vendor', 'competitor', 'response']")</f>
        <v>['applicator', 'suggestion', 'klu', 'application', 'add', 'menu', 'pulse', 'lock', 'network', 'internet', 'cell', 'sometimes' consumers', 'Kouta', 'internet', 'run out', 'warning', 'kouta', 'run out', 'pulses',' used ',' promo ',' interesting ',' feature ',' one step ' , 'vendor', 'competitor', 'response']</v>
      </c>
      <c r="D461" s="3">
        <v>1.0</v>
      </c>
    </row>
    <row r="462" ht="15.75" customHeight="1">
      <c r="A462" s="1">
        <v>460.0</v>
      </c>
      <c r="B462" s="3" t="s">
        <v>463</v>
      </c>
      <c r="C462" s="3" t="str">
        <f>IFERROR(__xludf.DUMMYFUNCTION("GOOGLETRANSLATE(B462,""id"",""en"")"),"['admin', 'Telkomsel', 'healthy', 'payday', 'cut', 'network', 'repaired', 'repaired', 'fix', 'listen', 'min', 'era', ' difficult ',' people ',' difficult ',' I ',' many years', 'Telkomsel', 'slow', 'coffee', 'min', 'Males', ""]")</f>
        <v>['admin', 'Telkomsel', 'healthy', 'payday', 'cut', 'network', 'repaired', 'repaired', 'fix', 'listen', 'min', 'era', ' difficult ',' people ',' difficult ',' I ',' many years', 'Telkomsel', 'slow', 'coffee', 'min', 'Males', "]</v>
      </c>
      <c r="D462" s="3">
        <v>1.0</v>
      </c>
    </row>
    <row r="463" ht="15.75" customHeight="1">
      <c r="A463" s="1">
        <v>461.0</v>
      </c>
      <c r="B463" s="3" t="s">
        <v>464</v>
      </c>
      <c r="C463" s="3" t="str">
        <f>IFERROR(__xludf.DUMMYFUNCTION("GOOGLETRANSLATE(B463,""id"",""en"")"),"['Bintang', 'ugly', 'mah', 'kaga', 'given', 'star', 'threat', 'signal', 'quota', 'doang', 'expensive', 'ugly', ' signal ',' usage ',' card ',' prime ',' emotion ',' doang ',' mending ',' replace ',' card ',' sit ', ""]")</f>
        <v>['Bintang', 'ugly', 'mah', 'kaga', 'given', 'star', 'threat', 'signal', 'quota', 'doang', 'expensive', 'ugly', ' signal ',' usage ',' card ',' prime ',' emotion ',' doang ',' mending ',' replace ',' card ',' sit ', "]</v>
      </c>
      <c r="D463" s="3">
        <v>1.0</v>
      </c>
    </row>
    <row r="464" ht="15.75" customHeight="1">
      <c r="A464" s="1">
        <v>462.0</v>
      </c>
      <c r="B464" s="3" t="s">
        <v>465</v>
      </c>
      <c r="C464" s="3" t="str">
        <f>IFERROR(__xludf.DUMMYFUNCTION("GOOGLETRANSLATE(B464,""id"",""en"")"),"['Disappointed', 'Telkomsel', 'Make', 'Card', 'Sympathy', 'Loop', 'Main', 'Game', 'Bener', 'Network', 'Advertising', 'Telkomsel', ' Telling ',' Network ',' Strong ',' Macem ',' Results', 'Disappointed', 'Telkomsel', 'Make', 'Provider', 'Neighbors',' Pas',"&amp;" 'Play', 'Game' , 'Network', 'stable', 'turn', 'replace', 'card', 'network', 'inconvenient', 'disappointed']")</f>
        <v>['Disappointed', 'Telkomsel', 'Make', 'Card', 'Sympathy', 'Loop', 'Main', 'Game', 'Bener', 'Network', 'Advertising', 'Telkomsel', ' Telling ',' Network ',' Strong ',' Macem ',' Results', 'Disappointed', 'Telkomsel', 'Make', 'Provider', 'Neighbors',' Pas', 'Play', 'Game' , 'Network', 'stable', 'turn', 'replace', 'card', 'network', 'inconvenient', 'disappointed']</v>
      </c>
      <c r="D464" s="3">
        <v>1.0</v>
      </c>
    </row>
    <row r="465" ht="15.75" customHeight="1">
      <c r="A465" s="1">
        <v>463.0</v>
      </c>
      <c r="B465" s="3" t="s">
        <v>466</v>
      </c>
      <c r="C465" s="3" t="str">
        <f>IFERROR(__xludf.DUMMYFUNCTION("GOOGLETRANSLATE(B465,""id"",""en"")"),"['Sis',' how ',' ugly ',' signal ',' bright ',' moved ',' card ',' person ',' Bojonegoro ',' Rain ',' people ',' Bojonegoro ',' Twitter ',' Ran ',' complaints', 'told', 'Twitter', 'Ngelag', 'Sis']")</f>
        <v>['Sis',' how ',' ugly ',' signal ',' bright ',' moved ',' card ',' person ',' Bojonegoro ',' Rain ',' people ',' Bojonegoro ',' Twitter ',' Ran ',' complaints', 'told', 'Twitter', 'Ngelag', 'Sis']</v>
      </c>
      <c r="D465" s="3">
        <v>1.0</v>
      </c>
    </row>
    <row r="466" ht="15.75" customHeight="1">
      <c r="A466" s="1">
        <v>464.0</v>
      </c>
      <c r="B466" s="3" t="s">
        <v>467</v>
      </c>
      <c r="C466" s="3" t="str">
        <f>IFERROR(__xludf.DUMMYFUNCTION("GOOGLETRANSLATE(B466,""id"",""en"")"),"['Kouta', 'expensive', 'application', 'damaged', 'Telkomsel', 'better', 'cheap', 'comparable', 'quality', 'sinynya', 'expensive', 'quality', ' network ',' quality ',' network ',' cheap ',' yuk ',' leave ',' Telkomsel ',' bankrupt ',' amin ']")</f>
        <v>['Kouta', 'expensive', 'application', 'damaged', 'Telkomsel', 'better', 'cheap', 'comparable', 'quality', 'sinynya', 'expensive', 'quality', ' network ',' quality ',' network ',' cheap ',' yuk ',' leave ',' Telkomsel ',' bankrupt ',' amin ']</v>
      </c>
      <c r="D466" s="3">
        <v>1.0</v>
      </c>
    </row>
    <row r="467" ht="15.75" customHeight="1">
      <c r="A467" s="1">
        <v>465.0</v>
      </c>
      <c r="B467" s="3" t="s">
        <v>468</v>
      </c>
      <c r="C467" s="3" t="str">
        <f>IFERROR(__xludf.DUMMYFUNCTION("GOOGLETRANSLATE(B467,""id"",""en"")"),"['Makai', 'APK', 'TELKOM', 'Good', 'Good', 'Network', 'Purchase', 'Package', 'Data', 'Data', 'Pulse', 'Sucked', ' Rupiah ',' thousand ',' Rupiah ', ""]")</f>
        <v>['Makai', 'APK', 'TELKOM', 'Good', 'Good', 'Network', 'Purchase', 'Package', 'Data', 'Data', 'Pulse', 'Sucked', ' Rupiah ',' thousand ',' Rupiah ', "]</v>
      </c>
      <c r="D467" s="3">
        <v>5.0</v>
      </c>
    </row>
    <row r="468" ht="15.75" customHeight="1">
      <c r="A468" s="1">
        <v>466.0</v>
      </c>
      <c r="B468" s="3" t="s">
        <v>469</v>
      </c>
      <c r="C468" s="3" t="str">
        <f>IFERROR(__xludf.DUMMYFUNCTION("GOOGLETRANSLATE(B468,""id"",""en"")"),"['right', 'buy', 'package', 'promotion', 'GB', 'no', 'already', 'buy', 'wait', 'really', 'error', 'no', ' pulses', 'sumps',' right ',' buy ',' woy ',' loss', 'cave', ""]")</f>
        <v>['right', 'buy', 'package', 'promotion', 'GB', 'no', 'already', 'buy', 'wait', 'really', 'error', 'no', ' pulses', 'sumps',' right ',' buy ',' woy ',' loss', 'cave', "]</v>
      </c>
      <c r="D468" s="3">
        <v>1.0</v>
      </c>
    </row>
    <row r="469" ht="15.75" customHeight="1">
      <c r="A469" s="1">
        <v>467.0</v>
      </c>
      <c r="B469" s="3" t="s">
        <v>470</v>
      </c>
      <c r="C469" s="3" t="str">
        <f>IFERROR(__xludf.DUMMYFUNCTION("GOOGLETRANSLATE(B469,""id"",""en"")"),"['Network', 'Telkomsel', 'like', 'ngilan', 'right', 'play', 'game', 'please', 'fix', 'again', 'optimize', 'consumer', ' Comfortable ',' already ',' price ',' package ',' expensive ',' network ',' destroyed ',' right ',' just ',' luck ',' doang ', ""]")</f>
        <v>['Network', 'Telkomsel', 'like', 'ngilan', 'right', 'play', 'game', 'please', 'fix', 'again', 'optimize', 'consumer', ' Comfortable ',' already ',' price ',' package ',' expensive ',' network ',' destroyed ',' right ',' just ',' luck ',' doang ', "]</v>
      </c>
      <c r="D469" s="3">
        <v>1.0</v>
      </c>
    </row>
    <row r="470" ht="15.75" customHeight="1">
      <c r="A470" s="1">
        <v>468.0</v>
      </c>
      <c r="B470" s="3" t="s">
        <v>471</v>
      </c>
      <c r="C470" s="3" t="str">
        <f>IFERROR(__xludf.DUMMYFUNCTION("GOOGLETRANSLATE(B470,""id"",""en"")"),"['Hello', 'Telkomsel', 'healthy', 'quota', 'expensive', 'balanced', 'signal', 'network', 'quality', 'customers',' Telkomsel ',' signal ',' City ',' taste ',' forest ',' Jungle ',' Pantes', 'people', 'people', 'Switch', 'card', ""]")</f>
        <v>['Hello', 'Telkomsel', 'healthy', 'quota', 'expensive', 'balanced', 'signal', 'network', 'quality', 'customers',' Telkomsel ',' signal ',' City ',' taste ',' forest ',' Jungle ',' Pantes', 'people', 'people', 'Switch', 'card', "]</v>
      </c>
      <c r="D470" s="3">
        <v>1.0</v>
      </c>
    </row>
    <row r="471" ht="15.75" customHeight="1">
      <c r="A471" s="1">
        <v>469.0</v>
      </c>
      <c r="B471" s="3" t="s">
        <v>472</v>
      </c>
      <c r="C471" s="3" t="str">
        <f>IFERROR(__xludf.DUMMYFUNCTION("GOOGLETRANSLATE(B471,""id"",""en"")"),"['Operator', 'Waste', 'Worth', 'Use', 'Card', 'PPK', 'Ngapa', 'What's "",' Fool ',' Ajg ',' Discard ',' Discard ',' Money ',' expensive ',' signal ',' cheap ',' hope ',' customer ',' leave ',' card ',' BURIK ',' AJG ',' Switch ',' operator ',' a year ' , "&amp;"'complain', 'repairs', 'operator', 'savage', 'regret', 'gwa', 'buy', 'operator', 'garbage', 'telkontol', ""]")</f>
        <v>['Operator', 'Waste', 'Worth', 'Use', 'Card', 'PPK', 'Ngapa', 'What's ",' Fool ',' Ajg ',' Discard ',' Discard ',' Money ',' expensive ',' signal ',' cheap ',' hope ',' customer ',' leave ',' card ',' BURIK ',' AJG ',' Switch ',' operator ',' a year ' , 'complain', 'repairs', 'operator', 'savage', 'regret', 'gwa', 'buy', 'operator', 'garbage', 'telkontol', "]</v>
      </c>
      <c r="D471" s="3">
        <v>1.0</v>
      </c>
    </row>
    <row r="472" ht="15.75" customHeight="1">
      <c r="A472" s="1">
        <v>470.0</v>
      </c>
      <c r="B472" s="3" t="s">
        <v>473</v>
      </c>
      <c r="C472" s="3" t="str">
        <f>IFERROR(__xludf.DUMMYFUNCTION("GOOGLETRANSLATE(B472,""id"",""en"")"),"['Telkom', 'Declares',' Damaged ',' Telkom ',' Fortunately ',' Doang ',' Ngak ',' Mikirin ',' Use ',' Mink ',' Untung ',' Doang ',' Mending ',' Change ',' Card ',' Telkom ',' skrng ',' Udh ',' Damaged ',' Very ']")</f>
        <v>['Telkom', 'Declares',' Damaged ',' Telkom ',' Fortunately ',' Doang ',' Ngak ',' Mikirin ',' Use ',' Mink ',' Untung ',' Doang ',' Mending ',' Change ',' Card ',' Telkom ',' skrng ',' Udh ',' Damaged ',' Very ']</v>
      </c>
      <c r="D472" s="3">
        <v>1.0</v>
      </c>
    </row>
    <row r="473" ht="15.75" customHeight="1">
      <c r="A473" s="1">
        <v>471.0</v>
      </c>
      <c r="B473" s="3" t="s">
        <v>474</v>
      </c>
      <c r="C473" s="3" t="str">
        <f>IFERROR(__xludf.DUMMYFUNCTION("GOOGLETRANSLATE(B473,""id"",""en"")"),"['Sorry', 'min', 'network', 'slow', 'price', 'quota', 'expensive', 'please', 'read', 'complaint', 'min', 'expensive', ' price ',' quota ',' blame ',' network ',' smooth ',' fast ',' stable ',' so ',' thank you ']")</f>
        <v>['Sorry', 'min', 'network', 'slow', 'price', 'quota', 'expensive', 'please', 'read', 'complaint', 'min', 'expensive', ' price ',' quota ',' blame ',' network ',' smooth ',' fast ',' stable ',' so ',' thank you ']</v>
      </c>
      <c r="D473" s="3">
        <v>1.0</v>
      </c>
    </row>
    <row r="474" ht="15.75" customHeight="1">
      <c r="A474" s="1">
        <v>472.0</v>
      </c>
      <c r="B474" s="3" t="s">
        <v>475</v>
      </c>
      <c r="C474" s="3" t="str">
        <f>IFERROR(__xludf.DUMMYFUNCTION("GOOGLETRANSLATE(B474,""id"",""en"")"),"['Disappointed', 'Quota', 'Unlimited', 'Decrease', 'Performance', 'Sayu', 'Quota', 'Main', 'Out', 'Ngeleg', 'Very', 'The Network', ' Open ',' slow ',' forgiveness']")</f>
        <v>['Disappointed', 'Quota', 'Unlimited', 'Decrease', 'Performance', 'Sayu', 'Quota', 'Main', 'Out', 'Ngeleg', 'Very', 'The Network', ' Open ',' slow ',' forgiveness']</v>
      </c>
      <c r="D474" s="3">
        <v>1.0</v>
      </c>
    </row>
    <row r="475" ht="15.75" customHeight="1">
      <c r="A475" s="1">
        <v>473.0</v>
      </c>
      <c r="B475" s="3" t="s">
        <v>476</v>
      </c>
      <c r="C475" s="3" t="str">
        <f>IFERROR(__xludf.DUMMYFUNCTION("GOOGLETRANSLATE(B475,""id"",""en"")"),"['Telkomsel', 'siqnal', 'network', 'dead', 'lives',' in the city ',' network ',' uda ',' week ',' gini ',' please ',' check ',' Looked at ',' Jngn ',' Please ',' Sorry ',' Disorders', 'Constraints',' Please ',' Ended ',' Come ',' It's', 'Ribet', ""]")</f>
        <v>['Telkomsel', 'siqnal', 'network', 'dead', 'lives',' in the city ',' network ',' uda ',' week ',' gini ',' please ',' check ',' Looked at ',' Jngn ',' Please ',' Sorry ',' Disorders', 'Constraints',' Please ',' Ended ',' Come ',' It's', 'Ribet', "]</v>
      </c>
      <c r="D475" s="3">
        <v>1.0</v>
      </c>
    </row>
    <row r="476" ht="15.75" customHeight="1">
      <c r="A476" s="1">
        <v>474.0</v>
      </c>
      <c r="B476" s="3" t="s">
        <v>477</v>
      </c>
      <c r="C476" s="3" t="str">
        <f>IFERROR(__xludf.DUMMYFUNCTION("GOOGLETRANSLATE(B476,""id"",""en"")"),"['payment', 'use', 'link', 'customer', 'right', 'buy', 'package', 'payment', 'via', 'Link', 'Severe', 'already', ' signal ',' ugly ',' stable ',' price ',' package ',' expensive ',' kirain ',' promo ',' ']")</f>
        <v>['payment', 'use', 'link', 'customer', 'right', 'buy', 'package', 'payment', 'via', 'Link', 'Severe', 'already', ' signal ',' ugly ',' stable ',' price ',' package ',' expensive ',' kirain ',' promo ',' ']</v>
      </c>
      <c r="D476" s="3">
        <v>1.0</v>
      </c>
    </row>
    <row r="477" ht="15.75" customHeight="1">
      <c r="A477" s="1">
        <v>475.0</v>
      </c>
      <c r="B477" s="3" t="s">
        <v>478</v>
      </c>
      <c r="C477" s="3" t="str">
        <f>IFERROR(__xludf.DUMMYFUNCTION("GOOGLETRANSLATE(B477,""id"",""en"")"),"['signal', 'bad', 'Telkomsel', 'users',' Telkomsel ',' disappointed ',' Telkomsel ',' City ',' Jakarta ',' signal ',' ugly ',' Telkomsel ',' "", 'moved', 'Indosat', 'thank you']")</f>
        <v>['signal', 'bad', 'Telkomsel', 'users',' Telkomsel ',' disappointed ',' Telkomsel ',' City ',' Jakarta ',' signal ',' ugly ',' Telkomsel ',' ", 'moved', 'Indosat', 'thank you']</v>
      </c>
      <c r="D477" s="3">
        <v>1.0</v>
      </c>
    </row>
    <row r="478" ht="15.75" customHeight="1">
      <c r="A478" s="1">
        <v>476.0</v>
      </c>
      <c r="B478" s="3" t="s">
        <v>479</v>
      </c>
      <c r="C478" s="3" t="str">
        <f>IFERROR(__xludf.DUMMYFUNCTION("GOOGLETRANSLATE(B478,""id"",""en"")"),"['signal', 'bad', 'service', 'bad', 'consideration', 'signal', 'bapuk', 'slow', 'activity', 'disturbed', 'package', 'expensive', ' signal ',' according to ',' price ',' ']")</f>
        <v>['signal', 'bad', 'service', 'bad', 'consideration', 'signal', 'bapuk', 'slow', 'activity', 'disturbed', 'package', 'expensive', ' signal ',' according to ',' price ',' ']</v>
      </c>
      <c r="D478" s="3">
        <v>1.0</v>
      </c>
    </row>
    <row r="479" ht="15.75" customHeight="1">
      <c r="A479" s="1">
        <v>477.0</v>
      </c>
      <c r="B479" s="3" t="s">
        <v>480</v>
      </c>
      <c r="C479" s="3" t="str">
        <f>IFERROR(__xludf.DUMMYFUNCTION("GOOGLETRANSLATE(B479,""id"",""en"")"),"['Think', 'price', 'quota', 'expensive', 'carry', 'wow', 'kagak', 'buy', 'quota', 'expensive', 'experred', 'buffering', ' Doang ',' Mending ',' Use ',' Card ',' Price ',' Friendly ',' Signal ',' Rotten ',' Network ',' Telkomsel ',' Disappointed ']")</f>
        <v>['Think', 'price', 'quota', 'expensive', 'carry', 'wow', 'kagak', 'buy', 'quota', 'expensive', 'experred', 'buffering', ' Doang ',' Mending ',' Use ',' Card ',' Price ',' Friendly ',' Signal ',' Rotten ',' Network ',' Telkomsel ',' Disappointed ']</v>
      </c>
      <c r="D479" s="3">
        <v>1.0</v>
      </c>
    </row>
    <row r="480" ht="15.75" customHeight="1">
      <c r="A480" s="1">
        <v>478.0</v>
      </c>
      <c r="B480" s="3" t="s">
        <v>481</v>
      </c>
      <c r="C480" s="3" t="str">
        <f>IFERROR(__xludf.DUMMYFUNCTION("GOOGLETRANSLATE(B480,""id"",""en"")"),"['Telkomtol', 'Sorry', 'Sorry', 'Kenda', 'Slalu', 'Sllu', 'Sorry', 'Satisfaction', 'Customer', 'Filled', 'Fix', 'Response', ' automatically ',' hold ',' Klau ',' Mendi ',' out ',' oath ',' CPE ',' cave ',' see ',' provider ',' rating ',' increasingly ',' "&amp;"TPI ' , 'Ingredients', ""]")</f>
        <v>['Telkomtol', 'Sorry', 'Sorry', 'Kenda', 'Slalu', 'Sllu', 'Sorry', 'Satisfaction', 'Customer', 'Filled', 'Fix', 'Response', ' automatically ',' hold ',' Klau ',' Mendi ',' out ',' oath ',' CPE ',' cave ',' see ',' provider ',' rating ',' increasingly ',' TPI ' , 'Ingredients', "]</v>
      </c>
      <c r="D480" s="3">
        <v>1.0</v>
      </c>
    </row>
    <row r="481" ht="15.75" customHeight="1">
      <c r="A481" s="1">
        <v>479.0</v>
      </c>
      <c r="B481" s="3" t="s">
        <v>482</v>
      </c>
      <c r="C481" s="3" t="str">
        <f>IFERROR(__xludf.DUMMYFUNCTION("GOOGLETRANSLATE(B481,""id"",""en"")"),"['Hi', 'Telkomsel', 'Thank you', 'Drazy', 'Successful', 'Disappointed', 'Network', 'Application', 'Telkom', 'Error', 'Price', 'Quality', ' Network ',' Low ',' Stay ',' City ',' Serasa ',' Live ',' Plosok ', ""]")</f>
        <v>['Hi', 'Telkomsel', 'Thank you', 'Drazy', 'Successful', 'Disappointed', 'Network', 'Application', 'Telkom', 'Error', 'Price', 'Quality', ' Network ',' Low ',' Stay ',' City ',' Serasa ',' Live ',' Plosok ', "]</v>
      </c>
      <c r="D481" s="3">
        <v>1.0</v>
      </c>
    </row>
    <row r="482" ht="15.75" customHeight="1">
      <c r="A482" s="1">
        <v>480.0</v>
      </c>
      <c r="B482" s="3" t="s">
        <v>483</v>
      </c>
      <c r="C482" s="3" t="str">
        <f>IFERROR(__xludf.DUMMYFUNCTION("GOOGLETRANSLATE(B482,""id"",""en"")"),"['person', 'Telkomsel', 'already', 'moved', 'provider', 'difficult', 'enter', 'check', 'quota', 'pulse']")</f>
        <v>['person', 'Telkomsel', 'already', 'moved', 'provider', 'difficult', 'enter', 'check', 'quota', 'pulse']</v>
      </c>
      <c r="D482" s="3">
        <v>1.0</v>
      </c>
    </row>
    <row r="483" ht="15.75" customHeight="1">
      <c r="A483" s="1">
        <v>481.0</v>
      </c>
      <c r="B483" s="3" t="s">
        <v>484</v>
      </c>
      <c r="C483" s="3" t="str">
        <f>IFERROR(__xludf.DUMMYFUNCTION("GOOGLETRANSLATE(B483,""id"",""en"")"),"['Please', 'speed', 'work', 'application', 'run', 'slow', 'problematic', 'disorder', 'pdhal', 'signal', 'purchase', 'always',' Failed ',' Please ',' Fix ',' Add ',' Discount ',' Best ',' Purchase ',' Data ']")</f>
        <v>['Please', 'speed', 'work', 'application', 'run', 'slow', 'problematic', 'disorder', 'pdhal', 'signal', 'purchase', 'always',' Failed ',' Please ',' Fix ',' Add ',' Discount ',' Best ',' Purchase ',' Data ']</v>
      </c>
      <c r="D483" s="3">
        <v>1.0</v>
      </c>
    </row>
    <row r="484" ht="15.75" customHeight="1">
      <c r="A484" s="1">
        <v>482.0</v>
      </c>
      <c r="B484" s="3" t="s">
        <v>485</v>
      </c>
      <c r="C484" s="3" t="str">
        <f>IFERROR(__xludf.DUMMYFUNCTION("GOOGLETRANSLATE(B484,""id"",""en"")"),"['knp', 'buy', 'package', 'promo', 'available', 'app', 'telkomsel', 'pdh', 'package', 'promo', 'cheerful', 'GB', ' stated ',' buy ',' Show ',' Donk ',' Appny ',' Namany ',' fraud ',' Rugia ',' cave ',' contents ',' pulses ',' because 'pulses' , 'cave', 'd"&amp;"rained', 'Mulu', '']")</f>
        <v>['knp', 'buy', 'package', 'promo', 'available', 'app', 'telkomsel', 'pdh', 'package', 'promo', 'cheerful', 'GB', ' stated ',' buy ',' Show ',' Donk ',' Appny ',' Namany ',' fraud ',' Rugia ',' cave ',' contents ',' pulses ',' because 'pulses' , 'cave', 'drained', 'Mulu', '']</v>
      </c>
      <c r="D484" s="3">
        <v>1.0</v>
      </c>
    </row>
    <row r="485" ht="15.75" customHeight="1">
      <c r="A485" s="1">
        <v>483.0</v>
      </c>
      <c r="B485" s="3" t="s">
        <v>486</v>
      </c>
      <c r="C485" s="3" t="str">
        <f>IFERROR(__xludf.DUMMYFUNCTION("GOOGLETRANSLATE(B485,""id"",""en"")"),"['Please', 'Developer', 'Telkomsel', 'Register', 'Package', 'Please', 'Informs',' Have ',' Package ',' Notification ',' Hit ',' Rates', ' non ',' active ',' pulse ',' drained ',' turn on ',' kouta ',' run ',' apk ',' pulse ',' tetep ',' luded ',' and then"&amp;" ',' nominal ' , 'Please', 'fix', 'right', 'notification', 'non', 'data']")</f>
        <v>['Please', 'Developer', 'Telkomsel', 'Register', 'Package', 'Please', 'Informs',' Have ',' Package ',' Notification ',' Hit ',' Rates', ' non ',' active ',' pulse ',' drained ',' turn on ',' kouta ',' run ',' apk ',' pulse ',' tetep ',' luded ',' and then ',' nominal ' , 'Please', 'fix', 'right', 'notification', 'non', 'data']</v>
      </c>
      <c r="D485" s="3">
        <v>2.0</v>
      </c>
    </row>
    <row r="486" ht="15.75" customHeight="1">
      <c r="A486" s="1">
        <v>484.0</v>
      </c>
      <c r="B486" s="3" t="s">
        <v>487</v>
      </c>
      <c r="C486" s="3" t="str">
        <f>IFERROR(__xludf.DUMMYFUNCTION("GOOGLETRANSLATE(B486,""id"",""en"")"),"['swear', 'Telkomsel', 'seems',' breaking up ',' relationship ',' connection ',' network ',' broke ',' connected ',' work ',' depends', 'use', ' Internet ',' quality ',' internet ',' poor ',' mhn ',' sorry ',' complaint ',' already ',' sequence ',' see ',"&amp;"' review ',' complain ']")</f>
        <v>['swear', 'Telkomsel', 'seems',' breaking up ',' relationship ',' connection ',' network ',' broke ',' connected ',' work ',' depends', 'use', ' Internet ',' quality ',' internet ',' poor ',' mhn ',' sorry ',' complaint ',' already ',' sequence ',' see ',' review ',' complain ']</v>
      </c>
      <c r="D486" s="3">
        <v>1.0</v>
      </c>
    </row>
    <row r="487" ht="15.75" customHeight="1">
      <c r="A487" s="1">
        <v>485.0</v>
      </c>
      <c r="B487" s="3" t="s">
        <v>488</v>
      </c>
      <c r="C487" s="3" t="str">
        <f>IFERROR(__xludf.DUMMYFUNCTION("GOOGLETRANSLATE(B487,""id"",""en"")"),"['Please', 'bug', 'application', 'use', 'quota', 'data', 'fixed', 'update', 'do', 'open', 'the application', 'eat', ' Data ',' tens', '']")</f>
        <v>['Please', 'bug', 'application', 'use', 'quota', 'data', 'fixed', 'update', 'do', 'open', 'the application', 'eat', ' Data ',' tens', '']</v>
      </c>
      <c r="D487" s="3">
        <v>1.0</v>
      </c>
    </row>
    <row r="488" ht="15.75" customHeight="1">
      <c r="A488" s="1">
        <v>486.0</v>
      </c>
      <c r="B488" s="3" t="s">
        <v>489</v>
      </c>
      <c r="C488" s="3" t="str">
        <f>IFERROR(__xludf.DUMMYFUNCTION("GOOGLETRANSLATE(B488,""id"",""en"")"),"['Facility', 'Internet', 'Combo', 'Sakti', 'Not bad', 'cheap', 'a month', 'call', 'agent', 'Telkomsel', 'reasoned', 'card', ' Switch ',' Card ',' Hello ',' Refuses', 'Price', 'Package', 'Expensive', 'Direct', 'Package', 'Combo', 'Sakti', 'Available', 'Pan"&amp;"demi' , 'need', '']")</f>
        <v>['Facility', 'Internet', 'Combo', 'Sakti', 'Not bad', 'cheap', 'a month', 'call', 'agent', 'Telkomsel', 'reasoned', 'card', ' Switch ',' Card ',' Hello ',' Refuses', 'Price', 'Package', 'Expensive', 'Direct', 'Package', 'Combo', 'Sakti', 'Available', 'Pandemi' , 'need', '']</v>
      </c>
      <c r="D488" s="3">
        <v>1.0</v>
      </c>
    </row>
    <row r="489" ht="15.75" customHeight="1">
      <c r="A489" s="1">
        <v>487.0</v>
      </c>
      <c r="B489" s="3" t="s">
        <v>490</v>
      </c>
      <c r="C489" s="3" t="str">
        <f>IFERROR(__xludf.DUMMYFUNCTION("GOOGLETRANSLATE(B489,""id"",""en"")"),"['Telkomsel', 'Slalu', 'best', 'network', 'wide', 'always',' Where ',' users', 'Telkomsel', 'bored', 'Telkomsel', 'always',' provide ',' promo ',' quality ',' signal ',' best ']")</f>
        <v>['Telkomsel', 'Slalu', 'best', 'network', 'wide', 'always',' Where ',' users', 'Telkomsel', 'bored', 'Telkomsel', 'always',' provide ',' promo ',' quality ',' signal ',' best ']</v>
      </c>
      <c r="D489" s="3">
        <v>5.0</v>
      </c>
    </row>
    <row r="490" ht="15.75" customHeight="1">
      <c r="A490" s="1">
        <v>488.0</v>
      </c>
      <c r="B490" s="3" t="s">
        <v>491</v>
      </c>
      <c r="C490" s="3" t="str">
        <f>IFERROR(__xludf.DUMMYFUNCTION("GOOGLETRANSLATE(B490,""id"",""en"")"),"['already', 'buy', 'package', 'gamemax', 'silver', 'mobile', 'legend', 'connection', 'error', 'written', 'reconnect', 'please', ' Contact ',' Consumer ',' Service ',' Digame ',' Use ',' Paketan ',' Special ',' Game ',' Gigabyte ',' Just ',' Paketan ',' Pr"&amp;"ice ',' thousand ' , 'pulse', 'main', 'sumps',' beg ',' package ',' game ',' mending ',' full ',' game ',' divided ',' disappointed ',' service ',' Telkomsel ',' ']")</f>
        <v>['already', 'buy', 'package', 'gamemax', 'silver', 'mobile', 'legend', 'connection', 'error', 'written', 'reconnect', 'please', ' Contact ',' Consumer ',' Service ',' Digame ',' Use ',' Paketan ',' Special ',' Game ',' Gigabyte ',' Just ',' Paketan ',' Price ',' thousand ' , 'pulse', 'main', 'sumps',' beg ',' package ',' game ',' mending ',' full ',' game ',' divided ',' disappointed ',' service ',' Telkomsel ',' ']</v>
      </c>
      <c r="D490" s="3">
        <v>1.0</v>
      </c>
    </row>
    <row r="491" ht="15.75" customHeight="1">
      <c r="A491" s="1">
        <v>489.0</v>
      </c>
      <c r="B491" s="3" t="s">
        <v>492</v>
      </c>
      <c r="C491" s="3" t="str">
        <f>IFERROR(__xludf.DUMMYFUNCTION("GOOGLETRANSLATE(B491,""id"",""en"")"),"['Disappointed', 'Card', 'Telkomsel', 'Buy', 'Promo', 'Package', 'Sakti', 'Cheerful', 'Response', 'Telkomsel', 'Reply', 'Message', ' Promo ',' use ',' code ',' dial ',' download ',' buy ',' promo ',' package ',' Telkomsel ',' response ',' bought ',' usage"&amp;" ',' exceed ' , 'GB', 'signal', 'ugly', 'signal', 'ugly', 'ugly', '']")</f>
        <v>['Disappointed', 'Card', 'Telkomsel', 'Buy', 'Promo', 'Package', 'Sakti', 'Cheerful', 'Response', 'Telkomsel', 'Reply', 'Message', ' Promo ',' use ',' code ',' dial ',' download ',' buy ',' promo ',' package ',' Telkomsel ',' response ',' bought ',' usage ',' exceed ' , 'GB', 'signal', 'ugly', 'signal', 'ugly', 'ugly', '']</v>
      </c>
      <c r="D491" s="3">
        <v>1.0</v>
      </c>
    </row>
    <row r="492" ht="15.75" customHeight="1">
      <c r="A492" s="1">
        <v>490.0</v>
      </c>
      <c r="B492" s="3" t="s">
        <v>493</v>
      </c>
      <c r="C492" s="3" t="str">
        <f>IFERROR(__xludf.DUMMYFUNCTION("GOOGLETRANSLATE(B492,""id"",""en"")"),"['Astagfirullah', 'Bener', 'disappointed', 'high school', 'service', 'can', 'promo', 'unlimited', 'rb', 'bgtu', 'try', 'payment', ' TPI ',' payment ',' in ',' progress', 'repeated', 'pulse', 'leftover', 'rb', 'got', 'cut', 'Padhl', 'service', 'data' , 'Pa"&amp;"ckage', 'Opertor', 'Season', 'bin', 'Disappointed', 'Irit', 'Sush', 'Mah', 'Selayed', 'PDUS', 'Help', 'Affairs',' Learning ',' school ',' Child ',' Jga ',' Allah ',' SMA ',' Telkomsel ', ""]")</f>
        <v>['Astagfirullah', 'Bener', 'disappointed', 'high school', 'service', 'can', 'promo', 'unlimited', 'rb', 'bgtu', 'try', 'payment', ' TPI ',' payment ',' in ',' progress', 'repeated', 'pulse', 'leftover', 'rb', 'got', 'cut', 'Padhl', 'service', 'data' , 'Package', 'Opertor', 'Season', 'bin', 'Disappointed', 'Irit', 'Sush', 'Mah', 'Selayed', 'PDUS', 'Help', 'Affairs',' Learning ',' school ',' Child ',' Jga ',' Allah ',' SMA ',' Telkomsel ', "]</v>
      </c>
      <c r="D492" s="3">
        <v>2.0</v>
      </c>
    </row>
    <row r="493" ht="15.75" customHeight="1">
      <c r="A493" s="1">
        <v>491.0</v>
      </c>
      <c r="B493" s="3" t="s">
        <v>494</v>
      </c>
      <c r="C493" s="3" t="str">
        <f>IFERROR(__xludf.DUMMYFUNCTION("GOOGLETRANSLATE(B493,""id"",""en"")"),"['Seneng', 'sympathy', 'knp', 'quality', 'reduced', 'that's',' kasi ',' internet ',' free ',' cut ',' pulse ',' main ',' Bener ',' sucks']")</f>
        <v>['Seneng', 'sympathy', 'knp', 'quality', 'reduced', 'that's',' kasi ',' internet ',' free ',' cut ',' pulse ',' main ',' Bener ',' sucks']</v>
      </c>
      <c r="D493" s="3">
        <v>1.0</v>
      </c>
    </row>
    <row r="494" ht="15.75" customHeight="1">
      <c r="A494" s="1">
        <v>492.0</v>
      </c>
      <c r="B494" s="3" t="s">
        <v>495</v>
      </c>
      <c r="C494" s="3" t="str">
        <f>IFERROR(__xludf.DUMMYFUNCTION("GOOGLETRANSLATE(B494,""id"",""en"")"),"['Application', 'Telkomsel', 'Delete', 'Ketin', 'Ngerugin', 'Effective', 'Disruption', 'Andelin', 'Application', 'Delete', 'Benned', ""]")</f>
        <v>['Application', 'Telkomsel', 'Delete', 'Ketin', 'Ngerugin', 'Effective', 'Disruption', 'Andelin', 'Application', 'Delete', 'Benned', "]</v>
      </c>
      <c r="D494" s="3">
        <v>1.0</v>
      </c>
    </row>
    <row r="495" ht="15.75" customHeight="1">
      <c r="A495" s="1">
        <v>493.0</v>
      </c>
      <c r="B495" s="3" t="s">
        <v>496</v>
      </c>
      <c r="C495" s="3" t="str">
        <f>IFERROR(__xludf.DUMMYFUNCTION("GOOGLETRANSLATE(B495,""id"",""en"")"),"['Sorry', 'Delete', 'skrg', 'koq', 'use', 'simcard', 'install', 'otp', 'logout', '']")</f>
        <v>['Sorry', 'Delete', 'skrg', 'koq', 'use', 'simcard', 'install', 'otp', 'logout', '']</v>
      </c>
      <c r="D495" s="3">
        <v>1.0</v>
      </c>
    </row>
    <row r="496" ht="15.75" customHeight="1">
      <c r="A496" s="1">
        <v>494.0</v>
      </c>
      <c r="B496" s="3" t="s">
        <v>497</v>
      </c>
      <c r="C496" s="3" t="str">
        <f>IFERROR(__xludf.DUMMYFUNCTION("GOOGLETRANSLATE(B496,""id"",""en"")"),"['signal', 'limited', 'speed', 'Hina', 'bad', 'times',' at the time ',' Genting ',' signal ',' missing ',' reason ',' obstacle ',' Whatever ',' sometimes', 'use', 'APN', 'strengthens',' signal ',' like ',' missing ',' provider ',' number ',' Indonesia ','"&amp;" ']")</f>
        <v>['signal', 'limited', 'speed', 'Hina', 'bad', 'times',' at the time ',' Genting ',' signal ',' missing ',' reason ',' obstacle ',' Whatever ',' sometimes', 'use', 'APN', 'strengthens',' signal ',' like ',' missing ',' provider ',' number ',' Indonesia ',' ']</v>
      </c>
      <c r="D496" s="3">
        <v>1.0</v>
      </c>
    </row>
    <row r="497" ht="15.75" customHeight="1">
      <c r="A497" s="1">
        <v>495.0</v>
      </c>
      <c r="B497" s="3" t="s">
        <v>498</v>
      </c>
      <c r="C497" s="3" t="str">
        <f>IFERROR(__xludf.DUMMYFUNCTION("GOOGLETRANSLATE(B497,""id"",""en"")"),"['size', 'application', 'meets', 'mandatory', 'update', 'month', 'feature', 'renewal', 'good', 'meets', 'space', '']")</f>
        <v>['size', 'application', 'meets', 'mandatory', 'update', 'month', 'feature', 'renewal', 'good', 'meets', 'space', '']</v>
      </c>
      <c r="D497" s="3">
        <v>2.0</v>
      </c>
    </row>
    <row r="498" ht="15.75" customHeight="1">
      <c r="A498" s="1">
        <v>496.0</v>
      </c>
      <c r="B498" s="3" t="s">
        <v>499</v>
      </c>
      <c r="C498" s="3" t="str">
        <f>IFERROR(__xludf.DUMMYFUNCTION("GOOGLETRANSLATE(B498,""id"",""en"")"),"['love', 'star', 'connection', 'ugly', 'connection', 'good', 'tpi', 'slow', 'really', ""]")</f>
        <v>['love', 'star', 'connection', 'ugly', 'connection', 'good', 'tpi', 'slow', 'really', "]</v>
      </c>
      <c r="D498" s="3">
        <v>2.0</v>
      </c>
    </row>
    <row r="499" ht="15.75" customHeight="1">
      <c r="A499" s="1">
        <v>497.0</v>
      </c>
      <c r="B499" s="3" t="s">
        <v>500</v>
      </c>
      <c r="C499" s="3" t="str">
        <f>IFERROR(__xludf.DUMMYFUNCTION("GOOGLETRANSLATE(B499,""id"",""en"")"),"['credit', 'knapa', 'cut', 'kouta', 'subscribe', 'anything', 'kouta', 'internet', 'danger', 'min', 'please', 'repay', ' ']")</f>
        <v>['credit', 'knapa', 'cut', 'kouta', 'subscribe', 'anything', 'kouta', 'internet', 'danger', 'min', 'please', 'repay', ' ']</v>
      </c>
      <c r="D499" s="3">
        <v>1.0</v>
      </c>
    </row>
    <row r="500" ht="15.75" customHeight="1">
      <c r="A500" s="1">
        <v>498.0</v>
      </c>
      <c r="B500" s="3" t="s">
        <v>501</v>
      </c>
      <c r="C500" s="3" t="str">
        <f>IFERROR(__xludf.DUMMYFUNCTION("GOOGLETRANSLATE(B500,""id"",""en"")"),"['feeling', 'internet', 'run out', 'validger', 'yesterday', 'check', 'GB', 'Tomorrow', 'right', 'zero', 'fill', 'GB', ' Sunday ',' creation ',' fast ',' run out ',' active ',' short ',' how ',' cheat ']")</f>
        <v>['feeling', 'internet', 'run out', 'validger', 'yesterday', 'check', 'GB', 'Tomorrow', 'right', 'zero', 'fill', 'GB', ' Sunday ',' creation ',' fast ',' run out ',' active ',' short ',' how ',' cheat ']</v>
      </c>
      <c r="D500" s="3">
        <v>1.0</v>
      </c>
    </row>
    <row r="501" ht="15.75" customHeight="1">
      <c r="A501" s="1">
        <v>499.0</v>
      </c>
      <c r="B501" s="3" t="s">
        <v>502</v>
      </c>
      <c r="C501" s="3" t="str">
        <f>IFERROR(__xludf.DUMMYFUNCTION("GOOGLETRANSLATE(B501,""id"",""en"")"),"['Pliss',' plisss', 'quota', 'signal', 'slow', 'Telkomsel', 'please', 'user', 'comfortable', 'events',' yesterday ',' follow ',' race ',' game ',' pay ',' expensive ',' expensive ',' signal ',' red ',' ngeselin ',' until ',' slamming ',' uh ',' oak ',' Ab"&amp;"is' , 'quota', 'County', 'laten', 'actually', 'already', 'times',' comment ',' just ',' gmn ',' carried out ',' emotion ',' nga ',' comment ',' comment ',' hope ',' good ',' network ']")</f>
        <v>['Pliss',' plisss', 'quota', 'signal', 'slow', 'Telkomsel', 'please', 'user', 'comfortable', 'events',' yesterday ',' follow ',' race ',' game ',' pay ',' expensive ',' expensive ',' signal ',' red ',' ngeselin ',' until ',' slamming ',' uh ',' oak ',' Abis' , 'quota', 'County', 'laten', 'actually', 'already', 'times',' comment ',' just ',' gmn ',' carried out ',' emotion ',' nga ',' comment ',' comment ',' hope ',' good ',' network ']</v>
      </c>
      <c r="D501" s="3">
        <v>1.0</v>
      </c>
    </row>
    <row r="502" ht="15.75" customHeight="1">
      <c r="A502" s="1">
        <v>500.0</v>
      </c>
      <c r="B502" s="3" t="s">
        <v>503</v>
      </c>
      <c r="C502" s="3" t="str">
        <f>IFERROR(__xludf.DUMMYFUNCTION("GOOGLETRANSLATE(B502,""id"",""en"")"),"['Suggestion', 'Telkomsel', 'Apply', 'Features',' Lock ',' Button ',' Where ',' Lock ',' Pulse ',' Used ',' Data ',' Cellular ',' applied ',' SMS ',' telephone ',' internet ',' sebel ',' contents ',' pulse ',' run out ',' notif ',' apps ',' do "", 'apply'"&amp;", 'features' , 'lose', 'provider']")</f>
        <v>['Suggestion', 'Telkomsel', 'Apply', 'Features',' Lock ',' Button ',' Where ',' Lock ',' Pulse ',' Used ',' Data ',' Cellular ',' applied ',' SMS ',' telephone ',' internet ',' sebel ',' contents ',' pulse ',' run out ',' notif ',' apps ',' do ", 'apply', 'features' , 'lose', 'provider']</v>
      </c>
      <c r="D502" s="3">
        <v>4.0</v>
      </c>
    </row>
    <row r="503" ht="15.75" customHeight="1">
      <c r="A503" s="1">
        <v>501.0</v>
      </c>
      <c r="B503" s="3" t="s">
        <v>504</v>
      </c>
      <c r="C503" s="3" t="str">
        <f>IFERROR(__xludf.DUMMYFUNCTION("GOOGLETRANSLATE(B503,""id"",""en"")"),"['Purchase', 'Package', 'data', 'progress',' satisfying ',' pulse ',' run out ',' package ',' get ',' luck ',' loss', 'star', ' Suitable ',' ']")</f>
        <v>['Purchase', 'Package', 'data', 'progress',' satisfying ',' pulse ',' run out ',' package ',' get ',' luck ',' loss', 'star', ' Suitable ',' ']</v>
      </c>
      <c r="D503" s="3">
        <v>1.0</v>
      </c>
    </row>
    <row r="504" ht="15.75" customHeight="1">
      <c r="A504" s="1">
        <v>502.0</v>
      </c>
      <c r="B504" s="3" t="s">
        <v>505</v>
      </c>
      <c r="C504" s="3" t="str">
        <f>IFERROR(__xludf.DUMMYFUNCTION("GOOGLETRANSLATE(B504,""id"",""en"")"),"['Telkomsel', 'Try', 'See', 'State', 'India', 'Package', 'Cheap', 'Poor', 'Students',' Learning ',' Online ',' Region ',' Remote ',' difficult ',' signal ',' expensive ', ""]")</f>
        <v>['Telkomsel', 'Try', 'See', 'State', 'India', 'Package', 'Cheap', 'Poor', 'Students',' Learning ',' Online ',' Region ',' Remote ',' difficult ',' signal ',' expensive ', "]</v>
      </c>
      <c r="D504" s="3">
        <v>1.0</v>
      </c>
    </row>
    <row r="505" ht="15.75" customHeight="1">
      <c r="A505" s="1">
        <v>503.0</v>
      </c>
      <c r="B505" s="3" t="s">
        <v>506</v>
      </c>
      <c r="C505" s="3" t="str">
        <f>IFERROR(__xludf.DUMMYFUNCTION("GOOGLETRANSLATE(B505,""id"",""en"")"),"['service', 'tidam', 'good', 'solution', 'package', 'super', 'expensive', 'package', 'unlimited', 'buy', 'Telkomsel', 'match', ' Use ',' Internet ',' Card ',' Axis', 'Best', 'Offers',' Package ',' Internet ',' ']")</f>
        <v>['service', 'tidam', 'good', 'solution', 'package', 'super', 'expensive', 'package', 'unlimited', 'buy', 'Telkomsel', 'match', ' Use ',' Internet ',' Card ',' Axis', 'Best', 'Offers',' Package ',' Internet ',' ']</v>
      </c>
      <c r="D505" s="3">
        <v>1.0</v>
      </c>
    </row>
    <row r="506" ht="15.75" customHeight="1">
      <c r="A506" s="1">
        <v>504.0</v>
      </c>
      <c r="B506" s="3" t="s">
        <v>507</v>
      </c>
      <c r="C506" s="3" t="str">
        <f>IFERROR(__xludf.DUMMYFUNCTION("GOOGLETRANSLATE(B506,""id"",""en"")"),"['Hi', 'subscribe', 'already', 'ten', 'Telkomsel', 'as beautiful', 'package', 'expensive', 'quality', 'signal', 'bad', 'pulses',' run out ',' quota ',' internet ',' thank you ']")</f>
        <v>['Hi', 'subscribe', 'already', 'ten', 'Telkomsel', 'as beautiful', 'package', 'expensive', 'quality', 'signal', 'bad', 'pulses',' run out ',' quota ',' internet ',' thank you ']</v>
      </c>
      <c r="D506" s="3">
        <v>1.0</v>
      </c>
    </row>
    <row r="507" ht="15.75" customHeight="1">
      <c r="A507" s="1">
        <v>505.0</v>
      </c>
      <c r="B507" s="3" t="s">
        <v>508</v>
      </c>
      <c r="C507" s="3" t="str">
        <f>IFERROR(__xludf.DUMMYFUNCTION("GOOGLETRANSLATE(B507,""id"",""en"")"),"['Disappointed', 'Cave', 'Telkomsel', 'SMP', 'Sampe', 'Card', 'Change', 'Ancur', 'Ngatur', 'System', 'Transaction', 'ugly', ' buy ',' package ',' data ',' money ',' already ',' truncated ',' transaction ',' success', 'Telkomsel', 'failed', 'money', 'emang"&amp;"', 'system' , 'transaction', 'ugly', 'transaction', 'online', 'detrimental', 'money', 'buy', 'package', 'run', 'where', 'buy', 'package', ' Ghoib ',' ']")</f>
        <v>['Disappointed', 'Cave', 'Telkomsel', 'SMP', 'Sampe', 'Card', 'Change', 'Ancur', 'Ngatur', 'System', 'Transaction', 'ugly', ' buy ',' package ',' data ',' money ',' already ',' truncated ',' transaction ',' success', 'Telkomsel', 'failed', 'money', 'emang', 'system' , 'transaction', 'ugly', 'transaction', 'online', 'detrimental', 'money', 'buy', 'package', 'run', 'where', 'buy', 'package', ' Ghoib ',' ']</v>
      </c>
      <c r="D507" s="3">
        <v>1.0</v>
      </c>
    </row>
    <row r="508" ht="15.75" customHeight="1">
      <c r="A508" s="1">
        <v>506.0</v>
      </c>
      <c r="B508" s="3" t="s">
        <v>509</v>
      </c>
      <c r="C508" s="3" t="str">
        <f>IFERROR(__xludf.DUMMYFUNCTION("GOOGLETRANSLATE(B508,""id"",""en"")"),"['Application', 'BURIK', 'Booog', 'Hayuk', '']")</f>
        <v>['Application', 'BURIK', 'Booog', 'Hayuk', '']</v>
      </c>
      <c r="D508" s="3">
        <v>5.0</v>
      </c>
    </row>
    <row r="509" ht="15.75" customHeight="1">
      <c r="A509" s="1">
        <v>507.0</v>
      </c>
      <c r="B509" s="3" t="s">
        <v>510</v>
      </c>
      <c r="C509" s="3" t="str">
        <f>IFERROR(__xludf.DUMMYFUNCTION("GOOGLETRANSLATE(B509,""id"",""en"")"),"['Telkomsel', 'Please', 'my area', 'do', 'improvement', 'improvement', 'quality', 'network', 'cook', 'many years',' quality ',' network ',' ']")</f>
        <v>['Telkomsel', 'Please', 'my area', 'do', 'improvement', 'improvement', 'quality', 'network', 'cook', 'many years',' quality ',' network ',' ']</v>
      </c>
      <c r="D509" s="3">
        <v>2.0</v>
      </c>
    </row>
    <row r="510" ht="15.75" customHeight="1">
      <c r="A510" s="1">
        <v>508.0</v>
      </c>
      <c r="B510" s="3" t="s">
        <v>511</v>
      </c>
      <c r="C510" s="3" t="str">
        <f>IFERROR(__xludf.DUMMYFUNCTION("GOOGLETRANSLATE(B510,""id"",""en"")"),"['expensive', 'signal', 'bad', 'bad', 'selfish', 'profit', 'personal', 'blame', 'change', 'signal', 'ttp', 'bad', ' ']")</f>
        <v>['expensive', 'signal', 'bad', 'bad', 'selfish', 'profit', 'personal', 'blame', 'change', 'signal', 'ttp', 'bad', ' ']</v>
      </c>
      <c r="D510" s="3">
        <v>1.0</v>
      </c>
    </row>
    <row r="511" ht="15.75" customHeight="1">
      <c r="A511" s="1">
        <v>509.0</v>
      </c>
      <c r="B511" s="3" t="s">
        <v>512</v>
      </c>
      <c r="C511" s="3" t="str">
        <f>IFERROR(__xludf.DUMMYFUNCTION("GOOGLETRANSLATE(B511,""id"",""en"")"),"['Ouch', 'gymna', 'buy', 'Package', 'Telkomsel', 'Pay', 'TPI', 'Belom', 'Enter', 'Have', 'Wait', 'Ampe', ' Tomorrow ',' Mimin ',' Constraints', 'Sell', 'Package', 'klw', 'msh', 'bnyak', 'obstacle', 'mah', ""]")</f>
        <v>['Ouch', 'gymna', 'buy', 'Package', 'Telkomsel', 'Pay', 'TPI', 'Belom', 'Enter', 'Have', 'Wait', 'Ampe', ' Tomorrow ',' Mimin ',' Constraints', 'Sell', 'Package', 'klw', 'msh', 'bnyak', 'obstacle', 'mah', "]</v>
      </c>
      <c r="D511" s="3">
        <v>1.0</v>
      </c>
    </row>
    <row r="512" ht="15.75" customHeight="1">
      <c r="A512" s="1">
        <v>510.0</v>
      </c>
      <c r="B512" s="3" t="s">
        <v>513</v>
      </c>
      <c r="C512" s="3" t="str">
        <f>IFERROR(__xludf.DUMMYFUNCTION("GOOGLETRANSLATE(B512,""id"",""en"")"),"['company', 'biggest', 'best', 'indo', 'proof', 'what', 'network', 'stable', 'yesterday', 'late', 'fill', 'pulse', ' Grace ',' card ',' snippage ',' misguided ',' check ',' credit ',' udh ',' application ',' said ',' network ',' bad ',' network ',' stable"&amp;" ' , 'critical']")</f>
        <v>['company', 'biggest', 'best', 'indo', 'proof', 'what', 'network', 'stable', 'yesterday', 'late', 'fill', 'pulse', ' Grace ',' card ',' snippage ',' misguided ',' check ',' credit ',' udh ',' application ',' said ',' network ',' bad ',' network ',' stable ' , 'critical']</v>
      </c>
      <c r="D512" s="3">
        <v>2.0</v>
      </c>
    </row>
    <row r="513" ht="15.75" customHeight="1">
      <c r="A513" s="1">
        <v>511.0</v>
      </c>
      <c r="B513" s="3" t="s">
        <v>514</v>
      </c>
      <c r="C513" s="3" t="str">
        <f>IFERROR(__xludf.DUMMYFUNCTION("GOOGLETRANSLATE(B513,""id"",""en"")"),"['', 'protest', 'sell', 'package', 'internet', 'please', 'love', 'price', 'price', 'sultan', 'kasian', 'my parents' ',' work ',' night ',' buy ',' quota ',' child ',' learn ',' online ',' already ',' signal ',' difficult ',' package ',' expensive ', 'mone"&amp;"y', 'lesson', 'stacked', 'gumpulin', 'task', 'because', 'Gara', 'Gara', 'Gara', 'Telkomsel', 'njual', 'paketan', 'no ',' Ngilake ',' price ',' please ',' officer ',' Telkomsel ',' hope ',' love ',' mercy ',' package ',' Telkomsel ',' thank ',' love ', '']")</f>
        <v>['', 'protest', 'sell', 'package', 'internet', 'please', 'love', 'price', 'price', 'sultan', 'kasian', 'my parents' ',' work ',' night ',' buy ',' quota ',' child ',' learn ',' online ',' already ',' signal ',' difficult ',' package ',' expensive ', 'money', 'lesson', 'stacked', 'gumpulin', 'task', 'because', 'Gara', 'Gara', 'Gara', 'Telkomsel', 'njual', 'paketan', 'no ',' Ngilake ',' price ',' please ',' officer ',' Telkomsel ',' hope ',' love ',' mercy ',' package ',' Telkomsel ',' thank ',' love ', '']</v>
      </c>
      <c r="D513" s="3">
        <v>1.0</v>
      </c>
    </row>
    <row r="514" ht="15.75" customHeight="1">
      <c r="A514" s="1">
        <v>512.0</v>
      </c>
      <c r="B514" s="3" t="s">
        <v>515</v>
      </c>
      <c r="C514" s="3" t="str">
        <f>IFERROR(__xludf.DUMMYFUNCTION("GOOGLETRANSLATE(B514,""id"",""en"")"),"['Update', 'balance', 'Linkaja', 'bother', 'transaction', 'request', 'displayed', 'easy', 'transaction', 'purchase', 'Telkomsel', ""]")</f>
        <v>['Update', 'balance', 'Linkaja', 'bother', 'transaction', 'request', 'displayed', 'easy', 'transaction', 'purchase', 'Telkomsel', "]</v>
      </c>
      <c r="D514" s="3">
        <v>2.0</v>
      </c>
    </row>
    <row r="515" ht="15.75" customHeight="1">
      <c r="A515" s="1">
        <v>513.0</v>
      </c>
      <c r="B515" s="3" t="s">
        <v>516</v>
      </c>
      <c r="C515" s="3" t="str">
        <f>IFERROR(__xludf.DUMMYFUNCTION("GOOGLETRANSLATE(B515,""id"",""en"")"),"['ask', 'buy', 'package', 'Telkomsel', 'application', 'slow', 'cellphone', 'RAM', 'Undroid', 'sdg', 'update', 'application', ' Telkomsel ',' zonk ',' try ',' buy ',' package ',' internet ',' application ',' zonkk ',' result ',' makasi ', ""]")</f>
        <v>['ask', 'buy', 'package', 'Telkomsel', 'application', 'slow', 'cellphone', 'RAM', 'Undroid', 'sdg', 'update', 'application', ' Telkomsel ',' zonk ',' try ',' buy ',' package ',' internet ',' application ',' zonkk ',' result ',' makasi ', "]</v>
      </c>
      <c r="D515" s="3">
        <v>1.0</v>
      </c>
    </row>
    <row r="516" ht="15.75" customHeight="1">
      <c r="A516" s="1">
        <v>514.0</v>
      </c>
      <c r="B516" s="3" t="s">
        <v>517</v>
      </c>
      <c r="C516" s="3" t="str">
        <f>IFERROR(__xludf.DUMMYFUNCTION("GOOGLETRANSLATE(B516,""id"",""en"")"),"['Wear', 'Telkomsel', 'network', 'slow', 'noon', 'open', 'application', 'like', 'response', 'detrimental', 'consumer', 'quality', ' comparable ',' price ',' pay ',' please ',' repair ']")</f>
        <v>['Wear', 'Telkomsel', 'network', 'slow', 'noon', 'open', 'application', 'like', 'response', 'detrimental', 'consumer', 'quality', ' comparable ',' price ',' pay ',' please ',' repair ']</v>
      </c>
      <c r="D516" s="3">
        <v>1.0</v>
      </c>
    </row>
    <row r="517" ht="15.75" customHeight="1">
      <c r="A517" s="1">
        <v>515.0</v>
      </c>
      <c r="B517" s="3" t="s">
        <v>518</v>
      </c>
      <c r="C517" s="3" t="str">
        <f>IFERROR(__xludf.DUMMYFUNCTION("GOOGLETRANSLATE(B517,""id"",""en"")"),"['Telkomsel', 'strange', 'pulse', 'buy', 'package', 'MyTlkomsel', 'ilang', 'data', 'flame', 'quota', 'pulses',' sumps', ' already ',' times', 'ngelamin']")</f>
        <v>['Telkomsel', 'strange', 'pulse', 'buy', 'package', 'MyTlkomsel', 'ilang', 'data', 'flame', 'quota', 'pulses',' sumps', ' already ',' times', 'ngelamin']</v>
      </c>
      <c r="D517" s="3">
        <v>1.0</v>
      </c>
    </row>
    <row r="518" ht="15.75" customHeight="1">
      <c r="A518" s="1">
        <v>516.0</v>
      </c>
      <c r="B518" s="3" t="s">
        <v>519</v>
      </c>
      <c r="C518" s="3" t="str">
        <f>IFERROR(__xludf.DUMMYFUNCTION("GOOGLETRANSLATE(B518,""id"",""en"")"),"['internet', 'omg', 'access',' buy ',' application ',' access', 'call', 'call', 'center', 'busy', 'beg', 'answer', ' ']")</f>
        <v>['internet', 'omg', 'access',' buy ',' application ',' access', 'call', 'call', 'center', 'busy', 'beg', 'answer', ' ']</v>
      </c>
      <c r="D518" s="3">
        <v>1.0</v>
      </c>
    </row>
    <row r="519" ht="15.75" customHeight="1">
      <c r="A519" s="1">
        <v>517.0</v>
      </c>
      <c r="B519" s="3" t="s">
        <v>520</v>
      </c>
      <c r="C519" s="3" t="str">
        <f>IFERROR(__xludf.DUMMYFUNCTION("GOOGLETRANSLATE(B519,""id"",""en"")"),"['Network', 'rotten', 'ugly', 'loss',' times', 'buy', 'card', 'telkom', 'network', 'rotten', 'me', 'play', ' gem ',' broken ',' broken ',' expensive ',' melted ',' bagusan ',' replace ',' axis', 'kelen', 'blom', 'card', 'Telkomsel', 'gosa' , 'Buy', 'DOVER"&amp;"', 'Kayak']")</f>
        <v>['Network', 'rotten', 'ugly', 'loss',' times', 'buy', 'card', 'telkom', 'network', 'rotten', 'me', 'play', ' gem ',' broken ',' broken ',' expensive ',' melted ',' bagusan ',' replace ',' axis', 'kelen', 'blom', 'card', 'Telkomsel', 'gosa' , 'Buy', 'DOVER', 'Kayak']</v>
      </c>
      <c r="D519" s="3">
        <v>1.0</v>
      </c>
    </row>
    <row r="520" ht="15.75" customHeight="1">
      <c r="A520" s="1">
        <v>518.0</v>
      </c>
      <c r="B520" s="3" t="s">
        <v>521</v>
      </c>
      <c r="C520" s="3" t="str">
        <f>IFERROR(__xludf.DUMMYFUNCTION("GOOGLETRANSLATE(B520,""id"",""en"")"),"['buy', 'Package', 'MaxStream', 'use', 'right', 'watch', 'application', 'DisneyPlus',' told ',' subscribe ',' Fast ',' response ',' Please ']")</f>
        <v>['buy', 'Package', 'MaxStream', 'use', 'right', 'watch', 'application', 'DisneyPlus',' told ',' subscribe ',' Fast ',' response ',' Please ']</v>
      </c>
      <c r="D520" s="3">
        <v>2.0</v>
      </c>
    </row>
    <row r="521" ht="15.75" customHeight="1">
      <c r="A521" s="1">
        <v>519.0</v>
      </c>
      <c r="B521" s="3" t="s">
        <v>522</v>
      </c>
      <c r="C521" s="3" t="str">
        <f>IFERROR(__xludf.DUMMYFUNCTION("GOOGLETRANSLATE(B521,""id"",""en"")"),"['Service', 'Customer', 'Service', 'Bad', 'Application', 'Nyedot', 'Quota', 'Ngilak', 'Open', 'Telkomnyet', 'Minutes',' Already ',' spend ',' speed ',' nyedot ',' KB ',' seconds', 'weve', 'kaga', 'squeezed', ""]")</f>
        <v>['Service', 'Customer', 'Service', 'Bad', 'Application', 'Nyedot', 'Quota', 'Ngilak', 'Open', 'Telkomnyet', 'Minutes',' Already ',' spend ',' speed ',' nyedot ',' KB ',' seconds', 'weve', 'kaga', 'squeezed', "]</v>
      </c>
      <c r="D521" s="3">
        <v>1.0</v>
      </c>
    </row>
    <row r="522" ht="15.75" customHeight="1">
      <c r="A522" s="1">
        <v>520.0</v>
      </c>
      <c r="B522" s="3" t="s">
        <v>523</v>
      </c>
      <c r="C522" s="3" t="str">
        <f>IFERROR(__xludf.DUMMYFUNCTION("GOOGLETRANSLATE(B522,""id"",""en"")"),"['finished', 'quota', 'main', 'malem', 'hit', 'already', 'list', 'package', 'malem', 'hit', 'quota', 'main', ' Kog ',' quota ',' night ',' She ',' ']")</f>
        <v>['finished', 'quota', 'main', 'malem', 'hit', 'already', 'list', 'package', 'malem', 'hit', 'quota', 'main', ' Kog ',' quota ',' night ',' She ',' ']</v>
      </c>
      <c r="D522" s="3">
        <v>1.0</v>
      </c>
    </row>
    <row r="523" ht="15.75" customHeight="1">
      <c r="A523" s="1">
        <v>521.0</v>
      </c>
      <c r="B523" s="3" t="s">
        <v>524</v>
      </c>
      <c r="C523" s="3" t="str">
        <f>IFERROR(__xludf.DUMMYFUNCTION("GOOGLETRANSLATE(B523,""id"",""en"")"),"['Lottery', 'points',' consumers', 'loyal', 'Telkomsel', 'SLL', 'Lottery', 'Points',' Alhamdulillah ',' Stub ',' BLM ',' Luck ',' ']")</f>
        <v>['Lottery', 'points',' consumers', 'loyal', 'Telkomsel', 'SLL', 'Lottery', 'Points',' Alhamdulillah ',' Stub ',' BLM ',' Luck ',' ']</v>
      </c>
      <c r="D523" s="3">
        <v>5.0</v>
      </c>
    </row>
    <row r="524" ht="15.75" customHeight="1">
      <c r="A524" s="1">
        <v>522.0</v>
      </c>
      <c r="B524" s="3" t="s">
        <v>525</v>
      </c>
      <c r="C524" s="3" t="str">
        <f>IFERROR(__xludf.DUMMYFUNCTION("GOOGLETRANSLATE(B524,""id"",""en"")"),"['menu', 'okay', 'sucks',' package ',' internet ',' nganggangin ',' pulse ',' internet ',' contents', 'pulse', 'abis',' internet ',' rates', 'non', 'package', 'package', 'unlimited']")</f>
        <v>['menu', 'okay', 'sucks',' package ',' internet ',' nganggangin ',' pulse ',' internet ',' contents', 'pulse', 'abis',' internet ',' rates', 'non', 'package', 'package', 'unlimited']</v>
      </c>
      <c r="D524" s="3">
        <v>1.0</v>
      </c>
    </row>
    <row r="525" ht="15.75" customHeight="1">
      <c r="A525" s="1">
        <v>523.0</v>
      </c>
      <c r="B525" s="3" t="s">
        <v>526</v>
      </c>
      <c r="C525" s="3" t="str">
        <f>IFERROR(__xludf.DUMMYFUNCTION("GOOGLETRANSLATE(B525,""id"",""en"")"),"['Telkomsel', 'quota', 'night', 'written', 'clock', 'pulse', 'reduced', 'responsibility', 'Telkomsel', ""]")</f>
        <v>['Telkomsel', 'quota', 'night', 'written', 'clock', 'pulse', 'reduced', 'responsibility', 'Telkomsel', "]</v>
      </c>
      <c r="D525" s="3">
        <v>1.0</v>
      </c>
    </row>
    <row r="526" ht="15.75" customHeight="1">
      <c r="A526" s="1">
        <v>524.0</v>
      </c>
      <c r="B526" s="3" t="s">
        <v>527</v>
      </c>
      <c r="C526" s="3" t="str">
        <f>IFERROR(__xludf.DUMMYFUNCTION("GOOGLETRANSLATE(B526,""id"",""en"")"),"['Package', 'Unlimited', 'Live', 'Facebook', 'YouTube', 'Use', 'Streamlabs',' OBS ',' Version ',' Version ',' Android ',' Speed ​​',' Download ',' Upload ',' Price ',' Expensive ',' ']")</f>
        <v>['Package', 'Unlimited', 'Live', 'Facebook', 'YouTube', 'Use', 'Streamlabs',' OBS ',' Version ',' Version ',' Android ',' Speed ​​',' Download ',' Upload ',' Price ',' Expensive ',' ']</v>
      </c>
      <c r="D526" s="3">
        <v>5.0</v>
      </c>
    </row>
    <row r="527" ht="15.75" customHeight="1">
      <c r="A527" s="1">
        <v>525.0</v>
      </c>
      <c r="B527" s="3" t="s">
        <v>528</v>
      </c>
      <c r="C527" s="3" t="str">
        <f>IFERROR(__xludf.DUMMYFUNCTION("GOOGLETRANSLATE(B527,""id"",""en"")"),"['buy', 'application', 'MyTelkomsel', 'Kaga', 'quota', 'already', 'buy', 'quota', 'You', 'Tube', 'You', 'Tube', ' ']")</f>
        <v>['buy', 'application', 'MyTelkomsel', 'Kaga', 'quota', 'already', 'buy', 'quota', 'You', 'Tube', 'You', 'Tube', ' ']</v>
      </c>
      <c r="D527" s="3">
        <v>1.0</v>
      </c>
    </row>
    <row r="528" ht="15.75" customHeight="1">
      <c r="A528" s="1">
        <v>526.0</v>
      </c>
      <c r="B528" s="3" t="s">
        <v>529</v>
      </c>
      <c r="C528" s="3" t="str">
        <f>IFERROR(__xludf.DUMMYFUNCTION("GOOGLETRANSLATE(B528,""id"",""en"")"),"['woi', 'Telkomsel', 'slow', 'game', 'fast', 'ms',' game ',' stable ',' please ',' fix ',' expensive ',' doang ',' Kenceng ',' mah ',' kaga ',' ']")</f>
        <v>['woi', 'Telkomsel', 'slow', 'game', 'fast', 'ms',' game ',' stable ',' please ',' fix ',' expensive ',' doang ',' Kenceng ',' mah ',' kaga ',' ']</v>
      </c>
      <c r="D528" s="3">
        <v>1.0</v>
      </c>
    </row>
    <row r="529" ht="15.75" customHeight="1">
      <c r="A529" s="1">
        <v>527.0</v>
      </c>
      <c r="B529" s="3" t="s">
        <v>530</v>
      </c>
      <c r="C529" s="3" t="str">
        <f>IFERROR(__xludf.DUMMYFUNCTION("GOOGLETRANSLATE(B529,""id"",""en"")"),"['Deceived', 'Telkomsel', 'Chek', 'Stam', 'Package', 'Free', 'Yahya', 'take it', 'times', 'Vocher', 'Useful', ""]")</f>
        <v>['Deceived', 'Telkomsel', 'Chek', 'Stam', 'Package', 'Free', 'Yahya', 'take it', 'times', 'Vocher', 'Useful', "]</v>
      </c>
      <c r="D529" s="3">
        <v>1.0</v>
      </c>
    </row>
    <row r="530" ht="15.75" customHeight="1">
      <c r="A530" s="1">
        <v>528.0</v>
      </c>
      <c r="B530" s="3" t="s">
        <v>531</v>
      </c>
      <c r="C530" s="3" t="str">
        <f>IFERROR(__xludf.DUMMYFUNCTION("GOOGLETRANSLATE(B530,""id"",""en"")"),"['disappointed', 'sich', 'user', 'loyal', 'package', 'expensive', 'cheap', 'cheap', 'no', 'appreciation', 'customer', ' Telkomsel ',' Disappointed ']")</f>
        <v>['disappointed', 'sich', 'user', 'loyal', 'package', 'expensive', 'cheap', 'cheap', 'no', 'appreciation', 'customer', ' Telkomsel ',' Disappointed ']</v>
      </c>
      <c r="D530" s="3">
        <v>1.0</v>
      </c>
    </row>
    <row r="531" ht="15.75" customHeight="1">
      <c r="A531" s="1">
        <v>529.0</v>
      </c>
      <c r="B531" s="3" t="s">
        <v>532</v>
      </c>
      <c r="C531" s="3" t="str">
        <f>IFERROR(__xludf.DUMMYFUNCTION("GOOGLETRANSLATE(B531,""id"",""en"")"),"['fraud', 'promo', 'used', 'heart', 'users',' Telkomsel ',' compassionated ',' confusion ',' quality ',' improved ',' quality ',' ugly ',' Telkomsel ',' Provider ',' the biggest ',' Indonesia ',' Kepapi ',' Quality ',' Disappointing ',' ']")</f>
        <v>['fraud', 'promo', 'used', 'heart', 'users',' Telkomsel ',' compassionated ',' confusion ',' quality ',' improved ',' quality ',' ugly ',' Telkomsel ',' Provider ',' the biggest ',' Indonesia ',' Kepapi ',' Quality ',' Disappointing ',' ']</v>
      </c>
      <c r="D531" s="3">
        <v>1.0</v>
      </c>
    </row>
    <row r="532" ht="15.75" customHeight="1">
      <c r="A532" s="1">
        <v>530.0</v>
      </c>
      <c r="B532" s="3" t="s">
        <v>533</v>
      </c>
      <c r="C532" s="3" t="str">
        <f>IFERROR(__xludf.DUMMYFUNCTION("GOOGLETRANSLATE(B532,""id"",""en"")"),"['error', 'reading', 'application', 'runs',' application ',' turn ',' apk ',' delete ',' that's', 'stupid', 'explanation', 'Telkomsel', ' Tks']")</f>
        <v>['error', 'reading', 'application', 'runs',' application ',' turn ',' apk ',' delete ',' that's', 'stupid', 'explanation', 'Telkomsel', ' Tks']</v>
      </c>
      <c r="D532" s="3">
        <v>1.0</v>
      </c>
    </row>
    <row r="533" ht="15.75" customHeight="1">
      <c r="A533" s="1">
        <v>531.0</v>
      </c>
      <c r="B533" s="3" t="s">
        <v>534</v>
      </c>
      <c r="C533" s="3" t="str">
        <f>IFERROR(__xludf.DUMMYFUNCTION("GOOGLETRANSLATE(B533,""id"",""en"")"),"['Help', 'bangetzz', 'promo', 'breach', 'users',' telkomsel ',' nopeny ',' sometimes', 'change', 'due to', 'block', ' Dead ',' Best ',' ']")</f>
        <v>['Help', 'bangetzz', 'promo', 'breach', 'users',' telkomsel ',' nopeny ',' sometimes', 'change', 'due to', 'block', ' Dead ',' Best ',' ']</v>
      </c>
      <c r="D533" s="3">
        <v>5.0</v>
      </c>
    </row>
    <row r="534" ht="15.75" customHeight="1">
      <c r="A534" s="1">
        <v>532.0</v>
      </c>
      <c r="B534" s="3" t="s">
        <v>535</v>
      </c>
      <c r="C534" s="3" t="str">
        <f>IFERROR(__xludf.DUMMYFUNCTION("GOOGLETRANSLATE(B534,""id"",""en"")"),"['Telkomsel', 'proud of', 'because of his' signal ',' strong ',' lifelike ',' signal ',' Live ',' streaming ',' slow ',' like ',' missing ',' signal ',' Location ',' Grapari ',' BSD ',' Help ',' Signal ']")</f>
        <v>['Telkomsel', 'proud of', 'because of his' signal ',' strong ',' lifelike ',' signal ',' Live ',' streaming ',' slow ',' like ',' missing ',' signal ',' Location ',' Grapari ',' BSD ',' Help ',' Signal ']</v>
      </c>
      <c r="D534" s="3">
        <v>4.0</v>
      </c>
    </row>
    <row r="535" ht="15.75" customHeight="1">
      <c r="A535" s="1">
        <v>533.0</v>
      </c>
      <c r="B535" s="3" t="s">
        <v>536</v>
      </c>
      <c r="C535" s="3" t="str">
        <f>IFERROR(__xludf.DUMMYFUNCTION("GOOGLETRANSLATE(B535,""id"",""en"")"),"['users',' Telkomsel ',' Area ',' Jambi ',' Merangin ',' Kec ',' Sun's', 'East', 'Saaya', 'users',' Telkomsel ',' Network ',' Signal ',' Connection ',' Internet ',' Accessible ',' Disorders', 'Day', 'Network', 'Internet', 'Used', 'Locked', 'Disturbing', '"&amp;"School', 'Online' , 'Online', 'online', 'because', 'disorder', 'Please', 'fast', 'repaired', 'network', 'Please', 'as soon as possible,' ']")</f>
        <v>['users',' Telkomsel ',' Area ',' Jambi ',' Merangin ',' Kec ',' Sun's', 'East', 'Saaya', 'users',' Telkomsel ',' Network ',' Signal ',' Connection ',' Internet ',' Accessible ',' Disorders', 'Day', 'Network', 'Internet', 'Used', 'Locked', 'Disturbing', 'School', 'Online' , 'Online', 'online', 'because', 'disorder', 'Please', 'fast', 'repaired', 'network', 'Please', 'as soon as possible,' ']</v>
      </c>
      <c r="D535" s="3">
        <v>1.0</v>
      </c>
    </row>
    <row r="536" ht="15.75" customHeight="1">
      <c r="A536" s="1">
        <v>534.0</v>
      </c>
      <c r="B536" s="3" t="s">
        <v>537</v>
      </c>
      <c r="C536" s="3" t="str">
        <f>IFERROR(__xludf.DUMMYFUNCTION("GOOGLETRANSLATE(B536,""id"",""en"")"),"['Update', 'MyTelkomsel', 'Application', 'Opened', 'Try', 'Uninstall', 'Install', 'opened', 'Something', 'Went', 'Wrong', 'That's',' Please, 'repaired', 'thank you']")</f>
        <v>['Update', 'MyTelkomsel', 'Application', 'Opened', 'Try', 'Uninstall', 'Install', 'opened', 'Something', 'Went', 'Wrong', 'That's',' Please, 'repaired', 'thank you']</v>
      </c>
      <c r="D536" s="3">
        <v>1.0</v>
      </c>
    </row>
    <row r="537" ht="15.75" customHeight="1">
      <c r="A537" s="1">
        <v>535.0</v>
      </c>
      <c r="B537" s="3" t="s">
        <v>538</v>
      </c>
      <c r="C537" s="3" t="str">
        <f>IFERROR(__xludf.DUMMYFUNCTION("GOOGLETRANSLATE(B537,""id"",""en"")"),"['here', 'Telkomsel', 'decreases',' already ',' kayak ',' provider ',' next door ',' rain ',' signal ',' ilang ',' network ',' wifi ',' reading ',' already ',' research ',' modem ',' like ',' that's', 'aylaaah', 'person', 'meet', 'column', 'comment', 'ugl"&amp;"y', 'hunt' , 'Upgrade', 'aspect', 'anything', 'user', 'downhill', ""]")</f>
        <v>['here', 'Telkomsel', 'decreases',' already ',' kayak ',' provider ',' next door ',' rain ',' signal ',' ilang ',' network ',' wifi ',' reading ',' already ',' research ',' modem ',' like ',' that's', 'aylaaah', 'person', 'meet', 'column', 'comment', 'ugly', 'hunt' , 'Upgrade', 'aspect', 'anything', 'user', 'downhill', "]</v>
      </c>
      <c r="D537" s="3">
        <v>1.0</v>
      </c>
    </row>
    <row r="538" ht="15.75" customHeight="1">
      <c r="A538" s="1">
        <v>536.0</v>
      </c>
      <c r="B538" s="3" t="s">
        <v>539</v>
      </c>
      <c r="C538" s="3" t="str">
        <f>IFERROR(__xludf.DUMMYFUNCTION("GOOGLETRANSLATE(B538,""id"",""en"")"),"['Buy', 'slow', 'failed', 'application', 'registered', 'package', 'anything', 'error', 'sorry', 'buy', 'product', 'failed', ' MASU ',' APP ',' SIGN ',' FAILURE ',' VERIFICATION ',' NOMER ',' FAIL ',' ']")</f>
        <v>['Buy', 'slow', 'failed', 'application', 'registered', 'package', 'anything', 'error', 'sorry', 'buy', 'product', 'failed', ' MASU ',' APP ',' SIGN ',' FAILURE ',' VERIFICATION ',' NOMER ',' FAIL ',' ']</v>
      </c>
      <c r="D538" s="3">
        <v>1.0</v>
      </c>
    </row>
    <row r="539" ht="15.75" customHeight="1">
      <c r="A539" s="1">
        <v>537.0</v>
      </c>
      <c r="B539" s="3" t="s">
        <v>540</v>
      </c>
      <c r="C539" s="3" t="str">
        <f>IFERROR(__xludf.DUMMYFUNCTION("GOOGLETRANSLATE(B539,""id"",""en"")"),"['min', 'pulse', 'buy', 'unlimited', 'youtube', 'pulse', 'know', 'fix', 'purchase', 'signal', 'kek', 'taik', ' No ',' buy ',' quota ',' kek ',' no ',' quota ',' out ',' quota ',' no ',' use ',' sell ',' no ',' Telkomsel ' , 'Fix', 'Interested', '']")</f>
        <v>['min', 'pulse', 'buy', 'unlimited', 'youtube', 'pulse', 'know', 'fix', 'purchase', 'signal', 'kek', 'taik', ' No ',' buy ',' quota ',' kek ',' no ',' quota ',' out ',' quota ',' no ',' use ',' sell ',' no ',' Telkomsel ' , 'Fix', 'Interested', '']</v>
      </c>
      <c r="D539" s="3">
        <v>1.0</v>
      </c>
    </row>
    <row r="540" ht="15.75" customHeight="1">
      <c r="A540" s="1">
        <v>538.0</v>
      </c>
      <c r="B540" s="3" t="s">
        <v>541</v>
      </c>
      <c r="C540" s="3" t="str">
        <f>IFERROR(__xludf.DUMMYFUNCTION("GOOGLETRANSLATE(B540,""id"",""en"")"),"['Upset', 'Network', 'Telkomsel', 'disappointment', 'NOT', 'BAD', 'Suggestion', 'Closed', 'Telkomsel']")</f>
        <v>['Upset', 'Network', 'Telkomsel', 'disappointment', 'NOT', 'BAD', 'Suggestion', 'Closed', 'Telkomsel']</v>
      </c>
      <c r="D540" s="3">
        <v>1.0</v>
      </c>
    </row>
    <row r="541" ht="15.75" customHeight="1">
      <c r="A541" s="1">
        <v>539.0</v>
      </c>
      <c r="B541" s="3" t="s">
        <v>542</v>
      </c>
      <c r="C541" s="3" t="str">
        <f>IFERROR(__xludf.DUMMYFUNCTION("GOOGLETRANSLATE(B541,""id"",""en"")"),"['Congratulations',' Morning ',' Telkomsel ',' Dear ',' Update ',' Application ',' MyTelkomsel ',' Version ',' Method ',' Payment ',' Via ',' Credit ',' Package ',' internet ',' quota ',' lapse ',' youtube ',' unlimited ',' change ',' method ',' payment '"&amp;",' objection ',' disappointed ',' users', 'Telkomsel' , 'Enjoy', 'features',' available ',' payment ',' via ',' Shopeepay ',' Ovo ',' Gopay ',' Fund ',' Please ',' Help ',' Accept ',' love', '']")</f>
        <v>['Congratulations',' Morning ',' Telkomsel ',' Dear ',' Update ',' Application ',' MyTelkomsel ',' Version ',' Method ',' Payment ',' Via ',' Credit ',' Package ',' internet ',' quota ',' lapse ',' youtube ',' unlimited ',' change ',' method ',' payment ',' objection ',' disappointed ',' users', 'Telkomsel' , 'Enjoy', 'features',' available ',' payment ',' via ',' Shopeepay ',' Ovo ',' Gopay ',' Fund ',' Please ',' Help ',' Accept ',' love', '']</v>
      </c>
      <c r="D541" s="3">
        <v>1.0</v>
      </c>
    </row>
    <row r="542" ht="15.75" customHeight="1">
      <c r="A542" s="1">
        <v>540.0</v>
      </c>
      <c r="B542" s="3" t="s">
        <v>543</v>
      </c>
      <c r="C542" s="3" t="str">
        <f>IFERROR(__xludf.DUMMYFUNCTION("GOOGLETRANSLATE(B542,""id"",""en"")"),"['Love', 'Bintang', 'Disappointed', 'Buy', 'Paketan', 'Game', 'Unlimited', 'PackageData', 'Main', 'Out', 'Package', 'Game', ' Many ',' save ',' expenses', 'wasteful', 'complain', 'customer', 'service', 'response', '']")</f>
        <v>['Love', 'Bintang', 'Disappointed', 'Buy', 'Paketan', 'Game', 'Unlimited', 'PackageData', 'Main', 'Out', 'Package', 'Game', ' Many ',' save ',' expenses', 'wasteful', 'complain', 'customer', 'service', 'response', '']</v>
      </c>
      <c r="D542" s="3">
        <v>1.0</v>
      </c>
    </row>
    <row r="543" ht="15.75" customHeight="1">
      <c r="A543" s="1">
        <v>541.0</v>
      </c>
      <c r="B543" s="3" t="s">
        <v>544</v>
      </c>
      <c r="C543" s="3" t="str">
        <f>IFERROR(__xludf.DUMMYFUNCTION("GOOGLETRANSLATE(B543,""id"",""en"")"),"['sucked', 'pulse', 'transaction', 'cell', 'dlu', 'pulse', 'quota', 'main', 'tsel', 'krena', 'suck', 'pulses',' Already ',' check ',' trx ',' suspicious', 'bbrp', 'tselq', 'accept', 'phone', 'until', 'stated', 'silver', 'nomer', 'active' , 'cell', 'goceng"&amp;"', 'per month']")</f>
        <v>['sucked', 'pulse', 'transaction', 'cell', 'dlu', 'pulse', 'quota', 'main', 'tsel', 'krena', 'suck', 'pulses',' Already ',' check ',' trx ',' suspicious', 'bbrp', 'tselq', 'accept', 'phone', 'until', 'stated', 'silver', 'nomer', 'active' , 'cell', 'goceng', 'per month']</v>
      </c>
      <c r="D543" s="3">
        <v>1.0</v>
      </c>
    </row>
    <row r="544" ht="15.75" customHeight="1">
      <c r="A544" s="1">
        <v>542.0</v>
      </c>
      <c r="B544" s="3" t="s">
        <v>545</v>
      </c>
      <c r="C544" s="3" t="str">
        <f>IFERROR(__xludf.DUMMYFUNCTION("GOOGLETRANSLATE(B544,""id"",""en"")"),"['already', 'buy', 'package', 'sampek', 'already', 'active', 'report', 'gagh', 'used', 'how', 'customer', 'loss',' Please, 'as soon as possible', 'repaired', 'Min', '']")</f>
        <v>['already', 'buy', 'package', 'sampek', 'already', 'active', 'report', 'gagh', 'used', 'how', 'customer', 'loss',' Please, 'as soon as possible', 'repaired', 'Min', '']</v>
      </c>
      <c r="D544" s="3">
        <v>1.0</v>
      </c>
    </row>
    <row r="545" ht="15.75" customHeight="1">
      <c r="A545" s="1">
        <v>543.0</v>
      </c>
      <c r="B545" s="3" t="s">
        <v>546</v>
      </c>
      <c r="C545" s="3" t="str">
        <f>IFERROR(__xludf.DUMMYFUNCTION("GOOGLETRANSLATE(B545,""id"",""en"")"),"['Get', 'promo', 'cheerful', 'fast', 'contents',' pulse ',' activated ',' failed ',' complain ',' via ',' chat ',' told ',' Wait ',' directly ',' missing ',' promo ',' intention ']")</f>
        <v>['Get', 'promo', 'cheerful', 'fast', 'contents',' pulse ',' activated ',' failed ',' complain ',' via ',' chat ',' told ',' Wait ',' directly ',' missing ',' promo ',' intention ']</v>
      </c>
      <c r="D545" s="3">
        <v>1.0</v>
      </c>
    </row>
    <row r="546" ht="15.75" customHeight="1">
      <c r="A546" s="1">
        <v>544.0</v>
      </c>
      <c r="B546" s="3" t="s">
        <v>547</v>
      </c>
      <c r="C546" s="3" t="str">
        <f>IFERROR(__xludf.DUMMYFUNCTION("GOOGLETRANSLATE(B546,""id"",""en"")"),"['Introduce', 'name', 'Tomo', 'Region', 'Serang', 'Card', 'Telkomsel', 'Since', 'Notify', 'Telkomsel', 'Reduced', 'Performance', ' Speed ​​',' compared ',' next door ',' stable ',' heart ',' moved ',' join ',' thank you ', ""]")</f>
        <v>['Introduce', 'name', 'Tomo', 'Region', 'Serang', 'Card', 'Telkomsel', 'Since', 'Notify', 'Telkomsel', 'Reduced', 'Performance', ' Speed ​​',' compared ',' next door ',' stable ',' heart ',' moved ',' join ',' thank you ', "]</v>
      </c>
      <c r="D546" s="3">
        <v>1.0</v>
      </c>
    </row>
    <row r="547" ht="15.75" customHeight="1">
      <c r="A547" s="1">
        <v>545.0</v>
      </c>
      <c r="B547" s="3" t="s">
        <v>548</v>
      </c>
      <c r="C547" s="3" t="str">
        <f>IFERROR(__xludf.DUMMYFUNCTION("GOOGLETRANSLATE(B547,""id"",""en"")"),"['Telkomsel', 'KNPA', 'TEFT', 'VAUTION', 'UDH', 'Deliberate', 'Internet', 'night', 'GB', 'Credit', 'Children', 'Always' PadhL ',' Called ',' Bjir ',' Ambun ',' Udh ',' Will ',' Will ',' staying up ',' ilang ',' SMS ',' Call ',' Kirain ',' I wanted ' , 'pu"&amp;"lse', '']")</f>
        <v>['Telkomsel', 'KNPA', 'TEFT', 'VAUTION', 'UDH', 'Deliberate', 'Internet', 'night', 'GB', 'Credit', 'Children', 'Always' PadhL ',' Called ',' Bjir ',' Ambun ',' Udh ',' Will ',' Will ',' staying up ',' ilang ',' SMS ',' Call ',' Kirain ',' I wanted ' , 'pulse', '']</v>
      </c>
      <c r="D547" s="3">
        <v>1.0</v>
      </c>
    </row>
    <row r="548" ht="15.75" customHeight="1">
      <c r="A548" s="1">
        <v>546.0</v>
      </c>
      <c r="B548" s="3" t="s">
        <v>549</v>
      </c>
      <c r="C548" s="3" t="str">
        <f>IFERROR(__xludf.DUMMYFUNCTION("GOOGLETRANSLATE(B548,""id"",""en"")"),"['Application', 'Telkomsel', 'Nipu', 'Promo', 'Package', 'SPECIAL', 'FOR', 'You', 'right', 'Fill', 'Credit', ' right ',' Try ',' many ',' times', 'bought', 'package', 'ngak', 'active', 'active', 'package', 'buy', 'ilang', 'package' , 'already', 'Genesis',"&amp;" '']")</f>
        <v>['Application', 'Telkomsel', 'Nipu', 'Promo', 'Package', 'SPECIAL', 'FOR', 'You', 'right', 'Fill', 'Credit', ' right ',' Try ',' many ',' times', 'bought', 'package', 'ngak', 'active', 'active', 'package', 'buy', 'ilang', 'package' , 'already', 'Genesis', '']</v>
      </c>
      <c r="D548" s="3">
        <v>1.0</v>
      </c>
    </row>
    <row r="549" ht="15.75" customHeight="1">
      <c r="A549" s="1">
        <v>547.0</v>
      </c>
      <c r="B549" s="3" t="s">
        <v>550</v>
      </c>
      <c r="C549" s="3" t="str">
        <f>IFERROR(__xludf.DUMMYFUNCTION("GOOGLETRANSLATE(B549,""id"",""en"")"),"['signal', 'supports',' play ',' game ',' price ',' package ',' according to ',' service ',' network ',' disappointed ',' performance ',' decline ',' network ',' stable ',' Hand ',' Phone ',' imposes', 'hard', 'due to', 'network', 'weak', 'consuming', 'ba"&amp;"ttery', 'impact', 'bad' , 'use', 'term', 'causing', 'Hand', 'Phone', 'weakened', 'slow', 'disappointed', 'change', 'evaluation', 'Telkomsel', ""]")</f>
        <v>['signal', 'supports',' play ',' game ',' price ',' package ',' according to ',' service ',' network ',' disappointed ',' performance ',' decline ',' network ',' stable ',' Hand ',' Phone ',' imposes', 'hard', 'due to', 'network', 'weak', 'consuming', 'battery', 'impact', 'bad' , 'use', 'term', 'causing', 'Hand', 'Phone', 'weakened', 'slow', 'disappointed', 'change', 'evaluation', 'Telkomsel', "]</v>
      </c>
      <c r="D549" s="3">
        <v>1.0</v>
      </c>
    </row>
    <row r="550" ht="15.75" customHeight="1">
      <c r="A550" s="1">
        <v>548.0</v>
      </c>
      <c r="B550" s="3" t="s">
        <v>551</v>
      </c>
      <c r="C550" s="3" t="str">
        <f>IFERROR(__xludf.DUMMYFUNCTION("GOOGLETRANSLATE(B550,""id"",""en"")"),"['star', 'deh', 'signal', 'internet', 'telkomsel', 'stable', 'internet', 'slow', 'because', 'package', 'internet', 'stop', ' package ',' internet ',' Telkomsel ',' moved ',' package ',' internet ',' stable ',' slow ',' price ',' expensive ',' internet ','"&amp;" stable ',' slow ' , 'price', 'cheap', 'quality', 'bad']")</f>
        <v>['star', 'deh', 'signal', 'internet', 'telkomsel', 'stable', 'internet', 'slow', 'because', 'package', 'internet', 'stop', ' package ',' internet ',' Telkomsel ',' moved ',' package ',' internet ',' stable ',' slow ',' price ',' expensive ',' internet ',' stable ',' slow ' , 'price', 'cheap', 'quality', 'bad']</v>
      </c>
      <c r="D550" s="3">
        <v>1.0</v>
      </c>
    </row>
    <row r="551" ht="15.75" customHeight="1">
      <c r="A551" s="1">
        <v>549.0</v>
      </c>
      <c r="B551" s="3" t="s">
        <v>552</v>
      </c>
      <c r="C551" s="3" t="str">
        <f>IFERROR(__xludf.DUMMYFUNCTION("GOOGLETRANSLATE(B551,""id"",""en"")"),"['Game', 'Ping', 'Red', 'Severe', 'Mending', 'Move', 'Network', 'Hopefully', 'Suggestion', 'Read', 'friend', ' a month ',' Mending ',' Move ',' Deh ']")</f>
        <v>['Game', 'Ping', 'Red', 'Severe', 'Mending', 'Move', 'Network', 'Hopefully', 'Suggestion', 'Read', 'friend', ' a month ',' Mending ',' Move ',' Deh ']</v>
      </c>
      <c r="D551" s="3">
        <v>1.0</v>
      </c>
    </row>
    <row r="552" ht="15.75" customHeight="1">
      <c r="A552" s="1">
        <v>550.0</v>
      </c>
      <c r="B552" s="3" t="s">
        <v>553</v>
      </c>
      <c r="C552" s="3" t="str">
        <f>IFERROR(__xludf.DUMMYFUNCTION("GOOGLETRANSLATE(B552,""id"",""en"")"),"['Severe', 'card', 'expensive', 'world', 'cloudy', 'network', 'done', 'ugly', 'really', 'severe', 'comparable', 'price', ' Please, 'Fix', 'Delicious', 'User', 'Huajn', 'Network', 'ugly', 'Really', 'Kampung', 'Severe', 'Really', 'Change', 'Card' , 'Fix', '"&amp;"card', 'expensive', 'quota', 'expensive', 'worth', 'severe', '']")</f>
        <v>['Severe', 'card', 'expensive', 'world', 'cloudy', 'network', 'done', 'ugly', 'really', 'severe', 'comparable', 'price', ' Please, 'Fix', 'Delicious', 'User', 'Huajn', 'Network', 'ugly', 'Really', 'Kampung', 'Severe', 'Really', 'Change', 'Card' , 'Fix', 'card', 'expensive', 'quota', 'expensive', 'worth', 'severe', '']</v>
      </c>
      <c r="D552" s="3">
        <v>1.0</v>
      </c>
    </row>
    <row r="553" ht="15.75" customHeight="1">
      <c r="A553" s="1">
        <v>551.0</v>
      </c>
      <c r="B553" s="3" t="s">
        <v>554</v>
      </c>
      <c r="C553" s="3" t="str">
        <f>IFERROR(__xludf.DUMMYFUNCTION("GOOGLETRANSLATE(B553,""id"",""en"")"),"['', 'Telkomsel', 'please', 'reviewed', 'newuu', 'buy', 'package', 'combo', 'sakti', 'unlimited', 'signal', 'slow', 'buy ',' Package ',' combo ',' safe ',' buy ',' package ',' combo ',' price ',' expensive ',' used ',' ']")</f>
        <v>['', 'Telkomsel', 'please', 'reviewed', 'newuu', 'buy', 'package', 'combo', 'sakti', 'unlimited', 'signal', 'slow', 'buy ',' Package ',' combo ',' safe ',' buy ',' package ',' combo ',' price ',' expensive ',' used ',' ']</v>
      </c>
      <c r="D553" s="3">
        <v>1.0</v>
      </c>
    </row>
    <row r="554" ht="15.75" customHeight="1">
      <c r="A554" s="1">
        <v>552.0</v>
      </c>
      <c r="B554" s="3" t="s">
        <v>555</v>
      </c>
      <c r="C554" s="3" t="str">
        <f>IFERROR(__xludf.DUMMYFUNCTION("GOOGLETRANSLATE(B554,""id"",""en"")"),"['app', 'no', 'opened', 'screen', 'direct', 'full', 'black', 'ndak', 'in', 'full', 'white', 'all', ' Error ',' ']")</f>
        <v>['app', 'no', 'opened', 'screen', 'direct', 'full', 'black', 'ndak', 'in', 'full', 'white', 'all', ' Error ',' ']</v>
      </c>
      <c r="D554" s="3">
        <v>1.0</v>
      </c>
    </row>
    <row r="555" ht="15.75" customHeight="1">
      <c r="A555" s="1">
        <v>553.0</v>
      </c>
      <c r="B555" s="3" t="s">
        <v>556</v>
      </c>
      <c r="C555" s="3" t="str">
        <f>IFERROR(__xludf.DUMMYFUNCTION("GOOGLETRANSLATE(B555,""id"",""en"")"),"['apk', 'Telkomsel', 'how', 'method', 'payment', 'via', 'pulse', 'annoying', 'really', 'APK', 'staple', 'download', ' ',' APK ',' stupid ',' please ',' fix ',' apk ',' please ',' method ',' payment ',' via ',' pulse ',' people ',' sebel ' , '']")</f>
        <v>['apk', 'Telkomsel', 'how', 'method', 'payment', 'via', 'pulse', 'annoying', 'really', 'APK', 'staple', 'download', ' ',' APK ',' stupid ',' please ',' fix ',' apk ',' please ',' method ',' payment ',' via ',' pulse ',' people ',' sebel ' , '']</v>
      </c>
      <c r="D555" s="3">
        <v>1.0</v>
      </c>
    </row>
    <row r="556" ht="15.75" customHeight="1">
      <c r="A556" s="1">
        <v>554.0</v>
      </c>
      <c r="B556" s="3" t="s">
        <v>557</v>
      </c>
      <c r="C556" s="3" t="str">
        <f>IFERROR(__xludf.DUMMYFUNCTION("GOOGLETRANSLATE(B556,""id"",""en"")"),"['waah', 'original', 'network', 'muter', 'muter', 'buy', 'package', 'omg', 'GB', 'quota', 'super', 'diputer', ' Puter ',' Honest ',' Emotion ',' Star ',' Hoping ',' Telkomsel ',' Customer ',' FAIR ',' MyTelkomsel ',' Family ',' Telkomsel ',' Nomer ',' and"&amp;" then ' , 'backup', 'hope', 'best', 'Telkomsel', 'thank you']")</f>
        <v>['waah', 'original', 'network', 'muter', 'muter', 'buy', 'package', 'omg', 'GB', 'quota', 'super', 'diputer', ' Puter ',' Honest ',' Emotion ',' Star ',' Hoping ',' Telkomsel ',' Customer ',' FAIR ',' MyTelkomsel ',' Family ',' Telkomsel ',' Nomer ',' and then ' , 'backup', 'hope', 'best', 'Telkomsel', 'thank you']</v>
      </c>
      <c r="D556" s="3">
        <v>5.0</v>
      </c>
    </row>
    <row r="557" ht="15.75" customHeight="1">
      <c r="A557" s="1">
        <v>555.0</v>
      </c>
      <c r="B557" s="3" t="s">
        <v>558</v>
      </c>
      <c r="C557" s="3" t="str">
        <f>IFERROR(__xludf.DUMMYFUNCTION("GOOGLETRANSLATE(B557,""id"",""en"")"),"['Hala', 'Telkomsel', 'Telkomsel', 'quality', 'decreases',' signal ',' slow ',' hi ',' Sis', 'sorry', 'discomfort', 'blah', ' blah ',' contact ',' blah ',' blah ',' no ',' response ',' ']")</f>
        <v>['Hala', 'Telkomsel', 'Telkomsel', 'quality', 'decreases',' signal ',' slow ',' hi ',' Sis', 'sorry', 'discomfort', 'blah', ' blah ',' contact ',' blah ',' blah ',' no ',' response ',' ']</v>
      </c>
      <c r="D557" s="3">
        <v>1.0</v>
      </c>
    </row>
    <row r="558" ht="15.75" customHeight="1">
      <c r="A558" s="1">
        <v>556.0</v>
      </c>
      <c r="B558" s="3" t="s">
        <v>559</v>
      </c>
      <c r="C558" s="3" t="str">
        <f>IFERROR(__xludf.DUMMYFUNCTION("GOOGLETRANSLATE(B558,""id"",""en"")"),"['signal', 'internet', 'quality', 'down', 'price', 'consistent', 'use', 'service', 'customer', 'response', 'business',' price ',' fast ',' network ',' saggy ',' shame ',' little ',' Surabaya ',' City ',' Serasa ',' World ',' Jumanji ',' Provider ']")</f>
        <v>['signal', 'internet', 'quality', 'down', 'price', 'consistent', 'use', 'service', 'customer', 'response', 'business',' price ',' fast ',' network ',' saggy ',' shame ',' little ',' Surabaya ',' City ',' Serasa ',' World ',' Jumanji ',' Provider ']</v>
      </c>
      <c r="D558" s="3">
        <v>1.0</v>
      </c>
    </row>
    <row r="559" ht="15.75" customHeight="1">
      <c r="A559" s="1">
        <v>557.0</v>
      </c>
      <c r="B559" s="3" t="s">
        <v>560</v>
      </c>
      <c r="C559" s="3" t="str">
        <f>IFERROR(__xludf.DUMMYFUNCTION("GOOGLETRANSLATE(B559,""id"",""en"")"),"['signal', 'Telkomsel', 'slow', 'slow', 'really', 'demand', 'change', 'loss', 'smooth', ""]")</f>
        <v>['signal', 'Telkomsel', 'slow', 'slow', 'really', 'demand', 'change', 'loss', 'smooth', "]</v>
      </c>
      <c r="D559" s="3">
        <v>1.0</v>
      </c>
    </row>
    <row r="560" ht="15.75" customHeight="1">
      <c r="A560" s="1">
        <v>558.0</v>
      </c>
      <c r="B560" s="3" t="s">
        <v>561</v>
      </c>
      <c r="C560" s="3" t="str">
        <f>IFERROR(__xludf.DUMMYFUNCTION("GOOGLETRANSLATE(B560,""id"",""en"")"),"['The application', 'good', 'help', 'thank', 'love', 'promo', 'cheerful', 'kerugan', 'card', 'Telkomsel', 'extend', 'promo', ' Cheerful ',' pandemic ',' covid ',' used ',' times', 'buy', 'package', 'cheerful', ""]")</f>
        <v>['The application', 'good', 'help', 'thank', 'love', 'promo', 'cheerful', 'kerugan', 'card', 'Telkomsel', 'extend', 'promo', ' Cheerful ',' pandemic ',' covid ',' used ',' times', 'buy', 'package', 'cheerful', "]</v>
      </c>
      <c r="D560" s="3">
        <v>4.0</v>
      </c>
    </row>
    <row r="561" ht="15.75" customHeight="1">
      <c r="A561" s="1">
        <v>559.0</v>
      </c>
      <c r="B561" s="3" t="s">
        <v>562</v>
      </c>
      <c r="C561" s="3" t="str">
        <f>IFERROR(__xludf.DUMMYFUNCTION("GOOGLETRANSLATE(B561,""id"",""en"")"),"['Application', 'Loading', 'Package', 'Internet', 'Offered', 'Honest', 'Unlimited', 'Painted', 'Already', 'Buy', 'Credit', ""]")</f>
        <v>['Application', 'Loading', 'Package', 'Internet', 'Offered', 'Honest', 'Unlimited', 'Painted', 'Already', 'Buy', 'Credit', "]</v>
      </c>
      <c r="D561" s="3">
        <v>1.0</v>
      </c>
    </row>
    <row r="562" ht="15.75" customHeight="1">
      <c r="A562" s="1">
        <v>560.0</v>
      </c>
      <c r="B562" s="3" t="s">
        <v>563</v>
      </c>
      <c r="C562" s="3" t="str">
        <f>IFERROR(__xludf.DUMMYFUNCTION("GOOGLETRANSLATE(B562,""id"",""en"")"),"['users',' Telkomsel ',' hope ',' Network ',' Telkomsel ',' Strengthen ',' Regions', 'Bogor', 'Sometimes',' Leg ',' Network ',' Good ',' thank you']")</f>
        <v>['users',' Telkomsel ',' hope ',' Network ',' Telkomsel ',' Strengthen ',' Regions', 'Bogor', 'Sometimes',' Leg ',' Network ',' Good ',' thank you']</v>
      </c>
      <c r="D562" s="3">
        <v>5.0</v>
      </c>
    </row>
    <row r="563" ht="15.75" customHeight="1">
      <c r="A563" s="1">
        <v>561.0</v>
      </c>
      <c r="B563" s="3" t="s">
        <v>564</v>
      </c>
      <c r="C563" s="3" t="str">
        <f>IFERROR(__xludf.DUMMYFUNCTION("GOOGLETRANSLATE(B563,""id"",""en"")"),"['Hold', 'already', 'Telkomsel', 'era', 'know', 'internet', 'signal', 'kenceng', 'area', 'skrng', 'signal', 'Telkomsel', ' ugly ',' rain ',' lights', 'go out', 'please', 'level', 'performance', 'area', 'city', 'Baturaja', 'Sumatran', 'south']")</f>
        <v>['Hold', 'already', 'Telkomsel', 'era', 'know', 'internet', 'signal', 'kenceng', 'area', 'skrng', 'signal', 'Telkomsel', ' ugly ',' rain ',' lights', 'go out', 'please', 'level', 'performance', 'area', 'city', 'Baturaja', 'Sumatran', 'south']</v>
      </c>
      <c r="D563" s="3">
        <v>2.0</v>
      </c>
    </row>
    <row r="564" ht="15.75" customHeight="1">
      <c r="A564" s="1">
        <v>562.0</v>
      </c>
      <c r="B564" s="3" t="s">
        <v>565</v>
      </c>
      <c r="C564" s="3" t="str">
        <f>IFERROR(__xludf.DUMMYFUNCTION("GOOGLETRANSLATE(B564,""id"",""en"")"),"['LEG', 'Signal', 'Telkomsel', 'Main', 'Game', 'Online', 'Current', 'Current', 'Signal', 'Telkomsel', 'Severe', 'Card', ' DLU ',' recommended ',' Gamers', 'Disappointed', 'really']")</f>
        <v>['LEG', 'Signal', 'Telkomsel', 'Main', 'Game', 'Online', 'Current', 'Current', 'Signal', 'Telkomsel', 'Severe', 'Card', ' DLU ',' recommended ',' Gamers', 'Disappointed', 'really']</v>
      </c>
      <c r="D564" s="3">
        <v>1.0</v>
      </c>
    </row>
    <row r="565" ht="15.75" customHeight="1">
      <c r="A565" s="1">
        <v>563.0</v>
      </c>
      <c r="B565" s="3" t="s">
        <v>566</v>
      </c>
      <c r="C565" s="3" t="str">
        <f>IFERROR(__xludf.DUMMYFUNCTION("GOOGLETRANSLATE(B565,""id"",""en"")"),"['users',' Telkomsel ',' Skrng ',' Dithn ',' Signal ',' Optimal ',' located ',' SBY ',' North ',' Sidotopo ',' Wetan ',' Mhon ',' Telkomsel ',' fix ',' network ',' location ',' area ',' network ',' strong ',' repaired ',' seblm ',' move ',' profider ',' l"&amp;"aen ' , 'thank you']")</f>
        <v>['users',' Telkomsel ',' Skrng ',' Dithn ',' Signal ',' Optimal ',' located ',' SBY ',' North ',' Sidotopo ',' Wetan ',' Mhon ',' Telkomsel ',' fix ',' network ',' location ',' area ',' network ',' strong ',' repaired ',' seblm ',' move ',' profider ',' laen ' , 'thank you']</v>
      </c>
      <c r="D565" s="3">
        <v>4.0</v>
      </c>
    </row>
    <row r="566" ht="15.75" customHeight="1">
      <c r="A566" s="1">
        <v>564.0</v>
      </c>
      <c r="B566" s="3" t="s">
        <v>567</v>
      </c>
      <c r="C566" s="3" t="str">
        <f>IFERROR(__xludf.DUMMYFUNCTION("GOOGLETRANSLATE(B566,""id"",""en"")"),"['Telkomsel', 'Kayak', 'Pig', 'Nukar', 'Points',' Many ',' Poor ',' Telkomsel ',' Bobro ',' Rotten ',' DevelVerny ',' bnyak ',' Eat ',' trash ',' pin ',' exchange ',' many ',' pig ']")</f>
        <v>['Telkomsel', 'Kayak', 'Pig', 'Nukar', 'Points',' Many ',' Poor ',' Telkomsel ',' Bobro ',' Rotten ',' DevelVerny ',' bnyak ',' Eat ',' trash ',' pin ',' exchange ',' many ',' pig ']</v>
      </c>
      <c r="D566" s="3">
        <v>1.0</v>
      </c>
    </row>
    <row r="567" ht="15.75" customHeight="1">
      <c r="A567" s="1">
        <v>565.0</v>
      </c>
      <c r="B567" s="3" t="s">
        <v>568</v>
      </c>
      <c r="C567" s="3" t="str">
        <f>IFERROR(__xludf.DUMMYFUNCTION("GOOGLETRANSLATE(B567,""id"",""en"")"),"['recommended', 'user', 'provider', 'Telkomsel', 'use', 'network', 'as fast as',' provider ',' king ',' provider ',' skrg ',' Ujan ',' little ',' signal ',' ilang ',' network ',' slow ',' pdahal ',' city ',' lho ',' already ',' buy ',' expensive ',' sugge"&amp;"st ',' choose ' , 'Provider', 'Disappointed', '']")</f>
        <v>['recommended', 'user', 'provider', 'Telkomsel', 'use', 'network', 'as fast as',' provider ',' king ',' provider ',' skrg ',' Ujan ',' little ',' signal ',' ilang ',' network ',' slow ',' pdahal ',' city ',' lho ',' already ',' buy ',' expensive ',' suggest ',' choose ' , 'Provider', 'Disappointed', '']</v>
      </c>
      <c r="D567" s="3">
        <v>1.0</v>
      </c>
    </row>
    <row r="568" ht="15.75" customHeight="1">
      <c r="A568" s="1">
        <v>566.0</v>
      </c>
      <c r="B568" s="3" t="s">
        <v>569</v>
      </c>
      <c r="C568" s="3" t="str">
        <f>IFERROR(__xludf.DUMMYFUNCTION("GOOGLETRANSLATE(B568,""id"",""en"")"),"['disappointed', 'network', 'Telkomsel', 'good', 'good', 'lag', 'prolonged', 'browsing', 'watch', 'youtube', 'eat', 'quota', ' Play ',' Game ',' Severe ',' Network ',' Telkomsel ',' Telkomsel ',' Quality ',' The Network ',' Down ',' Drastic ',' Price ',' "&amp;"Package ',' Expensive ' , 'accompanied', 'quality', 'network', 'users', 'Telkomsel', 'disappointed', '']")</f>
        <v>['disappointed', 'network', 'Telkomsel', 'good', 'good', 'lag', 'prolonged', 'browsing', 'watch', 'youtube', 'eat', 'quota', ' Play ',' Game ',' Severe ',' Network ',' Telkomsel ',' Telkomsel ',' Quality ',' The Network ',' Down ',' Drastic ',' Price ',' Package ',' Expensive ' , 'accompanied', 'quality', 'network', 'users', 'Telkomsel', 'disappointed', '']</v>
      </c>
      <c r="D568" s="3">
        <v>1.0</v>
      </c>
    </row>
    <row r="569" ht="15.75" customHeight="1">
      <c r="A569" s="1">
        <v>567.0</v>
      </c>
      <c r="B569" s="3" t="s">
        <v>570</v>
      </c>
      <c r="C569" s="3" t="str">
        <f>IFERROR(__xludf.DUMMYFUNCTION("GOOGLETRANSLATE(B569,""id"",""en"")"),"['users',' Telkomsel ',' Region ',' Mesuji ',' Lampung ',' yaa ',' Network ',' Severe ',' really ',' already ',' package ',' expensive ',' network ',' gal ',' good ',' please ',' repay ',' gini ',' here ',' ugly ']")</f>
        <v>['users',' Telkomsel ',' Region ',' Mesuji ',' Lampung ',' yaa ',' Network ',' Severe ',' really ',' already ',' package ',' expensive ',' network ',' gal ',' good ',' please ',' repay ',' gini ',' here ',' ugly ']</v>
      </c>
      <c r="D569" s="3">
        <v>1.0</v>
      </c>
    </row>
    <row r="570" ht="15.75" customHeight="1">
      <c r="A570" s="1">
        <v>568.0</v>
      </c>
      <c r="B570" s="3" t="s">
        <v>571</v>
      </c>
      <c r="C570" s="3" t="str">
        <f>IFERROR(__xludf.DUMMYFUNCTION("GOOGLETRANSLATE(B570,""id"",""en"")"),"['Telkomsel', 'ugly', 'update', 'quota', 'say it', 'network', 'stable', 'ugly', 'pulse', 'lost', 'package', 'internet', ' ']")</f>
        <v>['Telkomsel', 'ugly', 'update', 'quota', 'say it', 'network', 'stable', 'ugly', 'pulse', 'lost', 'package', 'internet', ' ']</v>
      </c>
      <c r="D570" s="3">
        <v>1.0</v>
      </c>
    </row>
    <row r="571" ht="15.75" customHeight="1">
      <c r="A571" s="1">
        <v>569.0</v>
      </c>
      <c r="B571" s="3" t="s">
        <v>572</v>
      </c>
      <c r="C571" s="3" t="str">
        <f>IFERROR(__xludf.DUMMYFUNCTION("GOOGLETRANSLATE(B571,""id"",""en"")"),"['Usage', 'Easy', 'Display', 'Cool', 'Promotions',' Luckily ',' Daah ',' Anyway ',' mantaaap ',' laah ',' love ',' promo ',' yeah ',' happy ',' aqyuu ',' nya ',' ']")</f>
        <v>['Usage', 'Easy', 'Display', 'Cool', 'Promotions',' Luckily ',' Daah ',' Anyway ',' mantaaap ',' laah ',' love ',' promo ',' yeah ',' happy ',' aqyuu ',' nya ',' ']</v>
      </c>
      <c r="D571" s="3">
        <v>5.0</v>
      </c>
    </row>
    <row r="572" ht="15.75" customHeight="1">
      <c r="A572" s="1">
        <v>570.0</v>
      </c>
      <c r="B572" s="3" t="s">
        <v>573</v>
      </c>
      <c r="C572" s="3" t="str">
        <f>IFERROR(__xludf.DUMMYFUNCTION("GOOGLETRANSLATE(B572,""id"",""en"")"),"['promo', 'dipake', 'mending', 'turn', 'click', 'reading', 'error', 'turn', 'package', 'smooth', 'imaging', 'rot', ' very']")</f>
        <v>['promo', 'dipake', 'mending', 'turn', 'click', 'reading', 'error', 'turn', 'package', 'smooth', 'imaging', 'rot', ' very']</v>
      </c>
      <c r="D572" s="3">
        <v>1.0</v>
      </c>
    </row>
    <row r="573" ht="15.75" customHeight="1">
      <c r="A573" s="1">
        <v>571.0</v>
      </c>
      <c r="B573" s="3" t="s">
        <v>574</v>
      </c>
      <c r="C573" s="3" t="str">
        <f>IFERROR(__xludf.DUMMYFUNCTION("GOOGLETRANSLATE(B573,""id"",""en"")"),"['application', 'bug', 'calculation', 'data', 'cellular', 'pulse', 'sucked', 'valuable', 'ataat', 'pandemic', '']")</f>
        <v>['application', 'bug', 'calculation', 'data', 'cellular', 'pulse', 'sucked', 'valuable', 'ataat', 'pandemic', '']</v>
      </c>
      <c r="D573" s="3">
        <v>1.0</v>
      </c>
    </row>
    <row r="574" ht="15.75" customHeight="1">
      <c r="A574" s="1">
        <v>572.0</v>
      </c>
      <c r="B574" s="3" t="s">
        <v>575</v>
      </c>
      <c r="C574" s="3" t="str">
        <f>IFERROR(__xludf.DUMMYFUNCTION("GOOGLETRANSLATE(B574,""id"",""en"")"),"['Disappointed', 'Telkomsel', 'apakh', 'bgini', 'likes',' cheats', 'customer', 'just', 'suggestion', 'input', 'Telkomsel', 'Selur', ' Indonesia ',' Notif ',' SMS ',' Periodic ',' Promo ',' Purchase ',' Quota ',' Internet ',' Krna ',' Many ',' Notif ',' SM"&amp;"S ',' right ' , 'buy', 'promo', 'response', 'right', 'credit', 'Telkomsel', 'fast', 'respond', 'pulse', 'smpai', 'skrg', 'blsn', ' ']")</f>
        <v>['Disappointed', 'Telkomsel', 'apakh', 'bgini', 'likes',' cheats', 'customer', 'just', 'suggestion', 'input', 'Telkomsel', 'Selur', ' Indonesia ',' Notif ',' SMS ',' Periodic ',' Promo ',' Purchase ',' Quota ',' Internet ',' Krna ',' Many ',' Notif ',' SMS ',' right ' , 'buy', 'promo', 'response', 'right', 'credit', 'Telkomsel', 'fast', 'respond', 'pulse', 'smpai', 'skrg', 'blsn', ' ']</v>
      </c>
      <c r="D574" s="3">
        <v>1.0</v>
      </c>
    </row>
    <row r="575" ht="15.75" customHeight="1">
      <c r="A575" s="1">
        <v>573.0</v>
      </c>
      <c r="B575" s="3" t="s">
        <v>576</v>
      </c>
      <c r="C575" s="3" t="str">
        <f>IFERROR(__xludf.DUMMYFUNCTION("GOOGLETRANSLATE(B575,""id"",""en"")"),"['Telkomsel', 'expensive', 'promo', 'fast', 'change', 'expensive', 'pawn', 'handy', 'different', 'sorry', 'honest', '']")</f>
        <v>['Telkomsel', 'expensive', 'promo', 'fast', 'change', 'expensive', 'pawn', 'handy', 'different', 'sorry', 'honest', '']</v>
      </c>
      <c r="D575" s="3">
        <v>4.0</v>
      </c>
    </row>
    <row r="576" ht="15.75" customHeight="1">
      <c r="A576" s="1">
        <v>574.0</v>
      </c>
      <c r="B576" s="3" t="s">
        <v>577</v>
      </c>
      <c r="C576" s="3" t="str">
        <f>IFERROR(__xludf.DUMMYFUNCTION("GOOGLETRANSLATE(B576,""id"",""en"")"),"['Increases',' Network ',' Village ',' Pamijahan ',' County ',' Bogor ',' Price ',' Doang ',' Level ',' Men ',' Game ',' Ngelag ',' Sometimes', 'smooth', 'then', 'dead', 'lights',' direct ',' changed ',' signal ',' edge ',' yeeeeeeeeee ',' severe ',' aing"&amp;" ',' use ' , 'Tsel', 'thisii', 'disappointing', '']")</f>
        <v>['Increases',' Network ',' Village ',' Pamijahan ',' County ',' Bogor ',' Price ',' Doang ',' Level ',' Men ',' Game ',' Ngelag ',' Sometimes', 'smooth', 'then', 'dead', 'lights',' direct ',' changed ',' signal ',' edge ',' yeeeeeeeeee ',' severe ',' aing ',' use ' , 'Tsel', 'thisii', 'disappointing', '']</v>
      </c>
      <c r="D576" s="3">
        <v>1.0</v>
      </c>
    </row>
    <row r="577" ht="15.75" customHeight="1">
      <c r="A577" s="1">
        <v>575.0</v>
      </c>
      <c r="B577" s="3" t="s">
        <v>578</v>
      </c>
      <c r="C577" s="3" t="str">
        <f>IFERROR(__xludf.DUMMYFUNCTION("GOOGLETRANSLATE(B577,""id"",""en"")"),"['Telkomsel', 'slow', 'win', 'expensive', 'doang', 'open', 'app', 'store', 'loading', 'mnt', 'already', 'diamond', ' Msh ',' slow ',' Severe ',' Gini ',' A Legal ',' Times', 'Give', 'Rate', 'Star', 'Application', 'Disappointed', 'Really', 'Posts' , 'Click"&amp;"', 'post', 'said', 'no', 'connection', 'internet']")</f>
        <v>['Telkomsel', 'slow', 'win', 'expensive', 'doang', 'open', 'app', 'store', 'loading', 'mnt', 'already', 'diamond', ' Msh ',' slow ',' Severe ',' Gini ',' A Legal ',' Times', 'Give', 'Rate', 'Star', 'Application', 'Disappointed', 'Really', 'Posts' , 'Click', 'post', 'said', 'no', 'connection', 'internet']</v>
      </c>
      <c r="D577" s="3">
        <v>1.0</v>
      </c>
    </row>
    <row r="578" ht="15.75" customHeight="1">
      <c r="A578" s="1">
        <v>576.0</v>
      </c>
      <c r="B578" s="3" t="s">
        <v>579</v>
      </c>
      <c r="C578" s="3" t="str">
        <f>IFERROR(__xludf.DUMMYFUNCTION("GOOGLETRANSLATE(B578,""id"",""en"")"),"['package', 'active', 'unlimited', 'multimedia', 'whatsapp', 'pulse', 'truncated', 'disappointing', 'rating', 'ugly', ""]")</f>
        <v>['package', 'active', 'unlimited', 'multimedia', 'whatsapp', 'pulse', 'truncated', 'disappointing', 'rating', 'ugly', "]</v>
      </c>
      <c r="D578" s="3">
        <v>1.0</v>
      </c>
    </row>
    <row r="579" ht="15.75" customHeight="1">
      <c r="A579" s="1">
        <v>577.0</v>
      </c>
      <c r="B579" s="3" t="s">
        <v>580</v>
      </c>
      <c r="C579" s="3" t="str">
        <f>IFERROR(__xludf.DUMMYFUNCTION("GOOGLETRANSLATE(B579,""id"",""en"")"),"['Points',' MyTelkomsel ',' Out ',' Points', 'Wearing', 'Wear', 'Lottery', 'Rare', 'Install', 'WiFi', 'at home', 'Active', ' fill out ',' pulse ',' rb ',' sometimes', 'a month', 'sometimes',' until ',' try ',' check ',' point ',' lost ',' please ',' explo"&amp;"rer ' , '']")</f>
        <v>['Points',' MyTelkomsel ',' Out ',' Points', 'Wearing', 'Wear', 'Lottery', 'Rare', 'Install', 'WiFi', 'at home', 'Active', ' fill out ',' pulse ',' rb ',' sometimes', 'a month', 'sometimes',' until ',' try ',' check ',' point ',' lost ',' please ',' explorer ' , '']</v>
      </c>
      <c r="D579" s="3">
        <v>3.0</v>
      </c>
    </row>
    <row r="580" ht="15.75" customHeight="1">
      <c r="A580" s="1">
        <v>578.0</v>
      </c>
      <c r="B580" s="3" t="s">
        <v>581</v>
      </c>
      <c r="C580" s="3" t="str">
        <f>IFERROR(__xludf.DUMMYFUNCTION("GOOGLETRANSLATE(B580,""id"",""en"")"),"['Please', 'Sorry', 'Kasih', 'Kouta', 'Internet', 'expensive', 'Network', 'ugly', 'Region', 'Sumatran', 'South', 'Please', ' Telkomsel ',' Fix ',' Network ',' Internet ']")</f>
        <v>['Please', 'Sorry', 'Kasih', 'Kouta', 'Internet', 'expensive', 'Network', 'ugly', 'Region', 'Sumatran', 'South', 'Please', ' Telkomsel ',' Fix ',' Network ',' Internet ']</v>
      </c>
      <c r="D580" s="3">
        <v>1.0</v>
      </c>
    </row>
    <row r="581" ht="15.75" customHeight="1">
      <c r="A581" s="1">
        <v>579.0</v>
      </c>
      <c r="B581" s="3" t="s">
        <v>582</v>
      </c>
      <c r="C581" s="3" t="str">
        <f>IFERROR(__xludf.DUMMYFUNCTION("GOOGLETRANSLATE(B581,""id"",""en"")"),"['disappointed', 'payment', 'use', 'Linkaja', 'Delete', 'troublesome', 'purchase', 'package', 'ATW', 'pulse', 'directly', 'use', ' Linkaja ',' ']")</f>
        <v>['disappointed', 'payment', 'use', 'Linkaja', 'Delete', 'troublesome', 'purchase', 'package', 'ATW', 'pulse', 'directly', 'use', ' Linkaja ',' ']</v>
      </c>
      <c r="D581" s="3">
        <v>1.0</v>
      </c>
    </row>
    <row r="582" ht="15.75" customHeight="1">
      <c r="A582" s="1">
        <v>580.0</v>
      </c>
      <c r="B582" s="3" t="s">
        <v>583</v>
      </c>
      <c r="C582" s="3" t="str">
        <f>IFERROR(__xludf.DUMMYFUNCTION("GOOGLETRANSLATE(B582,""id"",""en"")"),"['signal', 'sympathy', 'ilang', 'right', 'electricity', 'dead', 'please', 'repaired', 'sympathy', 'like', 'gini', 'home', ' The area ',' Oro ',' Ombo ',' Wetan ',' Rembang ',' County ',' Pasuruan ',' Please ',' His attention ']")</f>
        <v>['signal', 'sympathy', 'ilang', 'right', 'electricity', 'dead', 'please', 'repaired', 'sympathy', 'like', 'gini', 'home', ' The area ',' Oro ',' Ombo ',' Wetan ',' Rembang ',' County ',' Pasuruan ',' Please ',' His attention ']</v>
      </c>
      <c r="D582" s="3">
        <v>1.0</v>
      </c>
    </row>
    <row r="583" ht="15.75" customHeight="1">
      <c r="A583" s="1">
        <v>581.0</v>
      </c>
      <c r="B583" s="3" t="s">
        <v>584</v>
      </c>
      <c r="C583" s="3" t="str">
        <f>IFERROR(__xludf.DUMMYFUNCTION("GOOGLETRANSLATE(B583,""id"",""en"")"),"['Telkomsel', 'slow', 'tmpat', 'stay', 'confection', 'network', 'TMBUS', 'Mbps',' Lahh ',' emotion ',' moved ',' Indosat ',' Tsel ',' The network ',' Delicious', 'Ngegame', 'Udh', 'That's',' Package ',' Cheap ',' Kuntuulll ']")</f>
        <v>['Telkomsel', 'slow', 'tmpat', 'stay', 'confection', 'network', 'TMBUS', 'Mbps',' Lahh ',' emotion ',' moved ',' Indosat ',' Tsel ',' The network ',' Delicious', 'Ngegame', 'Udh', 'That's',' Package ',' Cheap ',' Kuntuulll ']</v>
      </c>
      <c r="D583" s="3">
        <v>1.0</v>
      </c>
    </row>
    <row r="584" ht="15.75" customHeight="1">
      <c r="A584" s="1">
        <v>582.0</v>
      </c>
      <c r="B584" s="3" t="s">
        <v>585</v>
      </c>
      <c r="C584" s="3" t="str">
        <f>IFERROR(__xludf.DUMMYFUNCTION("GOOGLETRANSLATE(B584,""id"",""en"")"),"['Not', 'Recommend', 'Download', 'TOPUP', 'APK', 'Cheated', 'Money', 'Disappear', 'Response', 'Response', 'Topup', 'Package', ' Internet ',' GB ',' Price ',' RB ',' Darling ',' The money ',' unfortunate ',' Terbitai ',' Thanks', 'friend', 'read', 'warning"&amp;"', ""]")</f>
        <v>['Not', 'Recommend', 'Download', 'TOPUP', 'APK', 'Cheated', 'Money', 'Disappear', 'Response', 'Response', 'Topup', 'Package', ' Internet ',' GB ',' Price ',' RB ',' Darling ',' The money ',' unfortunate ',' Terbitai ',' Thanks', 'friend', 'read', 'warning', "]</v>
      </c>
      <c r="D584" s="3">
        <v>1.0</v>
      </c>
    </row>
    <row r="585" ht="15.75" customHeight="1">
      <c r="A585" s="1">
        <v>583.0</v>
      </c>
      <c r="B585" s="3" t="s">
        <v>586</v>
      </c>
      <c r="C585" s="3" t="str">
        <f>IFERROR(__xludf.DUMMYFUNCTION("GOOGLETRANSLATE(B585,""id"",""en"")"),"['Curious',' Method ',' Exchange ',' Points', 'Gift', 'Not bad', 'wahhh', 'Exchange', 'Points',' Real ',' Tipu ',' mere ',' customers', 'loyal', 'Telkomsel', 'Exchange', 'Points',' Points', 'Exchange', 'signs',' signs', 'victory', 'hadeeeecchhhhhh']")</f>
        <v>['Curious',' Method ',' Exchange ',' Points', 'Gift', 'Not bad', 'wahhh', 'Exchange', 'Points',' Real ',' Tipu ',' mere ',' customers', 'loyal', 'Telkomsel', 'Exchange', 'Points',' Points', 'Exchange', 'signs',' signs', 'victory', 'hadeeeecchhhhhh']</v>
      </c>
      <c r="D585" s="3">
        <v>3.0</v>
      </c>
    </row>
    <row r="586" ht="15.75" customHeight="1">
      <c r="A586" s="1">
        <v>584.0</v>
      </c>
      <c r="B586" s="3" t="s">
        <v>587</v>
      </c>
      <c r="C586" s="3" t="str">
        <f>IFERROR(__xludf.DUMMYFUNCTION("GOOGLETRANSLATE(B586,""id"",""en"")"),"['dear', 'price', 'package', 'activation', 'active', 'writing', 'active', 'taunya', 'active', 'pay', 'money', 'emang', ' Leaves', 'replace', 'card']")</f>
        <v>['dear', 'price', 'package', 'activation', 'active', 'writing', 'active', 'taunya', 'active', 'pay', 'money', 'emang', ' Leaves', 'replace', 'card']</v>
      </c>
      <c r="D586" s="3">
        <v>2.0</v>
      </c>
    </row>
    <row r="587" ht="15.75" customHeight="1">
      <c r="A587" s="1">
        <v>585.0</v>
      </c>
      <c r="B587" s="3" t="s">
        <v>588</v>
      </c>
      <c r="C587" s="3" t="str">
        <f>IFERROR(__xludf.DUMMYFUNCTION("GOOGLETRANSLATE(B587,""id"",""en"")"),"['quota', 'slow', 'unlimited', 'quota', 'run out', 'combo', 'sakti', 'emotion', 'slamming', 'card', 'quality', 'ush', ' contact ',' Kapok ',' cell ',' bln ',' replace ',' prime ']")</f>
        <v>['quota', 'slow', 'unlimited', 'quota', 'run out', 'combo', 'sakti', 'emotion', 'slamming', 'card', 'quality', 'ush', ' contact ',' Kapok ',' cell ',' bln ',' replace ',' prime ']</v>
      </c>
      <c r="D587" s="3">
        <v>1.0</v>
      </c>
    </row>
    <row r="588" ht="15.75" customHeight="1">
      <c r="A588" s="1">
        <v>586.0</v>
      </c>
      <c r="B588" s="3" t="s">
        <v>589</v>
      </c>
      <c r="C588" s="3" t="str">
        <f>IFERROR(__xludf.DUMMYFUNCTION("GOOGLETRANSLATE(B588,""id"",""en"")"),"['Telkomsel', 'Network', 'Stable', 'Speed', 'Internet', 'Stable', 'Application', 'Telkomsel', 'iPhone', 'Update', 'Opened', 'Look "",' Appearing ',' update ',' Android ',' Update ',' Fear ',' Opened ',' Kayak ',' iPhone ']")</f>
        <v>['Telkomsel', 'Network', 'Stable', 'Speed', 'Internet', 'Stable', 'Application', 'Telkomsel', 'iPhone', 'Update', 'Opened', 'Look ",' Appearing ',' update ',' Android ',' Update ',' Fear ',' Opened ',' Kayak ',' iPhone ']</v>
      </c>
      <c r="D588" s="3">
        <v>1.0</v>
      </c>
    </row>
    <row r="589" ht="15.75" customHeight="1">
      <c r="A589" s="1">
        <v>587.0</v>
      </c>
      <c r="B589" s="3" t="s">
        <v>590</v>
      </c>
      <c r="C589" s="3" t="str">
        <f>IFERROR(__xludf.DUMMYFUNCTION("GOOGLETRANSLATE(B589,""id"",""en"")"),"['Contents',' Credit ',' Telkomsel ',' Transaction ',' Success', 'Credit', 'Enter', 'Udh', 'Complain', 'Certainty', 'KPN', 'Credit', ' Take ',' deh ',' pulse ',' company ',' rich ',' telkomsel ',' msh ',' make it difficult ',' customer ',' already ',' alt"&amp;"ernating ',' complain ',' Veronika ' , 'Certainty', 'Wait', 'Wait', 'Sunday']")</f>
        <v>['Contents',' Credit ',' Telkomsel ',' Transaction ',' Success', 'Credit', 'Enter', 'Udh', 'Complain', 'Certainty', 'KPN', 'Credit', ' Take ',' deh ',' pulse ',' company ',' rich ',' telkomsel ',' msh ',' make it difficult ',' customer ',' already ',' alternating ',' complain ',' Veronika ' , 'Certainty', 'Wait', 'Wait', 'Sunday']</v>
      </c>
      <c r="D589" s="3">
        <v>1.0</v>
      </c>
    </row>
    <row r="590" ht="15.75" customHeight="1">
      <c r="A590" s="1">
        <v>588.0</v>
      </c>
      <c r="B590" s="3" t="s">
        <v>591</v>
      </c>
      <c r="C590" s="3" t="str">
        <f>IFERROR(__xludf.DUMMYFUNCTION("GOOGLETRANSLATE(B590,""id"",""en"")"),"['Disappointed', 'Status',' Buy ',' Package ',' Unlimited ',' Credit ',' Out ',' Credit ',' Sumpot ',' Wrong ',' Disappear ',' Signal ',' LEGE ',' APES ',' Signal ',' Full ',' Bar ',' Signal ',' Smartphone ',' Thank you ',' Hopefully ',' Hope ', ""]")</f>
        <v>['Disappointed', 'Status',' Buy ',' Package ',' Unlimited ',' Credit ',' Out ',' Credit ',' Sumpot ',' Wrong ',' Disappear ',' Signal ',' LEGE ',' APES ',' Signal ',' Full ',' Bar ',' Signal ',' Smartphone ',' Thank you ',' Hopefully ',' Hope ', "]</v>
      </c>
      <c r="D590" s="3">
        <v>1.0</v>
      </c>
    </row>
    <row r="591" ht="15.75" customHeight="1">
      <c r="A591" s="1">
        <v>589.0</v>
      </c>
      <c r="B591" s="3" t="s">
        <v>592</v>
      </c>
      <c r="C591" s="3" t="str">
        <f>IFERROR(__xludf.DUMMYFUNCTION("GOOGLETRANSLATE(B591,""id"",""en"")"),"['fast', 'loding', 'signal', 'Full', 'price', 'package', 'expensive', 'ngak', 'compete', 'oprator', 'example', 'im', ' Famous', 'Package', 'Cheap']")</f>
        <v>['fast', 'loding', 'signal', 'Full', 'price', 'package', 'expensive', 'ngak', 'compete', 'oprator', 'example', 'im', ' Famous', 'Package', 'Cheap']</v>
      </c>
      <c r="D591" s="3">
        <v>4.0</v>
      </c>
    </row>
    <row r="592" ht="15.75" customHeight="1">
      <c r="A592" s="1">
        <v>590.0</v>
      </c>
      <c r="B592" s="3" t="s">
        <v>593</v>
      </c>
      <c r="C592" s="3" t="str">
        <f>IFERROR(__xludf.DUMMYFUNCTION("GOOGLETRANSLATE(B592,""id"",""en"")"),"['Sloganya', 'signal', 'signal', 'labile', 'like', 'ngilance', 'ngilan', 'plus',' buy ',' package ',' kaga ',' already ',' Buy ',' Gaada ',' Notification ',' Success', 'FAILURE', 'HAVE', 'RICH', 'Application', 'Bot', 'Already', 'Kagih', 'Bintang' , 'apk',"&amp;" 'tetep', 'buy', 'package', 'lgi', 'promo', 'emang', 'telkomnyet', '']")</f>
        <v>['Sloganya', 'signal', 'signal', 'labile', 'like', 'ngilance', 'ngilan', 'plus',' buy ',' package ',' kaga ',' already ',' Buy ',' Gaada ',' Notification ',' Success', 'FAILURE', 'HAVE', 'RICH', 'Application', 'Bot', 'Already', 'Kagih', 'Bintang' , 'apk', 'tetep', 'buy', 'package', 'lgi', 'promo', 'emang', 'telkomnyet', '']</v>
      </c>
      <c r="D592" s="3">
        <v>1.0</v>
      </c>
    </row>
    <row r="593" ht="15.75" customHeight="1">
      <c r="A593" s="1">
        <v>591.0</v>
      </c>
      <c r="B593" s="3" t="s">
        <v>594</v>
      </c>
      <c r="C593" s="3" t="str">
        <f>IFERROR(__xludf.DUMMYFUNCTION("GOOGLETRANSLATE(B593,""id"",""en"")"),"['Disappointed', 'signal', 'Telkomsel', 'Bad', 'City', 'Lho', 'Medan', 'signal', 'lag', 'gini', 'repaired', 'Telkomsel']")</f>
        <v>['Disappointed', 'signal', 'Telkomsel', 'Bad', 'City', 'Lho', 'Medan', 'signal', 'lag', 'gini', 'repaired', 'Telkomsel']</v>
      </c>
      <c r="D593" s="3">
        <v>1.0</v>
      </c>
    </row>
    <row r="594" ht="15.75" customHeight="1">
      <c r="A594" s="1">
        <v>592.0</v>
      </c>
      <c r="B594" s="3" t="s">
        <v>595</v>
      </c>
      <c r="C594" s="3" t="str">
        <f>IFERROR(__xludf.DUMMYFUNCTION("GOOGLETRANSLATE(B594,""id"",""en"")"),"['Telkomsel', 'sii', 'signal', 'slow', 'really', 'crazy', 'chat', 'pending', 'online', 'class', 'gabisa', 'because' The network ',' ugly ',' Telkom ',' Bnrin ',' The network ',' disappointed ',' the network ',' pulp ',' really ',' kek ',' next door ',' sl"&amp;"ow ',' Masi ' , 'according to', 'price', 'UDH', 'expensive', 'network', 'steady', 'laa', 'gini', 'mulu', 'blur', 'users',' telkom ',' Egoo ',' ']")</f>
        <v>['Telkomsel', 'sii', 'signal', 'slow', 'really', 'crazy', 'chat', 'pending', 'online', 'class', 'gabisa', 'because' The network ',' ugly ',' Telkom ',' Bnrin ',' The network ',' disappointed ',' the network ',' pulp ',' really ',' kek ',' next door ',' slow ',' Masi ' , 'according to', 'price', 'UDH', 'expensive', 'network', 'steady', 'laa', 'gini', 'mulu', 'blur', 'users',' telkom ',' Egoo ',' ']</v>
      </c>
      <c r="D594" s="3">
        <v>1.0</v>
      </c>
    </row>
    <row r="595" ht="15.75" customHeight="1">
      <c r="A595" s="1">
        <v>593.0</v>
      </c>
      <c r="B595" s="3" t="s">
        <v>596</v>
      </c>
      <c r="C595" s="3" t="str">
        <f>IFERROR(__xludf.DUMMYFUNCTION("GOOGLETRANSLATE(B595,""id"",""en"")"),"['Disappointed', 'Telkomsel', 'Sousal', 'ugly', 'really', 'use', 'tsel', 'sinynya', 'good', 'ugly', 'use', 'village', ' The area ',' Bojong ',' Gede ',' Please ',' Donk ',' Fix ',' Sinyal ']")</f>
        <v>['Disappointed', 'Telkomsel', 'Sousal', 'ugly', 'really', 'use', 'tsel', 'sinynya', 'good', 'ugly', 'use', 'village', ' The area ',' Bojong ',' Gede ',' Please ',' Donk ',' Fix ',' Sinyal ']</v>
      </c>
      <c r="D595" s="3">
        <v>1.0</v>
      </c>
    </row>
    <row r="596" ht="15.75" customHeight="1">
      <c r="A596" s="1">
        <v>594.0</v>
      </c>
      <c r="B596" s="3" t="s">
        <v>597</v>
      </c>
      <c r="C596" s="3" t="str">
        <f>IFERROR(__xludf.DUMMYFUNCTION("GOOGLETRANSLATE(B596,""id"",""en"")"),"['Disappointed', 'Network', 'Data', 'Non', 'AKTIP', 'TDAK', 'Used', 'Filling', 'Credit', 'Buy', 'Kashaa', 'right', ' AKTIP ',' Data ',' Enter ',' Telkomsel ',' Buy ',' Kaila ',' Credit ',' Direct ',' Suck ',' Padahala ',' right ',' count ',' minutes' , 'S"&amp;"evere', 'Telkomsel', '']")</f>
        <v>['Disappointed', 'Network', 'Data', 'Non', 'AKTIP', 'TDAK', 'Used', 'Filling', 'Credit', 'Buy', 'Kashaa', 'right', ' AKTIP ',' Data ',' Enter ',' Telkomsel ',' Buy ',' Kaila ',' Credit ',' Direct ',' Suck ',' Padahala ',' right ',' count ',' minutes' , 'Severe', 'Telkomsel', '']</v>
      </c>
      <c r="D596" s="3">
        <v>1.0</v>
      </c>
    </row>
    <row r="597" ht="15.75" customHeight="1">
      <c r="A597" s="1">
        <v>595.0</v>
      </c>
      <c r="B597" s="3" t="s">
        <v>598</v>
      </c>
      <c r="C597" s="3" t="str">
        <f>IFERROR(__xludf.DUMMYFUNCTION("GOOGLETRANSLATE(B597,""id"",""en"")"),"['Disappointed', 'fill in', 'pulse', 'thousand', 'chick', 'thousand', 'Perny', 'buy', 'package', 'emergency', 'buy', 'package', ' emergency ',' forced ',' fill in ',' pulses', 'please', 'yaaaaa', 'gima']")</f>
        <v>['Disappointed', 'fill in', 'pulse', 'thousand', 'chick', 'thousand', 'Perny', 'buy', 'package', 'emergency', 'buy', 'package', ' emergency ',' forced ',' fill in ',' pulses', 'please', 'yaaaaa', 'gima']</v>
      </c>
      <c r="D597" s="3">
        <v>1.0</v>
      </c>
    </row>
    <row r="598" ht="15.75" customHeight="1">
      <c r="A598" s="1">
        <v>596.0</v>
      </c>
      <c r="B598" s="3" t="s">
        <v>599</v>
      </c>
      <c r="C598" s="3" t="str">
        <f>IFERROR(__xludf.DUMMYFUNCTION("GOOGLETRANSLATE(B598,""id"",""en"")"),"['Credit', 'Activate', 'Package', 'Emergency', 'IDR', 'MB', 'Min', 'Tsel', 'SMS', 'Tsel', 'Pay', 'Fill', ' Credit ',' reply ',' yes', 'agree', 'hub', 'pulse', 'please', 'notification', 'repaired', 'terimaka', 'love', '']")</f>
        <v>['Credit', 'Activate', 'Package', 'Emergency', 'IDR', 'MB', 'Min', 'Tsel', 'SMS', 'Tsel', 'Pay', 'Fill', ' Credit ',' reply ',' yes', 'agree', 'hub', 'pulse', 'please', 'notification', 'repaired', 'terimaka', 'love', '']</v>
      </c>
      <c r="D598" s="3">
        <v>1.0</v>
      </c>
    </row>
    <row r="599" ht="15.75" customHeight="1">
      <c r="A599" s="1">
        <v>597.0</v>
      </c>
      <c r="B599" s="3" t="s">
        <v>600</v>
      </c>
      <c r="C599" s="3" t="str">
        <f>IFERROR(__xludf.DUMMYFUNCTION("GOOGLETRANSLATE(B599,""id"",""en"")"),"['Sorry', 'Min', 'Telkomsel', 'The network', 'slow', 'good', 'Sophisticated', 'love', 'star', 'DNG', 'DNG', 'Network', ' Nyaa ',' mehoy ']")</f>
        <v>['Sorry', 'Min', 'Telkomsel', 'The network', 'slow', 'good', 'Sophisticated', 'love', 'star', 'DNG', 'DNG', 'Network', ' Nyaa ',' mehoy ']</v>
      </c>
      <c r="D599" s="3">
        <v>2.0</v>
      </c>
    </row>
    <row r="600" ht="15.75" customHeight="1">
      <c r="A600" s="1">
        <v>598.0</v>
      </c>
      <c r="B600" s="3" t="s">
        <v>601</v>
      </c>
      <c r="C600" s="3" t="str">
        <f>IFERROR(__xludf.DUMMYFUNCTION("GOOGLETRANSLATE(B600,""id"",""en"")"),"['Sometimes',' trdapat ',' bug ',' enter ',' sometimes', 'sometimes',' purchase ',' package ',' pay ',' link ',' pdhal ',' method ',' Payment ',' Link ',' Available ',' ']")</f>
        <v>['Sometimes',' trdapat ',' bug ',' enter ',' sometimes', 'sometimes',' purchase ',' package ',' pay ',' link ',' pdhal ',' method ',' Payment ',' Link ',' Available ',' ']</v>
      </c>
      <c r="D600" s="3">
        <v>4.0</v>
      </c>
    </row>
    <row r="601" ht="15.75" customHeight="1">
      <c r="A601" s="1">
        <v>599.0</v>
      </c>
      <c r="B601" s="3" t="s">
        <v>602</v>
      </c>
      <c r="C601" s="3" t="str">
        <f>IFERROR(__xludf.DUMMYFUNCTION("GOOGLETRANSLATE(B601,""id"",""en"")"),"['Credit', 'is proulated', 'cook', 'leftover', 'extend', 'considered', 'annoyed', 'Telkomsel', 'late', 'buy', 'pulse', 'quota', ' Internet']")</f>
        <v>['Credit', 'is proulated', 'cook', 'leftover', 'extend', 'considered', 'annoyed', 'Telkomsel', 'late', 'buy', 'pulse', 'quota', ' Internet']</v>
      </c>
      <c r="D601" s="3">
        <v>1.0</v>
      </c>
    </row>
    <row r="602" ht="15.75" customHeight="1">
      <c r="A602" s="1">
        <v>600.0</v>
      </c>
      <c r="B602" s="3" t="s">
        <v>603</v>
      </c>
      <c r="C602" s="3" t="str">
        <f>IFERROR(__xludf.DUMMYFUNCTION("GOOGLETRANSLATE(B602,""id"",""en"")"),"['Please', 'Fix', 'Quality', 'Sousal', 'Cook', 'Open', 'Facebook', 'watsap', 'YouTube', 'LEGU', 'really', 'Disappointed', ' Quality ',' signal ',' Telkomsel ']")</f>
        <v>['Please', 'Fix', 'Quality', 'Sousal', 'Cook', 'Open', 'Facebook', 'watsap', 'YouTube', 'LEGU', 'really', 'Disappointed', ' Quality ',' signal ',' Telkomsel ']</v>
      </c>
      <c r="D602" s="3">
        <v>3.0</v>
      </c>
    </row>
    <row r="603" ht="15.75" customHeight="1">
      <c r="A603" s="1">
        <v>601.0</v>
      </c>
      <c r="B603" s="3" t="s">
        <v>604</v>
      </c>
      <c r="C603" s="3" t="str">
        <f>IFERROR(__xludf.DUMMYFUNCTION("GOOGLETRANSLATE(B603,""id"",""en"")"),"['buy', 'package', 'call', 'all', 'operator', 'pulse', 'main', 'eroded', 'out', 'except', 'use', 'name', ' all ',' operator ',' If ',' zero ',' star ',' love ',' zero ',' star ', ""]")</f>
        <v>['buy', 'package', 'call', 'all', 'operator', 'pulse', 'main', 'eroded', 'out', 'except', 'use', 'name', ' all ',' operator ',' If ',' zero ',' star ',' love ',' zero ',' star ', "]</v>
      </c>
      <c r="D603" s="3">
        <v>1.0</v>
      </c>
    </row>
    <row r="604" ht="15.75" customHeight="1">
      <c r="A604" s="1">
        <v>602.0</v>
      </c>
      <c r="B604" s="3" t="s">
        <v>605</v>
      </c>
      <c r="C604" s="3" t="str">
        <f>IFERROR(__xludf.DUMMYFUNCTION("GOOGLETRANSLATE(B604,""id"",""en"")"),"['Application', 'Tipu', 'Jaringn', 'Leet', 'Open', 'Agek', 'Error', 'Mulu', 'Come', 'wise', 'GMna', 'Overcome', ' response', '']")</f>
        <v>['Application', 'Tipu', 'Jaringn', 'Leet', 'Open', 'Agek', 'Error', 'Mulu', 'Come', 'wise', 'GMna', 'Overcome', ' response', '']</v>
      </c>
      <c r="D604" s="3">
        <v>1.0</v>
      </c>
    </row>
    <row r="605" ht="15.75" customHeight="1">
      <c r="A605" s="1">
        <v>603.0</v>
      </c>
      <c r="B605" s="3" t="s">
        <v>606</v>
      </c>
      <c r="C605" s="3" t="str">
        <f>IFERROR(__xludf.DUMMYFUNCTION("GOOGLETRANSLATE(B605,""id"",""en"")"),"['Increases',' quality ',' service ',' expensive ',' minus', 'quality', 'internet', 'brain', 'money', 'what', 'forward', 'country', ' network ',' minusssss']")</f>
        <v>['Increases',' quality ',' service ',' expensive ',' minus', 'quality', 'internet', 'brain', 'money', 'what', 'forward', 'country', ' network ',' minusssss']</v>
      </c>
      <c r="D605" s="3">
        <v>1.0</v>
      </c>
    </row>
    <row r="606" ht="15.75" customHeight="1">
      <c r="A606" s="1">
        <v>604.0</v>
      </c>
      <c r="B606" s="3" t="s">
        <v>607</v>
      </c>
      <c r="C606" s="3" t="str">
        <f>IFERROR(__xludf.DUMMYFUNCTION("GOOGLETRANSLATE(B606,""id"",""en"")"),"['Telkomsel', 'Dayli', 'Prize', 'Claim', 'Full', 'Please', 'Action', 'Continue', 'Disappoint', 'Consumer', 'Use', 'Card', ' Telkomsel ',' ']")</f>
        <v>['Telkomsel', 'Dayli', 'Prize', 'Claim', 'Full', 'Please', 'Action', 'Continue', 'Disappoint', 'Consumer', 'Use', 'Card', ' Telkomsel ',' ']</v>
      </c>
      <c r="D606" s="3">
        <v>1.0</v>
      </c>
    </row>
    <row r="607" ht="15.75" customHeight="1">
      <c r="A607" s="1">
        <v>605.0</v>
      </c>
      <c r="B607" s="3" t="s">
        <v>608</v>
      </c>
      <c r="C607" s="3" t="str">
        <f>IFERROR(__xludf.DUMMYFUNCTION("GOOGLETRANSLATE(B607,""id"",""en"")"),"['Telkomsel', 'Perna', 'use', 'package', 'quota', 'government', 'Telkomsel', 'rich', 'smart', 'culuced', 'right', 'person', ' Rights', 'Tipu', 'gini']")</f>
        <v>['Telkomsel', 'Perna', 'use', 'package', 'quota', 'government', 'Telkomsel', 'rich', 'smart', 'culuced', 'right', 'person', ' Rights', 'Tipu', 'gini']</v>
      </c>
      <c r="D607" s="3">
        <v>1.0</v>
      </c>
    </row>
    <row r="608" ht="15.75" customHeight="1">
      <c r="A608" s="1">
        <v>606.0</v>
      </c>
      <c r="B608" s="3" t="s">
        <v>609</v>
      </c>
      <c r="C608" s="3" t="str">
        <f>IFERROR(__xludf.DUMMYFUNCTION("GOOGLETRANSLATE(B608,""id"",""en"")"),"['Please', 'Telkomsel', 'Region', 'Sumedang', 'Dustarat', 'Kec', 'Jatinunggal', 'Indon', 'Sia', 'Please', 'Strength', 'Sinya', ' Internet ',' Region ',' Increase ',' users', 'Telkomsel', 'TTAP', 'loyal', 'service', 'users',' Telkomsel ',' complain ',' pri"&amp;"ce ',' package ' , 'expensive', 'signal', 'network', 'internet', 'weak', 'disappointed', 'blame', 'move', 'heart', ""]")</f>
        <v>['Please', 'Telkomsel', 'Region', 'Sumedang', 'Dustarat', 'Kec', 'Jatinunggal', 'Indon', 'Sia', 'Please', 'Strength', 'Sinya', ' Internet ',' Region ',' Increase ',' users', 'Telkomsel', 'TTAP', 'loyal', 'service', 'users',' Telkomsel ',' complain ',' price ',' package ' , 'expensive', 'signal', 'network', 'internet', 'weak', 'disappointed', 'blame', 'move', 'heart', "]</v>
      </c>
      <c r="D608" s="3">
        <v>1.0</v>
      </c>
    </row>
    <row r="609" ht="15.75" customHeight="1">
      <c r="A609" s="1">
        <v>607.0</v>
      </c>
      <c r="B609" s="3" t="s">
        <v>610</v>
      </c>
      <c r="C609" s="3" t="str">
        <f>IFERROR(__xludf.DUMMYFUNCTION("GOOGLETRANSLATE(B609,""id"",""en"")"),"['Please', 'signal', 'in the area', 'fix', 'replace', 'card', 'lazy', 'slow', 'net', 'Telkomsel', 'already', 'buy', ' Package ',' expensive ',' expensive ',' lag ',' ']")</f>
        <v>['Please', 'signal', 'in the area', 'fix', 'replace', 'card', 'lazy', 'slow', 'net', 'Telkomsel', 'already', 'buy', ' Package ',' expensive ',' expensive ',' lag ',' ']</v>
      </c>
      <c r="D609" s="3">
        <v>1.0</v>
      </c>
    </row>
    <row r="610" ht="15.75" customHeight="1">
      <c r="A610" s="1">
        <v>608.0</v>
      </c>
      <c r="B610" s="3" t="s">
        <v>611</v>
      </c>
      <c r="C610" s="3" t="str">
        <f>IFERROR(__xludf.DUMMYFUNCTION("GOOGLETRANSLATE(B610,""id"",""en"")"),"['network', 'error', 'repairs',' maintence ',' you ',' process', 'purchase', 'package', 'internet', 'error', 'normal', 'you', ' the process', 'pulse', 'you', 'cut', 'package', 'package', 'internet', 'detrimental', 'impressed', 'profitable', 'you', 'cut', "&amp;"'pulses' , 'People', 'error', 'compapse', 'customers', 'You', 'Kimak', 'Bad', '']")</f>
        <v>['network', 'error', 'repairs',' maintence ',' you ',' process', 'purchase', 'package', 'internet', 'error', 'normal', 'you', ' the process', 'pulse', 'you', 'cut', 'package', 'package', 'internet', 'detrimental', 'impressed', 'profitable', 'you', 'cut', 'pulses' , 'People', 'error', 'compapse', 'customers', 'You', 'Kimak', 'Bad', '']</v>
      </c>
      <c r="D610" s="3">
        <v>1.0</v>
      </c>
    </row>
    <row r="611" ht="15.75" customHeight="1">
      <c r="A611" s="1">
        <v>609.0</v>
      </c>
      <c r="B611" s="3" t="s">
        <v>612</v>
      </c>
      <c r="C611" s="3" t="str">
        <f>IFERROR(__xludf.DUMMYFUNCTION("GOOGLETRANSLATE(B611,""id"",""en"")"),"['Disruption', 'system', 'told', 'Maketin', 'right', 'already', 'put together', 'times',' sumps', 'pulses',' detrimental ',' told ',' relatives', 'Change', 'SIM', 'Card', 'Rich', 'Gini']")</f>
        <v>['Disruption', 'system', 'told', 'Maketin', 'right', 'already', 'put together', 'times',' sumps', 'pulses',' detrimental ',' told ',' relatives', 'Change', 'SIM', 'Card', 'Rich', 'Gini']</v>
      </c>
      <c r="D611" s="3">
        <v>1.0</v>
      </c>
    </row>
    <row r="612" ht="15.75" customHeight="1">
      <c r="A612" s="1">
        <v>610.0</v>
      </c>
      <c r="B612" s="3" t="s">
        <v>613</v>
      </c>
      <c r="C612" s="3" t="str">
        <f>IFERROR(__xludf.DUMMYFUNCTION("GOOGLETRANSLATE(B612,""id"",""en"")"),"['Tember', 'Telkomsel', 'please', 'fix', 'signal', 'bad', 'signal', 'Telkomsel', 'cave', 'buy', 'quota', 'expensive', ' Please ',' Valued ',' Price ',' Sour ',' Wallet ',' Loss', 'Sousal', 'Abal', 'Abal']")</f>
        <v>['Tember', 'Telkomsel', 'please', 'fix', 'signal', 'bad', 'signal', 'Telkomsel', 'cave', 'buy', 'quota', 'expensive', ' Please ',' Valued ',' Price ',' Sour ',' Wallet ',' Loss', 'Sousal', 'Abal', 'Abal']</v>
      </c>
      <c r="D612" s="3">
        <v>1.0</v>
      </c>
    </row>
    <row r="613" ht="15.75" customHeight="1">
      <c r="A613" s="1">
        <v>611.0</v>
      </c>
      <c r="B613" s="3" t="s">
        <v>614</v>
      </c>
      <c r="C613" s="3" t="str">
        <f>IFERROR(__xludf.DUMMYFUNCTION("GOOGLETRANSLATE(B613,""id"",""en"")"),"['poor', 'application', 'purchase', 'package', 'data', 'eat', 'data', 'that's',' error ',' quota ',' already ',' entered ',' said ',' failed ',' as a result ',' pulse ',' drained ',' quota ',' already ',' entered ',' to use ',' connection ',' idiot ',' re"&amp;"ally ',' wkwkwk ' ]")</f>
        <v>['poor', 'application', 'purchase', 'package', 'data', 'eat', 'data', 'that's',' error ',' quota ',' already ',' entered ',' said ',' failed ',' as a result ',' pulse ',' drained ',' quota ',' already ',' entered ',' to use ',' connection ',' idiot ',' really ',' wkwkwk ' ]</v>
      </c>
      <c r="D613" s="3">
        <v>1.0</v>
      </c>
    </row>
    <row r="614" ht="15.75" customHeight="1">
      <c r="A614" s="1">
        <v>612.0</v>
      </c>
      <c r="B614" s="3" t="s">
        <v>615</v>
      </c>
      <c r="C614" s="3" t="str">
        <f>IFERROR(__xludf.DUMMYFUNCTION("GOOGLETRANSLATE(B614,""id"",""en"")"),"['Buru', 'Buru', 'Buy', 'Package', 'Sebel', 'Very', 'Error', 'Heat', 'Minutes',' Open ',' Application ',' Honest ',' disappointing ',' really ']")</f>
        <v>['Buru', 'Buru', 'Buy', 'Package', 'Sebel', 'Very', 'Error', 'Heat', 'Minutes',' Open ',' Application ',' Honest ',' disappointing ',' really ']</v>
      </c>
      <c r="D614" s="3">
        <v>1.0</v>
      </c>
    </row>
    <row r="615" ht="15.75" customHeight="1">
      <c r="A615" s="1">
        <v>613.0</v>
      </c>
      <c r="B615" s="3" t="s">
        <v>616</v>
      </c>
      <c r="C615" s="3" t="str">
        <f>IFERROR(__xludf.DUMMYFUNCTION("GOOGLETRANSLATE(B615,""id"",""en"")"),"['Slalu', 'Slalu', 'Stable', 'Please', 'Increase', 'Comfort', 'User', 'Telkomsel', 'Customize', 'Price', 'Paketan', 'Delangit', ' price ',' package ',' expensive ',' signal ',' chaotic ',' all ',' users', 'Telkomsel', 'moved', 'oprator', 'network', 'slow'"&amp;", 'according to' , 'price', 'package', 'cheap', 'take', 'profit', 'customore', 'convenience', 'height']")</f>
        <v>['Slalu', 'Slalu', 'Stable', 'Please', 'Increase', 'Comfort', 'User', 'Telkomsel', 'Customize', 'Price', 'Paketan', 'Delangit', ' price ',' package ',' expensive ',' signal ',' chaotic ',' all ',' users', 'Telkomsel', 'moved', 'oprator', 'network', 'slow', 'according to' , 'price', 'package', 'cheap', 'take', 'profit', 'customore', 'convenience', 'height']</v>
      </c>
      <c r="D615" s="3">
        <v>1.0</v>
      </c>
    </row>
    <row r="616" ht="15.75" customHeight="1">
      <c r="A616" s="1">
        <v>614.0</v>
      </c>
      <c r="B616" s="3" t="s">
        <v>617</v>
      </c>
      <c r="C616" s="3" t="str">
        <f>IFERROR(__xludf.DUMMYFUNCTION("GOOGLETRANSLATE(B616,""id"",""en"")"),"['Kenpa', 'signal', 'easy', 'ilang', 'ngekame', 'tasty', 'disturbed', 'looked', 'star', 'difficult', 'bodo', 'disorder', ' APK ',' please ',' said ',' written ',' user ',' ']")</f>
        <v>['Kenpa', 'signal', 'easy', 'ilang', 'ngekame', 'tasty', 'disturbed', 'looked', 'star', 'difficult', 'bodo', 'disorder', ' APK ',' please ',' said ',' written ',' user ',' ']</v>
      </c>
      <c r="D616" s="3">
        <v>1.0</v>
      </c>
    </row>
    <row r="617" ht="15.75" customHeight="1">
      <c r="A617" s="1">
        <v>615.0</v>
      </c>
      <c r="B617" s="3" t="s">
        <v>618</v>
      </c>
      <c r="C617" s="3" t="str">
        <f>IFERROR(__xludf.DUMMYFUNCTION("GOOGLETRANSLATE(B617,""id"",""en"")"),"['oath', 'regret', 'Karna', 'Select', 'Card', 'Telkomsel', 'card', 'favorite', 'price', 'quota', 'expensive', 'TPI', ' Startable ',' network ',' internet ',' nya ',' buy ',' quota ',' expensive ',' right ',' use ',' play ',' game ',' error ',' slammed ' ,"&amp;" 'Gara', 'network', 'please', 'lhaa', 'user', 'Telkomsel', 'Please', 'good', 'stable', 'price', 'quota', 'quota', ' expensive ',' network ',' bad ']")</f>
        <v>['oath', 'regret', 'Karna', 'Select', 'Card', 'Telkomsel', 'card', 'favorite', 'price', 'quota', 'expensive', 'TPI', ' Startable ',' network ',' internet ',' nya ',' buy ',' quota ',' expensive ',' right ',' use ',' play ',' game ',' error ',' slammed ' , 'Gara', 'network', 'please', 'lhaa', 'user', 'Telkomsel', 'Please', 'good', 'stable', 'price', 'quota', 'quota', ' expensive ',' network ',' bad ']</v>
      </c>
      <c r="D617" s="3">
        <v>1.0</v>
      </c>
    </row>
    <row r="618" ht="15.75" customHeight="1">
      <c r="A618" s="1">
        <v>616.0</v>
      </c>
      <c r="B618" s="3" t="s">
        <v>619</v>
      </c>
      <c r="C618" s="3" t="str">
        <f>IFERROR(__xludf.DUMMYFUNCTION("GOOGLETRANSLATE(B618,""id"",""en"")"),"['oath', 'disappointed', 'really', 'SMA', 'Telkomsel', 'already', 'times',' pulse ',' cave ',' cut ',' sudden ',' because ',' Data ',' cellular ',' lit ',' kayak ',' card ',' data ',' cellular ',' on ',' pulse ',' ttp ',' safe ',' package ',' turn on ' , "&amp;"'data', 'data', 'run out', 'lngsng', 'play', 'pull', 'pulse', 'count', 'plsa', 'already', 'rb', 'pull', ' So ',' contents', 'plsa', 'RB', 'Matiin', 'data', 'pull', 'run out', 'package', 'crafts',' pulse ',' cut ',' data ' , 'enter', 'check', 'plsa', 'left"&amp;"over', 'check', 'plsng', 'lngsng', 'pliers', 'disappointed', 'severe', ""]")</f>
        <v>['oath', 'disappointed', 'really', 'SMA', 'Telkomsel', 'already', 'times',' pulse ',' cave ',' cut ',' sudden ',' because ',' Data ',' cellular ',' lit ',' kayak ',' card ',' data ',' cellular ',' on ',' pulse ',' ttp ',' safe ',' package ',' turn on ' , 'data', 'data', 'run out', 'lngsng', 'play', 'pull', 'pulse', 'count', 'plsa', 'already', 'rb', 'pull', ' So ',' contents', 'plsa', 'RB', 'Matiin', 'data', 'pull', 'run out', 'package', 'crafts',' pulse ',' cut ',' data ' , 'enter', 'check', 'plsa', 'leftover', 'check', 'plsng', 'lngsng', 'pliers', 'disappointed', 'severe', "]</v>
      </c>
      <c r="D618" s="3">
        <v>1.0</v>
      </c>
    </row>
    <row r="619" ht="15.75" customHeight="1">
      <c r="A619" s="1">
        <v>617.0</v>
      </c>
      <c r="B619" s="3" t="s">
        <v>620</v>
      </c>
      <c r="C619" s="3" t="str">
        <f>IFERROR(__xludf.DUMMYFUNCTION("GOOGLETRANSLATE(B619,""id"",""en"")"),"['Dear', 'Telkomsel', 'Please', 'The network', 'Bekasi', 'Center', 'Indonesia', 'repaired', 'The network', 'buy', 'quota', 'expensive', ' Useful ',' Discard ',' Money ',' Mending ',' Move ',' Card ',' Use ',' Telkomsel ',' Expensive ',' Guarantee ',' Qual"&amp;"ity ', ""]")</f>
        <v>['Dear', 'Telkomsel', 'Please', 'The network', 'Bekasi', 'Center', 'Indonesia', 'repaired', 'The network', 'buy', 'quota', 'expensive', ' Useful ',' Discard ',' Money ',' Mending ',' Move ',' Card ',' Use ',' Telkomsel ',' Expensive ',' Guarantee ',' Quality ', "]</v>
      </c>
      <c r="D619" s="3">
        <v>1.0</v>
      </c>
    </row>
    <row r="620" ht="15.75" customHeight="1">
      <c r="A620" s="1">
        <v>618.0</v>
      </c>
      <c r="B620" s="3" t="s">
        <v>621</v>
      </c>
      <c r="C620" s="3" t="str">
        <f>IFERROR(__xludf.DUMMYFUNCTION("GOOGLETRANSLATE(B620,""id"",""en"")"),"['Network', 'severe', 'play', 'game', 'destroyed', 'melted', 'fed up', 'moved', 'provider', 'price', 'expensive', 'comparable', ' quality', '']")</f>
        <v>['Network', 'severe', 'play', 'game', 'destroyed', 'melted', 'fed up', 'moved', 'provider', 'price', 'expensive', 'comparable', ' quality', '']</v>
      </c>
      <c r="D620" s="3">
        <v>1.0</v>
      </c>
    </row>
    <row r="621" ht="15.75" customHeight="1">
      <c r="A621" s="1">
        <v>619.0</v>
      </c>
      <c r="B621" s="3" t="s">
        <v>622</v>
      </c>
      <c r="C621" s="3" t="str">
        <f>IFERROR(__xludf.DUMMYFUNCTION("GOOGLETRANSLATE(B621,""id"",""en"")"),"['garbage', 'replace', 'smooth', 'eehh', 'wirs',' prank ',' threat ',' disappointed ',' right ',' mending ',' neighbor ',' yauda ',' ',' Mogimna ',' lgi ',' thank you ',' Telkomsel ',' org ',' disappointed ',' keep ']")</f>
        <v>['garbage', 'replace', 'smooth', 'eehh', 'wirs',' prank ',' threat ',' disappointed ',' right ',' mending ',' neighbor ',' yauda ',' ',' Mogimna ',' lgi ',' thank you ',' Telkomsel ',' org ',' disappointed ',' keep ']</v>
      </c>
      <c r="D621" s="3">
        <v>1.0</v>
      </c>
    </row>
    <row r="622" ht="15.75" customHeight="1">
      <c r="A622" s="1">
        <v>620.0</v>
      </c>
      <c r="B622" s="3" t="s">
        <v>623</v>
      </c>
      <c r="C622" s="3" t="str">
        <f>IFERROR(__xludf.DUMMYFUNCTION("GOOGLETRANSLATE(B622,""id"",""en"")"),"['Buy', 'Water', 'Drop', 'Garena', 'Free', 'Fire', 'Credit', 'Already', 'Cut', 'Diamon', 'Enter', 'Connect', ' Operators', 'Salah', 'Playstore', 'Solution', 'ABG', 'KK', ""]")</f>
        <v>['Buy', 'Water', 'Drop', 'Garena', 'Free', 'Fire', 'Credit', 'Already', 'Cut', 'Diamon', 'Enter', 'Connect', ' Operators', 'Salah', 'Playstore', 'Solution', 'ABG', 'KK', "]</v>
      </c>
      <c r="D622" s="3">
        <v>1.0</v>
      </c>
    </row>
    <row r="623" ht="15.75" customHeight="1">
      <c r="A623" s="1">
        <v>621.0</v>
      </c>
      <c r="B623" s="3" t="s">
        <v>624</v>
      </c>
      <c r="C623" s="3" t="str">
        <f>IFERROR(__xludf.DUMMYFUNCTION("GOOGLETRANSLATE(B623,""id"",""en"")"),"['', 'Sorry', 'love', 'star', 'card', 'Telkomsel', 'check', 'the application', 'error', 'network', 'problem', 'replace', 'network ',' buy ',' package ',' use ',' pulse ',' please ',' repair ',' ']")</f>
        <v>['', 'Sorry', 'love', 'star', 'card', 'Telkomsel', 'check', 'the application', 'error', 'network', 'problem', 'replace', 'network ',' buy ',' package ',' use ',' pulse ',' please ',' repair ',' ']</v>
      </c>
      <c r="D623" s="3">
        <v>5.0</v>
      </c>
    </row>
    <row r="624" ht="15.75" customHeight="1">
      <c r="A624" s="1">
        <v>622.0</v>
      </c>
      <c r="B624" s="3" t="s">
        <v>625</v>
      </c>
      <c r="C624" s="3" t="str">
        <f>IFERROR(__xludf.DUMMYFUNCTION("GOOGLETRANSLATE(B624,""id"",""en"")"),"['', 'Diboongin', 'Ama', 'Telkomsel', 'Cook', 'Have', 'Download', 'Telkomsel', 'Get', 'Credit', 'Free', 'Rb', 'applies ',' free ',' date ',' January ',' SMS ',' sent ',' date ',' January ',' bangse ']")</f>
        <v>['', 'Diboongin', 'Ama', 'Telkomsel', 'Cook', 'Have', 'Download', 'Telkomsel', 'Get', 'Credit', 'Free', 'Rb', 'applies ',' free ',' date ',' January ',' SMS ',' sent ',' date ',' January ',' bangse ']</v>
      </c>
      <c r="D624" s="3">
        <v>1.0</v>
      </c>
    </row>
    <row r="625" ht="15.75" customHeight="1">
      <c r="A625" s="1">
        <v>623.0</v>
      </c>
      <c r="B625" s="3" t="s">
        <v>626</v>
      </c>
      <c r="C625" s="3" t="str">
        <f>IFERROR(__xludf.DUMMYFUNCTION("GOOGLETRANSLATE(B625,""id"",""en"")"),"['poor', 'application', 'version', 'newest', 'connective', 'link', 'in the future', 'uninstall', 'deh', 'ndak', '']")</f>
        <v>['poor', 'application', 'version', 'newest', 'connective', 'link', 'in the future', 'uninstall', 'deh', 'ndak', '']</v>
      </c>
      <c r="D625" s="3">
        <v>1.0</v>
      </c>
    </row>
    <row r="626" ht="15.75" customHeight="1">
      <c r="A626" s="1">
        <v>624.0</v>
      </c>
      <c r="B626" s="3" t="s">
        <v>627</v>
      </c>
      <c r="C626" s="3" t="str">
        <f>IFERROR(__xludf.DUMMYFUNCTION("GOOGLETRANSLATE(B626,""id"",""en"")"),"['quota', 'games',' TPI ',' right ',' play ',' slow ',' game ',' lag ',' as a result ',' lose ',' intention ',' love ',' Sklas', 'Play', 'Rich', 'GNI', 'Kasib', 'Uda', 'Love', 'Want', 'Cave', 'Maki', 'TPI', 'Ntar', 'Sensor' , 'agree', 'Review', 'cave', 'T"&amp;"PI', 'Maki', 'rotten']")</f>
        <v>['quota', 'games',' TPI ',' right ',' play ',' slow ',' game ',' lag ',' as a result ',' lose ',' intention ',' love ',' Sklas', 'Play', 'Rich', 'GNI', 'Kasib', 'Uda', 'Love', 'Want', 'Cave', 'Maki', 'TPI', 'Ntar', 'Sensor' , 'agree', 'Review', 'cave', 'TPI', 'Maki', 'rotten']</v>
      </c>
      <c r="D626" s="3">
        <v>1.0</v>
      </c>
    </row>
    <row r="627" ht="15.75" customHeight="1">
      <c r="A627" s="1">
        <v>625.0</v>
      </c>
      <c r="B627" s="3" t="s">
        <v>628</v>
      </c>
      <c r="C627" s="3" t="str">
        <f>IFERROR(__xludf.DUMMYFUNCTION("GOOGLETRANSLATE(B627,""id"",""en"")"),"['People', 'Application', 'Telkomsel', 'CMN', 'mode', 'Swal', 'Hadia', 'Hadia', 'promised', 'doubt', 'many years',' Telkomsel ',' Telkosel ',' Network ',' Good ',' Service ',' Good ',' Is', 'Debt', 'Credit', 'Telkomsel', 'Heart', ""]")</f>
        <v>['People', 'Application', 'Telkomsel', 'CMN', 'mode', 'Swal', 'Hadia', 'Hadia', 'promised', 'doubt', 'many years',' Telkomsel ',' Telkosel ',' Network ',' Good ',' Service ',' Good ',' Is', 'Debt', 'Credit', 'Telkomsel', 'Heart', "]</v>
      </c>
      <c r="D627" s="3">
        <v>5.0</v>
      </c>
    </row>
    <row r="628" ht="15.75" customHeight="1">
      <c r="A628" s="1">
        <v>626.0</v>
      </c>
      <c r="B628" s="3" t="s">
        <v>629</v>
      </c>
      <c r="C628" s="3" t="str">
        <f>IFERROR(__xludf.DUMMYFUNCTION("GOOGLETRANSLATE(B628,""id"",""en"")"),"['Disappointed', 'Telkomsel', 'already', 'Telkomsel', 'signal', 'slow', 'application', 'Telkomsel', 'error', 'already', 'update', ""]")</f>
        <v>['Disappointed', 'Telkomsel', 'already', 'Telkomsel', 'signal', 'slow', 'application', 'Telkomsel', 'error', 'already', 'update', "]</v>
      </c>
      <c r="D628" s="3">
        <v>5.0</v>
      </c>
    </row>
    <row r="629" ht="15.75" customHeight="1">
      <c r="A629" s="1">
        <v>627.0</v>
      </c>
      <c r="B629" s="3" t="s">
        <v>630</v>
      </c>
      <c r="C629" s="3" t="str">
        <f>IFERROR(__xludf.DUMMYFUNCTION("GOOGLETRANSLATE(B629,""id"",""en"")"),"['contents',' pulse ',' buy ',' quota ',' tlkmsl ',' thousand ',' GB ',' click ',' buy ',' transaction ',' succeed ',' quota ',' entry ',' pulse ',' zero ',' please ',' wait ',' enter ',' quota ',' pulse ',' finished ',' where ',' buy ',' voucher ',' disa"&amp;"ppointing ' , '']")</f>
        <v>['contents',' pulse ',' buy ',' quota ',' tlkmsl ',' thousand ',' GB ',' click ',' buy ',' transaction ',' succeed ',' quota ',' entry ',' pulse ',' zero ',' please ',' wait ',' enter ',' quota ',' pulse ',' finished ',' where ',' buy ',' voucher ',' disappointing ' , '']</v>
      </c>
      <c r="D629" s="3">
        <v>1.0</v>
      </c>
    </row>
    <row r="630" ht="15.75" customHeight="1">
      <c r="A630" s="1">
        <v>628.0</v>
      </c>
      <c r="B630" s="3" t="s">
        <v>631</v>
      </c>
      <c r="C630" s="3" t="str">
        <f>IFERROR(__xludf.DUMMYFUNCTION("GOOGLETRANSLATE(B630,""id"",""en"")"),"['buy', 'package', 'internet', 'OMG', 'Disney', 'Hotstar', 'told', 'subscribe', 'reset', 'App', 'Disney', 'Hotstar', ' Telkomsel ',' Disappointed ']")</f>
        <v>['buy', 'package', 'internet', 'OMG', 'Disney', 'Hotstar', 'told', 'subscribe', 'reset', 'App', 'Disney', 'Hotstar', ' Telkomsel ',' Disappointed ']</v>
      </c>
      <c r="D630" s="3">
        <v>2.0</v>
      </c>
    </row>
    <row r="631" ht="15.75" customHeight="1">
      <c r="A631" s="1">
        <v>629.0</v>
      </c>
      <c r="B631" s="3" t="s">
        <v>632</v>
      </c>
      <c r="C631" s="3" t="str">
        <f>IFERROR(__xludf.DUMMYFUNCTION("GOOGLETRANSLATE(B631,""id"",""en"")"),"['Telkomsel', 'active', 'provider', 'per month', 'Death', 'pdhal', 'cave', 'contents',' plsa ',' ru ',' dlu ',' filled ',' lngsung ',' scorched ',' already ',' that's', 'package', 'expensive', 'plus',' network ',' kek ',' taik ',' eek ']")</f>
        <v>['Telkomsel', 'active', 'provider', 'per month', 'Death', 'pdhal', 'cave', 'contents',' plsa ',' ru ',' dlu ',' filled ',' lngsung ',' scorched ',' already ',' that's', 'package', 'expensive', 'plus',' network ',' kek ',' taik ',' eek ']</v>
      </c>
      <c r="D631" s="3">
        <v>1.0</v>
      </c>
    </row>
    <row r="632" ht="15.75" customHeight="1">
      <c r="A632" s="1">
        <v>630.0</v>
      </c>
      <c r="B632" s="3" t="s">
        <v>633</v>
      </c>
      <c r="C632" s="3" t="str">
        <f>IFERROR(__xludf.DUMMYFUNCTION("GOOGLETRANSLATE(B632,""id"",""en"")"),"['Disappointed', 'Quality', 'Signal', 'Telkomsel', 'Decreases',' Yesterday ',' Telkomsel ',' Suitable ',' Play ',' Game ',' Online ',' The network is', 'Hopefully', 'Telkomsel', 'fix', 'quality', 'network', '']")</f>
        <v>['Disappointed', 'Quality', 'Signal', 'Telkomsel', 'Decreases',' Yesterday ',' Telkomsel ',' Suitable ',' Play ',' Game ',' Online ',' The network is', 'Hopefully', 'Telkomsel', 'fix', 'quality', 'network', '']</v>
      </c>
      <c r="D632" s="3">
        <v>2.0</v>
      </c>
    </row>
    <row r="633" ht="15.75" customHeight="1">
      <c r="A633" s="1">
        <v>631.0</v>
      </c>
      <c r="B633" s="3" t="s">
        <v>634</v>
      </c>
      <c r="C633" s="3" t="str">
        <f>IFERROR(__xludf.DUMMYFUNCTION("GOOGLETRANSLATE(B633,""id"",""en"")"),"['Related problems',' related ',' refund ',' shopeepay ',' failure ',' purchase ',' package ',' combo ',' sakti ',' finished ',' thank ',' love ',' Telkomsel ',' Suggestions', 'Hope', 'Communication', 'Vendor', 'Cashless',' Enhanced ',' Return ',' Genesis"&amp;"', ""]")</f>
        <v>['Related problems',' related ',' refund ',' shopeepay ',' failure ',' purchase ',' package ',' combo ',' sakti ',' finished ',' thank ',' love ',' Telkomsel ',' Suggestions', 'Hope', 'Communication', 'Vendor', 'Cashless',' Enhanced ',' Return ',' Genesis', "]</v>
      </c>
      <c r="D633" s="3">
        <v>4.0</v>
      </c>
    </row>
    <row r="634" ht="15.75" customHeight="1">
      <c r="A634" s="1">
        <v>632.0</v>
      </c>
      <c r="B634" s="3" t="s">
        <v>635</v>
      </c>
      <c r="C634" s="3" t="str">
        <f>IFERROR(__xludf.DUMMYFUNCTION("GOOGLETRANSLATE(B634,""id"",""en"")"),"['network', 'stable', 'told', 'turn on', 'mode', 'plane', 'healthy', 'pay', 'salary', 'solution', 'fix', 'add', ' Troubled ',' Customer ',' ']")</f>
        <v>['network', 'stable', 'told', 'turn on', 'mode', 'plane', 'healthy', 'pay', 'salary', 'solution', 'fix', 'add', ' Troubled ',' Customer ',' ']</v>
      </c>
      <c r="D634" s="3">
        <v>1.0</v>
      </c>
    </row>
    <row r="635" ht="15.75" customHeight="1">
      <c r="A635" s="1">
        <v>633.0</v>
      </c>
      <c r="B635" s="3" t="s">
        <v>636</v>
      </c>
      <c r="C635" s="3" t="str">
        <f>IFERROR(__xludf.DUMMYFUNCTION("GOOGLETRANSLATE(B635,""id"",""en"")"),"['Information', 'Promos',' Didalem ',' Like ',' Nipu ',' Promo ',' Special ',' Turn ',' UDH ',' Fill ',' Credit ',' Ehh ',' Paketan ',' quota ',' buy ',' forced ',' buy ',' package ',' expensive ',' because ',' Udh ',' already ',' buy ',' pulses', 'severe"&amp;"' , 'Severe', 'Udh', 'times', 'diginin', 'get', 'ite']")</f>
        <v>['Information', 'Promos',' Didalem ',' Like ',' Nipu ',' Promo ',' Special ',' Turn ',' UDH ',' Fill ',' Credit ',' Ehh ',' Paketan ',' quota ',' buy ',' forced ',' buy ',' package ',' expensive ',' because ',' Udh ',' already ',' buy ',' pulses', 'severe' , 'Severe', 'Udh', 'times', 'diginin', 'get', 'ite']</v>
      </c>
      <c r="D635" s="3">
        <v>2.0</v>
      </c>
    </row>
    <row r="636" ht="15.75" customHeight="1">
      <c r="A636" s="1">
        <v>634.0</v>
      </c>
      <c r="B636" s="3" t="s">
        <v>637</v>
      </c>
      <c r="C636" s="3" t="str">
        <f>IFERROR(__xludf.DUMMYFUNCTION("GOOGLETRANSLATE(B636,""id"",""en"")"),"['ugly', 'sorry', 'my APK', 'Shipping', 'heavy', 'open', 'loading', 'crash', 'quotes',' sucked ',' lose ',' app ',' Axis', 'light', 'eat', 'quota', 'already', 'expensive', 'quality', 'enhanced', 'sorry', '']")</f>
        <v>['ugly', 'sorry', 'my APK', 'Shipping', 'heavy', 'open', 'loading', 'crash', 'quotes',' sucked ',' lose ',' app ',' Axis', 'light', 'eat', 'quota', 'already', 'expensive', 'quality', 'enhanced', 'sorry', '']</v>
      </c>
      <c r="D636" s="3">
        <v>1.0</v>
      </c>
    </row>
    <row r="637" ht="15.75" customHeight="1">
      <c r="A637" s="1">
        <v>635.0</v>
      </c>
      <c r="B637" s="3" t="s">
        <v>638</v>
      </c>
      <c r="C637" s="3" t="str">
        <f>IFERROR(__xludf.DUMMYFUNCTION("GOOGLETRANSLATE(B637,""id"",""en"")"),"['buy', 'package', 'payment', 'shopeepay', 'balance', 'sudh', 'truncated', 'please', 'enhanced', 'again', 'return', 'balance', ' the package ',' entered ',' thank you ']")</f>
        <v>['buy', 'package', 'payment', 'shopeepay', 'balance', 'sudh', 'truncated', 'please', 'enhanced', 'again', 'return', 'balance', ' the package ',' entered ',' thank you ']</v>
      </c>
      <c r="D637" s="3">
        <v>1.0</v>
      </c>
    </row>
    <row r="638" ht="15.75" customHeight="1">
      <c r="A638" s="1">
        <v>636.0</v>
      </c>
      <c r="B638" s="3" t="s">
        <v>639</v>
      </c>
      <c r="C638" s="3" t="str">
        <f>IFERROR(__xludf.DUMMYFUNCTION("GOOGLETRANSLATE(B638,""id"",""en"")"),"['Suppose', 'replace', 'lazy', 'Laah', 'Telkomsel', 'kdua', 'times',' experience ',' buy ',' quota ',' internet ',' enter ',' OG ',' check ',' recording ',' date ',' Jan ',' ']")</f>
        <v>['Suppose', 'replace', 'lazy', 'Laah', 'Telkomsel', 'kdua', 'times',' experience ',' buy ',' quota ',' internet ',' enter ',' OG ',' check ',' recording ',' date ',' Jan ',' ']</v>
      </c>
      <c r="D638" s="3">
        <v>1.0</v>
      </c>
    </row>
    <row r="639" ht="15.75" customHeight="1">
      <c r="A639" s="1">
        <v>637.0</v>
      </c>
      <c r="B639" s="3" t="s">
        <v>640</v>
      </c>
      <c r="C639" s="3" t="str">
        <f>IFERROR(__xludf.DUMMYFUNCTION("GOOGLETRANSLATE(B639,""id"",""en"")"),"['network', 'internet', 'weak', 'please', 'repaired', 'enhanced', 'speed', 'internet', 'buy', 'package', 'quota', 'price', ' hope ',' access', 'speed', 'internet', 'satisfying', 'stable', 'lose', 'card', 'price', 'affordable', 'user', 'hope', 'Telkomsel' "&amp;", 'improve', 'connection', 'speed', 'internet', 'please', 'noticed', 'customer', 'switch', 'provider', 'thank', 'love']")</f>
        <v>['network', 'internet', 'weak', 'please', 'repaired', 'enhanced', 'speed', 'internet', 'buy', 'package', 'quota', 'price', ' hope ',' access', 'speed', 'internet', 'satisfying', 'stable', 'lose', 'card', 'price', 'affordable', 'user', 'hope', 'Telkomsel' , 'improve', 'connection', 'speed', 'internet', 'please', 'noticed', 'customer', 'switch', 'provider', 'thank', 'love']</v>
      </c>
      <c r="D639" s="3">
        <v>1.0</v>
      </c>
    </row>
    <row r="640" ht="15.75" customHeight="1">
      <c r="A640" s="1">
        <v>638.0</v>
      </c>
      <c r="B640" s="3" t="s">
        <v>641</v>
      </c>
      <c r="C640" s="3" t="str">
        <f>IFERROR(__xludf.DUMMYFUNCTION("GOOGLETRANSLATE(B640,""id"",""en"")"),"['Try', 'Application', 'Telkomcell', 'Forward', 'Look', 'Precise', 'Fix', 'complaints',' user ',' sit ',' sweet ',' office ',' ']")</f>
        <v>['Try', 'Application', 'Telkomcell', 'Forward', 'Look', 'Precise', 'Fix', 'complaints',' user ',' sit ',' sweet ',' office ',' ']</v>
      </c>
      <c r="D640" s="3">
        <v>1.0</v>
      </c>
    </row>
    <row r="641" ht="15.75" customHeight="1">
      <c r="A641" s="1">
        <v>639.0</v>
      </c>
      <c r="B641" s="3" t="s">
        <v>642</v>
      </c>
      <c r="C641" s="3" t="str">
        <f>IFERROR(__xludf.DUMMYFUNCTION("GOOGLETRANSLATE(B641,""id"",""en"")"),"['oath', 'disappointed', 'BGT', 'SMA', 'Telkomm', 'Gamers',' signal ',' dlu ',' TPI ',' signal ',' Bkin ',' emotion ',' Trossss', 'already', 'package', 'data', 'expensive', 'error', 'error', 'already', 'change', 'other', 'good', 'drpd', 'already' , 'respo"&amp;"nse', '']")</f>
        <v>['oath', 'disappointed', 'BGT', 'SMA', 'Telkomm', 'Gamers',' signal ',' dlu ',' TPI ',' signal ',' Bkin ',' emotion ',' Trossss', 'already', 'package', 'data', 'expensive', 'error', 'error', 'already', 'change', 'other', 'good', 'drpd', 'already' , 'response', '']</v>
      </c>
      <c r="D641" s="3">
        <v>1.0</v>
      </c>
    </row>
    <row r="642" ht="15.75" customHeight="1">
      <c r="A642" s="1">
        <v>640.0</v>
      </c>
      <c r="B642" s="3" t="s">
        <v>643</v>
      </c>
      <c r="C642" s="3" t="str">
        <f>IFERROR(__xludf.DUMMYFUNCTION("GOOGLETRANSLATE(B642,""id"",""en"")"),"['Login', 'Telkomsel', 'told', 'Try', 'opportunity', 'Seaudah', 'updated', 'difficult', 'entry', ""]")</f>
        <v>['Login', 'Telkomsel', 'told', 'Try', 'opportunity', 'Seaudah', 'updated', 'difficult', 'entry', "]</v>
      </c>
      <c r="D642" s="3">
        <v>1.0</v>
      </c>
    </row>
    <row r="643" ht="15.75" customHeight="1">
      <c r="A643" s="1">
        <v>641.0</v>
      </c>
      <c r="B643" s="3" t="s">
        <v>644</v>
      </c>
      <c r="C643" s="3" t="str">
        <f>IFERROR(__xludf.DUMMYFUNCTION("GOOGLETRANSLATE(B643,""id"",""en"")"),"['bad', 'quality', 'network', 'destroyed', 'Telkomsel', 'SKR', 'Maah', 'network', 'missing', 'win', 'expensive', 'Doank', ' Quality ',' bad ',' bad ']")</f>
        <v>['bad', 'quality', 'network', 'destroyed', 'Telkomsel', 'SKR', 'Maah', 'network', 'missing', 'win', 'expensive', 'Doank', ' Quality ',' bad ',' bad ']</v>
      </c>
      <c r="D643" s="3">
        <v>1.0</v>
      </c>
    </row>
    <row r="644" ht="15.75" customHeight="1">
      <c r="A644" s="1">
        <v>642.0</v>
      </c>
      <c r="B644" s="3" t="s">
        <v>645</v>
      </c>
      <c r="C644" s="3" t="str">
        <f>IFERROR(__xludf.DUMMYFUNCTION("GOOGLETRANSLATE(B644,""id"",""en"")"),"['Signal', 'Telkomsel', 'Merak', 'Region', 'Cilograng', 'Banten', 'Signal', 'Full', 'Gede', 'Connection', 'Lemot', 'Use', ' Play ',' Game ',' Please ',' Fix ']")</f>
        <v>['Signal', 'Telkomsel', 'Merak', 'Region', 'Cilograng', 'Banten', 'Signal', 'Full', 'Gede', 'Connection', 'Lemot', 'Use', ' Play ',' Game ',' Please ',' Fix ']</v>
      </c>
      <c r="D644" s="3">
        <v>1.0</v>
      </c>
    </row>
    <row r="645" ht="15.75" customHeight="1">
      <c r="A645" s="1">
        <v>643.0</v>
      </c>
      <c r="B645" s="3" t="s">
        <v>646</v>
      </c>
      <c r="C645" s="3" t="str">
        <f>IFERROR(__xludf.DUMMYFUNCTION("GOOGLETRANSLATE(B645,""id"",""en"")"),"['wasteful', 'operator', 'Telkomsel', 'Kouta', 'GB', 'WhatsApp', 'Shopping', 'Online', 'Tokopedia', 'Shope', 'Ludress',' Cuy ',' aje ',' gile ',' operator ',' then ',' kouta ',' unlimited ',' promised ',' slow ',' kayak ',' tauuuu ',' mending ',' blur ','"&amp;" operator ' , 'laaaaahhhhhh', '']")</f>
        <v>['wasteful', 'operator', 'Telkomsel', 'Kouta', 'GB', 'WhatsApp', 'Shopping', 'Online', 'Tokopedia', 'Shope', 'Ludress',' Cuy ',' aje ',' gile ',' operator ',' then ',' kouta ',' unlimited ',' promised ',' slow ',' kayak ',' tauuuu ',' mending ',' blur ',' operator ' , 'laaaaahhhhhh', '']</v>
      </c>
      <c r="D645" s="3">
        <v>1.0</v>
      </c>
    </row>
    <row r="646" ht="15.75" customHeight="1">
      <c r="A646" s="1">
        <v>644.0</v>
      </c>
      <c r="B646" s="3" t="s">
        <v>647</v>
      </c>
      <c r="C646" s="3" t="str">
        <f>IFERROR(__xludf.DUMMYFUNCTION("GOOGLETRANSLATE(B646,""id"",""en"")"),"['Dear', 'BPK', 'DVPLR', 'Telkomsel', 'customers',' loyal ',' Telkomsel ',' Network ',' bad ',' please ',' fix ',' all ',' thank you', '']")</f>
        <v>['Dear', 'BPK', 'DVPLR', 'Telkomsel', 'customers',' loyal ',' Telkomsel ',' Network ',' bad ',' please ',' fix ',' all ',' thank you', '']</v>
      </c>
      <c r="D646" s="3">
        <v>1.0</v>
      </c>
    </row>
    <row r="647" ht="15.75" customHeight="1">
      <c r="A647" s="1">
        <v>645.0</v>
      </c>
      <c r="B647" s="3" t="s">
        <v>648</v>
      </c>
      <c r="C647" s="3" t="str">
        <f>IFERROR(__xludf.DUMMYFUNCTION("GOOGLETRANSLATE(B647,""id"",""en"")"),"['already', 'STEHUN', 'Network', 'JLAS', 'Kcewa', 'already', 'subscription', 'Taon', 'dead', 'lights',' directly ',' Lnya ',' network ',' ngelek ',' hri ',' please ',' repaired ',' enthusiasts', 'already', 'beloved', 'switch', 'laen', ""]")</f>
        <v>['already', 'STEHUN', 'Network', 'JLAS', 'Kcewa', 'already', 'subscription', 'Taon', 'dead', 'lights',' directly ',' Lnya ',' network ',' ngelek ',' hri ',' please ',' repaired ',' enthusiasts', 'already', 'beloved', 'switch', 'laen', "]</v>
      </c>
      <c r="D647" s="3">
        <v>1.0</v>
      </c>
    </row>
    <row r="648" ht="15.75" customHeight="1">
      <c r="A648" s="1">
        <v>646.0</v>
      </c>
      <c r="B648" s="3" t="s">
        <v>649</v>
      </c>
      <c r="C648" s="3" t="str">
        <f>IFERROR(__xludf.DUMMYFUNCTION("GOOGLETRANSLATE(B648,""id"",""en"")"),"['Package', 'gamemax', 'Telkomsel', 'quota', 'game', 'used', 'yearn', 'yesterday', 'smooth', 'please', 'Telkomsel', ""]")</f>
        <v>['Package', 'gamemax', 'Telkomsel', 'quota', 'game', 'used', 'yearn', 'yesterday', 'smooth', 'please', 'Telkomsel', "]</v>
      </c>
      <c r="D648" s="3">
        <v>1.0</v>
      </c>
    </row>
    <row r="649" ht="15.75" customHeight="1">
      <c r="A649" s="1">
        <v>647.0</v>
      </c>
      <c r="B649" s="3" t="s">
        <v>650</v>
      </c>
      <c r="C649" s="3" t="str">
        <f>IFERROR(__xludf.DUMMYFUNCTION("GOOGLETRANSLATE(B649,""id"",""en"")"),"['Telkomsel', 'difficult', 'accessed', 'application', 'May', 'Telkomsel', 'provider', 'slow', 'internet', 'difficult', 'work', 'access',' Internet ',' constrained ',' ']")</f>
        <v>['Telkomsel', 'difficult', 'accessed', 'application', 'May', 'Telkomsel', 'provider', 'slow', 'internet', 'difficult', 'work', 'access',' Internet ',' constrained ',' ']</v>
      </c>
      <c r="D649" s="3">
        <v>1.0</v>
      </c>
    </row>
    <row r="650" ht="15.75" customHeight="1">
      <c r="A650" s="1">
        <v>648.0</v>
      </c>
      <c r="B650" s="3" t="s">
        <v>651</v>
      </c>
      <c r="C650" s="3" t="str">
        <f>IFERROR(__xludf.DUMMYFUNCTION("GOOGLETRANSLATE(B650,""id"",""en"")"),"['Telkomsel', 'chaotic', 'signal', 'slow', 'signal', 'quota', 'slow', 'connects',' please ',' noticed ',' sorry ',' love ',' star', '']")</f>
        <v>['Telkomsel', 'chaotic', 'signal', 'slow', 'signal', 'quota', 'slow', 'connects',' please ',' noticed ',' sorry ',' love ',' star', '']</v>
      </c>
      <c r="D650" s="3">
        <v>1.0</v>
      </c>
    </row>
    <row r="651" ht="15.75" customHeight="1">
      <c r="A651" s="1">
        <v>649.0</v>
      </c>
      <c r="B651" s="3" t="s">
        <v>652</v>
      </c>
      <c r="C651" s="3" t="str">
        <f>IFERROR(__xludf.DUMMYFUNCTION("GOOGLETRANSLATE(B651,""id"",""en"")"),"['Network', 'Telkomsel', 'Weak', 'Stay', 'City', 'Network', 'I', 'Saranin', 'Gausah', 'Wear', 'Telkomsel', 'Regret', ' experience it ',' telecommunications', 'cheat']")</f>
        <v>['Network', 'Telkomsel', 'Weak', 'Stay', 'City', 'Network', 'I', 'Saranin', 'Gausah', 'Wear', 'Telkomsel', 'Regret', ' experience it ',' telecommunications', 'cheat']</v>
      </c>
      <c r="D651" s="3">
        <v>1.0</v>
      </c>
    </row>
    <row r="652" ht="15.75" customHeight="1">
      <c r="A652" s="1">
        <v>650.0</v>
      </c>
      <c r="B652" s="3" t="s">
        <v>653</v>
      </c>
      <c r="C652" s="3" t="str">
        <f>IFERROR(__xludf.DUMMYFUNCTION("GOOGLETRANSLATE(B652,""id"",""en"")"),"['signal', 'internet', 'bad', 'obstacles',' child ',' following ',' school ',' online ',' beg ',' help ',' area ',' minimal ',' Signal ',' ']")</f>
        <v>['signal', 'internet', 'bad', 'obstacles',' child ',' following ',' school ',' online ',' beg ',' help ',' area ',' minimal ',' Signal ',' ']</v>
      </c>
      <c r="D652" s="3">
        <v>1.0</v>
      </c>
    </row>
    <row r="653" ht="15.75" customHeight="1">
      <c r="A653" s="1">
        <v>651.0</v>
      </c>
      <c r="B653" s="3" t="s">
        <v>654</v>
      </c>
      <c r="C653" s="3" t="str">
        <f>IFERROR(__xludf.DUMMYFUNCTION("GOOGLETRANSLATE(B653,""id"",""en"")"),"['Please', 'repaired', 'buy', 'package', 'lap', 'main', 'transaction', 'succeed', 'quota', 'please', 'responded', 'fix', ' raise ',' star ']")</f>
        <v>['Please', 'repaired', 'buy', 'package', 'lap', 'main', 'transaction', 'succeed', 'quota', 'please', 'responded', 'fix', ' raise ',' star ']</v>
      </c>
      <c r="D653" s="3">
        <v>3.0</v>
      </c>
    </row>
    <row r="654" ht="15.75" customHeight="1">
      <c r="A654" s="1">
        <v>652.0</v>
      </c>
      <c r="B654" s="3" t="s">
        <v>655</v>
      </c>
      <c r="C654" s="3" t="str">
        <f>IFERROR(__xludf.DUMMYFUNCTION("GOOGLETRANSLATE(B654,""id"",""en"")"),"['love', 'star', 'ajah', 'buy', 'package', 'cheerful', 'check', 'network', 'then', 'replay', 'sms',' buy ',' Palket ',' BLG ',' request ',' process', 'UDH']")</f>
        <v>['love', 'star', 'ajah', 'buy', 'package', 'cheerful', 'check', 'network', 'then', 'replay', 'sms',' buy ',' Palket ',' BLG ',' request ',' process', 'UDH']</v>
      </c>
      <c r="D654" s="3">
        <v>1.0</v>
      </c>
    </row>
    <row r="655" ht="15.75" customHeight="1">
      <c r="A655" s="1">
        <v>653.0</v>
      </c>
      <c r="B655" s="3" t="s">
        <v>656</v>
      </c>
      <c r="C655" s="3" t="str">
        <f>IFERROR(__xludf.DUMMYFUNCTION("GOOGLETRANSLATE(B655,""id"",""en"")"),"['Over', 'Customers',' complain ',' TTP ',' repairs', 'ATW', 'Change', 'Wlwpun', 'Disruption', 'Error', 'then', 'buy', ' package ',' application ',' buy ',' package ',' PKE ',' code ',' dial ',' sold ',' TPI ',' bought ',' display ',' please ' , 'response"&amp;"', '']")</f>
        <v>['Over', 'Customers',' complain ',' TTP ',' repairs', 'ATW', 'Change', 'Wlwpun', 'Disruption', 'Error', 'then', 'buy', ' package ',' application ',' buy ',' package ',' PKE ',' code ',' dial ',' sold ',' TPI ',' bought ',' display ',' please ' , 'response', '']</v>
      </c>
      <c r="D655" s="3">
        <v>1.0</v>
      </c>
    </row>
    <row r="656" ht="15.75" customHeight="1">
      <c r="A656" s="1">
        <v>654.0</v>
      </c>
      <c r="B656" s="3" t="s">
        <v>657</v>
      </c>
      <c r="C656" s="3" t="str">
        <f>IFERROR(__xludf.DUMMYFUNCTION("GOOGLETRANSLATE(B656,""id"",""en"")"),"['Ouch', 'Telkomsel', 'already', 'Region', 'Serang', 'Banten', 'Network', 'internet', 'slow', 'really', 'canal', 'already', ' Towards', 'Afternoon', 'night', 'Severe', 'slow', 'please', 'overcome', ""]")</f>
        <v>['Ouch', 'Telkomsel', 'already', 'Region', 'Serang', 'Banten', 'Network', 'internet', 'slow', 'really', 'canal', 'already', ' Towards', 'Afternoon', 'night', 'Severe', 'slow', 'please', 'overcome', "]</v>
      </c>
      <c r="D656" s="3">
        <v>1.0</v>
      </c>
    </row>
    <row r="657" ht="15.75" customHeight="1">
      <c r="A657" s="1">
        <v>655.0</v>
      </c>
      <c r="B657" s="3" t="s">
        <v>658</v>
      </c>
      <c r="C657" s="3" t="str">
        <f>IFERROR(__xludf.DUMMYFUNCTION("GOOGLETRANSLATE(B657,""id"",""en"")"),"['Disappointed', 'Application', 'MyTelkomsel', 'promo', 'strange', 'strange', 'smsdari', 'Telkomsel', 'promo', 'package', 'quota', 'cheap', ' LIAT ',' Application ',' MyTelkomsel ',' promo ',' make ',' disappointed ']")</f>
        <v>['Disappointed', 'Application', 'MyTelkomsel', 'promo', 'strange', 'strange', 'smsdari', 'Telkomsel', 'promo', 'package', 'quota', 'cheap', ' LIAT ',' Application ',' MyTelkomsel ',' promo ',' make ',' disappointed ']</v>
      </c>
      <c r="D657" s="3">
        <v>1.0</v>
      </c>
    </row>
    <row r="658" ht="15.75" customHeight="1">
      <c r="A658" s="1">
        <v>656.0</v>
      </c>
      <c r="B658" s="3" t="s">
        <v>659</v>
      </c>
      <c r="C658" s="3" t="str">
        <f>IFERROR(__xludf.DUMMYFUNCTION("GOOGLETRANSLATE(B658,""id"",""en"")"),"['Points',' Reduced ',' Telkomsel ',' BGTU ',' I pases', 'Application', 'exchanges',' Points', 'Slalu', 'Reduced', 'strange', 'Dri', ' multiples', 'contents',' reset ',' pulse ',' point ',' increases', ""]")</f>
        <v>['Points',' Reduced ',' Telkomsel ',' BGTU ',' I pases', 'Application', 'exchanges',' Points', 'Slalu', 'Reduced', 'strange', 'Dri', ' multiples', 'contents',' reset ',' pulse ',' point ',' increases', "]</v>
      </c>
      <c r="D658" s="3">
        <v>1.0</v>
      </c>
    </row>
    <row r="659" ht="15.75" customHeight="1">
      <c r="A659" s="1">
        <v>657.0</v>
      </c>
      <c r="B659" s="3" t="s">
        <v>660</v>
      </c>
      <c r="C659" s="3" t="str">
        <f>IFERROR(__xludf.DUMMYFUNCTION("GOOGLETRANSLATE(B659,""id"",""en"")"),"['Card', 'Telkomsel', 'Story', 'Sya', 'Activein', 'Credit', 'Emergency', 'Alhmdulillah', 'SPRTI', 'Package', 'Emergency', 'Rp', ' MB ',' Min ',' Tsel ',' SMS ',' Tsel ',' On ',' Valid ',' WIB ',' Credit ',' Cut ',' Rp ',' Contents', 'Credit' , 'After', 'c"&amp;"heck', 'pulse', 'kagak', 'enter', 'pulse', 'contents', 'pulse', 'cut', ""]")</f>
        <v>['Card', 'Telkomsel', 'Story', 'Sya', 'Activein', 'Credit', 'Emergency', 'Alhmdulillah', 'SPRTI', 'Package', 'Emergency', 'Rp', ' MB ',' Min ',' Tsel ',' SMS ',' Tsel ',' On ',' Valid ',' WIB ',' Credit ',' Cut ',' Rp ',' Contents', 'Credit' , 'After', 'check', 'pulse', 'kagak', 'enter', 'pulse', 'contents', 'pulse', 'cut', "]</v>
      </c>
      <c r="D659" s="3">
        <v>1.0</v>
      </c>
    </row>
    <row r="660" ht="15.75" customHeight="1">
      <c r="A660" s="1">
        <v>658.0</v>
      </c>
      <c r="B660" s="3" t="s">
        <v>661</v>
      </c>
      <c r="C660" s="3" t="str">
        <f>IFERROR(__xludf.DUMMYFUNCTION("GOOGLETRANSLATE(B660,""id"",""en"")"),"['', 'Bener', 'oath', 'application', 'buy', 'pulse', 'rb', 'right', 'sms',' use ',' write ',' right ',' use ',' Malh ',' told ',' contents', 'UDH', 'ISI', 'RB', 'buy', 'pulses',' use ',' buy ',' data ',' right ', 'buy', 'quota', 'lap', 'main', 'bug', 'rig"&amp;"ht', 'data', 'lap', 'abis',' pulse ',' abis', 'left', 'pulsa ',' ']")</f>
        <v>['', 'Bener', 'oath', 'application', 'buy', 'pulse', 'rb', 'right', 'sms',' use ',' write ',' right ',' use ',' Malh ',' told ',' contents', 'UDH', 'ISI', 'RB', 'buy', 'pulses',' use ',' buy ',' data ',' right ', 'buy', 'quota', 'lap', 'main', 'bug', 'right', 'data', 'lap', 'abis',' pulse ',' abis', 'left', 'pulsa ',' ']</v>
      </c>
      <c r="D660" s="3">
        <v>1.0</v>
      </c>
    </row>
    <row r="661" ht="15.75" customHeight="1">
      <c r="A661" s="1">
        <v>659.0</v>
      </c>
      <c r="B661" s="3" t="s">
        <v>662</v>
      </c>
      <c r="C661" s="3" t="str">
        <f>IFERROR(__xludf.DUMMYFUNCTION("GOOGLETRANSLATE(B661,""id"",""en"")"),"['Severe', 'Credit', 'Reduced', 'Stress',' Open ',' App ',' FAILURE ',' Use ',' WiFi ',' Failed ',' Update ',' Must ',' How ',' Unstable ',' Unstable ',' Connection ',' Signal ',' Full ',' WiFi ',' Kenceng ',' Download ',' App ',' Light ',' Ribet ']")</f>
        <v>['Severe', 'Credit', 'Reduced', 'Stress',' Open ',' App ',' FAILURE ',' Use ',' WiFi ',' Failed ',' Update ',' Must ',' How ',' Unstable ',' Unstable ',' Connection ',' Signal ',' Full ',' WiFi ',' Kenceng ',' Download ',' App ',' Light ',' Ribet ']</v>
      </c>
      <c r="D661" s="3">
        <v>1.0</v>
      </c>
    </row>
    <row r="662" ht="15.75" customHeight="1">
      <c r="A662" s="1">
        <v>660.0</v>
      </c>
      <c r="B662" s="3" t="s">
        <v>663</v>
      </c>
      <c r="C662" s="3" t="str">
        <f>IFERROR(__xludf.DUMMYFUNCTION("GOOGLETRANSLATE(B662,""id"",""en"")"),"['satisfying', 'signal', 'price', 'expensive', 'speed', 'network', 'threat', 'severe', 'customer', 'disappointed', 'star', ""]")</f>
        <v>['satisfying', 'signal', 'price', 'expensive', 'speed', 'network', 'threat', 'severe', 'customer', 'disappointed', 'star', "]</v>
      </c>
      <c r="D662" s="3">
        <v>1.0</v>
      </c>
    </row>
    <row r="663" ht="15.75" customHeight="1">
      <c r="A663" s="1">
        <v>661.0</v>
      </c>
      <c r="B663" s="3" t="s">
        <v>664</v>
      </c>
      <c r="C663" s="3" t="str">
        <f>IFERROR(__xludf.DUMMYFUNCTION("GOOGLETRANSLATE(B663,""id"",""en"")"),"['please', 'difficult', 'signal', 'all-round', 'digital', 'signal', 'difficult', 'performance', 'Telkomsel', 'closed', 'ears',' replace ',' PoroFaider ']")</f>
        <v>['please', 'difficult', 'signal', 'all-round', 'digital', 'signal', 'difficult', 'performance', 'Telkomsel', 'closed', 'ears',' replace ',' PoroFaider ']</v>
      </c>
      <c r="D663" s="3">
        <v>1.0</v>
      </c>
    </row>
    <row r="664" ht="15.75" customHeight="1">
      <c r="A664" s="1">
        <v>662.0</v>
      </c>
      <c r="B664" s="3" t="s">
        <v>665</v>
      </c>
      <c r="C664" s="3" t="str">
        <f>IFERROR(__xludf.DUMMYFUNCTION("GOOGLETRANSLATE(B664,""id"",""en"")"),"['crazy', 'network', 'signal', 'quota', 'telkomsel', 'mah', 'theree', 'skrng', 'disappointed', 'very ""]")</f>
        <v>['crazy', 'network', 'signal', 'quota', 'telkomsel', 'mah', 'theree', 'skrng', 'disappointed', 'very "]</v>
      </c>
      <c r="D664" s="3">
        <v>1.0</v>
      </c>
    </row>
    <row r="665" ht="15.75" customHeight="1">
      <c r="A665" s="1">
        <v>663.0</v>
      </c>
      <c r="B665" s="3" t="s">
        <v>666</v>
      </c>
      <c r="C665" s="3" t="str">
        <f>IFERROR(__xludf.DUMMYFUNCTION("GOOGLETRANSLATE(B665,""id"",""en"")"),"['Telkomsel', 'knapa', 'network', 'gamers',' disappointed ',' network ',' ugly ',' satisfied ',' play ',' games', 'already', 'expensive', ' The package ',' ugly ',' its network ',' fool ',' fix ',' network ',' Telkomsel ',' ']")</f>
        <v>['Telkomsel', 'knapa', 'network', 'gamers',' disappointed ',' network ',' ugly ',' satisfied ',' play ',' games', 'already', 'expensive', ' The package ',' ugly ',' its network ',' fool ',' fix ',' network ',' Telkomsel ',' ']</v>
      </c>
      <c r="D665" s="3">
        <v>1.0</v>
      </c>
    </row>
    <row r="666" ht="15.75" customHeight="1">
      <c r="A666" s="1">
        <v>664.0</v>
      </c>
      <c r="B666" s="3" t="s">
        <v>667</v>
      </c>
      <c r="C666" s="3" t="str">
        <f>IFERROR(__xludf.DUMMYFUNCTION("GOOGLETRANSLATE(B666,""id"",""en"")"),"['Telkomsel', 'Severe', 'quota', 'right', 'browsing', 'internet', 'eat', 'pulse', 'pulse', 'thousand', 'thousand', 'so', ' Activine ',' Package ',' Cheerful ',' Application ',' Telkomsel ',' SMS ',' Benefits', 'Disappointed', 'Severe', 'Provider', ""]")</f>
        <v>['Telkomsel', 'Severe', 'quota', 'right', 'browsing', 'internet', 'eat', 'pulse', 'pulse', 'thousand', 'thousand', 'so', ' Activine ',' Package ',' Cheerful ',' Application ',' Telkomsel ',' SMS ',' Benefits', 'Disappointed', 'Severe', 'Provider', "]</v>
      </c>
      <c r="D666" s="3">
        <v>1.0</v>
      </c>
    </row>
    <row r="667" ht="15.75" customHeight="1">
      <c r="A667" s="1">
        <v>665.0</v>
      </c>
      <c r="B667" s="3" t="s">
        <v>668</v>
      </c>
      <c r="C667" s="3" t="str">
        <f>IFERROR(__xludf.DUMMYFUNCTION("GOOGLETRANSLATE(B667,""id"",""en"")"),"['User', 'promo', 'cheap', 'zone', 'different', 'price', 'package', 'harmed', 'policy', 'rates', 'users', '']")</f>
        <v>['User', 'promo', 'cheap', 'zone', 'different', 'price', 'package', 'harmed', 'policy', 'rates', 'users', '']</v>
      </c>
      <c r="D667" s="3">
        <v>1.0</v>
      </c>
    </row>
    <row r="668" ht="15.75" customHeight="1">
      <c r="A668" s="1">
        <v>666.0</v>
      </c>
      <c r="B668" s="3" t="s">
        <v>669</v>
      </c>
      <c r="C668" s="3" t="str">
        <f>IFERROR(__xludf.DUMMYFUNCTION("GOOGLETRANSLATE(B668,""id"",""en"")"),"['Telkomsel', 'package', 'roaming', 'pay', 'link', 'update', 'pay', 'use', 'link', 'link', 'replacement', 'cell', ' Flash ',' ']")</f>
        <v>['Telkomsel', 'package', 'roaming', 'pay', 'link', 'update', 'pay', 'use', 'link', 'link', 'replacement', 'cell', ' Flash ',' ']</v>
      </c>
      <c r="D668" s="3">
        <v>1.0</v>
      </c>
    </row>
    <row r="669" ht="15.75" customHeight="1">
      <c r="A669" s="1">
        <v>667.0</v>
      </c>
      <c r="B669" s="3" t="s">
        <v>670</v>
      </c>
      <c r="C669" s="3" t="str">
        <f>IFERROR(__xludf.DUMMYFUNCTION("GOOGLETRANSLATE(B669,""id"",""en"")"),"['thank', 'love', 'Say', 'Telkomsel', 'Help', 'field', 'telecomcation', 'network', 'broad', 'package', 'quota', 'affordable', ' "", 'middle', 'down', 'Success', 'MyTelkomsel']")</f>
        <v>['thank', 'love', 'Say', 'Telkomsel', 'Help', 'field', 'telecomcation', 'network', 'broad', 'package', 'quota', 'affordable', ' ", 'middle', 'down', 'Success', 'MyTelkomsel']</v>
      </c>
      <c r="D669" s="3">
        <v>5.0</v>
      </c>
    </row>
    <row r="670" ht="15.75" customHeight="1">
      <c r="A670" s="1">
        <v>668.0</v>
      </c>
      <c r="B670" s="3" t="s">
        <v>671</v>
      </c>
      <c r="C670" s="3" t="str">
        <f>IFERROR(__xludf.DUMMYFUNCTION("GOOGLETRANSLATE(B670,""id"",""en"")"),"['', 'Telkomsel', 'repairs',' network ',' guaranteed ',' byk ',' left ',' customer ',' switch ',' provider ',' good ',' subscription ',' many ',' Forced ',' Switch ',' Operator ',' ']")</f>
        <v>['', 'Telkomsel', 'repairs',' network ',' guaranteed ',' byk ',' left ',' customer ',' switch ',' provider ',' good ',' subscription ',' many ',' Forced ',' Switch ',' Operator ',' ']</v>
      </c>
      <c r="D670" s="3">
        <v>1.0</v>
      </c>
    </row>
    <row r="671" ht="15.75" customHeight="1">
      <c r="A671" s="1">
        <v>669.0</v>
      </c>
      <c r="B671" s="3" t="s">
        <v>672</v>
      </c>
      <c r="C671" s="3" t="str">
        <f>IFERROR(__xludf.DUMMYFUNCTION("GOOGLETRANSLATE(B671,""id"",""en"")"),"['bug', 'emang', 'intentionally', 'design', 'program', 'buy', 'quota', 'lap', 'main', 'use', 'pulse', 'gopay', ' mode ',' payment ',' buy ',' package ',' night ',' use ',' pulse ',' gopay ',' buy ',' quota ',' lap ',' youtube ',' unlimited ' , 'use', 'pul"&amp;"se', 'must', 'use', 'menu', 'link', 'gopay', 'etc.', 'contents',' pulse ',' gopay ',' take ',' Package ',' night ',' right ',' buy ',' quota ',' lap ',' youtube ',' use ',' pulse ',' yesterday ',' price ',' package ',' monthly ' , 'discount', 'abis', 'con"&amp;"tents', 'pulse', 'price']")</f>
        <v>['bug', 'emang', 'intentionally', 'design', 'program', 'buy', 'quota', 'lap', 'main', 'use', 'pulse', 'gopay', ' mode ',' payment ',' buy ',' package ',' night ',' use ',' pulse ',' gopay ',' buy ',' quota ',' lap ',' youtube ',' unlimited ' , 'use', 'pulse', 'must', 'use', 'menu', 'link', 'gopay', 'etc.', 'contents',' pulse ',' gopay ',' take ',' Package ',' night ',' right ',' buy ',' quota ',' lap ',' youtube ',' use ',' pulse ',' yesterday ',' price ',' package ',' monthly ' , 'discount', 'abis', 'contents', 'pulse', 'price']</v>
      </c>
      <c r="D671" s="3">
        <v>1.0</v>
      </c>
    </row>
    <row r="672" ht="15.75" customHeight="1">
      <c r="A672" s="1">
        <v>670.0</v>
      </c>
      <c r="B672" s="3" t="s">
        <v>673</v>
      </c>
      <c r="C672" s="3" t="str">
        <f>IFERROR(__xludf.DUMMYFUNCTION("GOOGLETRANSLATE(B672,""id"",""en"")"),"['Dear', 'Telkomsel', 'Dear', 'please', 'signal', 'internet', 'ugly', 'ugly', 'customer', 'please', 'love', 'solution', ' Silent ',' ']")</f>
        <v>['Dear', 'Telkomsel', 'Dear', 'please', 'signal', 'internet', 'ugly', 'ugly', 'customer', 'please', 'love', 'solution', ' Silent ',' ']</v>
      </c>
      <c r="D672" s="3">
        <v>1.0</v>
      </c>
    </row>
    <row r="673" ht="15.75" customHeight="1">
      <c r="A673" s="1">
        <v>671.0</v>
      </c>
      <c r="B673" s="3" t="s">
        <v>674</v>
      </c>
      <c r="C673" s="3" t="str">
        <f>IFERROR(__xludf.DUMMYFUNCTION("GOOGLETRANSLATE(B673,""id"",""en"")"),"['Telkomsel', 'KONLOLLL', 'Goblog', 'Network', 'KONLOLLL', 'World', 'Network', 'Mantap', 'Indonesia', 'Nyatany', 'Kontolll', 'Network', ' lag ',' broken ',' Force ',' Close ',' Mending ',' Indosat ',' Telkomsel ',' Asuuu ', ""]")</f>
        <v>['Telkomsel', 'KONLOLLL', 'Goblog', 'Network', 'KONLOLLL', 'World', 'Network', 'Mantap', 'Indonesia', 'Nyatany', 'Kontolll', 'Network', ' lag ',' broken ',' Force ',' Close ',' Mending ',' Indosat ',' Telkomsel ',' Asuuu ', "]</v>
      </c>
      <c r="D673" s="3">
        <v>1.0</v>
      </c>
    </row>
    <row r="674" ht="15.75" customHeight="1">
      <c r="A674" s="1">
        <v>672.0</v>
      </c>
      <c r="B674" s="3" t="s">
        <v>675</v>
      </c>
      <c r="C674" s="3" t="str">
        <f>IFERROR(__xludf.DUMMYFUNCTION("GOOGLETRANSLATE(B674,""id"",""en"")"),"['Telomsel', 'Please', 'Thinking', 'Service', 'Decreases',' Network ',' Sinyal ',' Like ',' Down ',' Stable ',' Tower ',' Btrf ',' broken ',' igne ',' service ',' quality ',' master ',' market ',' Indonesia ',' JGNLAH ',' BGU TO ',' SPY ',' GLOBAL ',' ']")</f>
        <v>['Telomsel', 'Please', 'Thinking', 'Service', 'Decreases',' Network ',' Sinyal ',' Like ',' Down ',' Stable ',' Tower ',' Btrf ',' broken ',' igne ',' service ',' quality ',' master ',' market ',' Indonesia ',' JGNLAH ',' BGU TO ',' SPY ',' GLOBAL ',' ']</v>
      </c>
      <c r="D674" s="3">
        <v>2.0</v>
      </c>
    </row>
    <row r="675" ht="15.75" customHeight="1">
      <c r="A675" s="1">
        <v>673.0</v>
      </c>
      <c r="B675" s="3" t="s">
        <v>676</v>
      </c>
      <c r="C675" s="3" t="str">
        <f>IFERROR(__xludf.DUMMYFUNCTION("GOOGLETRANSLATE(B675,""id"",""en"")"),"['Please', 'Check', 'Condition', 'Network', 'Region', 'Leungsir', 'Village', 'Jayasampurna', 'Kec', 'Serang', 'Kab', 'Bekasi', ' Java ',' West ',' weak ',' really ',' network ',' play ',' game ',' smooth ',' please ',' response ',' customer ',' complaint "&amp;"',' please ' , 'response', '']")</f>
        <v>['Please', 'Check', 'Condition', 'Network', 'Region', 'Leungsir', 'Village', 'Jayasampurna', 'Kec', 'Serang', 'Kab', 'Bekasi', ' Java ',' West ',' weak ',' really ',' network ',' play ',' game ',' smooth ',' please ',' response ',' customer ',' complaint ',' please ' , 'response', '']</v>
      </c>
      <c r="D675" s="3">
        <v>1.0</v>
      </c>
    </row>
    <row r="676" ht="15.75" customHeight="1">
      <c r="A676" s="1">
        <v>674.0</v>
      </c>
      <c r="B676" s="3" t="s">
        <v>677</v>
      </c>
      <c r="C676" s="3" t="str">
        <f>IFERROR(__xludf.DUMMYFUNCTION("GOOGLETRANSLATE(B676,""id"",""en"")"),"['app', 'regret', 'download', 'open', 'disruption', 'opened', 'wifi', 'disorder', 'akhhhhh', 'app', 'garbage', 'right', ' expensive ',' price ',' ekh ',' facility ',' switch ',' deh ',' provider ',' unistal ',' app ',' payaaaaah ',' beneeeer ']")</f>
        <v>['app', 'regret', 'download', 'open', 'disruption', 'opened', 'wifi', 'disorder', 'akhhhhh', 'app', 'garbage', 'right', ' expensive ',' price ',' ekh ',' facility ',' switch ',' deh ',' provider ',' unistal ',' app ',' payaaaaah ',' beneeeer ']</v>
      </c>
      <c r="D676" s="3">
        <v>1.0</v>
      </c>
    </row>
    <row r="677" ht="15.75" customHeight="1">
      <c r="A677" s="1">
        <v>675.0</v>
      </c>
      <c r="B677" s="3" t="s">
        <v>678</v>
      </c>
      <c r="C677" s="3" t="str">
        <f>IFERROR(__xludf.DUMMYFUNCTION("GOOGLETRANSLATE(B677,""id"",""en"")"),"['Harmed', 'Promo', 'Offered', 'Written', 'Promo', 'Emergency', 'MB', 'Costs',' Successful ',' Filling ',' Credit ',' Credit ',' Reduced ',' Proper ',' Promos', 'Offered', 'Processed', 'Tamed', 'Waiting', 'Please', 'Wait', 'Feedback', 'discomfort', ""]")</f>
        <v>['Harmed', 'Promo', 'Offered', 'Written', 'Promo', 'Emergency', 'MB', 'Costs',' Successful ',' Filling ',' Credit ',' Credit ',' Reduced ',' Proper ',' Promos', 'Offered', 'Processed', 'Tamed', 'Waiting', 'Please', 'Wait', 'Feedback', 'discomfort', "]</v>
      </c>
      <c r="D677" s="3">
        <v>1.0</v>
      </c>
    </row>
    <row r="678" ht="15.75" customHeight="1">
      <c r="A678" s="1">
        <v>676.0</v>
      </c>
      <c r="B678" s="3" t="s">
        <v>679</v>
      </c>
      <c r="C678" s="3" t="str">
        <f>IFERROR(__xludf.DUMMYFUNCTION("GOOGLETRANSLATE(B678,""id"",""en"")"),"['okay', 'Telkomsel', 'thank', 'love', 'because' your presence ',' making ',' human ',' patient ',' full ',' patrr ',' mohoooonnn ',' "", 'The' is', 'made', 'lag', 'sek', 'Nge', 'lag', 'lag', 'okay', 'thank', 'love',""]")</f>
        <v>['okay', 'Telkomsel', 'thank', 'love', 'because' your presence ',' making ',' human ',' patient ',' full ',' patrr ',' mohoooonnn ',' ", 'The' is', 'made', 'lag', 'sek', 'Nge', 'lag', 'lag', 'okay', 'thank', 'love',"]</v>
      </c>
      <c r="D678" s="3">
        <v>1.0</v>
      </c>
    </row>
    <row r="679" ht="15.75" customHeight="1">
      <c r="A679" s="1">
        <v>677.0</v>
      </c>
      <c r="B679" s="3" t="s">
        <v>680</v>
      </c>
      <c r="C679" s="3" t="str">
        <f>IFERROR(__xludf.DUMMYFUNCTION("GOOGLETRANSLATE(B679,""id"",""en"")"),"['Please', 'Network', 'Stabilized', 'Slalu', 'Leading', 'Rich', 'Motor', 'Yahama', 'Network', 'Shy', 'Shy', 'Rich', ' People ',' Namu ',' ']")</f>
        <v>['Please', 'Network', 'Stabilized', 'Slalu', 'Leading', 'Rich', 'Motor', 'Yahama', 'Network', 'Shy', 'Shy', 'Rich', ' People ',' Namu ',' ']</v>
      </c>
      <c r="D679" s="3">
        <v>5.0</v>
      </c>
    </row>
    <row r="680" ht="15.75" customHeight="1">
      <c r="A680" s="1">
        <v>678.0</v>
      </c>
      <c r="B680" s="3" t="s">
        <v>681</v>
      </c>
      <c r="C680" s="3" t="str">
        <f>IFERROR(__xludf.DUMMYFUNCTION("GOOGLETRANSLATE(B680,""id"",""en"")"),"['robbed', 'Telkomsel', 'contents',' pulse ',' rb ',' extend ',' active ',' then ',' offer ',' package ',' special ',' unlimited ',' for ',' purchase ',' application ',' Telkomsel ',' leftover ',' pulse ',' pulse ',' run out ',' use ',' call ',' sms', 'ri"&amp;"ght', 'internet' , 'Doang', 'and then', 'frequency', 'wifi', 'home', 'browse', 'find', 'complaints',' robbery ',' pulse ',' extend ',' active ',' Bye ',' Telkomsel ',' Loe ',' I ',' END ',' ']")</f>
        <v>['robbed', 'Telkomsel', 'contents',' pulse ',' rb ',' extend ',' active ',' then ',' offer ',' package ',' special ',' unlimited ',' for ',' purchase ',' application ',' Telkomsel ',' leftover ',' pulse ',' pulse ',' run out ',' use ',' call ',' sms', 'right', 'internet' , 'Doang', 'and then', 'frequency', 'wifi', 'home', 'browse', 'find', 'complaints',' robbery ',' pulse ',' extend ',' active ',' Bye ',' Telkomsel ',' Loe ',' I ',' END ',' ']</v>
      </c>
      <c r="D680" s="3">
        <v>1.0</v>
      </c>
    </row>
    <row r="681" ht="15.75" customHeight="1">
      <c r="A681" s="1">
        <v>679.0</v>
      </c>
      <c r="B681" s="3" t="s">
        <v>682</v>
      </c>
      <c r="C681" s="3" t="str">
        <f>IFERROR(__xludf.DUMMYFUNCTION("GOOGLETRANSLATE(B681,""id"",""en"")"),"['Package', 'Thinking', 'YouTube', 'Cave', 'Gunain', 'UDH', 'Times',' Buy ',' Thinking ',' YouTube ',' Credit ',' Credit ',' The main ',' run out ',' ties', 'ASES', 'YouTube', 'already', 'buy', 'Package', 'YouTube', 'Nipu', 'GMN', 'Sihh', 'Harm' , 'really"&amp;"', 'mending', 'roll', 'mat', 'already', 'honest']")</f>
        <v>['Package', 'Thinking', 'YouTube', 'Cave', 'Gunain', 'UDH', 'Times',' Buy ',' Thinking ',' YouTube ',' Credit ',' Credit ',' The main ',' run out ',' ties', 'ASES', 'YouTube', 'already', 'buy', 'Package', 'YouTube', 'Nipu', 'GMN', 'Sihh', 'Harm' , 'really', 'mending', 'roll', 'mat', 'already', 'honest']</v>
      </c>
      <c r="D681" s="3">
        <v>1.0</v>
      </c>
    </row>
    <row r="682" ht="15.75" customHeight="1">
      <c r="A682" s="1">
        <v>680.0</v>
      </c>
      <c r="B682" s="3" t="s">
        <v>683</v>
      </c>
      <c r="C682" s="3" t="str">
        <f>IFERROR(__xludf.DUMMYFUNCTION("GOOGLETRANSLATE(B682,""id"",""en"")"),"['Combo', 'Sakti', 'unlimited', 'Wear', 'Benow', 'Why' right ',' Januai ',' Lemod ',' Bngt ',' January ',' Lemod ',' Use ',' A family ',' ']")</f>
        <v>['Combo', 'Sakti', 'unlimited', 'Wear', 'Benow', 'Why' right ',' Januai ',' Lemod ',' Bngt ',' January ',' Lemod ',' Use ',' A family ',' ']</v>
      </c>
      <c r="D682" s="3">
        <v>1.0</v>
      </c>
    </row>
    <row r="683" ht="15.75" customHeight="1">
      <c r="A683" s="1">
        <v>681.0</v>
      </c>
      <c r="B683" s="3" t="s">
        <v>684</v>
      </c>
      <c r="C683" s="3" t="str">
        <f>IFERROR(__xludf.DUMMYFUNCTION("GOOGLETRANSLATE(B683,""id"",""en"")"),"['Congratulations',' night ',' Telkomsel ',' credit ',' reduced ',' wearing it ',' buy ',' internet ',' credit ',' remaining ',' reduced ',' continuous', ' Please, 'Telkomsel', 'conditioned', 'Thank you']")</f>
        <v>['Congratulations',' night ',' Telkomsel ',' credit ',' reduced ',' wearing it ',' buy ',' internet ',' credit ',' remaining ',' reduced ',' continuous', ' Please, 'Telkomsel', 'conditioned', 'Thank you']</v>
      </c>
      <c r="D683" s="3">
        <v>1.0</v>
      </c>
    </row>
    <row r="684" ht="15.75" customHeight="1">
      <c r="A684" s="1">
        <v>682.0</v>
      </c>
      <c r="B684" s="3" t="s">
        <v>685</v>
      </c>
      <c r="C684" s="3" t="str">
        <f>IFERROR(__xludf.DUMMYFUNCTION("GOOGLETRANSLATE(B684,""id"",""en"")"),"['Quality', 'Network', 'Telkomsel', 'Papua', 'Leet', 'Hobby', 'Main', 'Game', 'Online', 'Papua', 'Hoping', 'Operator', ' Enter ',' Papua ',' Network ',' Telkomsel ',' Purchase ',' Package ',' Internet ',' Expensive ',' Quality ',' Network ',' Good ',' Jus"&amp;"t ',' Sja ' , 'evenly distributed', 'whole', ""]")</f>
        <v>['Quality', 'Network', 'Telkomsel', 'Papua', 'Leet', 'Hobby', 'Main', 'Game', 'Online', 'Papua', 'Hoping', 'Operator', ' Enter ',' Papua ',' Network ',' Telkomsel ',' Purchase ',' Package ',' Internet ',' Expensive ',' Quality ',' Network ',' Good ',' Just ',' Sja ' , 'evenly distributed', 'whole', "]</v>
      </c>
      <c r="D684" s="3">
        <v>1.0</v>
      </c>
    </row>
    <row r="685" ht="15.75" customHeight="1">
      <c r="A685" s="1">
        <v>683.0</v>
      </c>
      <c r="B685" s="3" t="s">
        <v>686</v>
      </c>
      <c r="C685" s="3" t="str">
        <f>IFERROR(__xludf.DUMMYFUNCTION("GOOGLETRANSLATE(B685,""id"",""en"")"),"['knp', 'network', 'slow', 'mulu', 'kyk', 'dlu', 'said', 'fast', 'smooth', 'network', 'slow', 'network', ' LEG ',' Developer ',' Please ',' Fix ',' Connection ',' Network ',' Disturbed ',' People ',' Telkomsel ',' Disrupted ', ""]")</f>
        <v>['knp', 'network', 'slow', 'mulu', 'kyk', 'dlu', 'said', 'fast', 'smooth', 'network', 'slow', 'network', ' LEG ',' Developer ',' Please ',' Fix ',' Connection ',' Network ',' Disturbed ',' People ',' Telkomsel ',' Disrupted ', "]</v>
      </c>
      <c r="D685" s="3">
        <v>1.0</v>
      </c>
    </row>
    <row r="686" ht="15.75" customHeight="1">
      <c r="A686" s="1">
        <v>684.0</v>
      </c>
      <c r="B686" s="3" t="s">
        <v>687</v>
      </c>
      <c r="C686" s="3" t="str">
        <f>IFERROR(__xludf.DUMMYFUNCTION("GOOGLETRANSLATE(B686,""id"",""en"")"),"['Luka', 'Telkomsel', 'because', 'Network', 'Good', 'Kuotanya', 'Not bad', 'expensive', 'Make', 'Telkomsel', 'a year', 'the network', ' Leet ',' really ',' disappointed ',' love ',' star ',' ajaa ',' ']")</f>
        <v>['Luka', 'Telkomsel', 'because', 'Network', 'Good', 'Kuotanya', 'Not bad', 'expensive', 'Make', 'Telkomsel', 'a year', 'the network', ' Leet ',' really ',' disappointed ',' love ',' star ',' ajaa ',' ']</v>
      </c>
      <c r="D686" s="3">
        <v>1.0</v>
      </c>
    </row>
    <row r="687" ht="15.75" customHeight="1">
      <c r="A687" s="1">
        <v>685.0</v>
      </c>
      <c r="B687" s="3" t="s">
        <v>688</v>
      </c>
      <c r="C687" s="3" t="str">
        <f>IFERROR(__xludf.DUMMYFUNCTION("GOOGLETRANSLATE(B687,""id"",""en"")"),"['Telkomsel', 'Kayak', 'Sousal', 'Severe', 'Emotion', 'Ngegame', 'Already', 'Buy', 'Package', 'Data', 'Expensive', 'Not Good', ' The speed is', 'Sometimes',' Slow ',' Severe ',' Disappointed ',' Telkomsel ']")</f>
        <v>['Telkomsel', 'Kayak', 'Sousal', 'Severe', 'Emotion', 'Ngegame', 'Already', 'Buy', 'Package', 'Data', 'Expensive', 'Not Good', ' The speed is', 'Sometimes',' Slow ',' Severe ',' Disappointed ',' Telkomsel ']</v>
      </c>
      <c r="D687" s="3">
        <v>1.0</v>
      </c>
    </row>
    <row r="688" ht="15.75" customHeight="1">
      <c r="A688" s="1">
        <v>686.0</v>
      </c>
      <c r="B688" s="3" t="s">
        <v>689</v>
      </c>
      <c r="C688" s="3" t="str">
        <f>IFERROR(__xludf.DUMMYFUNCTION("GOOGLETRANSLATE(B688,""id"",""en"")"),"['really', 'network', 'Telkomsel', 'area', 'bad', 'plus',' price ',' package ',' data ',' expensive ',' quality ',' network ',' satisfying', '']")</f>
        <v>['really', 'network', 'Telkomsel', 'area', 'bad', 'plus',' price ',' package ',' data ',' expensive ',' quality ',' network ',' satisfying', '']</v>
      </c>
      <c r="D688" s="3">
        <v>1.0</v>
      </c>
    </row>
    <row r="689" ht="15.75" customHeight="1">
      <c r="A689" s="1">
        <v>687.0</v>
      </c>
      <c r="B689" s="3" t="s">
        <v>690</v>
      </c>
      <c r="C689" s="3" t="str">
        <f>IFERROR(__xludf.DUMMYFUNCTION("GOOGLETRANSLATE(B689,""id"",""en"")"),"['Telkomsel', 'Worst', 'Case', 'Play', 'Game', 'Online', 'User', 'Telkomsel', 'Since', 'Enter', 'Mid', 'Network', ' Telkomsel ',' region ',' weakened ',' said ',' rotten ',' touching ',' network ',' please ',' sound ',' return ',' Telkomsel ']")</f>
        <v>['Telkomsel', 'Worst', 'Case', 'Play', 'Game', 'Online', 'User', 'Telkomsel', 'Since', 'Enter', 'Mid', 'Network', ' Telkomsel ',' region ',' weakened ',' said ',' rotten ',' touching ',' network ',' please ',' sound ',' return ',' Telkomsel ']</v>
      </c>
      <c r="D689" s="3">
        <v>2.0</v>
      </c>
    </row>
    <row r="690" ht="15.75" customHeight="1">
      <c r="A690" s="1">
        <v>688.0</v>
      </c>
      <c r="B690" s="3" t="s">
        <v>691</v>
      </c>
      <c r="C690" s="3" t="str">
        <f>IFERROR(__xludf.DUMMYFUNCTION("GOOGLETRANSLATE(B690,""id"",""en"")"),"['Sorry', 'love', 'star', 'signal', 'Telkomsel', 'December', 'Sampe', 'BLM', 'Change', 'slow', 'Paketan', 'unlimited', ' Combo ',' Sakti ',' ']")</f>
        <v>['Sorry', 'love', 'star', 'signal', 'Telkomsel', 'December', 'Sampe', 'BLM', 'Change', 'slow', 'Paketan', 'unlimited', ' Combo ',' Sakti ',' ']</v>
      </c>
      <c r="D690" s="3">
        <v>1.0</v>
      </c>
    </row>
    <row r="691" ht="15.75" customHeight="1">
      <c r="A691" s="1">
        <v>689.0</v>
      </c>
      <c r="B691" s="3" t="s">
        <v>692</v>
      </c>
      <c r="C691" s="3" t="str">
        <f>IFERROR(__xludf.DUMMYFUNCTION("GOOGLETRANSLATE(B691,""id"",""en"")"),"['Read', 'Review', 'Disappointed', 'Kirain', 'Disorders', 'Application', 'Opened', 'Network', 'Lemot', 'Telkomsel', ""]")</f>
        <v>['Read', 'Review', 'Disappointed', 'Kirain', 'Disorders', 'Application', 'Opened', 'Network', 'Lemot', 'Telkomsel', "]</v>
      </c>
      <c r="D691" s="3">
        <v>1.0</v>
      </c>
    </row>
    <row r="692" ht="15.75" customHeight="1">
      <c r="A692" s="1">
        <v>690.0</v>
      </c>
      <c r="B692" s="3" t="s">
        <v>693</v>
      </c>
      <c r="C692" s="3" t="str">
        <f>IFERROR(__xludf.DUMMYFUNCTION("GOOGLETRANSLATE(B692,""id"",""en"")"),"['Sngat', 'Disappointed', 'Application', 'Telkomsel', 'Lyanan', 'Package', 'Internet', 'Price', 'Given', 'Active', 'BBRAPA', 'KLI', ' subscriptions', 'active', 'ttap', 'sprti', 'price', 'mhal', 'internet', 'no', 'satisfied', 'bnget', 'blm', 'kbuntu', 'act"&amp;"ive' , 'Out', 'Telkomsel', 'Tlong', 'Talk', 'Customer', 'Costumer', 'SPRTI', 'BGINI', 'Nnti', 'LGI', 'Card', 'Telkomsel', ' Move ',' KRTU ',' Perdana ',' cheap ',' lgi ']")</f>
        <v>['Sngat', 'Disappointed', 'Application', 'Telkomsel', 'Lyanan', 'Package', 'Internet', 'Price', 'Given', 'Active', 'BBRAPA', 'KLI', ' subscriptions', 'active', 'ttap', 'sprti', 'price', 'mhal', 'internet', 'no', 'satisfied', 'bnget', 'blm', 'kbuntu', 'active' , 'Out', 'Telkomsel', 'Tlong', 'Talk', 'Customer', 'Costumer', 'SPRTI', 'BGINI', 'Nnti', 'LGI', 'Card', 'Telkomsel', ' Move ',' KRTU ',' Perdana ',' cheap ',' lgi ']</v>
      </c>
      <c r="D692" s="3">
        <v>1.0</v>
      </c>
    </row>
    <row r="693" ht="15.75" customHeight="1">
      <c r="A693" s="1">
        <v>691.0</v>
      </c>
      <c r="B693" s="3" t="s">
        <v>694</v>
      </c>
      <c r="C693" s="3" t="str">
        <f>IFERROR(__xludf.DUMMYFUNCTION("GOOGLETRANSLATE(B693,""id"",""en"")"),"['difficult', 'enter', 'buy', 'package', 'open', 'package', 'internet', 'select', 'select', 'number', 'plus',' open ',' Telkomsel ',' bandwidth ',' status', 'bar', 'kbps',' download ',' upload ']")</f>
        <v>['difficult', 'enter', 'buy', 'package', 'open', 'package', 'internet', 'select', 'select', 'number', 'plus',' open ',' Telkomsel ',' bandwidth ',' status', 'bar', 'kbps',' download ',' upload ']</v>
      </c>
      <c r="D693" s="3">
        <v>1.0</v>
      </c>
    </row>
    <row r="694" ht="15.75" customHeight="1">
      <c r="A694" s="1">
        <v>692.0</v>
      </c>
      <c r="B694" s="3" t="s">
        <v>695</v>
      </c>
      <c r="C694" s="3" t="str">
        <f>IFERROR(__xludf.DUMMYFUNCTION("GOOGLETRANSLATE(B694,""id"",""en"")"),"['The name', 'aduuuh', 'stable', 'rate', 'just', 'mending', 'provider', 'setabilia', 'cheap', 'price', 'stream', 'game', ' Current ',' Tsel ',' apk ',' sosmed ',' smooth ',' wkwkwk ',' people ',' hahaha ',' ush ',' marketik ',' gamemax ',' klau ' , 'signa"&amp;"l', 'that's',' kapok ',' buy ',' times', 'ratenya', 'kek', 'gini', 'suitable', 'ratenya', 'provider', 'race', ' competition ',' forward ',' tsel ',' gini ',' gini ',' ']")</f>
        <v>['The name', 'aduuuh', 'stable', 'rate', 'just', 'mending', 'provider', 'setabilia', 'cheap', 'price', 'stream', 'game', ' Current ',' Tsel ',' apk ',' sosmed ',' smooth ',' wkwkwk ',' people ',' hahaha ',' ush ',' marketik ',' gamemax ',' klau ' , 'signal', 'that's',' kapok ',' buy ',' times', 'ratenya', 'kek', 'gini', 'suitable', 'ratenya', 'provider', 'race', ' competition ',' forward ',' tsel ',' gini ',' gini ',' ']</v>
      </c>
      <c r="D694" s="3">
        <v>1.0</v>
      </c>
    </row>
    <row r="695" ht="15.75" customHeight="1">
      <c r="A695" s="1">
        <v>693.0</v>
      </c>
      <c r="B695" s="3" t="s">
        <v>696</v>
      </c>
      <c r="C695" s="3" t="str">
        <f>IFERROR(__xludf.DUMMYFUNCTION("GOOGLETRANSLATE(B695,""id"",""en"")"),"['Please', 'Telkomsel', 'quota', 'expensive', 'strength', 'network', 'internet', 'area', 'village', 'fix']")</f>
        <v>['Please', 'Telkomsel', 'quota', 'expensive', 'strength', 'network', 'internet', 'area', 'village', 'fix']</v>
      </c>
      <c r="D695" s="3">
        <v>1.0</v>
      </c>
    </row>
    <row r="696" ht="15.75" customHeight="1">
      <c r="A696" s="1">
        <v>694.0</v>
      </c>
      <c r="B696" s="3" t="s">
        <v>697</v>
      </c>
      <c r="C696" s="3" t="str">
        <f>IFERROR(__xludf.DUMMYFUNCTION("GOOGLETRANSLATE(B696,""id"",""en"")"),"['', 'Response', 'comment', 'Edit', 'responded to', 'Ntah', 'responded', 'Sinyal', 'MPR', 'dizziness',' work ',' Kayak ',' Price ',' expensive ',' signal ',' have ',' destroyed ',' job ',' people ', ""]")</f>
        <v>['', 'Response', 'comment', 'Edit', 'responded to', 'Ntah', 'responded', 'Sinyal', 'MPR', 'dizziness',' work ',' Kayak ',' Price ',' expensive ',' signal ',' have ',' destroyed ',' job ',' people ', "]</v>
      </c>
      <c r="D696" s="3">
        <v>1.0</v>
      </c>
    </row>
    <row r="697" ht="15.75" customHeight="1">
      <c r="A697" s="1">
        <v>695.0</v>
      </c>
      <c r="B697" s="3" t="s">
        <v>698</v>
      </c>
      <c r="C697" s="3" t="str">
        <f>IFERROR(__xludf.DUMMYFUNCTION("GOOGLETRANSLATE(B697,""id"",""en"")"),"['Please', 'Definition', 'Samua', 'Tower', 'Telkomsel', 'Hope', 'Beneri', 'Ngegame', 'Ngegulating', 'Really', 'Signal', 'Please', ' willingness', 'plus',' serve ',' country ',' fix ',' network ',' broio ',' woy ',' network ',' tower ',' number ',' quality"&amp;" ', ""]")</f>
        <v>['Please', 'Definition', 'Samua', 'Tower', 'Telkomsel', 'Hope', 'Beneri', 'Ngegame', 'Ngegulating', 'Really', 'Signal', 'Please', ' willingness', 'plus',' serve ',' country ',' fix ',' network ',' broio ',' woy ',' network ',' tower ',' number ',' quality ', "]</v>
      </c>
      <c r="D697" s="3">
        <v>5.0</v>
      </c>
    </row>
    <row r="698" ht="15.75" customHeight="1">
      <c r="A698" s="1">
        <v>696.0</v>
      </c>
      <c r="B698" s="3" t="s">
        <v>699</v>
      </c>
      <c r="C698" s="3" t="str">
        <f>IFERROR(__xludf.DUMMYFUNCTION("GOOGLETRANSLATE(B698,""id"",""en"")"),"['Service', 'internet', 'ugly', 'slow', 'kayak', 'snail', 'quality', 'network', 'open', 'app', 'Telkomsel', 'slow', ' already ',' buy ',' package ',' expensive ',' connection ',' internet ',' ugly ',' service ',' telkomsel ',' increase ',' mending ',' rep"&amp;"lace ',' provider ' , 'deh', '']")</f>
        <v>['Service', 'internet', 'ugly', 'slow', 'kayak', 'snail', 'quality', 'network', 'open', 'app', 'Telkomsel', 'slow', ' already ',' buy ',' package ',' expensive ',' connection ',' internet ',' ugly ',' service ',' telkomsel ',' increase ',' mending ',' replace ',' provider ' , 'deh', '']</v>
      </c>
      <c r="D698" s="3">
        <v>1.0</v>
      </c>
    </row>
    <row r="699" ht="15.75" customHeight="1">
      <c r="A699" s="1">
        <v>697.0</v>
      </c>
      <c r="B699" s="3" t="s">
        <v>700</v>
      </c>
      <c r="C699" s="3" t="str">
        <f>IFERROR(__xludf.DUMMYFUNCTION("GOOGLETRANSLATE(B699,""id"",""en"")"),"['users',' Telkomsel ',' Area ',' Kudus', 'Java', 'users',' Telkomsel ',' Network ',' Signal ',' Speed ​​',' Connection ',' Internet ',' instability ',' connection ',' business', 'business',' work ',' disrupted ',' please ',' fix ',' already ',' recommend"&amp;" ',' provider ',' colleagues', 'colleagues' , '']")</f>
        <v>['users',' Telkomsel ',' Area ',' Kudus', 'Java', 'users',' Telkomsel ',' Network ',' Signal ',' Speed ​​',' Connection ',' Internet ',' instability ',' connection ',' business', 'business',' work ',' disrupted ',' please ',' fix ',' already ',' recommend ',' provider ',' colleagues', 'colleagues' , '']</v>
      </c>
      <c r="D699" s="3">
        <v>1.0</v>
      </c>
    </row>
    <row r="700" ht="15.75" customHeight="1">
      <c r="A700" s="1">
        <v>698.0</v>
      </c>
      <c r="B700" s="3" t="s">
        <v>701</v>
      </c>
      <c r="C700" s="3" t="str">
        <f>IFERROR(__xludf.DUMMYFUNCTION("GOOGLETRANSLATE(B700,""id"",""en"")"),"['Ngecirewain', 'really', 'moved', 'provider', 'next door', 'comfortable', 'banger', 'kayak', 'gini', 'connection', 'nge', 'lag', ' network ',' really ',' ilang ',' no ',' village ',' brought ',' village ',' ilang ',' network ',' beg ',' in his place ',' "&amp;"sampek ',' repeated ' , 'Prihal', 'Kayak', 'Gini', 'Cook', 'Provider', 'Lost', 'Ama', 'Provider', 'Yesterday', 'night', ""]")</f>
        <v>['Ngecirewain', 'really', 'moved', 'provider', 'next door', 'comfortable', 'banger', 'kayak', 'gini', 'connection', 'nge', 'lag', ' network ',' really ',' ilang ',' no ',' village ',' brought ',' village ',' ilang ',' network ',' beg ',' in his place ',' sampek ',' repeated ' , 'Prihal', 'Kayak', 'Gini', 'Cook', 'Provider', 'Lost', 'Ama', 'Provider', 'Yesterday', 'night', "]</v>
      </c>
      <c r="D700" s="3">
        <v>1.0</v>
      </c>
    </row>
    <row r="701" ht="15.75" customHeight="1">
      <c r="A701" s="1">
        <v>699.0</v>
      </c>
      <c r="B701" s="3" t="s">
        <v>702</v>
      </c>
      <c r="C701" s="3" t="str">
        <f>IFERROR(__xludf.DUMMYFUNCTION("GOOGLETRANSLATE(B701,""id"",""en"")"),"['disappointed', 'package', 'internet', 'expensive', 'provider', 'quality', 'network', 'Telkomsel', 'bad', 'provider', ""]")</f>
        <v>['disappointed', 'package', 'internet', 'expensive', 'provider', 'quality', 'network', 'Telkomsel', 'bad', 'provider', "]</v>
      </c>
      <c r="D701" s="3">
        <v>1.0</v>
      </c>
    </row>
    <row r="702" ht="15.75" customHeight="1">
      <c r="A702" s="1">
        <v>700.0</v>
      </c>
      <c r="B702" s="3" t="s">
        <v>703</v>
      </c>
      <c r="C702" s="3" t="str">
        <f>IFERROR(__xludf.DUMMYFUNCTION("GOOGLETRANSLATE(B702,""id"",""en"")"),"['plump', 'signal', 'network', 'pul', 'area', 'udh', 'extend', 'package', 'surprise', 'deal', 'a week', 'gini', ' Gakbakal ',' Make ',' Telkomsel ']")</f>
        <v>['plump', 'signal', 'network', 'pul', 'area', 'udh', 'extend', 'package', 'surprise', 'deal', 'a week', 'gini', ' Gakbakal ',' Make ',' Telkomsel ']</v>
      </c>
      <c r="D702" s="3">
        <v>1.0</v>
      </c>
    </row>
    <row r="703" ht="15.75" customHeight="1">
      <c r="A703" s="1">
        <v>701.0</v>
      </c>
      <c r="B703" s="3" t="s">
        <v>704</v>
      </c>
      <c r="C703" s="3" t="str">
        <f>IFERROR(__xludf.DUMMYFUNCTION("GOOGLETRANSLATE(B703,""id"",""en"")"),"['users',' Telkomsel ',' package ',' internet ',' cheap ',' package ',' combo ',' sakti ',' package ',' omg ',' price ',' expensive ',' Quota ',' Fold ',' ']")</f>
        <v>['users',' Telkomsel ',' package ',' internet ',' cheap ',' package ',' combo ',' sakti ',' package ',' omg ',' price ',' expensive ',' Quota ',' Fold ',' ']</v>
      </c>
      <c r="D703" s="3">
        <v>2.0</v>
      </c>
    </row>
    <row r="704" ht="15.75" customHeight="1">
      <c r="A704" s="1">
        <v>702.0</v>
      </c>
      <c r="B704" s="3" t="s">
        <v>705</v>
      </c>
      <c r="C704" s="3" t="str">
        <f>IFERROR(__xludf.DUMMYFUNCTION("GOOGLETRANSLATE(B704,""id"",""en"")"),"['admin', 'respectable', 'promo', 'Telkomsel', 'take', 'kagak', 'enter', 'entry', 'request', 'process',' mulu ',' message ',' Ngak ',' entered ',' Please ',' Explanation ',' Min ',' Ngak ',' Comfortable ',' Min ',' Please ',' Help ',' Min ']")</f>
        <v>['admin', 'respectable', 'promo', 'Telkomsel', 'take', 'kagak', 'enter', 'entry', 'request', 'process',' mulu ',' message ',' Ngak ',' entered ',' Please ',' Explanation ',' Min ',' Ngak ',' Comfortable ',' Min ',' Please ',' Help ',' Min ']</v>
      </c>
      <c r="D704" s="3">
        <v>1.0</v>
      </c>
    </row>
    <row r="705" ht="15.75" customHeight="1">
      <c r="A705" s="1">
        <v>703.0</v>
      </c>
      <c r="B705" s="3" t="s">
        <v>706</v>
      </c>
      <c r="C705" s="3" t="str">
        <f>IFERROR(__xludf.DUMMYFUNCTION("GOOGLETRANSLATE(B705,""id"",""en"")"),"['Kirain', 'Disruption', 'Yakali', 'info', 'quota', 'delay', 'really', 'see', 'Telkomsel', 'MB', 'brapa', 'Abis',' then ',' sucked ',' pulse ',' reduced ',' check ',' Telkomselwalau ',' open ',' apps', 'connected', 'internet', 'ntar', 'abis',' sucked ' , "&amp;"'pulses', 'wahaha', 'inconsequently', 'Telkomsel']")</f>
        <v>['Kirain', 'Disruption', 'Yakali', 'info', 'quota', 'delay', 'really', 'see', 'Telkomsel', 'MB', 'brapa', 'Abis',' then ',' sucked ',' pulse ',' reduced ',' check ',' Telkomselwalau ',' open ',' apps', 'connected', 'internet', 'ntar', 'abis',' sucked ' , 'pulses', 'wahaha', 'inconsequently', 'Telkomsel']</v>
      </c>
      <c r="D705" s="3">
        <v>1.0</v>
      </c>
    </row>
    <row r="706" ht="15.75" customHeight="1">
      <c r="A706" s="1">
        <v>704.0</v>
      </c>
      <c r="B706" s="3" t="s">
        <v>707</v>
      </c>
      <c r="C706" s="3" t="str">
        <f>IFERROR(__xludf.DUMMYFUNCTION("GOOGLETRANSLATE(B706,""id"",""en"")"),"['price', 'package', 'according to', 'quality', 'connection', 'connection', 'ugly', 'network', 'taste', 'level', 'quality', 'price', ' Ride in ',' ']")</f>
        <v>['price', 'package', 'according to', 'quality', 'connection', 'connection', 'ugly', 'network', 'taste', 'level', 'quality', 'price', ' Ride in ',' ']</v>
      </c>
      <c r="D706" s="3">
        <v>1.0</v>
      </c>
    </row>
    <row r="707" ht="15.75" customHeight="1">
      <c r="A707" s="1">
        <v>705.0</v>
      </c>
      <c r="B707" s="3" t="s">
        <v>708</v>
      </c>
      <c r="C707" s="3" t="str">
        <f>IFERROR(__xludf.DUMMYFUNCTION("GOOGLETRANSLATE(B707,""id"",""en"")"),"['Mari', 'choose', 'service', 'network', 'service', 'network', 'garbage', 'wrong', 'user', 'card', 'sympathy', 'moved', ' operator ',' convenience ',' user ',' accept ',' love ',' card ',' contachol ',' package ',' expensive ',' service ',' kayak ',' rubb"&amp;"ish ' , '']")</f>
        <v>['Mari', 'choose', 'service', 'network', 'service', 'network', 'garbage', 'wrong', 'user', 'card', 'sympathy', 'moved', ' operator ',' convenience ',' user ',' accept ',' love ',' card ',' contachol ',' package ',' expensive ',' service ',' kayak ',' rubbish ' , '']</v>
      </c>
      <c r="D707" s="3">
        <v>1.0</v>
      </c>
    </row>
    <row r="708" ht="15.75" customHeight="1">
      <c r="A708" s="1">
        <v>706.0</v>
      </c>
      <c r="B708" s="3" t="s">
        <v>709</v>
      </c>
      <c r="C708" s="3" t="str">
        <f>IFERROR(__xludf.DUMMYFUNCTION("GOOGLETRANSLATE(B708,""id"",""en"")"),"['Disappointed', 'really', 'quota', 'ladies', 'unlimited', 'Tiktok', 'customer', 'loyal', 'Telkomsel', 'ngeecewain']")</f>
        <v>['Disappointed', 'really', 'quota', 'ladies', 'unlimited', 'Tiktok', 'customer', 'loyal', 'Telkomsel', 'ngeecewain']</v>
      </c>
      <c r="D708" s="3">
        <v>1.0</v>
      </c>
    </row>
    <row r="709" ht="15.75" customHeight="1">
      <c r="A709" s="1">
        <v>707.0</v>
      </c>
      <c r="B709" s="3" t="s">
        <v>710</v>
      </c>
      <c r="C709" s="3" t="str">
        <f>IFERROR(__xludf.DUMMYFUNCTION("GOOGLETRANSLATE(B709,""id"",""en"")"),"['Application', 'verification', 'verification', 'Link', 'sent', 'sms',' use ',' modem ',' restless', 'take', 'card', 'modem', ' Mindai ',' Card ',' Verivikasi ',' Please ',' Telkomsel ',' Verification ',' Card ',' Use ',' Modem ',' Ribet ',' Pinda ',' Car"&amp;"d ', ""]")</f>
        <v>['Application', 'verification', 'verification', 'Link', 'sent', 'sms',' use ',' modem ',' restless', 'take', 'card', 'modem', ' Mindai ',' Card ',' Verivikasi ',' Please ',' Telkomsel ',' Verification ',' Card ',' Use ',' Modem ',' Ribet ',' Pinda ',' Card ', "]</v>
      </c>
      <c r="D709" s="3">
        <v>1.0</v>
      </c>
    </row>
    <row r="710" ht="15.75" customHeight="1">
      <c r="A710" s="1">
        <v>708.0</v>
      </c>
      <c r="B710" s="3" t="s">
        <v>711</v>
      </c>
      <c r="C710" s="3" t="str">
        <f>IFERROR(__xludf.DUMMYFUNCTION("GOOGLETRANSLATE(B710,""id"",""en"")"),"['signal', 'Telkomsel', 'NTB', 'Lombok', 'West', 'Severe', 'Bad', 'really', 'see', 'Severe', 'Wassalam', 'Switch', ' inhabitant', '']")</f>
        <v>['signal', 'Telkomsel', 'NTB', 'Lombok', 'West', 'Severe', 'Bad', 'really', 'see', 'Severe', 'Wassalam', 'Switch', ' inhabitant', '']</v>
      </c>
      <c r="D710" s="3">
        <v>1.0</v>
      </c>
    </row>
    <row r="711" ht="15.75" customHeight="1">
      <c r="A711" s="1">
        <v>709.0</v>
      </c>
      <c r="B711" s="3" t="s">
        <v>712</v>
      </c>
      <c r="C711" s="3" t="str">
        <f>IFERROR(__xludf.DUMMYFUNCTION("GOOGLETRANSLATE(B711,""id"",""en"")"),"['Update', 'pointny', 'missing', 'signalny', 'slow', 'backward', 'nih', 'quality', 'Telkomsel', 'disappointed', ""]")</f>
        <v>['Update', 'pointny', 'missing', 'signalny', 'slow', 'backward', 'nih', 'quality', 'Telkomsel', 'disappointed', "]</v>
      </c>
      <c r="D711" s="3">
        <v>1.0</v>
      </c>
    </row>
    <row r="712" ht="15.75" customHeight="1">
      <c r="A712" s="1">
        <v>710.0</v>
      </c>
      <c r="B712" s="3" t="s">
        <v>713</v>
      </c>
      <c r="C712" s="3" t="str">
        <f>IFERROR(__xludf.DUMMYFUNCTION("GOOGLETRANSLATE(B712,""id"",""en"")"),"['please', 'Telkomsel', 'product', 'sold', 'according to', 'description', 'buy', 'package', 'writing', 'voucher', 'game', 'lifeafter', ' Buy ',' Get ',' Voucher ',' Get ',' Notif ',' Sorry ',' Voucher ',' Available ',' Out ',' Fraud ',' His name ', ""]")</f>
        <v>['please', 'Telkomsel', 'product', 'sold', 'according to', 'description', 'buy', 'package', 'writing', 'voucher', 'game', 'lifeafter', ' Buy ',' Get ',' Voucher ',' Get ',' Notif ',' Sorry ',' Voucher ',' Available ',' Out ',' Fraud ',' His name ', "]</v>
      </c>
      <c r="D712" s="3">
        <v>1.0</v>
      </c>
    </row>
    <row r="713" ht="15.75" customHeight="1">
      <c r="A713" s="1">
        <v>711.0</v>
      </c>
      <c r="B713" s="3" t="s">
        <v>714</v>
      </c>
      <c r="C713" s="3" t="str">
        <f>IFERROR(__xludf.DUMMYFUNCTION("GOOGLETRANSLATE(B713,""id"",""en"")"),"['', 'already', 'Error', 'Credit', 'Cut', 'Mulu', 'Rb', 'Rb', 'Kali', 'Kga', 'Remnant', 'Credit', 'Rb ',' Kga ',' leftover ',' take ',' change ',' that's', 'hooked']")</f>
        <v>['', 'already', 'Error', 'Credit', 'Cut', 'Mulu', 'Rb', 'Rb', 'Kali', 'Kga', 'Remnant', 'Credit', 'Rb ',' Kga ',' leftover ',' take ',' change ',' that's', 'hooked']</v>
      </c>
      <c r="D713" s="3">
        <v>1.0</v>
      </c>
    </row>
    <row r="714" ht="15.75" customHeight="1">
      <c r="A714" s="1">
        <v>712.0</v>
      </c>
      <c r="B714" s="3" t="s">
        <v>715</v>
      </c>
      <c r="C714" s="3" t="str">
        <f>IFERROR(__xludf.DUMMYFUNCTION("GOOGLETRANSLATE(B714,""id"",""en"")"),"['Sorry', 'Telkomsel', 'The network', 'ugly', 'quota', 'GB', 'open', 'Story', 'really', 'send', 'sticker', 'Muterny', ' God ',' Honey ',' really ',' quota ',' GB ', ""]")</f>
        <v>['Sorry', 'Telkomsel', 'The network', 'ugly', 'quota', 'GB', 'open', 'Story', 'really', 'send', 'sticker', 'Muterny', ' God ',' Honey ',' really ',' quota ',' GB ', "]</v>
      </c>
      <c r="D714" s="3">
        <v>1.0</v>
      </c>
    </row>
    <row r="715" ht="15.75" customHeight="1">
      <c r="A715" s="1">
        <v>713.0</v>
      </c>
      <c r="B715" s="3" t="s">
        <v>716</v>
      </c>
      <c r="C715" s="3" t="str">
        <f>IFERROR(__xludf.DUMMYFUNCTION("GOOGLETRANSLATE(B715,""id"",""en"")"),"['ugly', 'really', 'oath', 'signal', 'home', 'era', 'Jambi', 'south', 'paal', 'red', 'city', 'Jambi', ' Masil ',' Signal ',' Telkom ',' ugly ',' Nian ',' City ',' City ',' Jambi ',' Since ',' ulimitid ',' Ad ',' according to ',' signal ' , 'Severe', 'real"&amp;"ly', 'Telkomsel', 'Kayak', 'Gini', 'Cook', 'Lost', 'Tri', 'Smarrfern', 'Segogan', 'Kyk', 'Original', ' transmart ',' signal ',' tri ',' tri ',' building ',' trans', 'dak', 'signal', 'tri', 'telkom', 'error', ""]")</f>
        <v>['ugly', 'really', 'oath', 'signal', 'home', 'era', 'Jambi', 'south', 'paal', 'red', 'city', 'Jambi', ' Masil ',' Signal ',' Telkom ',' ugly ',' Nian ',' City ',' City ',' Jambi ',' Since ',' ulimitid ',' Ad ',' according to ',' signal ' , 'Severe', 'really', 'Telkomsel', 'Kayak', 'Gini', 'Cook', 'Lost', 'Tri', 'Smarrfern', 'Segogan', 'Kyk', 'Original', ' transmart ',' signal ',' tri ',' tri ',' building ',' trans', 'dak', 'signal', 'tri', 'telkom', 'error', "]</v>
      </c>
      <c r="D715" s="3">
        <v>1.0</v>
      </c>
    </row>
    <row r="716" ht="15.75" customHeight="1">
      <c r="A716" s="1">
        <v>714.0</v>
      </c>
      <c r="B716" s="3" t="s">
        <v>717</v>
      </c>
      <c r="C716" s="3" t="str">
        <f>IFERROR(__xludf.DUMMYFUNCTION("GOOGLETRANSLATE(B716,""id"",""en"")"),"['Sorry', 'love', 'DLU', 'user', 'App', 'Tsel', 'join', 'Install', 'App', 'Tsel', 'How', 'Cutting', ' Entering ',' Code ',' Voucher ',' Rendeem ',' Code ',' Voucher ',' Can ',' PSN ',' Enter ',' Via ',' SMS ',' Dri ',' Tsel ' , 'Exchange', 'App', 'Tsel', "&amp;"'Difficult', 'understand', 'Developer', 'App', 'Tsel', 'Please', 'Help', 'Solution', 'GMNA', ' Trim ',' ']")</f>
        <v>['Sorry', 'love', 'DLU', 'user', 'App', 'Tsel', 'join', 'Install', 'App', 'Tsel', 'How', 'Cutting', ' Entering ',' Code ',' Voucher ',' Rendeem ',' Code ',' Voucher ',' Can ',' PSN ',' Enter ',' Via ',' SMS ',' Dri ',' Tsel ' , 'Exchange', 'App', 'Tsel', 'Difficult', 'understand', 'Developer', 'App', 'Tsel', 'Please', 'Help', 'Solution', 'GMNA', ' Trim ',' ']</v>
      </c>
      <c r="D716" s="3">
        <v>3.0</v>
      </c>
    </row>
    <row r="717" ht="15.75" customHeight="1">
      <c r="A717" s="1">
        <v>715.0</v>
      </c>
      <c r="B717" s="3" t="s">
        <v>718</v>
      </c>
      <c r="C717" s="3" t="str">
        <f>IFERROR(__xludf.DUMMYFUNCTION("GOOGLETRANSLATE(B717,""id"",""en"")"),"['package', 'quota', 'bought', 'PLG', 'wasted', 'vain', 'buy', 'package', 'finished', 'tsel', 'first', 'ADL', ' package ',' newest ',' where ',' provider ',' package ',' date ',' buy ',' plg ',' first ',' finished ',' package ',' date ',' buy ' , 'the lat"&amp;"est', 'network', 'slow', 'service', 'tsel', 'already', 'change', 'star', ""]")</f>
        <v>['package', 'quota', 'bought', 'PLG', 'wasted', 'vain', 'buy', 'package', 'finished', 'tsel', 'first', 'ADL', ' package ',' newest ',' where ',' provider ',' package ',' date ',' buy ',' plg ',' first ',' finished ',' package ',' date ',' buy ' , 'the latest', 'network', 'slow', 'service', 'tsel', 'already', 'change', 'star', "]</v>
      </c>
      <c r="D717" s="3">
        <v>1.0</v>
      </c>
    </row>
    <row r="718" ht="15.75" customHeight="1">
      <c r="A718" s="1">
        <v>716.0</v>
      </c>
      <c r="B718" s="3" t="s">
        <v>719</v>
      </c>
      <c r="C718" s="3" t="str">
        <f>IFERROR(__xludf.DUMMYFUNCTION("GOOGLETRANSLATE(B718,""id"",""en"")"),"['Lottery', 'Exchange', 'Points',' Age ',' Gift ',' Hoak ',' Signal ',' Bad ',' Tlg ',' Keep ',' Quality ',' Quality ',' ']")</f>
        <v>['Lottery', 'Exchange', 'Points',' Age ',' Gift ',' Hoak ',' Signal ',' Bad ',' Tlg ',' Keep ',' Quality ',' Quality ',' ']</v>
      </c>
      <c r="D718" s="3">
        <v>1.0</v>
      </c>
    </row>
    <row r="719" ht="15.75" customHeight="1">
      <c r="A719" s="1">
        <v>717.0</v>
      </c>
      <c r="B719" s="3" t="s">
        <v>720</v>
      </c>
      <c r="C719" s="3" t="str">
        <f>IFERROR(__xludf.DUMMYFUNCTION("GOOGLETRANSLATE(B719,""id"",""en"")"),"['Available', 'usage', 'transaction', 'check', 'a month', 'use', 'pulse', 'management', 'disappear', 'pulse', 'use', 'internet', ' quota ',' cut ',' pulse ',' a month ',' lost ',' pulse ',' until ',' rb ',' usage ',' internet ',' quota ',' good ',' sellin"&amp;"g ' , 'looting', 'pulse', 'covert', 'that's', 'deh', 'thanks', 'loo']")</f>
        <v>['Available', 'usage', 'transaction', 'check', 'a month', 'use', 'pulse', 'management', 'disappear', 'pulse', 'use', 'internet', ' quota ',' cut ',' pulse ',' a month ',' lost ',' pulse ',' until ',' rb ',' usage ',' internet ',' quota ',' good ',' selling ' , 'looting', 'pulse', 'covert', 'that's', 'deh', 'thanks', 'loo']</v>
      </c>
      <c r="D719" s="3">
        <v>1.0</v>
      </c>
    </row>
    <row r="720" ht="15.75" customHeight="1">
      <c r="A720" s="1">
        <v>718.0</v>
      </c>
      <c r="B720" s="3" t="s">
        <v>721</v>
      </c>
      <c r="C720" s="3" t="str">
        <f>IFERROR(__xludf.DUMMYFUNCTION("GOOGLETRANSLATE(B720,""id"",""en"")"),"['What', 'SIH', 'Network', 'Down', 'Gini', 'Telkomsel', 'Price', 'Package', 'Expensive', 'Guarantee', 'Quality', 'Network', ' down ',' parahhh ',' disappointed ',' quality ',' network ',' Telkomsel ',' ']")</f>
        <v>['What', 'SIH', 'Network', 'Down', 'Gini', 'Telkomsel', 'Price', 'Package', 'Expensive', 'Guarantee', 'Quality', 'Network', ' down ',' parahhh ',' disappointed ',' quality ',' network ',' Telkomsel ',' ']</v>
      </c>
      <c r="D720" s="3">
        <v>1.0</v>
      </c>
    </row>
    <row r="721" ht="15.75" customHeight="1">
      <c r="A721" s="1">
        <v>719.0</v>
      </c>
      <c r="B721" s="3" t="s">
        <v>722</v>
      </c>
      <c r="C721" s="3" t="str">
        <f>IFERROR(__xludf.DUMMYFUNCTION("GOOGLETRANSLATE(B721,""id"",""en"")"),"['Operator', 'Helped', 'Price', 'Package', 'Expensive', 'Network', 'Benik', 'Since', 'Corona', 'Telkomsel', 'Decline', 'Operator', ' Gini ',' expected ',' reasons', 'banyk', 'conjunction', 'network', 'together', 'maslah', 'consumer', 'willing', 'pay', 'ex"&amp;"pensive', 'buy' , 'Products', 'Kenyanann', 'Network', 'Star', 'Minus', 'Love', 'Telkomsel', ""]")</f>
        <v>['Operator', 'Helped', 'Price', 'Package', 'Expensive', 'Network', 'Benik', 'Since', 'Corona', 'Telkomsel', 'Decline', 'Operator', ' Gini ',' expected ',' reasons', 'banyk', 'conjunction', 'network', 'together', 'maslah', 'consumer', 'willing', 'pay', 'expensive', 'buy' , 'Products', 'Kenyanann', 'Network', 'Star', 'Minus', 'Love', 'Telkomsel', "]</v>
      </c>
      <c r="D721" s="3">
        <v>1.0</v>
      </c>
    </row>
    <row r="722" ht="15.75" customHeight="1">
      <c r="A722" s="1">
        <v>720.0</v>
      </c>
      <c r="B722" s="3" t="s">
        <v>723</v>
      </c>
      <c r="C722" s="3" t="str">
        <f>IFERROR(__xludf.DUMMYFUNCTION("GOOGLETRANSLATE(B722,""id"",""en"")"),"['price', 'SMA', 'PAILANANAN', 'according to', 'Stiap', 'Video', 'Call', 'Always',' Reconecting ',' Ngegame ',' ping ',' stable ',' right ',' check ',' quota ',' bnyak ',' signal ',' location ',' capital ',' jakbar ',' TPI ',' signal ',' kek ',' disconnec"&amp;"ted ',' shame ' , 'SMA', 'title', 'provider', 'the oldest', 'TPI', 'signal', 'bad', 'oath', 'oath', 'price', 'sell', 'according to' Services', 'expensive', 'but', 'zonk', 'I', 'love', 'star', 'high school', 'skali', 'tlong', 'piversity', 'according to', '"&amp;"price' , 'sold', 'Indihome', 'Jga', 'high school', 'Lola', ""]")</f>
        <v>['price', 'SMA', 'PAILANANAN', 'according to', 'Stiap', 'Video', 'Call', 'Always',' Reconecting ',' Ngegame ',' ping ',' stable ',' right ',' check ',' quota ',' bnyak ',' signal ',' location ',' capital ',' jakbar ',' TPI ',' signal ',' kek ',' disconnected ',' shame ' , 'SMA', 'title', 'provider', 'the oldest', 'TPI', 'signal', 'bad', 'oath', 'oath', 'price', 'sell', 'according to' Services', 'expensive', 'but', 'zonk', 'I', 'love', 'star', 'high school', 'skali', 'tlong', 'piversity', 'according to', 'price' , 'sold', 'Indihome', 'Jga', 'high school', 'Lola', "]</v>
      </c>
      <c r="D722" s="3">
        <v>1.0</v>
      </c>
    </row>
    <row r="723" ht="15.75" customHeight="1">
      <c r="A723" s="1">
        <v>721.0</v>
      </c>
      <c r="B723" s="3" t="s">
        <v>724</v>
      </c>
      <c r="C723" s="3" t="str">
        <f>IFERROR(__xludf.DUMMYFUNCTION("GOOGLETRANSLATE(B723,""id"",""en"")"),"['Jaringa', 'ugly', 'play', 'mobile', 'Legen', 'run out', 'change', 'card', 'expensive', 'network', 'quality', 'chat', ' Veronika ',' tar ',' run out ',' package ',' waste ',' card ',' tired ',' network ',' smooth ',' play ',' mobile ',' Legen ']")</f>
        <v>['Jaringa', 'ugly', 'play', 'mobile', 'Legen', 'run out', 'change', 'card', 'expensive', 'network', 'quality', 'chat', ' Veronika ',' tar ',' run out ',' package ',' waste ',' card ',' tired ',' network ',' smooth ',' play ',' mobile ',' Legen ']</v>
      </c>
      <c r="D723" s="3">
        <v>1.0</v>
      </c>
    </row>
    <row r="724" ht="15.75" customHeight="1">
      <c r="A724" s="1">
        <v>722.0</v>
      </c>
      <c r="B724" s="3" t="s">
        <v>725</v>
      </c>
      <c r="C724" s="3" t="str">
        <f>IFERROR(__xludf.DUMMYFUNCTION("GOOGLETRANSLATE(B724,""id"",""en"")"),"['Come', 'ugly', 'Telkomsel', 'win', 'signal', 'doang', 'game', 'buy', 'package', 'expensive', 'slow', 'already', ' run out ',' fast ',' really ',' already ',' taun ',' pakek ',' loop ',' different ',' kek ',' game ',' heavy ',' really ',' ping it ' , 'Me"&amp;"nding', 'Change', 'OPrator', 'Sebit']")</f>
        <v>['Come', 'ugly', 'Telkomsel', 'win', 'signal', 'doang', 'game', 'buy', 'package', 'expensive', 'slow', 'already', ' run out ',' fast ',' really ',' already ',' taun ',' pakek ',' loop ',' different ',' kek ',' game ',' heavy ',' really ',' ping it ' , 'Mending', 'Change', 'OPrator', 'Sebit']</v>
      </c>
      <c r="D724" s="3">
        <v>1.0</v>
      </c>
    </row>
    <row r="725" ht="15.75" customHeight="1">
      <c r="A725" s="1">
        <v>723.0</v>
      </c>
      <c r="B725" s="3" t="s">
        <v>726</v>
      </c>
      <c r="C725" s="3" t="str">
        <f>IFERROR(__xludf.DUMMYFUNCTION("GOOGLETRANSLATE(B725,""id"",""en"")"),"['Severe', 'original', 'pandemic', 'gini', 'hope', 'network', 'signal', 'good', 'severe', 'quota', 'Telkomsel', 'area', ' expensive ',' njir ',' already ',' expensive ',' network ',' slow ',' disorder ',' SAK ',' bet ', ""]")</f>
        <v>['Severe', 'original', 'pandemic', 'gini', 'hope', 'network', 'signal', 'good', 'severe', 'quota', 'Telkomsel', 'area', ' expensive ',' njir ',' already ',' expensive ',' network ',' slow ',' disorder ',' SAK ',' bet ', "]</v>
      </c>
      <c r="D725" s="3">
        <v>1.0</v>
      </c>
    </row>
    <row r="726" ht="15.75" customHeight="1">
      <c r="A726" s="1">
        <v>724.0</v>
      </c>
      <c r="B726" s="3" t="s">
        <v>727</v>
      </c>
      <c r="C726" s="3" t="str">
        <f>IFERROR(__xludf.DUMMYFUNCTION("GOOGLETRANSLATE(B726,""id"",""en"")"),"['intend', 'quota', 'game', 'quota', 'game', 'cheap', 'quality', 'cheap', 'no', 'understand', 'cave', 'right', ' Enter ',' game ',' enter ',' match ',' smooth ',' quota ',' main ',' lie ',' base ',' artisan ',' kibul ']")</f>
        <v>['intend', 'quota', 'game', 'quota', 'game', 'cheap', 'quality', 'cheap', 'no', 'understand', 'cave', 'right', ' Enter ',' game ',' enter ',' match ',' smooth ',' quota ',' main ',' lie ',' base ',' artisan ',' kibul ']</v>
      </c>
      <c r="D726" s="3">
        <v>1.0</v>
      </c>
    </row>
    <row r="727" ht="15.75" customHeight="1">
      <c r="A727" s="1">
        <v>725.0</v>
      </c>
      <c r="B727" s="3" t="s">
        <v>728</v>
      </c>
      <c r="C727" s="3" t="str">
        <f>IFERROR(__xludf.DUMMYFUNCTION("GOOGLETRANSLATE(B727,""id"",""en"")"),"['price', 'package', 'offered', 'expensive', 'service', 'signal', 'network', 'stable', 'Telkomsel', 'network', 'internet', 'lost', ' Appearing ',' missing ',' appears', 'bad', 'price', 'compete', 'service', 'provider', 'Not bad', 'disappointed', 'service'"&amp;", 'Telkomsel', 'lowering' , 'price', 'package', 'internet', 'offered', 'service', 'signal', '']")</f>
        <v>['price', 'package', 'offered', 'expensive', 'service', 'signal', 'network', 'stable', 'Telkomsel', 'network', 'internet', 'lost', ' Appearing ',' missing ',' appears', 'bad', 'price', 'compete', 'service', 'provider', 'Not bad', 'disappointed', 'service', 'Telkomsel', 'lowering' , 'price', 'package', 'internet', 'offered', 'service', 'signal', '']</v>
      </c>
      <c r="D727" s="3">
        <v>1.0</v>
      </c>
    </row>
    <row r="728" ht="15.75" customHeight="1">
      <c r="A728" s="1">
        <v>726.0</v>
      </c>
      <c r="B728" s="3" t="s">
        <v>729</v>
      </c>
      <c r="C728" s="3" t="str">
        <f>IFERROR(__xludf.DUMMYFUNCTION("GOOGLETRANSLATE(B728,""id"",""en"")"),"['Telkomsel', 'price', 'expensive', 'quality', 'lose', 'smartfren', 'home', 'jaringn', 'Telkomsel', 'good', 'office', 'user', ' cheated ',' lure ',' lure ',' hello ',' postpaid ',' network ',' priority ',' mandatory ',' pay ',' quota ',' little ',' price "&amp;"',' expensive ' , 'Lose', 'Smartfren', 'RB', 'Unlimited', 'comment', 'complaint', 'improvement', 'cheated', 'quota', 'entertainment', ""]")</f>
        <v>['Telkomsel', 'price', 'expensive', 'quality', 'lose', 'smartfren', 'home', 'jaringn', 'Telkomsel', 'good', 'office', 'user', ' cheated ',' lure ',' lure ',' hello ',' postpaid ',' network ',' priority ',' mandatory ',' pay ',' quota ',' little ',' price ',' expensive ' , 'Lose', 'Smartfren', 'RB', 'Unlimited', 'comment', 'complaint', 'improvement', 'cheated', 'quota', 'entertainment', "]</v>
      </c>
      <c r="D728" s="3">
        <v>1.0</v>
      </c>
    </row>
    <row r="729" ht="15.75" customHeight="1">
      <c r="A729" s="1">
        <v>727.0</v>
      </c>
      <c r="B729" s="3" t="s">
        <v>730</v>
      </c>
      <c r="C729" s="3" t="str">
        <f>IFERROR(__xludf.DUMMYFUNCTION("GOOGLETRANSLATE(B729,""id"",""en"")"),"['expensive', 'Telkomsel', 'Woy', 'minus',' pulse ',' safe ',' guard ',' security ',' credit ',' user ',' negligent ',' senility ',' Gini ',' forget ',' buy ',' Package ',' pulse ',' Tack ',' pulses', 'quota', 'run out', 'warning', 'directly', 'play', 'pu"&amp;"ll' , 'pulse', 'please', 'policy', 'that's']")</f>
        <v>['expensive', 'Telkomsel', 'Woy', 'minus',' pulse ',' safe ',' guard ',' security ',' credit ',' user ',' negligent ',' senility ',' Gini ',' forget ',' buy ',' Package ',' pulse ',' Tack ',' pulses', 'quota', 'run out', 'warning', 'directly', 'play', 'pull' , 'pulse', 'please', 'policy', 'that's']</v>
      </c>
      <c r="D729" s="3">
        <v>1.0</v>
      </c>
    </row>
    <row r="730" ht="15.75" customHeight="1">
      <c r="A730" s="1">
        <v>728.0</v>
      </c>
      <c r="B730" s="3" t="s">
        <v>731</v>
      </c>
      <c r="C730" s="3" t="str">
        <f>IFERROR(__xludf.DUMMYFUNCTION("GOOGLETRANSLATE(B730,""id"",""en"")"),"['Thinking', 'Telkomsel', 'is fair', 'cheap', 'compared', 'provider', 'gave', 'quality', 'bad', 'user', 'regret', 'Telkomsel', ' Mending ',' moved ',' provider ',' cheap ',' gave ',' quality ',' signal ',' okay ',' package ',' expensive ',' signal ',' ila"&amp;"ng ',' Telkomsel ' , 'That is all and thank you']")</f>
        <v>['Thinking', 'Telkomsel', 'is fair', 'cheap', 'compared', 'provider', 'gave', 'quality', 'bad', 'user', 'regret', 'Telkomsel', ' Mending ',' moved ',' provider ',' cheap ',' gave ',' quality ',' signal ',' okay ',' package ',' expensive ',' signal ',' ilang ',' Telkomsel ' , 'That is all and thank you']</v>
      </c>
      <c r="D730" s="3">
        <v>1.0</v>
      </c>
    </row>
    <row r="731" ht="15.75" customHeight="1">
      <c r="A731" s="1">
        <v>729.0</v>
      </c>
      <c r="B731" s="3" t="s">
        <v>732</v>
      </c>
      <c r="C731" s="3" t="str">
        <f>IFERROR(__xludf.DUMMYFUNCTION("GOOGLETRANSLATE(B731,""id"",""en"")"),"['Sorry', 'Love', 'Star', 'Telkomsel', 'Error', 'Please', 'As soon as',' Overcome ',' Normal ',' Love ',' Bintang ',' Thank you ',' ']")</f>
        <v>['Sorry', 'Love', 'Star', 'Telkomsel', 'Error', 'Please', 'As soon as',' Overcome ',' Normal ',' Love ',' Bintang ',' Thank you ',' ']</v>
      </c>
      <c r="D731" s="3">
        <v>1.0</v>
      </c>
    </row>
    <row r="732" ht="15.75" customHeight="1">
      <c r="A732" s="1">
        <v>730.0</v>
      </c>
      <c r="B732" s="3" t="s">
        <v>733</v>
      </c>
      <c r="C732" s="3" t="str">
        <f>IFERROR(__xludf.DUMMYFUNCTION("GOOGLETRANSLATE(B732,""id"",""en"")"),"['Telkomsel', 'price', 'expensive', 'service', 'network', 'kacauuuu', 'lost', 'slow', 'comparable', 'price', 'hope', 'competitor', ' More ',' Mantab ',' ']")</f>
        <v>['Telkomsel', 'price', 'expensive', 'service', 'network', 'kacauuuu', 'lost', 'slow', 'comparable', 'price', 'hope', 'competitor', ' More ',' Mantab ',' ']</v>
      </c>
      <c r="D732" s="3">
        <v>1.0</v>
      </c>
    </row>
    <row r="733" ht="15.75" customHeight="1">
      <c r="A733" s="1">
        <v>731.0</v>
      </c>
      <c r="B733" s="3" t="s">
        <v>734</v>
      </c>
      <c r="C733" s="3" t="str">
        <f>IFERROR(__xludf.DUMMYFUNCTION("GOOGLETRANSLATE(B733,""id"",""en"")"),"['heavy', 'application', 'shy', 'operator', 'biggest', 'Indonesia', 'application', 'rich', 'intention', 'dapt', 'sms',' combo ',' Sakti ',' right ',' open ',' application ',' package ',' internet ',' omg ',' bsa ',' sync ',' rich ',' gini ',' severe ',' '"&amp;"]")</f>
        <v>['heavy', 'application', 'shy', 'operator', 'biggest', 'Indonesia', 'application', 'rich', 'intention', 'dapt', 'sms',' combo ',' Sakti ',' right ',' open ',' application ',' package ',' internet ',' omg ',' bsa ',' sync ',' rich ',' gini ',' severe ',' ']</v>
      </c>
      <c r="D733" s="3">
        <v>1.0</v>
      </c>
    </row>
    <row r="734" ht="15.75" customHeight="1">
      <c r="A734" s="1">
        <v>732.0</v>
      </c>
      <c r="B734" s="3" t="s">
        <v>735</v>
      </c>
      <c r="C734" s="3" t="str">
        <f>IFERROR(__xludf.DUMMYFUNCTION("GOOGLETRANSLATE(B734,""id"",""en"")"),"['Network', 'Telkomsel', 'Severe', 'internet', 'network', 'please', 'repair', 'user', 'biggest', 'Indonesia', 'Telkomsel', ""]")</f>
        <v>['Network', 'Telkomsel', 'Severe', 'internet', 'network', 'please', 'repair', 'user', 'biggest', 'Indonesia', 'Telkomsel', "]</v>
      </c>
      <c r="D734" s="3">
        <v>1.0</v>
      </c>
    </row>
    <row r="735" ht="15.75" customHeight="1">
      <c r="A735" s="1">
        <v>733.0</v>
      </c>
      <c r="B735" s="3" t="s">
        <v>736</v>
      </c>
      <c r="C735" s="3" t="str">
        <f>IFERROR(__xludf.DUMMYFUNCTION("GOOGLETRANSLATE(B735,""id"",""en"")"),"['Telkomsel', 'disappointing', 'no', 'given', 'service', 'internet', 'network', 'dilapidated', 'beg', 'sorry', 'network', 'good', ' card ',' card ',' card ',' times', 'disappointed', 'network', 'Telkomsel']")</f>
        <v>['Telkomsel', 'disappointing', 'no', 'given', 'service', 'internet', 'network', 'dilapidated', 'beg', 'sorry', 'network', 'good', ' card ',' card ',' card ',' times', 'disappointed', 'network', 'Telkomsel']</v>
      </c>
      <c r="D735" s="3">
        <v>1.0</v>
      </c>
    </row>
    <row r="736" ht="15.75" customHeight="1">
      <c r="A736" s="1">
        <v>734.0</v>
      </c>
      <c r="B736" s="3" t="s">
        <v>737</v>
      </c>
      <c r="C736" s="3" t="str">
        <f>IFERROR(__xludf.DUMMYFUNCTION("GOOGLETRANSLATE(B736,""id"",""en"")"),"['Provider', 'Mending', 'Moving', 'Talking', 'Rough', 'Telkomsel', 'Already', 'Price', 'Package', 'Etc.', 'Expensive', 'Signal', ' already ',' good ',' gada ',' response ',' developer ',' pulp ',' anything ']")</f>
        <v>['Provider', 'Mending', 'Moving', 'Talking', 'Rough', 'Telkomsel', 'Already', 'Price', 'Package', 'Etc.', 'Expensive', 'Signal', ' already ',' good ',' gada ',' response ',' developer ',' pulp ',' anything ']</v>
      </c>
      <c r="D736" s="3">
        <v>1.0</v>
      </c>
    </row>
    <row r="737" ht="15.75" customHeight="1">
      <c r="A737" s="1">
        <v>735.0</v>
      </c>
      <c r="B737" s="3" t="s">
        <v>738</v>
      </c>
      <c r="C737" s="3" t="str">
        <f>IFERROR(__xludf.DUMMYFUNCTION("GOOGLETRANSLATE(B737,""id"",""en"")"),"['application', 'bad', 'detrimental', 'customer', 'regret', 'migration', 'passpaid', 'verification', 'mbanking', 'wrong', 'bank', 'sms',' Sent ',' Confirmation ',' Quota ',' Exceeded ',' Limit ',' Use ',' SMS ',' Verification ',' Waiting ',' Disappointing"&amp;" ',' Migration ',' Prepaid ',' I mean ' , '']")</f>
        <v>['application', 'bad', 'detrimental', 'customer', 'regret', 'migration', 'passpaid', 'verification', 'mbanking', 'wrong', 'bank', 'sms',' Sent ',' Confirmation ',' Quota ',' Exceeded ',' Limit ',' Use ',' SMS ',' Verification ',' Waiting ',' Disappointing ',' Migration ',' Prepaid ',' I mean ' , '']</v>
      </c>
      <c r="D737" s="3">
        <v>1.0</v>
      </c>
    </row>
    <row r="738" ht="15.75" customHeight="1">
      <c r="A738" s="1">
        <v>736.0</v>
      </c>
      <c r="B738" s="3" t="s">
        <v>739</v>
      </c>
      <c r="C738" s="3" t="str">
        <f>IFERROR(__xludf.DUMMYFUNCTION("GOOGLETRANSLATE(B738,""id"",""en"")"),"['use', 'package', 'call', 'min', 'sms',' right ',' use ',' telf ',' sms', 'use', 'package', 'change', ' Please, 'Fix', '']")</f>
        <v>['use', 'package', 'call', 'min', 'sms',' right ',' use ',' telf ',' sms', 'use', 'package', 'change', ' Please, 'Fix', '']</v>
      </c>
      <c r="D738" s="3">
        <v>2.0</v>
      </c>
    </row>
    <row r="739" ht="15.75" customHeight="1">
      <c r="A739" s="1">
        <v>737.0</v>
      </c>
      <c r="B739" s="3" t="s">
        <v>740</v>
      </c>
      <c r="C739" s="3" t="str">
        <f>IFERROR(__xludf.DUMMYFUNCTION("GOOGLETRANSLATE(B739,""id"",""en"")"),"['Live', 'Live', 'Chat', 'Fix', 'response', 'oldaaaa', 'according to', 'name', 'Telkomsel', 'embarrassing', 'company', 'Telkomsel', ' Live ',' chat ',' minus', 'eat', 'WKT', 'MNT', 'PDHL', 'org', 'hrs',' JWB ',' Live ',' chat ',' replace ' , 'Org', 'Handl"&amp;"e', 'Live', 'Chat', '']")</f>
        <v>['Live', 'Live', 'Chat', 'Fix', 'response', 'oldaaaa', 'according to', 'name', 'Telkomsel', 'embarrassing', 'company', 'Telkomsel', ' Live ',' chat ',' minus', 'eat', 'WKT', 'MNT', 'PDHL', 'org', 'hrs',' JWB ',' Live ',' chat ',' replace ' , 'Org', 'Handle', 'Live', 'Chat', '']</v>
      </c>
      <c r="D739" s="3">
        <v>1.0</v>
      </c>
    </row>
    <row r="740" ht="15.75" customHeight="1">
      <c r="A740" s="1">
        <v>738.0</v>
      </c>
      <c r="B740" s="3" t="s">
        <v>741</v>
      </c>
      <c r="C740" s="3" t="str">
        <f>IFERROR(__xludf.DUMMYFUNCTION("GOOGLETRANSLATE(B740,""id"",""en"")"),"['love', 'star', 'because' error ',' network ',' slow ',' really ',' signs ',' network ',' full ',' lohh ',' slow ',' Telkomsel ',' smooth ',' napa ',' yahh ',' then ',' buy ',' package ',' yahh ',' try ',' appear ',' hope ',' fix ',' buy ' , 'package', '"&amp;"expensive', 'netting', 'slow', 'gini', 'disappointed', 'regret', 'buy', 'package', 'internet', 'Telkomsel']")</f>
        <v>['love', 'star', 'because' error ',' network ',' slow ',' really ',' signs ',' network ',' full ',' lohh ',' slow ',' Telkomsel ',' smooth ',' napa ',' yahh ',' then ',' buy ',' package ',' yahh ',' try ',' appear ',' hope ',' fix ',' buy ' , 'package', 'expensive', 'netting', 'slow', 'gini', 'disappointed', 'regret', 'buy', 'package', 'internet', 'Telkomsel']</v>
      </c>
      <c r="D740" s="3">
        <v>1.0</v>
      </c>
    </row>
    <row r="741" ht="15.75" customHeight="1">
      <c r="A741" s="1">
        <v>739.0</v>
      </c>
      <c r="B741" s="3" t="s">
        <v>742</v>
      </c>
      <c r="C741" s="3" t="str">
        <f>IFERROR(__xludf.DUMMYFUNCTION("GOOGLETRANSLATE(B741,""id"",""en"")"),"['Sinynyal', 'right', 'Send', 'Message', 'Sent', 'Error', 'Bered', 'Mode', 'Plane', 'Gonta', 'Change', 'Signal', ' Even then ',' Direct ',' Please ',' FIXED ']")</f>
        <v>['Sinynyal', 'right', 'Send', 'Message', 'Sent', 'Error', 'Bered', 'Mode', 'Plane', 'Gonta', 'Change', 'Signal', ' Even then ',' Direct ',' Please ',' FIXED ']</v>
      </c>
      <c r="D741" s="3">
        <v>1.0</v>
      </c>
    </row>
    <row r="742" ht="15.75" customHeight="1">
      <c r="A742" s="1">
        <v>740.0</v>
      </c>
      <c r="B742" s="3" t="s">
        <v>743</v>
      </c>
      <c r="C742" s="3" t="str">
        <f>IFERROR(__xludf.DUMMYFUNCTION("GOOGLETRANSLATE(B742,""id"",""en"")"),"['Use', 'Telkomsel', 'Region', 'Sukabumi', 'Mending', 'Sinyal', 'Mengedrop', 'Play', 'Game', 'No "",' Worth ',' Paketan ',' expensive ',' signal ',' garbage ',' really ',' oath ', ""]")</f>
        <v>['Use', 'Telkomsel', 'Region', 'Sukabumi', 'Mending', 'Sinyal', 'Mengedrop', 'Play', 'Game', 'No ",' Worth ',' Paketan ',' expensive ',' signal ',' garbage ',' really ',' oath ', "]</v>
      </c>
      <c r="D742" s="3">
        <v>1.0</v>
      </c>
    </row>
    <row r="743" ht="15.75" customHeight="1">
      <c r="A743" s="1">
        <v>741.0</v>
      </c>
      <c r="B743" s="3" t="s">
        <v>744</v>
      </c>
      <c r="C743" s="3" t="str">
        <f>IFERROR(__xludf.DUMMYFUNCTION("GOOGLETRANSLATE(B743,""id"",""en"")"),"['best', 'hopefully', 'telkkmsel', 'network', 'aspect', 'package', 'data', 'telephone', 'manyin', 'promo', 'cheap', 'festive', ' Hopefully ',' Telkomsel ',' Jaya ',' Abadi ']")</f>
        <v>['best', 'hopefully', 'telkkmsel', 'network', 'aspect', 'package', 'data', 'telephone', 'manyin', 'promo', 'cheap', 'festive', ' Hopefully ',' Telkomsel ',' Jaya ',' Abadi ']</v>
      </c>
      <c r="D743" s="3">
        <v>5.0</v>
      </c>
    </row>
    <row r="744" ht="15.75" customHeight="1">
      <c r="A744" s="1">
        <v>742.0</v>
      </c>
      <c r="B744" s="3" t="s">
        <v>745</v>
      </c>
      <c r="C744" s="3" t="str">
        <f>IFERROR(__xludf.DUMMYFUNCTION("GOOGLETRANSLATE(B744,""id"",""en"")"),"['', 'purpose', 'quota', 'local', 'explained', 'quota', 'local', 'GB', 'kaga', 'use', '']")</f>
        <v>['', 'purpose', 'quota', 'local', 'explained', 'quota', 'local', 'GB', 'kaga', 'use', '']</v>
      </c>
      <c r="D744" s="3">
        <v>1.0</v>
      </c>
    </row>
    <row r="745" ht="15.75" customHeight="1">
      <c r="A745" s="1">
        <v>743.0</v>
      </c>
      <c r="B745" s="3" t="s">
        <v>746</v>
      </c>
      <c r="C745" s="3" t="str">
        <f>IFERROR(__xludf.DUMMYFUNCTION("GOOGLETRANSLATE(B745,""id"",""en"")"),"['Telkomsel', 'Telkomsel', 'fix', 'service', 'MyTelkomsel', 'difficult', 'opened', 'quota', 'Telkomsel', 'sympathy', 'smooth', 'open', ' Providers', 'budget', 'parties',' points', 'diverted', 'fix', 'service', 'just', 'proposal', 'thank', 'love']")</f>
        <v>['Telkomsel', 'Telkomsel', 'fix', 'service', 'MyTelkomsel', 'difficult', 'opened', 'quota', 'Telkomsel', 'sympathy', 'smooth', 'open', ' Providers', 'budget', 'parties',' points', 'diverted', 'fix', 'service', 'just', 'proposal', 'thank', 'love']</v>
      </c>
      <c r="D745" s="3">
        <v>2.0</v>
      </c>
    </row>
    <row r="746" ht="15.75" customHeight="1">
      <c r="A746" s="1">
        <v>744.0</v>
      </c>
      <c r="B746" s="3" t="s">
        <v>747</v>
      </c>
      <c r="C746" s="3" t="str">
        <f>IFERROR(__xludf.DUMMYFUNCTION("GOOGLETRANSLATE(B746,""id"",""en"")"),"['waaaahhh', 'sangaat', 'good', 'star', 'network', 'telkomnyet', 'change', 'network', 'bad', 'excited', 'slamming', 'floor', ' Thank you ',' Telkomnyet ']")</f>
        <v>['waaaahhh', 'sangaat', 'good', 'star', 'network', 'telkomnyet', 'change', 'network', 'bad', 'excited', 'slamming', 'floor', ' Thank you ',' Telkomnyet ']</v>
      </c>
      <c r="D746" s="3">
        <v>1.0</v>
      </c>
    </row>
    <row r="747" ht="15.75" customHeight="1">
      <c r="A747" s="1">
        <v>745.0</v>
      </c>
      <c r="B747" s="3" t="s">
        <v>748</v>
      </c>
      <c r="C747" s="3" t="str">
        <f>IFERROR(__xludf.DUMMYFUNCTION("GOOGLETRANSLATE(B747,""id"",""en"")"),"['Season', 'really', 'card', 'Telkomsel', 'filled', 'package', 'mulu', 'pulse', 'sufficient', 'grace', 'mending', 'replace', ' card', '']")</f>
        <v>['Season', 'really', 'card', 'Telkomsel', 'filled', 'package', 'mulu', 'pulse', 'sufficient', 'grace', 'mending', 'replace', ' card', '']</v>
      </c>
      <c r="D747" s="3">
        <v>1.0</v>
      </c>
    </row>
    <row r="748" ht="15.75" customHeight="1">
      <c r="A748" s="1">
        <v>746.0</v>
      </c>
      <c r="B748" s="3" t="s">
        <v>749</v>
      </c>
      <c r="C748" s="3" t="str">
        <f>IFERROR(__xludf.DUMMYFUNCTION("GOOGLETRANSLATE(B748,""id"",""en"")"),"['MyTelkomsel', 'update', 'signal', 'already', 'rich', 'Maling', 'ilang', 'Jiji', 'expensive', 'doang', 'price', 'quality', ' Lost ',' essence ']")</f>
        <v>['MyTelkomsel', 'update', 'signal', 'already', 'rich', 'Maling', 'ilang', 'Jiji', 'expensive', 'doang', 'price', 'quality', ' Lost ',' essence ']</v>
      </c>
      <c r="D748" s="3">
        <v>1.0</v>
      </c>
    </row>
    <row r="749" ht="15.75" customHeight="1">
      <c r="A749" s="1">
        <v>747.0</v>
      </c>
      <c r="B749" s="3" t="s">
        <v>750</v>
      </c>
      <c r="C749" s="3" t="str">
        <f>IFERROR(__xludf.DUMMYFUNCTION("GOOGLETRANSLATE(B749,""id"",""en"")"),"['Signal', 'village', 'Merjungan', 'Merjungan', 'Ngawen', 'Klaten', 'Java', 'difficult', 'difficult', 'difficult', 'tower', 'transmitter', ' Violation ',' village ',' smooth ']")</f>
        <v>['Signal', 'village', 'Merjungan', 'Merjungan', 'Ngawen', 'Klaten', 'Java', 'difficult', 'difficult', 'difficult', 'tower', 'transmitter', ' Violation ',' village ',' smooth ']</v>
      </c>
      <c r="D749" s="3">
        <v>1.0</v>
      </c>
    </row>
    <row r="750" ht="15.75" customHeight="1">
      <c r="A750" s="1">
        <v>748.0</v>
      </c>
      <c r="B750" s="3" t="s">
        <v>751</v>
      </c>
      <c r="C750" s="3" t="str">
        <f>IFERROR(__xludf.DUMMYFUNCTION("GOOGLETRANSLATE(B750,""id"",""en"")"),"['Please', 'stop', 'App', 'Develop', 'app', 'sorry', 'love', 'star', 'change', 'love', 'thank', ' ']")</f>
        <v>['Please', 'stop', 'App', 'Develop', 'app', 'sorry', 'love', 'star', 'change', 'love', 'thank', ' ']</v>
      </c>
      <c r="D750" s="3">
        <v>2.0</v>
      </c>
    </row>
    <row r="751" ht="15.75" customHeight="1">
      <c r="A751" s="1">
        <v>749.0</v>
      </c>
      <c r="B751" s="3" t="s">
        <v>752</v>
      </c>
      <c r="C751" s="3" t="str">
        <f>IFERROR(__xludf.DUMMYFUNCTION("GOOGLETRANSLATE(B751,""id"",""en"")"),"['Tang', 'App', 'Tsel', 'buy', 'quota', 'OMG', 'RB', 'App', 'SDAH', 'plsa', 'reduced', 'left', ' rb ',' ttpi ',' just ',' TBA ',' DPT ',' SMS ',' quota ',' run out ',' mbal ',' GB ',' check ',' pulses', 'left' , 'Rb', 'tggal', 'rb', 'app', 'suits', 'datab"&amp;"ase', 'tsel', 'disappointed', '']")</f>
        <v>['Tang', 'App', 'Tsel', 'buy', 'quota', 'OMG', 'RB', 'App', 'SDAH', 'plsa', 'reduced', 'left', ' rb ',' ttpi ',' just ',' TBA ',' DPT ',' SMS ',' quota ',' run out ',' mbal ',' GB ',' check ',' pulses', 'left' , 'Rb', 'tggal', 'rb', 'app', 'suits', 'database', 'tsel', 'disappointed', '']</v>
      </c>
      <c r="D751" s="3">
        <v>1.0</v>
      </c>
    </row>
    <row r="752" ht="15.75" customHeight="1">
      <c r="A752" s="1">
        <v>750.0</v>
      </c>
      <c r="B752" s="3" t="s">
        <v>753</v>
      </c>
      <c r="C752" s="3" t="str">
        <f>IFERROR(__xludf.DUMMYFUNCTION("GOOGLETRANSLATE(B752,""id"",""en"")"),"['Sorry', 'fox', 'love', 'star', 'star', 'ulimitedmax', 'cave', 'buy', 'prime', 'right', 'check', 'kouta', ' ',' Bener ',' endless', 'right', 'check', 'yesterday', 'a month', 'doang', 'already', 'complement', 'tetep', 'spoken', 'already' , 'proof', 'scree"&amp;"nshot', 'etc.', 'tetep', 'complement', 'apps',' cave ',' guarantee ',' complement ',' kayak ',' cave ',' ask ',' complain ',' case ',' kayak ',' cave ',' guarantee ',' kagak ',' bales', ""]")</f>
        <v>['Sorry', 'fox', 'love', 'star', 'star', 'ulimitedmax', 'cave', 'buy', 'prime', 'right', 'check', 'kouta', ' ',' Bener ',' endless', 'right', 'check', 'yesterday', 'a month', 'doang', 'already', 'complement', 'tetep', 'spoken', 'already' , 'proof', 'screenshot', 'etc.', 'tetep', 'complement', 'apps',' cave ',' guarantee ',' complement ',' kayak ',' cave ',' ask ',' complain ',' case ',' kayak ',' cave ',' guarantee ',' kagak ',' bales', "]</v>
      </c>
      <c r="D752" s="3">
        <v>1.0</v>
      </c>
    </row>
    <row r="753" ht="15.75" customHeight="1">
      <c r="A753" s="1">
        <v>751.0</v>
      </c>
      <c r="B753" s="3" t="s">
        <v>754</v>
      </c>
      <c r="C753" s="3" t="str">
        <f>IFERROR(__xludf.DUMMYFUNCTION("GOOGLETRANSLATE(B753,""id"",""en"")"),"['Package', 'Sakti', 'Telkomsel', 'Leet', 'Bener', 'Malem', 'Current', 'User', 'already', 'Not bad', 'Disappointed', 'Performance', ' Telkomsel ',' Can't ',' Kenceng ',' Speed ​​',' No ',' Standard ',' No ',' Leet ',' Download ',' File ',' Browser ',' Spe"&amp;"ed ​​',' Lho ' ]")</f>
        <v>['Package', 'Sakti', 'Telkomsel', 'Leet', 'Bener', 'Malem', 'Current', 'User', 'already', 'Not bad', 'Disappointed', 'Performance', ' Telkomsel ',' Can't ',' Kenceng ',' Speed ​​',' No ',' Standard ',' No ',' Leet ',' Download ',' File ',' Browser ',' Speed ​​',' Lho ' ]</v>
      </c>
      <c r="D753" s="3">
        <v>2.0</v>
      </c>
    </row>
    <row r="754" ht="15.75" customHeight="1">
      <c r="A754" s="1">
        <v>752.0</v>
      </c>
      <c r="B754" s="3" t="s">
        <v>755</v>
      </c>
      <c r="C754" s="3" t="str">
        <f>IFERROR(__xludf.DUMMYFUNCTION("GOOGLETRANSLATE(B754,""id"",""en"")"),"['down', 'star', 'how', 'credit', 'reduced', 'buy', 'package', 'combo', 'open', 'check', 'pulse', 'reduced', ' rb ',' rb ',' please ',' love ',' sometimes', 'entry', 'error', 'update', 'the difference']")</f>
        <v>['down', 'star', 'how', 'credit', 'reduced', 'buy', 'package', 'combo', 'open', 'check', 'pulse', 'reduced', ' rb ',' rb ',' please ',' love ',' sometimes', 'entry', 'error', 'update', 'the difference']</v>
      </c>
      <c r="D754" s="3">
        <v>1.0</v>
      </c>
    </row>
    <row r="755" ht="15.75" customHeight="1">
      <c r="A755" s="1">
        <v>753.0</v>
      </c>
      <c r="B755" s="3" t="s">
        <v>756</v>
      </c>
      <c r="C755" s="3" t="str">
        <f>IFERROR(__xludf.DUMMYFUNCTION("GOOGLETRANSLATE(B755,""id"",""en"")"),"['Please', 'picky', 'boss',' loyal ',' make ',' card ',' Telkomsel ',' pity ',' org ',' difficult ',' palapalain ',' buy ',' card ',' buy ',' package ',' data ',' pretty good ',' balanced ',' pulak ',' Astagaa ',' please ',' balanced ',' boss']")</f>
        <v>['Please', 'picky', 'boss',' loyal ',' make ',' card ',' Telkomsel ',' pity ',' org ',' difficult ',' palapalain ',' buy ',' card ',' buy ',' package ',' data ',' pretty good ',' balanced ',' pulak ',' Astagaa ',' please ',' balanced ',' boss']</v>
      </c>
      <c r="D755" s="3">
        <v>1.0</v>
      </c>
    </row>
    <row r="756" ht="15.75" customHeight="1">
      <c r="A756" s="1">
        <v>754.0</v>
      </c>
      <c r="B756" s="3" t="s">
        <v>757</v>
      </c>
      <c r="C756" s="3" t="str">
        <f>IFERROR(__xludf.DUMMYFUNCTION("GOOGLETRANSLATE(B756,""id"",""en"")"),"['Please', 'Network', 'Telkomsel', 'KNPA', 'Missing', 'KMI', 'Customer', 'Telkomsel', 'Kepuar', 'Comfortable', 'Perdikan', 'trim']")</f>
        <v>['Please', 'Network', 'Telkomsel', 'KNPA', 'Missing', 'KMI', 'Customer', 'Telkomsel', 'Kepuar', 'Comfortable', 'Perdikan', 'trim']</v>
      </c>
      <c r="D756" s="3">
        <v>1.0</v>
      </c>
    </row>
    <row r="757" ht="15.75" customHeight="1">
      <c r="A757" s="1">
        <v>755.0</v>
      </c>
      <c r="B757" s="3" t="s">
        <v>758</v>
      </c>
      <c r="C757" s="3" t="str">
        <f>IFERROR(__xludf.DUMMYFUNCTION("GOOGLETRANSLATE(B757,""id"",""en"")"),"['signal', 'Please', 'Enhanced', 'Error', 'Login', 'APK', 'Telkomsel', 'complaints',' PRNH ',' Action ',' Star ',' punish ',' ']")</f>
        <v>['signal', 'Please', 'Enhanced', 'Error', 'Login', 'APK', 'Telkomsel', 'complaints',' PRNH ',' Action ',' Star ',' punish ',' ']</v>
      </c>
      <c r="D757" s="3">
        <v>1.0</v>
      </c>
    </row>
    <row r="758" ht="15.75" customHeight="1">
      <c r="A758" s="1">
        <v>756.0</v>
      </c>
      <c r="B758" s="3" t="s">
        <v>759</v>
      </c>
      <c r="C758" s="3" t="str">
        <f>IFERROR(__xludf.DUMMYFUNCTION("GOOGLETRANSLATE(B758,""id"",""en"")"),"['Telkomsel', 'slow', 'really', 'sihhh', 'already', 'a week', 'lohh', 'network', 'like', 'lost', 'dihp', 'my mom', ' gapapa ',' already ',' refresh ',' times', 'tetep', 'slow', 'please', 'dongg']")</f>
        <v>['Telkomsel', 'slow', 'really', 'sihhh', 'already', 'a week', 'lohh', 'network', 'like', 'lost', 'dihp', 'my mom', ' gapapa ',' already ',' refresh ',' times', 'tetep', 'slow', 'please', 'dongg']</v>
      </c>
      <c r="D758" s="3">
        <v>1.0</v>
      </c>
    </row>
    <row r="759" ht="15.75" customHeight="1">
      <c r="A759" s="1">
        <v>757.0</v>
      </c>
      <c r="B759" s="3" t="s">
        <v>760</v>
      </c>
      <c r="C759" s="3" t="str">
        <f>IFERROR(__xludf.DUMMYFUNCTION("GOOGLETRANSLATE(B759,""id"",""en"")"),"['With you', 'provider', 'biggest', 'Indonesia', 'speed', 'connection', 'network', 'really', 'provider', 'disappointing', 'difficult', 'enter', ' App ',' Telkomsel ',' internet ',' slow ',' gaming ',' repaired ',' fix ',' star ',' thank ',' love ', ""]")</f>
        <v>['With you', 'provider', 'biggest', 'Indonesia', 'speed', 'connection', 'network', 'really', 'provider', 'disappointing', 'difficult', 'enter', ' App ',' Telkomsel ',' internet ',' slow ',' gaming ',' repaired ',' fix ',' star ',' thank ',' love ', "]</v>
      </c>
      <c r="D759" s="3">
        <v>1.0</v>
      </c>
    </row>
    <row r="760" ht="15.75" customHeight="1">
      <c r="A760" s="1">
        <v>758.0</v>
      </c>
      <c r="B760" s="3" t="s">
        <v>761</v>
      </c>
      <c r="C760" s="3" t="str">
        <f>IFERROR(__xludf.DUMMYFUNCTION("GOOGLETRANSLATE(B760,""id"",""en"")"),"['quota', 'sucked', 'pulse', 'ampe', 'rupiah', 'trs', 'network', 'gaada', 'lazy', 'telkomsel', '']")</f>
        <v>['quota', 'sucked', 'pulse', 'ampe', 'rupiah', 'trs', 'network', 'gaada', 'lazy', 'telkomsel', '']</v>
      </c>
      <c r="D760" s="3">
        <v>1.0</v>
      </c>
    </row>
    <row r="761" ht="15.75" customHeight="1">
      <c r="A761" s="1">
        <v>759.0</v>
      </c>
      <c r="B761" s="3" t="s">
        <v>762</v>
      </c>
      <c r="C761" s="3" t="str">
        <f>IFERROR(__xludf.DUMMYFUNCTION("GOOGLETRANSLATE(B761,""id"",""en"")"),"['Quoto', 'accumulative', 'cool', 'select', 'quota', 'finished', 'active', 'finished', 'activated', 'finished', 'Fair', 'Customer', ' ']")</f>
        <v>['Quoto', 'accumulative', 'cool', 'select', 'quota', 'finished', 'active', 'finished', 'activated', 'finished', 'Fair', 'Customer', ' ']</v>
      </c>
      <c r="D761" s="3">
        <v>1.0</v>
      </c>
    </row>
    <row r="762" ht="15.75" customHeight="1">
      <c r="A762" s="1">
        <v>760.0</v>
      </c>
      <c r="B762" s="3" t="s">
        <v>763</v>
      </c>
      <c r="C762" s="3" t="str">
        <f>IFERROR(__xludf.DUMMYFUNCTION("GOOGLETRANSLATE(B762,""id"",""en"")"),"['Log', 'Troubles',' Gara ',' Log ',' Link ',' Verification ',' Ribet ',' Reason ',' Security ',' Enter ',' Word ',' Log ',' Mobile ',' ']")</f>
        <v>['Log', 'Troubles',' Gara ',' Log ',' Link ',' Verification ',' Ribet ',' Reason ',' Security ',' Enter ',' Word ',' Log ',' Mobile ',' ']</v>
      </c>
      <c r="D762" s="3">
        <v>1.0</v>
      </c>
    </row>
    <row r="763" ht="15.75" customHeight="1">
      <c r="A763" s="1">
        <v>761.0</v>
      </c>
      <c r="B763" s="3" t="s">
        <v>764</v>
      </c>
      <c r="C763" s="3" t="str">
        <f>IFERROR(__xludf.DUMMYFUNCTION("GOOGLETRANSLATE(B763,""id"",""en"")"),"['kmrn', 'update', 'quota', 'no "",' UFAH ',' filled ',' pulses ',' no ',' update ',' automatic ',' application ',' complicated ',' Error ',' battery ',' fast ',' Abis', 'Astagah', ""]")</f>
        <v>['kmrn', 'update', 'quota', 'no ",' UFAH ',' filled ',' pulses ',' no ',' update ',' automatic ',' application ',' complicated ',' Error ',' battery ',' fast ',' Abis', 'Astagah', "]</v>
      </c>
      <c r="D763" s="3">
        <v>1.0</v>
      </c>
    </row>
    <row r="764" ht="15.75" customHeight="1">
      <c r="A764" s="1">
        <v>762.0</v>
      </c>
      <c r="B764" s="3" t="s">
        <v>765</v>
      </c>
      <c r="C764" s="3" t="str">
        <f>IFERROR(__xludf.DUMMYFUNCTION("GOOGLETRANSLATE(B764,""id"",""en"")"),"['', 'love', 'star', 'no', 'network', 'ugly', 'already', 'network', 'ugly', 'quota', 'expensive', 'point', 'ilang ',' Where ',' star ',' zero ']")</f>
        <v>['', 'love', 'star', 'no', 'network', 'ugly', 'already', 'network', 'ugly', 'quota', 'expensive', 'point', 'ilang ',' Where ',' star ',' zero ']</v>
      </c>
      <c r="D764" s="3">
        <v>1.0</v>
      </c>
    </row>
    <row r="765" ht="15.75" customHeight="1">
      <c r="A765" s="1">
        <v>763.0</v>
      </c>
      <c r="B765" s="3" t="s">
        <v>766</v>
      </c>
      <c r="C765" s="3" t="str">
        <f>IFERROR(__xludf.DUMMYFUNCTION("GOOGLETRANSLATE(B765,""id"",""en"")"),"['Thank you', 'apk', 'Telkomsel', 'help', 'menu', 'access',' direct ',' application ',' Telkomsel ',' features', 'convenience', 'cheap', ' Lottery, 'Points', 'Mantap', '']")</f>
        <v>['Thank you', 'apk', 'Telkomsel', 'help', 'menu', 'access',' direct ',' application ',' Telkomsel ',' features', 'convenience', 'cheap', ' Lottery, 'Points', 'Mantap', '']</v>
      </c>
      <c r="D765" s="3">
        <v>4.0</v>
      </c>
    </row>
    <row r="766" ht="15.75" customHeight="1">
      <c r="A766" s="1">
        <v>764.0</v>
      </c>
      <c r="B766" s="3" t="s">
        <v>767</v>
      </c>
      <c r="C766" s="3" t="str">
        <f>IFERROR(__xludf.DUMMYFUNCTION("GOOGLETRANSLATE(B766,""id"",""en"")"),"['like', 'APK', 'slow', 'point', 'missing', 'subscribe', 'package', 'data', 'like', 'lost', 'disappointed', 'original']")</f>
        <v>['like', 'APK', 'slow', 'point', 'missing', 'subscribe', 'package', 'data', 'like', 'lost', 'disappointed', 'original']</v>
      </c>
      <c r="D766" s="3">
        <v>1.0</v>
      </c>
    </row>
    <row r="767" ht="15.75" customHeight="1">
      <c r="A767" s="1">
        <v>765.0</v>
      </c>
      <c r="B767" s="3" t="s">
        <v>768</v>
      </c>
      <c r="C767" s="3" t="str">
        <f>IFERROR(__xludf.DUMMYFUNCTION("GOOGLETRANSLATE(B767,""id"",""en"")"),"['application', 'Telkomsel', 'damage', 'network', 'already', 'uninstall', 'disappointed', 'already', 'use', 'package', 'Telkomsel', 'buy', ' Package ',' Network ',' Disappointed ',' Install ',' Application ',' Disappointed ',' Policy ',' Severe ',' Name '"&amp;",' State ',' Torture ',' Customer ', ""]")</f>
        <v>['application', 'Telkomsel', 'damage', 'network', 'already', 'uninstall', 'disappointed', 'already', 'use', 'package', 'Telkomsel', 'buy', ' Package ',' Network ',' Disappointed ',' Install ',' Application ',' Disappointed ',' Policy ',' Severe ',' Name ',' State ',' Torture ',' Customer ', "]</v>
      </c>
      <c r="D767" s="3">
        <v>1.0</v>
      </c>
    </row>
    <row r="768" ht="15.75" customHeight="1">
      <c r="A768" s="1">
        <v>766.0</v>
      </c>
      <c r="B768" s="3" t="s">
        <v>769</v>
      </c>
      <c r="C768" s="3" t="str">
        <f>IFERROR(__xludf.DUMMYFUNCTION("GOOGLETRANSLATE(B768,""id"",""en"")"),"['quota', 'YouTube', 'unlimited', 'count', 'hours',' mubajir ',' circles', 'students',' people ',' difficulty ',' economy ',' media ',' Social ',' Learning ',' Add ',' Knowledge ',' Need ',' Count ',' Clock ',' Watch ',' Rest ',' Work ',' Job ',' Need ','"&amp;" Example ' , 'to work', 'materialized', 'Telkomsel', 'Indonesia', 'advanced']")</f>
        <v>['quota', 'YouTube', 'unlimited', 'count', 'hours',' mubajir ',' circles', 'students',' people ',' difficulty ',' economy ',' media ',' Social ',' Learning ',' Add ',' Knowledge ',' Need ',' Count ',' Clock ',' Watch ',' Rest ',' Work ',' Job ',' Need ',' Example ' , 'to work', 'materialized', 'Telkomsel', 'Indonesia', 'advanced']</v>
      </c>
      <c r="D768" s="3">
        <v>5.0</v>
      </c>
    </row>
    <row r="769" ht="15.75" customHeight="1">
      <c r="A769" s="1">
        <v>767.0</v>
      </c>
      <c r="B769" s="3" t="s">
        <v>770</v>
      </c>
      <c r="C769" s="3" t="str">
        <f>IFERROR(__xludf.DUMMYFUNCTION("GOOGLETRANSLATE(B769,""id"",""en"")"),"['Application', 'annoyed', 'person', 'already', 'no', 'intention', 'application', 'Mending', 'deleted', 'Play', 'Store', 'Gara', ' Gara ',' application ',' no ',' package ',' promo ',' already ',' run out ']")</f>
        <v>['Application', 'annoyed', 'person', 'already', 'no', 'intention', 'application', 'Mending', 'deleted', 'Play', 'Store', 'Gara', ' Gara ',' application ',' no ',' package ',' promo ',' already ',' run out ']</v>
      </c>
      <c r="D769" s="3">
        <v>1.0</v>
      </c>
    </row>
    <row r="770" ht="15.75" customHeight="1">
      <c r="A770" s="1">
        <v>768.0</v>
      </c>
      <c r="B770" s="3" t="s">
        <v>771</v>
      </c>
      <c r="C770" s="3" t="str">
        <f>IFERROR(__xludf.DUMMYFUNCTION("GOOGLETRANSLATE(B770,""id"",""en"")"),"['application', 'check', 'quota', 'error', 'reading', 'signal', 'loading', 'already', 'update', 'tetep', 'error', 'error', ' Ora ',' Quality ']")</f>
        <v>['application', 'check', 'quota', 'error', 'reading', 'signal', 'loading', 'already', 'update', 'tetep', 'error', 'error', ' Ora ',' Quality ']</v>
      </c>
      <c r="D770" s="3">
        <v>1.0</v>
      </c>
    </row>
    <row r="771" ht="15.75" customHeight="1">
      <c r="A771" s="1">
        <v>769.0</v>
      </c>
      <c r="B771" s="3" t="s">
        <v>772</v>
      </c>
      <c r="C771" s="3" t="str">
        <f>IFERROR(__xludf.DUMMYFUNCTION("GOOGLETRANSLATE(B771,""id"",""en"")"),"['Star', 'match', 'situation', 'network', 'Telkomsel', 'please', 'repaired', 'kohpa', 'user', 'Telkomsel', 'switch', 'provider', ' Thankyou ']")</f>
        <v>['Star', 'match', 'situation', 'network', 'Telkomsel', 'please', 'repaired', 'kohpa', 'user', 'Telkomsel', 'switch', 'provider', ' Thankyou ']</v>
      </c>
      <c r="D771" s="3">
        <v>1.0</v>
      </c>
    </row>
    <row r="772" ht="15.75" customHeight="1">
      <c r="A772" s="1">
        <v>770.0</v>
      </c>
      <c r="B772" s="3" t="s">
        <v>773</v>
      </c>
      <c r="C772" s="3" t="str">
        <f>IFERROR(__xludf.DUMMYFUNCTION("GOOGLETRANSLATE(B772,""id"",""en"")"),"['Telkomsel', 'error', 'customers', 'comfortable', 'service', 'skrg', 'change', 'moved', 'network', 'SJA', '']")</f>
        <v>['Telkomsel', 'error', 'customers', 'comfortable', 'service', 'skrg', 'change', 'moved', 'network', 'SJA', '']</v>
      </c>
      <c r="D772" s="3">
        <v>1.0</v>
      </c>
    </row>
    <row r="773" ht="15.75" customHeight="1">
      <c r="A773" s="1">
        <v>771.0</v>
      </c>
      <c r="B773" s="3" t="s">
        <v>774</v>
      </c>
      <c r="C773" s="3" t="str">
        <f>IFERROR(__xludf.DUMMYFUNCTION("GOOGLETRANSLATE(B773,""id"",""en"")"),"['Provider', 'Telkomsel', 'Region', 'Jember', 'Disappointing', 'Network', 'The Wide', 'Sad', 'Play', 'Game', 'Recommended', 'Telkomsel', ' The area ',' price ',' determines', 'quality', 'where', 'price', 'package', 'provider', 'expensive', 'Indonesia', """&amp;"]")</f>
        <v>['Provider', 'Telkomsel', 'Region', 'Jember', 'Disappointing', 'Network', 'The Wide', 'Sad', 'Play', 'Game', 'Recommended', 'Telkomsel', ' The area ',' price ',' determines', 'quality', 'where', 'price', 'package', 'provider', 'expensive', 'Indonesia', "]</v>
      </c>
      <c r="D773" s="3">
        <v>1.0</v>
      </c>
    </row>
    <row r="774" ht="15.75" customHeight="1">
      <c r="A774" s="1">
        <v>772.0</v>
      </c>
      <c r="B774" s="3" t="s">
        <v>775</v>
      </c>
      <c r="C774" s="3" t="str">
        <f>IFERROR(__xludf.DUMMYFUNCTION("GOOGLETRANSLATE(B774,""id"",""en"")"),"['promo', 'rb', 'get', 'unlimited', 'already', 'contents',' credit ',' open ',' innoction ',' already ',' sine ',' promo ',' opened ',' intention ',' really ',' gave ',' promo ', ""]")</f>
        <v>['promo', 'rb', 'get', 'unlimited', 'already', 'contents',' credit ',' open ',' innoction ',' already ',' sine ',' promo ',' opened ',' intention ',' really ',' gave ',' promo ', "]</v>
      </c>
      <c r="D774" s="3">
        <v>1.0</v>
      </c>
    </row>
    <row r="775" ht="15.75" customHeight="1">
      <c r="A775" s="1">
        <v>773.0</v>
      </c>
      <c r="B775" s="3" t="s">
        <v>776</v>
      </c>
      <c r="C775" s="3" t="str">
        <f>IFERROR(__xludf.DUMMYFUNCTION("GOOGLETRANSLATE(B775,""id"",""en"")"),"['Network', 'UDH', 'Install', 'uninstall', 'repeat', 'times', 'please', 'fix', 'network', 'sosmed']")</f>
        <v>['Network', 'UDH', 'Install', 'uninstall', 'repeat', 'times', 'please', 'fix', 'network', 'sosmed']</v>
      </c>
      <c r="D775" s="3">
        <v>2.0</v>
      </c>
    </row>
    <row r="776" ht="15.75" customHeight="1">
      <c r="A776" s="1">
        <v>774.0</v>
      </c>
      <c r="B776" s="3" t="s">
        <v>777</v>
      </c>
      <c r="C776" s="3" t="str">
        <f>IFERROR(__xludf.DUMMYFUNCTION("GOOGLETRANSLATE(B776,""id"",""en"")"),"['Please', 'Hold', 'Costumer', 'Service', 'Responding', 'Comments',' Social ',' Media ',' Make ',' Progress', 'Telkomsel', ' In the future ',' Please ',' Sorry ',' Telkomsel ',' Open ',' Please ',' Help ',' Complete ',' Truble ',' Thank you ']")</f>
        <v>['Please', 'Hold', 'Costumer', 'Service', 'Responding', 'Comments',' Social ',' Media ',' Make ',' Progress', 'Telkomsel', ' In the future ',' Please ',' Sorry ',' Telkomsel ',' Open ',' Please ',' Help ',' Complete ',' Truble ',' Thank you ']</v>
      </c>
      <c r="D776" s="3">
        <v>5.0</v>
      </c>
    </row>
    <row r="777" ht="15.75" customHeight="1">
      <c r="A777" s="1">
        <v>775.0</v>
      </c>
      <c r="B777" s="3" t="s">
        <v>778</v>
      </c>
      <c r="C777" s="3" t="str">
        <f>IFERROR(__xludf.DUMMYFUNCTION("GOOGLETRANSLATE(B777,""id"",""en"")"),"['App', 'MyTelkomsel', 'Error', 'Login', 'Difficult', 'Error', 'PDUS', 'Connection', 'Application', 'Sosmed', 'Current', 'Please', ' Fix ',' bug ',' because 'purchase', 'package', 'internet', 'dial', 'as complete', 'APP', 'MyTelkomsel', 'times', 'disappoi"&amp;"nted', 'service' , 'Telkomsel', 'Ancur', '']")</f>
        <v>['App', 'MyTelkomsel', 'Error', 'Login', 'Difficult', 'Error', 'PDUS', 'Connection', 'Application', 'Sosmed', 'Current', 'Please', ' Fix ',' bug ',' because 'purchase', 'package', 'internet', 'dial', 'as complete', 'APP', 'MyTelkomsel', 'times', 'disappointed', 'service' , 'Telkomsel', 'Ancur', '']</v>
      </c>
      <c r="D777" s="3">
        <v>1.0</v>
      </c>
    </row>
    <row r="778" ht="15.75" customHeight="1">
      <c r="A778" s="1">
        <v>776.0</v>
      </c>
      <c r="B778" s="3" t="s">
        <v>779</v>
      </c>
      <c r="C778" s="3" t="str">
        <f>IFERROR(__xludf.DUMMYFUNCTION("GOOGLETRANSLATE(B778,""id"",""en"")"),"['', 'price', 'package', 'expensive', 'service', 'bad', 'service', 'customer', 'internet', 'disorder', 'network', 'stable', 'BUMN ',' bad ',' private ',' Yuk ',' moved ',' card ',' next door ',' ']")</f>
        <v>['', 'price', 'package', 'expensive', 'service', 'bad', 'service', 'customer', 'internet', 'disorder', 'network', 'stable', 'BUMN ',' bad ',' private ',' Yuk ',' moved ',' card ',' next door ',' ']</v>
      </c>
      <c r="D778" s="3">
        <v>1.0</v>
      </c>
    </row>
    <row r="779" ht="15.75" customHeight="1">
      <c r="A779" s="1">
        <v>777.0</v>
      </c>
      <c r="B779" s="3" t="s">
        <v>780</v>
      </c>
      <c r="C779" s="3" t="str">
        <f>IFERROR(__xludf.DUMMYFUNCTION("GOOGLETRANSLATE(B779,""id"",""en"")"),"['App', 'error', 'signal', 'good', 'TPI', 'description', 'connection', 'stable', 'Please', 'repaired', 'dikasi', 'address',' Link ',' App ',' ']")</f>
        <v>['App', 'error', 'signal', 'good', 'TPI', 'description', 'connection', 'stable', 'Please', 'repaired', 'dikasi', 'address',' Link ',' App ',' ']</v>
      </c>
      <c r="D779" s="3">
        <v>1.0</v>
      </c>
    </row>
    <row r="780" ht="15.75" customHeight="1">
      <c r="A780" s="1">
        <v>778.0</v>
      </c>
      <c r="B780" s="3" t="s">
        <v>781</v>
      </c>
      <c r="C780" s="3" t="str">
        <f>IFERROR(__xludf.DUMMYFUNCTION("GOOGLETRANSLATE(B780,""id"",""en"")"),"['advantage', 'bicit', 'kuntul', 'update', 'update', 'hadeuh', 'really', 'application', 'slow', 'read', 'comment', 'love', ' Stars', 'KGK', 'Overcome', 'DevP', 'Constraints',' Please ',' Priority ',' Fix ',' Problems', 'User', 'Telkomsel', 'Gini', 'Klman'"&amp;" , 'name', 'Telkomsel', 'kynya', 'bkl', 'changed', 'telkomnyet', 'hahahahaha']")</f>
        <v>['advantage', 'bicit', 'kuntul', 'update', 'update', 'hadeuh', 'really', 'application', 'slow', 'read', 'comment', 'love', ' Stars', 'KGK', 'Overcome', 'DevP', 'Constraints',' Please ',' Priority ',' Fix ',' Problems', 'User', 'Telkomsel', 'Gini', 'Klman' , 'name', 'Telkomsel', 'kynya', 'bkl', 'changed', 'telkomnyet', 'hahahahaha']</v>
      </c>
      <c r="D780" s="3">
        <v>5.0</v>
      </c>
    </row>
    <row r="781" ht="15.75" customHeight="1">
      <c r="A781" s="1">
        <v>779.0</v>
      </c>
      <c r="B781" s="3" t="s">
        <v>782</v>
      </c>
      <c r="C781" s="3" t="str">
        <f>IFERROR(__xludf.DUMMYFUNCTION("GOOGLETRANSLATE(B781,""id"",""en"")"),"['Update', 'opened', 'Error', 'Try', 'updated', 'Lakok', 'Severe', 'Package', 'Data', 'On', 'Connection', 'Connected', ' How ',' Neh ', ""]")</f>
        <v>['Update', 'opened', 'Error', 'Try', 'updated', 'Lakok', 'Severe', 'Package', 'Data', 'On', 'Connection', 'Connected', ' How ',' Neh ', "]</v>
      </c>
      <c r="D781" s="3">
        <v>1.0</v>
      </c>
    </row>
    <row r="782" ht="15.75" customHeight="1">
      <c r="A782" s="1">
        <v>780.0</v>
      </c>
      <c r="B782" s="3" t="s">
        <v>783</v>
      </c>
      <c r="C782" s="3" t="str">
        <f>IFERROR(__xludf.DUMMYFUNCTION("GOOGLETRANSLATE(B782,""id"",""en"")"),"['Bye', 'bye', 'brooo', 'disappointed', 'signal', 'internet', 'provider', 'era', 'already', 'sophisticated', 'business',' system ',' Digital ',' signal ',' blur ',' just ',' trade ',' lucky ',' Late ',' late ',' bales', 'chat', 'customer', 'already', 'blu"&amp;"r' , 'Gegara', 'signal', 'slow', 'bin', 'slow', 'kek', 'network', 'provider', 'disappointed', 'deh', 'okay', ""]")</f>
        <v>['Bye', 'bye', 'brooo', 'disappointed', 'signal', 'internet', 'provider', 'era', 'already', 'sophisticated', 'business',' system ',' Digital ',' signal ',' blur ',' just ',' trade ',' lucky ',' Late ',' late ',' bales', 'chat', 'customer', 'already', 'blur' , 'Gegara', 'signal', 'slow', 'bin', 'slow', 'kek', 'network', 'provider', 'disappointed', 'deh', 'okay', "]</v>
      </c>
      <c r="D782" s="3">
        <v>1.0</v>
      </c>
    </row>
    <row r="783" ht="15.75" customHeight="1">
      <c r="A783" s="1">
        <v>781.0</v>
      </c>
      <c r="B783" s="3" t="s">
        <v>784</v>
      </c>
      <c r="C783" s="3" t="str">
        <f>IFERROR(__xludf.DUMMYFUNCTION("GOOGLETRANSLATE(B783,""id"",""en"")"),"['Price', 'Labil', 'Season', 'Application', 'Ngelag', 'Network', 'Good', 'Plus',' Bug ',' The Writing ',' Connection ',' Internet ',' Browsing ',' smooth ',' really ',' what ',' Lapeet ',' Lapeet ', ""]")</f>
        <v>['Price', 'Labil', 'Season', 'Application', 'Ngelag', 'Network', 'Good', 'Plus',' Bug ',' The Writing ',' Connection ',' Internet ',' Browsing ',' smooth ',' really ',' what ',' Lapeet ',' Lapeet ', "]</v>
      </c>
      <c r="D783" s="3">
        <v>1.0</v>
      </c>
    </row>
    <row r="784" ht="15.75" customHeight="1">
      <c r="A784" s="1">
        <v>782.0</v>
      </c>
      <c r="B784" s="3" t="s">
        <v>785</v>
      </c>
      <c r="C784" s="3" t="str">
        <f>IFERROR(__xludf.DUMMYFUNCTION("GOOGLETRANSLATE(B784,""id"",""en"")"),"['sekrang', 'love', 'star', 'the application', 'like', 'slow', 'fit', 'open', 'sekrang', 'open', 'said', 'signal', ' ugly ',' follow ',' event ',' there ',' plan ',' Telkomsel ',' event ',' Perfect ',' loss', 'bnyak', 'overcome', 'problem', 'replace' , 's"&amp;"tar']")</f>
        <v>['sekrang', 'love', 'star', 'the application', 'like', 'slow', 'fit', 'open', 'sekrang', 'open', 'said', 'signal', ' ugly ',' follow ',' event ',' there ',' plan ',' Telkomsel ',' event ',' Perfect ',' loss', 'bnyak', 'overcome', 'problem', 'replace' , 'star']</v>
      </c>
      <c r="D784" s="3">
        <v>1.0</v>
      </c>
    </row>
    <row r="785" ht="15.75" customHeight="1">
      <c r="A785" s="1">
        <v>783.0</v>
      </c>
      <c r="B785" s="3" t="s">
        <v>786</v>
      </c>
      <c r="C785" s="3" t="str">
        <f>IFERROR(__xludf.DUMMYFUNCTION("GOOGLETRANSLATE(B785,""id"",""en"")"),"['solution', 'offered', 'user', 'prepaid', 'already', 'moved', 'card', 'postpaid', 'card', 'hello', 'start', 'offer', ' Tell ',' Moves', 'Disright', 'Subscribe', 'Telkomsel', 'Hopefully', 'As soon as',' find ',' solution ']")</f>
        <v>['solution', 'offered', 'user', 'prepaid', 'already', 'moved', 'card', 'postpaid', 'card', 'hello', 'start', 'offer', ' Tell ',' Moves', 'Disright', 'Subscribe', 'Telkomsel', 'Hopefully', 'As soon as',' find ',' solution ']</v>
      </c>
      <c r="D785" s="3">
        <v>1.0</v>
      </c>
    </row>
    <row r="786" ht="15.75" customHeight="1">
      <c r="A786" s="1">
        <v>784.0</v>
      </c>
      <c r="B786" s="3" t="s">
        <v>787</v>
      </c>
      <c r="C786" s="3" t="str">
        <f>IFERROR(__xludf.DUMMYFUNCTION("GOOGLETRANSLATE(B786,""id"",""en"")"),"['Haloooo', 'provider', 'famous', 'destroyed', 'quality', 'network', 'stay', 'center', 'city', 'signal', 'slow', 'really' Paraaahhh ',' work ', ""]")</f>
        <v>['Haloooo', 'provider', 'famous', 'destroyed', 'quality', 'network', 'stay', 'center', 'city', 'signal', 'slow', 'really' Paraaahhh ',' work ', "]</v>
      </c>
      <c r="D786" s="3">
        <v>1.0</v>
      </c>
    </row>
    <row r="787" ht="15.75" customHeight="1">
      <c r="A787" s="1">
        <v>785.0</v>
      </c>
      <c r="B787" s="3" t="s">
        <v>788</v>
      </c>
      <c r="C787" s="3" t="str">
        <f>IFERROR(__xludf.DUMMYFUNCTION("GOOGLETRANSLATE(B787,""id"",""en"")"),"['Telkomsel', 'sekrang', 'like', 'missing', 'signal', 'network', 'DIRMBE', 'App', 'Telkomsel', 'difficult', 'access',' error ',' Yaa ',' Season ',' Nih ',' Service ',' Bagini ',' ']")</f>
        <v>['Telkomsel', 'sekrang', 'like', 'missing', 'signal', 'network', 'DIRMBE', 'App', 'Telkomsel', 'difficult', 'access',' error ',' Yaa ',' Season ',' Nih ',' Service ',' Bagini ',' ']</v>
      </c>
      <c r="D787" s="3">
        <v>3.0</v>
      </c>
    </row>
    <row r="788" ht="15.75" customHeight="1">
      <c r="A788" s="1">
        <v>786.0</v>
      </c>
      <c r="B788" s="3" t="s">
        <v>789</v>
      </c>
      <c r="C788" s="3" t="str">
        <f>IFERROR(__xludf.DUMMYFUNCTION("GOOGLETRANSLATE(B788,""id"",""en"")"),"['Loading', 'heavy', 'Data', 'dummary', 'BLM', 'Open', 'Network', 'Internet', 'Good', 'Severe', 'Application', ""]")</f>
        <v>['Loading', 'heavy', 'Data', 'dummary', 'BLM', 'Open', 'Network', 'Internet', 'Good', 'Severe', 'Application', "]</v>
      </c>
      <c r="D788" s="3">
        <v>1.0</v>
      </c>
    </row>
    <row r="789" ht="15.75" customHeight="1">
      <c r="A789" s="1">
        <v>787.0</v>
      </c>
      <c r="B789" s="3" t="s">
        <v>790</v>
      </c>
      <c r="C789" s="3" t="str">
        <f>IFERROR(__xludf.DUMMYFUNCTION("GOOGLETRANSLATE(B789,""id"",""en"")"),"['bad', 'application', 'worst', 'open', 'signal', 'stable', 'signal', 'destroyed', 'nakya', 'application', 'makes it easy', 'customer', ' Sister ', ""]")</f>
        <v>['bad', 'application', 'worst', 'open', 'signal', 'stable', 'signal', 'destroyed', 'nakya', 'application', 'makes it easy', 'customer', ' Sister ', "]</v>
      </c>
      <c r="D789" s="3">
        <v>1.0</v>
      </c>
    </row>
    <row r="790" ht="15.75" customHeight="1">
      <c r="A790" s="1">
        <v>788.0</v>
      </c>
      <c r="B790" s="3" t="s">
        <v>791</v>
      </c>
      <c r="C790" s="3" t="str">
        <f>IFERROR(__xludf.DUMMYFUNCTION("GOOGLETRANSLATE(B790,""id"",""en"")"),"['ugly', 'Install', 'Reg', 'Tsel', 'Fill', 'Paketan', 'App', 'App', 'Registration', 'Login', 'Severe', 'Times',' Tsel ',' in the future ',' destroyed ', ""]")</f>
        <v>['ugly', 'Install', 'Reg', 'Tsel', 'Fill', 'Paketan', 'App', 'App', 'Registration', 'Login', 'Severe', 'Times',' Tsel ',' in the future ',' destroyed ', "]</v>
      </c>
      <c r="D790" s="3">
        <v>1.0</v>
      </c>
    </row>
    <row r="791" ht="15.75" customHeight="1">
      <c r="A791" s="1">
        <v>789.0</v>
      </c>
      <c r="B791" s="3" t="s">
        <v>792</v>
      </c>
      <c r="C791" s="3" t="str">
        <f>IFERROR(__xludf.DUMMYFUNCTION("GOOGLETRANSLATE(B791,""id"",""en"")"),"['application', 'update', 'difficult', 'enter', 'network', 'stable', 'login', 'description', 'network', 'stable', 'please', 'try', ' Strange ',' Telkomsel ']")</f>
        <v>['application', 'update', 'difficult', 'enter', 'network', 'stable', 'login', 'description', 'network', 'stable', 'please', 'try', ' Strange ',' Telkomsel ']</v>
      </c>
      <c r="D791" s="3">
        <v>1.0</v>
      </c>
    </row>
    <row r="792" ht="15.75" customHeight="1">
      <c r="A792" s="1">
        <v>790.0</v>
      </c>
      <c r="B792" s="3" t="s">
        <v>793</v>
      </c>
      <c r="C792" s="3" t="str">
        <f>IFERROR(__xludf.DUMMYFUNCTION("GOOGLETRANSLATE(B792,""id"",""en"")"),"['connected', 'open', 'application', 'padhal', 'signal', 'smooth', 'connect', 'please', 'fix', 'as soon as possible,' please ',' repaired ',' as soon as possible']")</f>
        <v>['connected', 'open', 'application', 'padhal', 'signal', 'smooth', 'connect', 'please', 'fix', 'as soon as possible,' please ',' repaired ',' as soon as possible']</v>
      </c>
      <c r="D792" s="3">
        <v>1.0</v>
      </c>
    </row>
    <row r="793" ht="15.75" customHeight="1">
      <c r="A793" s="1">
        <v>791.0</v>
      </c>
      <c r="B793" s="3" t="s">
        <v>794</v>
      </c>
      <c r="C793" s="3" t="str">
        <f>IFERROR(__xludf.DUMMYFUNCTION("GOOGLETRANSLATE(B793,""id"",""en"")"),"['Hallo', 'Telkomsel', 'provider', 'service', 'bad', 'application', 'service', 'bete', 'open', 'application', 'network', 'streaming', ' download ',' etc. ',' smooth ',' already ',' open ',' Telkomsel ',' apps', 'pke', 'card', 'telkomsel', 'already', 'dila"&amp;"pidated', 'parahhhhh' , 'Increase', 'Woyyyyyy', 'sleep', 'ajaa', 'Jngan', 'package', 'ride', 'then', 'mentang', 'reach', 'rustic', 'like', ' ']")</f>
        <v>['Hallo', 'Telkomsel', 'provider', 'service', 'bad', 'application', 'service', 'bete', 'open', 'application', 'network', 'streaming', ' download ',' etc. ',' smooth ',' already ',' open ',' Telkomsel ',' apps', 'pke', 'card', 'telkomsel', 'already', 'dilapidated', 'parahhhhh' , 'Increase', 'Woyyyyyy', 'sleep', 'ajaa', 'Jngan', 'package', 'ride', 'then', 'mentang', 'reach', 'rustic', 'like', ' ']</v>
      </c>
      <c r="D793" s="3">
        <v>1.0</v>
      </c>
    </row>
    <row r="794" ht="15.75" customHeight="1">
      <c r="A794" s="1">
        <v>792.0</v>
      </c>
      <c r="B794" s="3" t="s">
        <v>795</v>
      </c>
      <c r="C794" s="3" t="str">
        <f>IFERROR(__xludf.DUMMYFUNCTION("GOOGLETRANSLATE(B794,""id"",""en"")"),"['application', 'slow', 'forgiveness',' network ',' connection ',' goodbkok ',' browsing ',' yutub ',' dsbg ',' still ',' no ',' entered ',' Already ',' criticism ',' repeated ',' Learning ',' Adek ',' Adek ',' Bagusan ']")</f>
        <v>['application', 'slow', 'forgiveness',' network ',' connection ',' goodbkok ',' browsing ',' yutub ',' dsbg ',' still ',' no ',' entered ',' Already ',' criticism ',' repeated ',' Learning ',' Adek ',' Adek ',' Bagusan ']</v>
      </c>
      <c r="D794" s="3">
        <v>1.0</v>
      </c>
    </row>
    <row r="795" ht="15.75" customHeight="1">
      <c r="A795" s="1">
        <v>793.0</v>
      </c>
      <c r="B795" s="3" t="s">
        <v>796</v>
      </c>
      <c r="C795" s="3" t="str">
        <f>IFERROR(__xludf.DUMMYFUNCTION("GOOGLETRANSLATE(B795,""id"",""en"")"),"['parahhh', 'the application', 'error', 'already', 'replace', 'provider', 'ajaa', 'Telkomsel', 'expensive', 'comparable', ""]")</f>
        <v>['parahhh', 'the application', 'error', 'already', 'replace', 'provider', 'ajaa', 'Telkomsel', 'expensive', 'comparable', "]</v>
      </c>
      <c r="D795" s="3">
        <v>1.0</v>
      </c>
    </row>
    <row r="796" ht="15.75" customHeight="1">
      <c r="A796" s="1">
        <v>794.0</v>
      </c>
      <c r="B796" s="3" t="s">
        <v>797</v>
      </c>
      <c r="C796" s="3" t="str">
        <f>IFERROR(__xludf.DUMMYFUNCTION("GOOGLETRANSLATE(B796,""id"",""en"")"),"['here', 'down', 'quality', 'features',' display ',' base ',' login ',' speed ',' deteriorate ',' login ',' rotate ',' error ',' Application ',' smooth ',' restart ',' open ',' application ',' compared to ',' application ',' outside ',' application ',' ne"&amp;"twork ',' stable ',' in place ',' please ' , 'Add', 'Professional', 'complaints', 'coment', '']")</f>
        <v>['here', 'down', 'quality', 'features',' display ',' base ',' login ',' speed ',' deteriorate ',' login ',' rotate ',' error ',' Application ',' smooth ',' restart ',' open ',' application ',' compared to ',' application ',' outside ',' application ',' network ',' stable ',' in place ',' please ' , 'Add', 'Professional', 'complaints', 'coment', '']</v>
      </c>
      <c r="D796" s="3">
        <v>1.0</v>
      </c>
    </row>
    <row r="797" ht="15.75" customHeight="1">
      <c r="A797" s="1">
        <v>795.0</v>
      </c>
      <c r="B797" s="3" t="s">
        <v>798</v>
      </c>
      <c r="C797" s="3" t="str">
        <f>IFERROR(__xludf.DUMMYFUNCTION("GOOGLETRANSLATE(B797,""id"",""en"")"),"['Telkomsel', 'Video', 'Call', 'Jammed', 'Signal', 'Good', 'Watch', 'YouTube', 'Current', 'APL', 'Telkomsel', 'Error', ' signal ',' beg ',' repaired ']")</f>
        <v>['Telkomsel', 'Video', 'Call', 'Jammed', 'Signal', 'Good', 'Watch', 'YouTube', 'Current', 'APL', 'Telkomsel', 'Error', ' signal ',' beg ',' repaired ']</v>
      </c>
      <c r="D797" s="3">
        <v>1.0</v>
      </c>
    </row>
    <row r="798" ht="15.75" customHeight="1">
      <c r="A798" s="1">
        <v>796.0</v>
      </c>
      <c r="B798" s="3" t="s">
        <v>799</v>
      </c>
      <c r="C798" s="3" t="str">
        <f>IFERROR(__xludf.DUMMYFUNCTION("GOOGLETRANSLATE(B798,""id"",""en"")"),"['Severe', 'slow', 'abisss',' operator ',' name ',' famous', 'quality', 'pay attention', 'Telkomsel', 'center', 'city', 'signal', ' ugly ',' remote ',' area ',' number ',' business', 'switch', 'operator', '']")</f>
        <v>['Severe', 'slow', 'abisss',' operator ',' name ',' famous', 'quality', 'pay attention', 'Telkomsel', 'center', 'city', 'signal', ' ugly ',' remote ',' area ',' number ',' business', 'switch', 'operator', '']</v>
      </c>
      <c r="D798" s="3">
        <v>1.0</v>
      </c>
    </row>
    <row r="799" ht="15.75" customHeight="1">
      <c r="A799" s="1">
        <v>797.0</v>
      </c>
      <c r="B799" s="3" t="s">
        <v>800</v>
      </c>
      <c r="C799" s="3" t="str">
        <f>IFERROR(__xludf.DUMMYFUNCTION("GOOGLETRANSLATE(B799,""id"",""en"")"),"['Wonder', 'SMA', 'Application', 'Telkomsel', 'Set', 'Fill', 'Pulse', 'Pakek', 'Telkomsel', 'PERRH', 'Turning', 'Dri', ' cards', 'Telkomsel', 'class',' junior high school ',' skrng ',' disappointing ',' disappointing ']")</f>
        <v>['Wonder', 'SMA', 'Application', 'Telkomsel', 'Set', 'Fill', 'Pulse', 'Pakek', 'Telkomsel', 'PERRH', 'Turning', 'Dri', ' cards', 'Telkomsel', 'class',' junior high school ',' skrng ',' disappointing ',' disappointing ']</v>
      </c>
      <c r="D799" s="3">
        <v>1.0</v>
      </c>
    </row>
    <row r="800" ht="15.75" customHeight="1">
      <c r="A800" s="1">
        <v>798.0</v>
      </c>
      <c r="B800" s="3" t="s">
        <v>801</v>
      </c>
      <c r="C800" s="3" t="str">
        <f>IFERROR(__xludf.DUMMYFUNCTION("GOOGLETRANSLATE(B800,""id"",""en"")"),"['oath', 'Season', 'right', 'application', 'class',' Telkomsel ',' shares', 'gini', 'company', 'based', 'BUMN', 'take care', ' application ',' replace ',' technicians', 'people', 'special', 'care', 'application', 'expensive', 'doang', 'price', 'package', "&amp;"'udh', 'free' , 'Application', 'Sampe', 'Gabisa', 'Login', 'Season', 'Kanpret', ""]")</f>
        <v>['oath', 'Season', 'right', 'application', 'class',' Telkomsel ',' shares', 'gini', 'company', 'based', 'BUMN', 'take care', ' application ',' replace ',' technicians', 'people', 'special', 'care', 'application', 'expensive', 'doang', 'price', 'package', 'udh', 'free' , 'Application', 'Sampe', 'Gabisa', 'Login', 'Season', 'Kanpret', "]</v>
      </c>
      <c r="D800" s="3">
        <v>1.0</v>
      </c>
    </row>
    <row r="801" ht="15.75" customHeight="1">
      <c r="A801" s="1">
        <v>799.0</v>
      </c>
      <c r="B801" s="3" t="s">
        <v>802</v>
      </c>
      <c r="C801" s="3" t="str">
        <f>IFERROR(__xludf.DUMMYFUNCTION("GOOGLETRANSLATE(B801,""id"",""en"")"),"['times',' opened ',' Something ',' Something ',' Went ',' Wrong ',' Please ',' Try ',' Again ',' After ',' Sometime ',' Sinyal ',' slow ',' broke ',' broke ',' quality ',' Telkomsel ',' slumped ',' sharp ',' disappointing ',' really ', ""]")</f>
        <v>['times',' opened ',' Something ',' Something ',' Went ',' Wrong ',' Please ',' Try ',' Again ',' After ',' Sometime ',' Sinyal ',' slow ',' broke ',' broke ',' quality ',' Telkomsel ',' slumped ',' sharp ',' disappointing ',' really ', "]</v>
      </c>
      <c r="D801" s="3">
        <v>1.0</v>
      </c>
    </row>
    <row r="802" ht="15.75" customHeight="1">
      <c r="A802" s="1">
        <v>800.0</v>
      </c>
      <c r="B802" s="3" t="s">
        <v>803</v>
      </c>
      <c r="C802" s="3" t="str">
        <f>IFERROR(__xludf.DUMMYFUNCTION("GOOGLETRANSLATE(B802,""id"",""en"")"),"['Application', 'Sunday', 'Update', 'Development', 'Login', 'Persulit', 'Mulu', '']")</f>
        <v>['Application', 'Sunday', 'Update', 'Development', 'Login', 'Persulit', 'Mulu', '']</v>
      </c>
      <c r="D802" s="3">
        <v>1.0</v>
      </c>
    </row>
    <row r="803" ht="15.75" customHeight="1">
      <c r="A803" s="1">
        <v>801.0</v>
      </c>
      <c r="B803" s="3" t="s">
        <v>804</v>
      </c>
      <c r="C803" s="3" t="str">
        <f>IFERROR(__xludf.DUMMYFUNCTION("GOOGLETRANSLATE(B803,""id"",""en"")"),"['min', 'region', 'bekasi', 'special', 'teak', 'asih', 'network', 'strange', 'yaa', 'chat', 'difficult', 'game', ' Enter ',' Sunday ',' Please ',' Benerin ',' Min ',' Udh ',' Make ',' Card ',' Telkomsel ',' Rich ',' Gini ']")</f>
        <v>['min', 'region', 'bekasi', 'special', 'teak', 'asih', 'network', 'strange', 'yaa', 'chat', 'difficult', 'game', ' Enter ',' Sunday ',' Please ',' Benerin ',' Min ',' Udh ',' Make ',' Card ',' Telkomsel ',' Rich ',' Gini ']</v>
      </c>
      <c r="D803" s="3">
        <v>1.0</v>
      </c>
    </row>
    <row r="804" ht="15.75" customHeight="1">
      <c r="A804" s="1">
        <v>802.0</v>
      </c>
      <c r="B804" s="3" t="s">
        <v>805</v>
      </c>
      <c r="C804" s="3" t="str">
        <f>IFERROR(__xludf.DUMMYFUNCTION("GOOGLETRANSLATE(B804,""id"",""en"")"),"['Sorry', 'Open', 'App', 'Refresh', 'appears', 'Network', 'Strong', 'Please', 'In the future', 'repaired', 'Thank you']")</f>
        <v>['Sorry', 'Open', 'App', 'Refresh', 'appears', 'Network', 'Strong', 'Please', 'In the future', 'repaired', 'Thank you']</v>
      </c>
      <c r="D804" s="3">
        <v>3.0</v>
      </c>
    </row>
    <row r="805" ht="15.75" customHeight="1">
      <c r="A805" s="1">
        <v>803.0</v>
      </c>
      <c r="B805" s="3" t="s">
        <v>806</v>
      </c>
      <c r="C805" s="3" t="str">
        <f>IFERROR(__xludf.DUMMYFUNCTION("GOOGLETRANSLATE(B805,""id"",""en"")"),"['Genting', 'Buy', 'Package', 'Data', 'Link', 'Telkomsel', 'Network', 'Busy', 'all', 'Connection', 'Telkomsel', 'Check', ' Data ',' ']")</f>
        <v>['Genting', 'Buy', 'Package', 'Data', 'Link', 'Telkomsel', 'Network', 'Busy', 'all', 'Connection', 'Telkomsel', 'Check', ' Data ',' ']</v>
      </c>
      <c r="D805" s="3">
        <v>1.0</v>
      </c>
    </row>
    <row r="806" ht="15.75" customHeight="1">
      <c r="A806" s="1">
        <v>804.0</v>
      </c>
      <c r="B806" s="3" t="s">
        <v>807</v>
      </c>
      <c r="C806" s="3" t="str">
        <f>IFERROR(__xludf.DUMMYFUNCTION("GOOGLETRANSLATE(B806,""id"",""en"")"),"['Dear', 'BUMN', 'Directors',' Telkomsel ',' Constraints', 'Network', 'Satellite', 'Whatever', 'Please', 'Fix', 'Cpt', 'Mmg', ' Msh ',' belongs', 'original', 'Indonesia', 'smpai', 'citizens',' people ',' believe ',' trhdp ',' products', 'local', 'thank', "&amp;"'love' ]")</f>
        <v>['Dear', 'BUMN', 'Directors',' Telkomsel ',' Constraints', 'Network', 'Satellite', 'Whatever', 'Please', 'Fix', 'Cpt', 'Mmg', ' Msh ',' belongs', 'original', 'Indonesia', 'smpai', 'citizens',' people ',' believe ',' trhdp ',' products', 'local', 'thank', 'love' ]</v>
      </c>
      <c r="D806" s="3">
        <v>1.0</v>
      </c>
    </row>
    <row r="807" ht="15.75" customHeight="1">
      <c r="A807" s="1">
        <v>805.0</v>
      </c>
      <c r="B807" s="3" t="s">
        <v>808</v>
      </c>
      <c r="C807" s="3" t="str">
        <f>IFERROR(__xludf.DUMMYFUNCTION("GOOGLETRANSLATE(B807,""id"",""en"")"),"['love', 'star', 'AJJ', 'update', 'useful', 'login', 'error', 'network', 'network', 'knee you', 'quota', 'internet', ' Current ',' Blank ',' Blank ',' Try ',' Developer ',' AJJ ',' PEAH ',' KNP ',' Test ',' Internal ',' given ',' OPE ']")</f>
        <v>['love', 'star', 'AJJ', 'update', 'useful', 'login', 'error', 'network', 'network', 'knee you', 'quota', 'internet', ' Current ',' Blank ',' Blank ',' Try ',' Developer ',' AJJ ',' PEAH ',' KNP ',' Test ',' Internal ',' given ',' OPE ']</v>
      </c>
      <c r="D807" s="3">
        <v>1.0</v>
      </c>
    </row>
    <row r="808" ht="15.75" customHeight="1">
      <c r="A808" s="1">
        <v>806.0</v>
      </c>
      <c r="B808" s="3" t="s">
        <v>809</v>
      </c>
      <c r="C808" s="3" t="str">
        <f>IFERROR(__xludf.DUMMYFUNCTION("GOOGLETRANSLATE(B808,""id"",""en"")"),"['Please', 'Fix', 'Lagging', 'Open', 'Application', 'Open', 'Retry', 'Network', 'Stable', 'Play', 'Suck', 'Credit', ' Mending ',' Direct ',' Matiin ',' internet ',' credit ',' made ',' option ',' that's', 'quota', 'have', 'selected', 'spent', 'Mubazir' , "&amp;"'loss', 'thank', 'love', 'operator', 'biggest', 'please', 'increase', 'quality', 'beg', 'considered', ""]")</f>
        <v>['Please', 'Fix', 'Lagging', 'Open', 'Application', 'Open', 'Retry', 'Network', 'Stable', 'Play', 'Suck', 'Credit', ' Mending ',' Direct ',' Matiin ',' internet ',' credit ',' made ',' option ',' that's', 'quota', 'have', 'selected', 'spent', 'Mubazir' , 'loss', 'thank', 'love', 'operator', 'biggest', 'please', 'increase', 'quality', 'beg', 'considered', "]</v>
      </c>
      <c r="D808" s="3">
        <v>2.0</v>
      </c>
    </row>
    <row r="809" ht="15.75" customHeight="1">
      <c r="A809" s="1">
        <v>807.0</v>
      </c>
      <c r="B809" s="3" t="s">
        <v>810</v>
      </c>
      <c r="C809" s="3" t="str">
        <f>IFERROR(__xludf.DUMMYFUNCTION("GOOGLETRANSLATE(B809,""id"",""en"")"),"['Login', 'difficult', 'UDH', 'Login', 'Data', 'appears',' rich ',' pulses', 'etc.', 'really', 'wifi', 'internet', ' Tsel ',' LEG ',' APK ',' Heavy ',' Prepaid ',' Check ',' Periodic ',' Bill ',' Beres', 'Nelfn', 'What', 'Believe', 'Nominal' , 'bills', 'd"&amp;"ifficult', 'sometimes', 'big', 'sometimes', 'wonder', 'pull', 'prepaid', 'gini']")</f>
        <v>['Login', 'difficult', 'UDH', 'Login', 'Data', 'appears',' rich ',' pulses', 'etc.', 'really', 'wifi', 'internet', ' Tsel ',' LEG ',' APK ',' Heavy ',' Prepaid ',' Check ',' Periodic ',' Bill ',' Beres', 'Nelfn', 'What', 'Believe', 'Nominal' , 'bills', 'difficult', 'sometimes', 'big', 'sometimes', 'wonder', 'pull', 'prepaid', 'gini']</v>
      </c>
      <c r="D809" s="3">
        <v>1.0</v>
      </c>
    </row>
    <row r="810" ht="15.75" customHeight="1">
      <c r="A810" s="1">
        <v>808.0</v>
      </c>
      <c r="B810" s="3" t="s">
        <v>811</v>
      </c>
      <c r="C810" s="3" t="str">
        <f>IFERROR(__xludf.DUMMYFUNCTION("GOOGLETRANSLATE(B810,""id"",""en"")"),"['', 'star', 'less',' promo ',' seteleh ',' contents', 'pulse', 'buy', 'package', 'promo', 'Telkomsel', 'login', 'Soplak ',' Yeah ',' Telkomsel ',' Nipu ',' entered ',' sense ',' TPI ',' in fact ', ""]")</f>
        <v>['', 'star', 'less',' promo ',' seteleh ',' contents', 'pulse', 'buy', 'package', 'promo', 'Telkomsel', 'login', 'Soplak ',' Yeah ',' Telkomsel ',' Nipu ',' entered ',' sense ',' TPI ',' in fact ', "]</v>
      </c>
      <c r="D810" s="3">
        <v>2.0</v>
      </c>
    </row>
    <row r="811" ht="15.75" customHeight="1">
      <c r="A811" s="1">
        <v>809.0</v>
      </c>
      <c r="B811" s="3" t="s">
        <v>812</v>
      </c>
      <c r="C811" s="3" t="str">
        <f>IFERROR(__xludf.DUMMYFUNCTION("GOOGLETRANSLATE(B811,""id"",""en"")"),"['signal', 'bad', 'signal', 'good', 'price', 'expensive', 'appeal', 'privider', 'tetep', 'select', 'Telkomsel', 'think', ' Please, 'Fix', 'Move', 'Provider']")</f>
        <v>['signal', 'bad', 'signal', 'good', 'price', 'expensive', 'appeal', 'privider', 'tetep', 'select', 'Telkomsel', 'think', ' Please, 'Fix', 'Move', 'Provider']</v>
      </c>
      <c r="D811" s="3">
        <v>1.0</v>
      </c>
    </row>
    <row r="812" ht="15.75" customHeight="1">
      <c r="A812" s="1">
        <v>810.0</v>
      </c>
      <c r="B812" s="3" t="s">
        <v>813</v>
      </c>
      <c r="C812" s="3" t="str">
        <f>IFERROR(__xludf.DUMMYFUNCTION("GOOGLETRANSLATE(B812,""id"",""en"")"),"['Application', 'opened', 'then', 'intention', 'fix', 'dri', 'developer', 'udh', 'install', 'reset', 'tetep', 'smpe', ' Fix ',' app ',' come on ',' buy ',' quota ',' money ',' yak ']")</f>
        <v>['Application', 'opened', 'then', 'intention', 'fix', 'dri', 'developer', 'udh', 'install', 'reset', 'tetep', 'smpe', ' Fix ',' app ',' come on ',' buy ',' quota ',' money ',' yak ']</v>
      </c>
      <c r="D812" s="3">
        <v>1.0</v>
      </c>
    </row>
    <row r="813" ht="15.75" customHeight="1">
      <c r="A813" s="1">
        <v>811.0</v>
      </c>
      <c r="B813" s="3" t="s">
        <v>814</v>
      </c>
      <c r="C813" s="3" t="str">
        <f>IFERROR(__xludf.DUMMYFUNCTION("GOOGLETRANSLATE(B813,""id"",""en"")"),"['example', 'provider', 'deficiencies',' realized ',' Telkomsel ',' Please ',' pay attention ',' quality ',' network ',' application ',' supporters', 'error', ' Mulu ',' Review ',' Read ',' Heyy ',' Admin ',' ']")</f>
        <v>['example', 'provider', 'deficiencies',' realized ',' Telkomsel ',' Please ',' pay attention ',' quality ',' network ',' application ',' supporters', 'error', ' Mulu ',' Review ',' Read ',' Heyy ',' Admin ',' ']</v>
      </c>
      <c r="D813" s="3">
        <v>1.0</v>
      </c>
    </row>
    <row r="814" ht="15.75" customHeight="1">
      <c r="A814" s="1">
        <v>812.0</v>
      </c>
      <c r="B814" s="3" t="s">
        <v>815</v>
      </c>
      <c r="C814" s="3" t="str">
        <f>IFERROR(__xludf.DUMMYFUNCTION("GOOGLETRANSLATE(B814,""id"",""en"")"),"['Telkomsel', 'ugly', 'skg', 'disappointed', 'regis',' card ',' complicated ',' signal ',' complicated ',' ugly ',' lose ',' card ',' signal ',' good ',' card ',' student ',' ']")</f>
        <v>['Telkomsel', 'ugly', 'skg', 'disappointed', 'regis',' card ',' complicated ',' signal ',' complicated ',' ugly ',' lose ',' card ',' signal ',' good ',' card ',' student ',' ']</v>
      </c>
      <c r="D814" s="3">
        <v>1.0</v>
      </c>
    </row>
    <row r="815" ht="15.75" customHeight="1">
      <c r="A815" s="1">
        <v>813.0</v>
      </c>
      <c r="B815" s="3" t="s">
        <v>816</v>
      </c>
      <c r="C815" s="3" t="str">
        <f>IFERROR(__xludf.DUMMYFUNCTION("GOOGLETRANSLATE(B815,""id"",""en"")"),"['admin', 'application', 'Telkomsel', 'already', 'UFDate', 'Bagusan', 'version', 'version', 'already', 'slow', 'like', 'Elor', ' Hard ',' entry ',' APL ',' Network ',' Waiting ',' Network ',' Open ',' Application ',' Min ',' ']")</f>
        <v>['admin', 'application', 'Telkomsel', 'already', 'UFDate', 'Bagusan', 'version', 'version', 'already', 'slow', 'like', 'Elor', ' Hard ',' entry ',' APL ',' Network ',' Waiting ',' Network ',' Open ',' Application ',' Min ',' ']</v>
      </c>
      <c r="D815" s="3">
        <v>1.0</v>
      </c>
    </row>
    <row r="816" ht="15.75" customHeight="1">
      <c r="A816" s="1">
        <v>814.0</v>
      </c>
      <c r="B816" s="3" t="s">
        <v>817</v>
      </c>
      <c r="C816" s="3" t="str">
        <f>IFERROR(__xludf.DUMMYFUNCTION("GOOGLETRANSLATE(B816,""id"",""en"")"),"['Please', 'Telkomsel', 'price', 'package', 'internet', 'expensive', 'network', 'optimized', 'road', 'network', 'quality', 'deteriorate', ' Please, 'cooperation', 'Need', 'Change', 'Change', 'Operator', 'trimakasih']")</f>
        <v>['Please', 'Telkomsel', 'price', 'package', 'internet', 'expensive', 'network', 'optimized', 'road', 'network', 'quality', 'deteriorate', ' Please, 'cooperation', 'Need', 'Change', 'Change', 'Operator', 'trimakasih']</v>
      </c>
      <c r="D816" s="3">
        <v>1.0</v>
      </c>
    </row>
    <row r="817" ht="15.75" customHeight="1">
      <c r="A817" s="1">
        <v>815.0</v>
      </c>
      <c r="B817" s="3" t="s">
        <v>818</v>
      </c>
      <c r="C817" s="3" t="str">
        <f>IFERROR(__xludf.DUMMYFUNCTION("GOOGLETRANSLATE(B817,""id"",""en"")"),"['oath', 'slow', 'really', 'Telkomsel', 'play', 'game', 'comfortable', 'really', 'ping', 'stable', 'already', 'package', ' expensive ',' network ',' stable ',' GPP ',' package ',' expensive ',' network ',' severe ']")</f>
        <v>['oath', 'slow', 'really', 'Telkomsel', 'play', 'game', 'comfortable', 'really', 'ping', 'stable', 'already', 'package', ' expensive ',' network ',' stable ',' GPP ',' package ',' expensive ',' network ',' severe ']</v>
      </c>
      <c r="D817" s="3">
        <v>1.0</v>
      </c>
    </row>
    <row r="818" ht="15.75" customHeight="1">
      <c r="A818" s="1">
        <v>816.0</v>
      </c>
      <c r="B818" s="3" t="s">
        <v>819</v>
      </c>
      <c r="C818" s="3" t="str">
        <f>IFERROR(__xludf.DUMMYFUNCTION("GOOGLETRANSLATE(B818,""id"",""en"")"),"['Disappointed', 'Network', 'Telkomsel', 'Signal', 'Open', 'Internet', 'Media', 'Social', 'Please', 'Telkomsel', 'Overcome', 'Region', ' District ',' Samalantan ',' County ',' Bengkayang ',' Province ',' Kalimantan ',' West ', ""]")</f>
        <v>['Disappointed', 'Network', 'Telkomsel', 'Signal', 'Open', 'Internet', 'Media', 'Social', 'Please', 'Telkomsel', 'Overcome', 'Region', ' District ',' Samalantan ',' County ',' Bengkayang ',' Province ',' Kalimantan ',' West ', "]</v>
      </c>
      <c r="D818" s="3">
        <v>2.0</v>
      </c>
    </row>
    <row r="819" ht="15.75" customHeight="1">
      <c r="A819" s="1">
        <v>817.0</v>
      </c>
      <c r="B819" s="3" t="s">
        <v>820</v>
      </c>
      <c r="C819" s="3" t="str">
        <f>IFERROR(__xludf.DUMMYFUNCTION("GOOGLETRANSLATE(B819,""id"",""en"")"),"['Sorry', 'sorry', 'number', 'dipake', 'number', 'doang', 'connection', 'internet', 'error', 'application', 'Telkomsel', 'package', ' Data ',' card ',' stable ',' ']")</f>
        <v>['Sorry', 'sorry', 'number', 'dipake', 'number', 'doang', 'connection', 'internet', 'error', 'application', 'Telkomsel', 'package', ' Data ',' card ',' stable ',' ']</v>
      </c>
      <c r="D819" s="3">
        <v>1.0</v>
      </c>
    </row>
    <row r="820" ht="15.75" customHeight="1">
      <c r="A820" s="1">
        <v>818.0</v>
      </c>
      <c r="B820" s="3" t="s">
        <v>821</v>
      </c>
      <c r="C820" s="3" t="str">
        <f>IFERROR(__xludf.DUMMYFUNCTION("GOOGLETRANSLATE(B820,""id"",""en"")"),"['Out', 'upgrade', 'enter', 'Hadeuhhhh', 'gmna', 'entry', 'tried', 'many', 'times',' send ',' link ',' fail ',' trs', 'please', 'clarified']")</f>
        <v>['Out', 'upgrade', 'enter', 'Hadeuhhhh', 'gmna', 'entry', 'tried', 'many', 'times',' send ',' link ',' fail ',' trs', 'please', 'clarified']</v>
      </c>
      <c r="D820" s="3">
        <v>3.0</v>
      </c>
    </row>
    <row r="821" ht="15.75" customHeight="1">
      <c r="A821" s="1">
        <v>819.0</v>
      </c>
      <c r="B821" s="3" t="s">
        <v>822</v>
      </c>
      <c r="C821" s="3" t="str">
        <f>IFERROR(__xludf.DUMMYFUNCTION("GOOGLETRANSLATE(B821,""id"",""en"")"),"['Sorry', 'LOST', 'LOST', 'CONECTION', 'Internet', 'Current', 'YouTube', 'Please', 'Explanation', ""]")</f>
        <v>['Sorry', 'LOST', 'LOST', 'CONECTION', 'Internet', 'Current', 'YouTube', 'Please', 'Explanation', "]</v>
      </c>
      <c r="D821" s="3">
        <v>3.0</v>
      </c>
    </row>
    <row r="822" ht="15.75" customHeight="1">
      <c r="A822" s="1">
        <v>820.0</v>
      </c>
      <c r="B822" s="3" t="s">
        <v>823</v>
      </c>
      <c r="C822" s="3" t="str">
        <f>IFERROR(__xludf.DUMMYFUNCTION("GOOGLETRANSLATE(B822,""id"",""en"")"),"['Severe', 'really', 'Ksini', 'No "",' really ',' application ',' Telkomsel ',' nyaaa ',' think ',' wifi ',' exhaust ',' emang ',' The disease ',' The application ',' gabisa ',' open ',' buy ',' package ',' hampered ',' Gara ',' Gara ', ""]")</f>
        <v>['Severe', 'really', 'Ksini', 'No ",' really ',' application ',' Telkomsel ',' nyaaa ',' think ',' wifi ',' exhaust ',' emang ',' The disease ',' The application ',' gabisa ',' open ',' buy ',' package ',' hampered ',' Gara ',' Gara ', "]</v>
      </c>
      <c r="D822" s="3">
        <v>2.0</v>
      </c>
    </row>
    <row r="823" ht="15.75" customHeight="1">
      <c r="A823" s="1">
        <v>821.0</v>
      </c>
      <c r="B823" s="3" t="s">
        <v>824</v>
      </c>
      <c r="C823" s="3" t="str">
        <f>IFERROR(__xludf.DUMMYFUNCTION("GOOGLETRANSLATE(B823,""id"",""en"")"),"['Region', 'Leuwigajah', 'City', 'Cimahi', 'Really', 'Lost', 'Signal', 'Season', 'Current', 'Clock', 'Night', ""]")</f>
        <v>['Region', 'Leuwigajah', 'City', 'Cimahi', 'Really', 'Lost', 'Signal', 'Season', 'Current', 'Clock', 'Night', "]</v>
      </c>
      <c r="D823" s="3">
        <v>1.0</v>
      </c>
    </row>
    <row r="824" ht="15.75" customHeight="1">
      <c r="A824" s="1">
        <v>822.0</v>
      </c>
      <c r="B824" s="3" t="s">
        <v>825</v>
      </c>
      <c r="C824" s="3" t="str">
        <f>IFERROR(__xludf.DUMMYFUNCTION("GOOGLETRANSLATE(B824,""id"",""en"")"),"['Telkomsel', 'Network', 'Severe', 'Distal', 'Benget', 'Use', 'Card', 'Telcomsel', 'NGA', 'Nga', 'Bangus',' Telcomsel ',' Uda ',' essence ',' capital ',' times', 'eat', 'Severe', 'buy', 'package', 'price', 'expensive', 'package', 'package', 'data' , 'buy'"&amp;", 'sms',' enter ',' congratulations', 'purchase', 'package', 'pasidicek', 'enter', 'heart', 'heart', 'already', 'use', ' Package ',' Nga ',' Credit ',' Out ',' Telcomsel ',' Uda ',' Fraud ',' Severe ',' ']")</f>
        <v>['Telkomsel', 'Network', 'Severe', 'Distal', 'Benget', 'Use', 'Card', 'Telcomsel', 'NGA', 'Nga', 'Bangus',' Telcomsel ',' Uda ',' essence ',' capital ',' times', 'eat', 'Severe', 'buy', 'package', 'price', 'expensive', 'package', 'package', 'data' , 'buy', 'sms',' enter ',' congratulations', 'purchase', 'package', 'pasidicek', 'enter', 'heart', 'heart', 'already', 'use', ' Package ',' Nga ',' Credit ',' Out ',' Telcomsel ',' Uda ',' Fraud ',' Severe ',' ']</v>
      </c>
      <c r="D824" s="3">
        <v>1.0</v>
      </c>
    </row>
    <row r="825" ht="15.75" customHeight="1">
      <c r="A825" s="1">
        <v>823.0</v>
      </c>
      <c r="B825" s="3" t="s">
        <v>826</v>
      </c>
      <c r="C825" s="3" t="str">
        <f>IFERROR(__xludf.DUMMYFUNCTION("GOOGLETRANSLATE(B825,""id"",""en"")"),"['signal', 'network', 'region', 'sum', 'cell', 'city', 'prabumulih', 'kec', 'rambang', 'ax', 'signal', 'axis',' Sunday ',' Benerin ',' Donk ',' Telkomsel ',' Rich ',' Raya ',' Lost ',' Indosat ',' Current ',' Bankrupt ',' Telkomsel ',' Harm ',' Severe ' ,"&amp;" 'Electricity', 'Dead', 'Sinyall', 'Lost', 'Tel', 'Mobile', 'Report', 'Operator', 'Telkomsel', 'Ehhh', 'Week', 'Full', ' DIPELP ',' Operator ',' Telkomsel ',' Questioning ']")</f>
        <v>['signal', 'network', 'region', 'sum', 'cell', 'city', 'prabumulih', 'kec', 'rambang', 'ax', 'signal', 'axis',' Sunday ',' Benerin ',' Donk ',' Telkomsel ',' Rich ',' Raya ',' Lost ',' Indosat ',' Current ',' Bankrupt ',' Telkomsel ',' Harm ',' Severe ' , 'Electricity', 'Dead', 'Sinyall', 'Lost', 'Tel', 'Mobile', 'Report', 'Operator', 'Telkomsel', 'Ehhh', 'Week', 'Full', ' DIPELP ',' Operator ',' Telkomsel ',' Questioning ']</v>
      </c>
      <c r="D825" s="3">
        <v>1.0</v>
      </c>
    </row>
    <row r="826" ht="15.75" customHeight="1">
      <c r="A826" s="1">
        <v>824.0</v>
      </c>
      <c r="B826" s="3" t="s">
        <v>827</v>
      </c>
      <c r="C826" s="3" t="str">
        <f>IFERROR(__xludf.DUMMYFUNCTION("GOOGLETRANSLATE(B826,""id"",""en"")"),"['KNPA', 'Telkomsel', 'minimal', 'signal', 'electricity', 'dead', 'knpa', 'Telkomsel', 'dead', 'signal', 'rich', 'card', ' UDH ',' Telkomsel ',' moved ',' card ',' UDH ',' MAH ',' expensive ',' TPI ',' connection ',' stable ',' please ',' Telkomsel ',' re"&amp;"pair ' , 'signal', 'as fast']")</f>
        <v>['KNPA', 'Telkomsel', 'minimal', 'signal', 'electricity', 'dead', 'knpa', 'Telkomsel', 'dead', 'signal', 'rich', 'card', ' UDH ',' Telkomsel ',' moved ',' card ',' UDH ',' MAH ',' expensive ',' TPI ',' connection ',' stable ',' please ',' Telkomsel ',' repair ' , 'signal', 'as fast']</v>
      </c>
      <c r="D826" s="3">
        <v>1.0</v>
      </c>
    </row>
    <row r="827" ht="15.75" customHeight="1">
      <c r="A827" s="1">
        <v>825.0</v>
      </c>
      <c r="B827" s="3" t="s">
        <v>828</v>
      </c>
      <c r="C827" s="3" t="str">
        <f>IFERROR(__xludf.DUMMYFUNCTION("GOOGLETRANSLATE(B827,""id"",""en"")"),"['signal', 'slow', 'expensive', 'quota', 'package', 'call', 'expensive', 'card', 'signal', 'stable']")</f>
        <v>['signal', 'slow', 'expensive', 'quota', 'package', 'call', 'expensive', 'card', 'signal', 'stable']</v>
      </c>
      <c r="D827" s="3">
        <v>1.0</v>
      </c>
    </row>
    <row r="828" ht="15.75" customHeight="1">
      <c r="A828" s="1">
        <v>826.0</v>
      </c>
      <c r="B828" s="3" t="s">
        <v>829</v>
      </c>
      <c r="C828" s="3" t="str">
        <f>IFERROR(__xludf.DUMMYFUNCTION("GOOGLETRANSLATE(B828,""id"",""en"")"),"['quota', 'promo', 'signal', 'missing', 'meding', 'price', 'expensive', 'quality', 'cheap', 'ngk', 'quality', 'disappointing', ' signal ',' Telkomsel ',' rare ',' use ',' Telkomsel ',' tip ',' company ',' UDH ',' go bankrupt ',' hope ',' fix ']")</f>
        <v>['quota', 'promo', 'signal', 'missing', 'meding', 'price', 'expensive', 'quality', 'cheap', 'ngk', 'quality', 'disappointing', ' signal ',' Telkomsel ',' rare ',' use ',' Telkomsel ',' tip ',' company ',' UDH ',' go bankrupt ',' hope ',' fix ']</v>
      </c>
      <c r="D828" s="3">
        <v>1.0</v>
      </c>
    </row>
    <row r="829" ht="15.75" customHeight="1">
      <c r="A829" s="1">
        <v>827.0</v>
      </c>
      <c r="B829" s="3" t="s">
        <v>830</v>
      </c>
      <c r="C829" s="3" t="str">
        <f>IFERROR(__xludf.DUMMYFUNCTION("GOOGLETRANSLATE(B829,""id"",""en"")"),"['connection', 'Telkomsel', 'bad', 'buy', 'package', 'internet', 'game', 'verytt', 'cateett', 'customer', 'disappointed', 'service']")</f>
        <v>['connection', 'Telkomsel', 'bad', 'buy', 'package', 'internet', 'game', 'verytt', 'cateett', 'customer', 'disappointed', 'service']</v>
      </c>
      <c r="D829" s="3">
        <v>1.0</v>
      </c>
    </row>
    <row r="830" ht="15.75" customHeight="1">
      <c r="A830" s="1">
        <v>828.0</v>
      </c>
      <c r="B830" s="3" t="s">
        <v>831</v>
      </c>
      <c r="C830" s="3" t="str">
        <f>IFERROR(__xludf.DUMMYFUNCTION("GOOGLETRANSLATE(B830,""id"",""en"")"),"['Telkomsel', 'Dear', 'please', 'fix', 'network', 'bts',' home ',' lag ',' how ',' play ',' Moba ',' lose ',' ']")</f>
        <v>['Telkomsel', 'Dear', 'please', 'fix', 'network', 'bts',' home ',' lag ',' how ',' play ',' Moba ',' lose ',' ']</v>
      </c>
      <c r="D830" s="3">
        <v>1.0</v>
      </c>
    </row>
    <row r="831" ht="15.75" customHeight="1">
      <c r="A831" s="1">
        <v>829.0</v>
      </c>
      <c r="B831" s="3" t="s">
        <v>832</v>
      </c>
      <c r="C831" s="3" t="str">
        <f>IFERROR(__xludf.DUMMYFUNCTION("GOOGLETRANSLATE(B831,""id"",""en"")"),"['Really', 'Disappointed', 'Since', 'Program', 'Error', 'Network', 'Satisfied', 'Customer', 'Please', 'Fix', 'Customer', 'Move', ' operator', '']")</f>
        <v>['Really', 'Disappointed', 'Since', 'Program', 'Error', 'Network', 'Satisfied', 'Customer', 'Please', 'Fix', 'Customer', 'Move', ' operator', '']</v>
      </c>
      <c r="D831" s="3">
        <v>1.0</v>
      </c>
    </row>
    <row r="832" ht="15.75" customHeight="1">
      <c r="A832" s="1">
        <v>830.0</v>
      </c>
      <c r="B832" s="3" t="s">
        <v>833</v>
      </c>
      <c r="C832" s="3" t="str">
        <f>IFERROR(__xludf.DUMMYFUNCTION("GOOGLETRANSLATE(B832,""id"",""en"")"),"['Promblem', 'Get', 'Network', 'Telkomsel', 'MyTelkomsel', 'Sometimes',' Login ',' Application ',' Choice ',' Quota ',' Expensive ',' beever ',' Buy ',' Network ',' like ',' missing ',' arising ',' hope ',' Telkomsel ',' fix ', ""]")</f>
        <v>['Promblem', 'Get', 'Network', 'Telkomsel', 'MyTelkomsel', 'Sometimes',' Login ',' Application ',' Choice ',' Quota ',' Expensive ',' beever ',' Buy ',' Network ',' like ',' missing ',' arising ',' hope ',' Telkomsel ',' fix ', "]</v>
      </c>
      <c r="D832" s="3">
        <v>1.0</v>
      </c>
    </row>
    <row r="833" ht="15.75" customHeight="1">
      <c r="A833" s="1">
        <v>831.0</v>
      </c>
      <c r="B833" s="3" t="s">
        <v>834</v>
      </c>
      <c r="C833" s="3" t="str">
        <f>IFERROR(__xludf.DUMMYFUNCTION("GOOGLETRANSLATE(B833,""id"",""en"")"),"['Sorry', 'love', 'star', 'Telkomsel', 'smooth', 'network', 'slow', 'take action', 'continue', 'trs',' customer ',' blur ',' Move ',' Provider ',' Try ',' Provider ',' ']")</f>
        <v>['Sorry', 'love', 'star', 'Telkomsel', 'smooth', 'network', 'slow', 'take action', 'continue', 'trs',' customer ',' blur ',' Move ',' Provider ',' Try ',' Provider ',' ']</v>
      </c>
      <c r="D833" s="3">
        <v>1.0</v>
      </c>
    </row>
    <row r="834" ht="15.75" customHeight="1">
      <c r="A834" s="1">
        <v>832.0</v>
      </c>
      <c r="B834" s="3" t="s">
        <v>835</v>
      </c>
      <c r="C834" s="3" t="str">
        <f>IFERROR(__xludf.DUMMYFUNCTION("GOOGLETRANSLATE(B834,""id"",""en"")"),"['account', 'Telkomsel', 'login', 'Come', 'Min', 'hurry', 'fix', 'application', 'check', 'quota', 'pulse', 'sms',' Have ',' Dwonload ',' Telkomsel ',' Kenyata ',' Login ',' KPN ',' Gini ',' Use ',' Application ',' Telkomsel ',' Customer ',' Disappointed '"&amp;",' Please ' , 'As soon as possible,' Responding ',' Min ',' Thank ', ""]")</f>
        <v>['account', 'Telkomsel', 'login', 'Come', 'Min', 'hurry', 'fix', 'application', 'check', 'quota', 'pulse', 'sms',' Have ',' Dwonload ',' Telkomsel ',' Kenyata ',' Login ',' KPN ',' Gini ',' Use ',' Application ',' Telkomsel ',' Customer ',' Disappointed ',' Please ' , 'As soon as possible,' Responding ',' Min ',' Thank ', "]</v>
      </c>
      <c r="D834" s="3">
        <v>5.0</v>
      </c>
    </row>
    <row r="835" ht="15.75" customHeight="1">
      <c r="A835" s="1">
        <v>833.0</v>
      </c>
      <c r="B835" s="3" t="s">
        <v>836</v>
      </c>
      <c r="C835" s="3" t="str">
        <f>IFERROR(__xludf.DUMMYFUNCTION("GOOGLETRANSLATE(B835,""id"",""en"")"),"['Please', 'Telkomsel', 'Choice', 'Transfer', 'Post', 'Pay', 'Prepaid', 'Post', 'Pay', 'Loss',' Because ',' Bnyk ',' package ',' no ',' high school ',' kdang ',' confused ',' bill ',' dri ',' expenditure ',' buy ',' package ',' ']")</f>
        <v>['Please', 'Telkomsel', 'Choice', 'Transfer', 'Post', 'Pay', 'Prepaid', 'Post', 'Pay', 'Loss',' Because ',' Bnyk ',' package ',' no ',' high school ',' kdang ',' confused ',' bill ',' dri ',' expenditure ',' buy ',' package ',' ']</v>
      </c>
      <c r="D835" s="3">
        <v>1.0</v>
      </c>
    </row>
    <row r="836" ht="15.75" customHeight="1">
      <c r="A836" s="1">
        <v>834.0</v>
      </c>
      <c r="B836" s="3" t="s">
        <v>837</v>
      </c>
      <c r="C836" s="3" t="str">
        <f>IFERROR(__xludf.DUMMYFUNCTION("GOOGLETRANSLATE(B836,""id"",""en"")"),"['buy', 'quota', 'unlimited', 'dated', 'December', 'validated', 'run out', 'date', 'January', 'disappointed', 'limit', 'quota', ' buy it ',' at night ',' please ',' Telkomsel ',' set ',' buy ',' apply ',' package ',' a day ',' clock ',' clock ',' night ']")</f>
        <v>['buy', 'quota', 'unlimited', 'dated', 'December', 'validated', 'run out', 'date', 'January', 'disappointed', 'limit', 'quota', ' buy it ',' at night ',' please ',' Telkomsel ',' set ',' buy ',' apply ',' package ',' a day ',' clock ',' clock ',' night ']</v>
      </c>
      <c r="D836" s="3">
        <v>2.0</v>
      </c>
    </row>
    <row r="837" ht="15.75" customHeight="1">
      <c r="A837" s="1">
        <v>835.0</v>
      </c>
      <c r="B837" s="3" t="s">
        <v>838</v>
      </c>
      <c r="C837" s="3" t="str">
        <f>IFERROR(__xludf.DUMMYFUNCTION("GOOGLETRANSLATE(B837,""id"",""en"")"),"['Telkomsel', 'card', 'mainstay', 'road', 'snail', 'card', 'package', 'affordable', '']")</f>
        <v>['Telkomsel', 'card', 'mainstay', 'road', 'snail', 'card', 'package', 'affordable', '']</v>
      </c>
      <c r="D837" s="3">
        <v>1.0</v>
      </c>
    </row>
    <row r="838" ht="15.75" customHeight="1">
      <c r="A838" s="1">
        <v>836.0</v>
      </c>
      <c r="B838" s="3" t="s">
        <v>839</v>
      </c>
      <c r="C838" s="3" t="str">
        <f>IFERROR(__xludf.DUMMYFUNCTION("GOOGLETRANSLATE(B838,""id"",""en"")"),"['Network', 'bad', 'Severe', 'provider', 'expensive', 'quality', 'area', 'Kalbar', 'Melawi', 'disappointing', 'Telkomsel', 'NOT' Benerin ',' Diemin ',' Disappointed ',' Sihhh ']")</f>
        <v>['Network', 'bad', 'Severe', 'provider', 'expensive', 'quality', 'area', 'Kalbar', 'Melawi', 'disappointing', 'Telkomsel', 'NOT' Benerin ',' Diemin ',' Disappointed ',' Sihhh ']</v>
      </c>
      <c r="D838" s="3">
        <v>1.0</v>
      </c>
    </row>
    <row r="839" ht="15.75" customHeight="1">
      <c r="A839" s="1">
        <v>837.0</v>
      </c>
      <c r="B839" s="3" t="s">
        <v>840</v>
      </c>
      <c r="C839" s="3" t="str">
        <f>IFERROR(__xludf.DUMMYFUNCTION("GOOGLETRANSLATE(B839,""id"",""en"")"),"['quota', 'trick', 'quota', 'GB', 'quota', 'tri', 'GB', 'speed', 'udh', 'compare', 'shop', 'next door' Gkada ',' signal ',' closed ',' Men ',' ']")</f>
        <v>['quota', 'trick', 'quota', 'GB', 'quota', 'tri', 'GB', 'speed', 'udh', 'compare', 'shop', 'next door' Gkada ',' signal ',' closed ',' Men ',' ']</v>
      </c>
      <c r="D839" s="3">
        <v>1.0</v>
      </c>
    </row>
    <row r="840" ht="15.75" customHeight="1">
      <c r="A840" s="1">
        <v>838.0</v>
      </c>
      <c r="B840" s="3" t="s">
        <v>841</v>
      </c>
      <c r="C840" s="3" t="str">
        <f>IFERROR(__xludf.DUMMYFUNCTION("GOOGLETRANSLATE(B840,""id"",""en"")"),"['already', 'buy', 'package', 'internet', 'expensive', 'eehh', 'signal', 'slow', 'already', 'dipake', 'play', 'game', ' ehhhh ',' Nge ',' lag ',' cook ',' open ',' application ',' Telkomsel ',' failed ',' said ',' signal ',' pke ',' signal ',' telkom ' , "&amp;"'lhoo', 'bang']")</f>
        <v>['already', 'buy', 'package', 'internet', 'expensive', 'eehh', 'signal', 'slow', 'already', 'dipake', 'play', 'game', ' ehhhh ',' Nge ',' lag ',' cook ',' open ',' application ',' Telkomsel ',' failed ',' said ',' signal ',' pke ',' signal ',' telkom ' , 'lhoo', 'bang']</v>
      </c>
      <c r="D840" s="3">
        <v>1.0</v>
      </c>
    </row>
    <row r="841" ht="15.75" customHeight="1">
      <c r="A841" s="1">
        <v>839.0</v>
      </c>
      <c r="B841" s="3" t="s">
        <v>842</v>
      </c>
      <c r="C841" s="3" t="str">
        <f>IFERROR(__xludf.DUMMYFUNCTION("GOOGLETRANSLATE(B841,""id"",""en"")"),"['Related', 'installation', 'network', 'ttapi', 'please', 'Director', 'Telkom', 'fix', 'network', 'internet', 'pay', 'expensive', ' Package ',' Internet ',' Monthly ',' Telkomsel ',' Ttapi ',' Network ',' Internet ',' Main ',' Game ',' Online ',' Stable '"&amp;",' Lost ',' then ' , 'please', 'fix', 'network', 'monitor', 'Corruptor', 'Telkom', 'BUMN']")</f>
        <v>['Related', 'installation', 'network', 'ttapi', 'please', 'Director', 'Telkom', 'fix', 'network', 'internet', 'pay', 'expensive', ' Package ',' Internet ',' Monthly ',' Telkomsel ',' Ttapi ',' Network ',' Internet ',' Main ',' Game ',' Online ',' Stable ',' Lost ',' then ' , 'please', 'fix', 'network', 'monitor', 'Corruptor', 'Telkom', 'BUMN']</v>
      </c>
      <c r="D841" s="3">
        <v>1.0</v>
      </c>
    </row>
    <row r="842" ht="15.75" customHeight="1">
      <c r="A842" s="1">
        <v>840.0</v>
      </c>
      <c r="B842" s="3" t="s">
        <v>843</v>
      </c>
      <c r="C842" s="3" t="str">
        <f>IFERROR(__xludf.DUMMYFUNCTION("GOOGLETRANSLATE(B842,""id"",""en"")"),"['Taik', 'Network', 'Telkomsel', 'Good', 'Exchange', 'Card', 'Kek', 'Ayok', 'Move', 'Card', 'Good', 'Telkomsel', ' bad connection']")</f>
        <v>['Taik', 'Network', 'Telkomsel', 'Good', 'Exchange', 'Card', 'Kek', 'Ayok', 'Move', 'Card', 'Good', 'Telkomsel', ' bad connection']</v>
      </c>
      <c r="D842" s="3">
        <v>1.0</v>
      </c>
    </row>
    <row r="843" ht="15.75" customHeight="1">
      <c r="A843" s="1">
        <v>841.0</v>
      </c>
      <c r="B843" s="3" t="s">
        <v>844</v>
      </c>
      <c r="C843" s="3" t="str">
        <f>IFERROR(__xludf.DUMMYFUNCTION("GOOGLETRANSLATE(B843,""id"",""en"")"),"['Application', 'Damn', 'Update', 'Good', 'Enter', 'Advertising', 'Tawarin', 'Open', 'Telkomsel', 'Turn', 'Open', 'Sendri', ' Delete ',' Data ',' Cahce ',' Please ',' Ungrade ',' Kmbali ',' Telkomsel ',' Version ', ""]")</f>
        <v>['Application', 'Damn', 'Update', 'Good', 'Enter', 'Advertising', 'Tawarin', 'Open', 'Telkomsel', 'Turn', 'Open', 'Sendri', ' Delete ',' Data ',' Cahce ',' Please ',' Ungrade ',' Kmbali ',' Telkomsel ',' Version ', "]</v>
      </c>
      <c r="D843" s="3">
        <v>1.0</v>
      </c>
    </row>
    <row r="844" ht="15.75" customHeight="1">
      <c r="A844" s="1">
        <v>842.0</v>
      </c>
      <c r="B844" s="3" t="s">
        <v>845</v>
      </c>
      <c r="C844" s="3" t="str">
        <f>IFERROR(__xludf.DUMMYFUNCTION("GOOGLETRANSLATE(B844,""id"",""en"")"),"['Get', 'SMS', 'Telkomsel', 'Package', 'Out', 'Worn', 'Rates',' Credit ',' Normal ',' Turn ',' Check ',' Application ',' Telkomsel ',' Package ',' Data ',' ']")</f>
        <v>['Get', 'SMS', 'Telkomsel', 'Package', 'Out', 'Worn', 'Rates',' Credit ',' Normal ',' Turn ',' Check ',' Application ',' Telkomsel ',' Package ',' Data ',' ']</v>
      </c>
      <c r="D844" s="3">
        <v>2.0</v>
      </c>
    </row>
    <row r="845" ht="15.75" customHeight="1">
      <c r="A845" s="1">
        <v>843.0</v>
      </c>
      <c r="B845" s="3" t="s">
        <v>846</v>
      </c>
      <c r="C845" s="3" t="str">
        <f>IFERROR(__xludf.DUMMYFUNCTION("GOOGLETRANSLATE(B845,""id"",""en"")"),"['love', 'star', 'dlu', 'downlod', 'quota', 'bbrapa', 'buy', 'package', 'price', 'thousand', 'dapet', 'smooth' some ',' downlod ',' Yutube ',' Lola ',' collapsed ',' bjntang ',' pyah ',' network ',' may ',' complicated ',' directionin ',' use ',' applicat"&amp;"ion ' , 'complaints',' throw ',' waiter ',' busy ',' jdiny ',' customer ',' confused ',' seprti ',' plin ',' plan ',' judge ',' Telkomsel ',' company ',' ']")</f>
        <v>['love', 'star', 'dlu', 'downlod', 'quota', 'bbrapa', 'buy', 'package', 'price', 'thousand', 'dapet', 'smooth' some ',' downlod ',' Yutube ',' Lola ',' collapsed ',' bjntang ',' pyah ',' network ',' may ',' complicated ',' directionin ',' use ',' application ' , 'complaints',' throw ',' waiter ',' busy ',' jdiny ',' customer ',' confused ',' seprti ',' plin ',' plan ',' judge ',' Telkomsel ',' company ',' ']</v>
      </c>
      <c r="D845" s="3">
        <v>1.0</v>
      </c>
    </row>
    <row r="846" ht="15.75" customHeight="1">
      <c r="A846" s="1">
        <v>844.0</v>
      </c>
      <c r="B846" s="3" t="s">
        <v>847</v>
      </c>
      <c r="C846" s="3" t="str">
        <f>IFERROR(__xludf.DUMMYFUNCTION("GOOGLETRANSLATE(B846,""id"",""en"")"),"['updated', 'Login', 'Try', 'Seprti', 'Application', 'Next', 'Easy', 'Used', 'Errror', 'Cook', 'Network', 'Smooth', ' Login ',' appears', 'Notif', 'Network', '']")</f>
        <v>['updated', 'Login', 'Try', 'Seprti', 'Application', 'Next', 'Easy', 'Used', 'Errror', 'Cook', 'Network', 'Smooth', ' Login ',' appears', 'Notif', 'Network', '']</v>
      </c>
      <c r="D846" s="3">
        <v>1.0</v>
      </c>
    </row>
    <row r="847" ht="15.75" customHeight="1">
      <c r="A847" s="1">
        <v>845.0</v>
      </c>
      <c r="B847" s="3" t="s">
        <v>848</v>
      </c>
      <c r="C847" s="3" t="str">
        <f>IFERROR(__xludf.DUMMYFUNCTION("GOOGLETRANSLATE(B847,""id"",""en"")"),"['Application', 'Telkomsel', 'Disruption', 'GMANA', 'Login', 'Session', 'Quota', 'TPI', 'Slalu', 'Notification', 'Quota', 'Out', ' message ',' box ',' enter ',' please ',' help ', ""]")</f>
        <v>['Application', 'Telkomsel', 'Disruption', 'GMANA', 'Login', 'Session', 'Quota', 'TPI', 'Slalu', 'Notification', 'Quota', 'Out', ' message ',' box ',' enter ',' please ',' help ', "]</v>
      </c>
      <c r="D847" s="3">
        <v>4.0</v>
      </c>
    </row>
    <row r="848" ht="15.75" customHeight="1">
      <c r="A848" s="1">
        <v>846.0</v>
      </c>
      <c r="B848" s="3" t="s">
        <v>849</v>
      </c>
      <c r="C848" s="3" t="str">
        <f>IFERROR(__xludf.DUMMYFUNCTION("GOOGLETRANSLATE(B848,""id"",""en"")"),"['', 'contents',' pulse ',' then ',' contents', 'pulse', 'msh', 'pulse', 'quota', 'internet', 'GB', 'check', 'the next day ',' pulse ',' leftover ',' telephone ',' sms', 'hey', 'where', 'go', 'pulses', ""]")</f>
        <v>['', 'contents',' pulse ',' then ',' contents', 'pulse', 'msh', 'pulse', 'quota', 'internet', 'GB', 'check', 'the next day ',' pulse ',' leftover ',' telephone ',' sms', 'hey', 'where', 'go', 'pulses', "]</v>
      </c>
      <c r="D848" s="3">
        <v>1.0</v>
      </c>
    </row>
    <row r="849" ht="15.75" customHeight="1">
      <c r="A849" s="1">
        <v>847.0</v>
      </c>
      <c r="B849" s="3" t="s">
        <v>850</v>
      </c>
      <c r="C849" s="3" t="str">
        <f>IFERROR(__xludf.DUMMYFUNCTION("GOOGLETRANSLATE(B849,""id"",""en"")"),"['option', 'package', 'promo', 'spend', 'quota', 'memory', 'install', 'free', 'quota', 'access',' application ',' run out ',' quota ',' Sometimes', 'Nyari', 'wifi', 'buy', 'package', 'emergency', 'buy', 'application']")</f>
        <v>['option', 'package', 'promo', 'spend', 'quota', 'memory', 'install', 'free', 'quota', 'access',' application ',' run out ',' quota ',' Sometimes', 'Nyari', 'wifi', 'buy', 'package', 'emergency', 'buy', 'application']</v>
      </c>
      <c r="D849" s="3">
        <v>1.0</v>
      </c>
    </row>
    <row r="850" ht="15.75" customHeight="1">
      <c r="A850" s="1">
        <v>848.0</v>
      </c>
      <c r="B850" s="3" t="s">
        <v>851</v>
      </c>
      <c r="C850" s="3" t="str">
        <f>IFERROR(__xludf.DUMMYFUNCTION("GOOGLETRANSLATE(B850,""id"",""en"")"),"['Unee', 'service', 'credit', 'missing', 'gapernah', 'transfer', 'pulse', 'said', 'transfer', 'then' told ',' contact ',' numbers', 'goals',' psahal ',' number ',' active ',' really ',' just ',' return ',' pulse ',' missing ',' convoluted ',' turned ',' d"&amp;"isappointed ' , 'make a loss', '']")</f>
        <v>['Unee', 'service', 'credit', 'missing', 'gapernah', 'transfer', 'pulse', 'said', 'transfer', 'then' told ',' contact ',' numbers', 'goals',' psahal ',' number ',' active ',' really ',' just ',' return ',' pulse ',' missing ',' convoluted ',' turned ',' disappointed ' , 'make a loss', '']</v>
      </c>
      <c r="D850" s="3">
        <v>1.0</v>
      </c>
    </row>
    <row r="851" ht="15.75" customHeight="1">
      <c r="A851" s="1">
        <v>849.0</v>
      </c>
      <c r="B851" s="3" t="s">
        <v>852</v>
      </c>
      <c r="C851" s="3" t="str">
        <f>IFERROR(__xludf.DUMMYFUNCTION("GOOGLETRANSLATE(B851,""id"",""en"")"),"['price', 'quota', 'according to', 'quality', 'network', 'internet', 'area', 'week', 'times',' already ',' disorder ',' network ',' Internet ',' Please ',' Quality ',' The Network ',' Repaired ',' Fortunately ']")</f>
        <v>['price', 'quota', 'according to', 'quality', 'network', 'internet', 'area', 'week', 'times',' already ',' disorder ',' network ',' Internet ',' Please ',' Quality ',' The Network ',' Repaired ',' Fortunately ']</v>
      </c>
      <c r="D851" s="3">
        <v>1.0</v>
      </c>
    </row>
    <row r="852" ht="15.75" customHeight="1">
      <c r="A852" s="1">
        <v>850.0</v>
      </c>
      <c r="B852" s="3" t="s">
        <v>853</v>
      </c>
      <c r="C852" s="3" t="str">
        <f>IFERROR(__xludf.DUMMYFUNCTION("GOOGLETRANSLATE(B852,""id"",""en"")"),"['Please', 'Signal', 'Fence', 'Nature', 'Sumatran', 'South', 'Tower', 'Week', 'Burned', 'Network', 'Lemot', 'Thn', ' Pay ',' Hello ',' Tetep ',' Road ']")</f>
        <v>['Please', 'Signal', 'Fence', 'Nature', 'Sumatran', 'South', 'Tower', 'Week', 'Burned', 'Network', 'Lemot', 'Thn', ' Pay ',' Hello ',' Tetep ',' Road ']</v>
      </c>
      <c r="D852" s="3">
        <v>1.0</v>
      </c>
    </row>
    <row r="853" ht="15.75" customHeight="1">
      <c r="A853" s="1">
        <v>851.0</v>
      </c>
      <c r="B853" s="3" t="s">
        <v>854</v>
      </c>
      <c r="C853" s="3" t="str">
        <f>IFERROR(__xludf.DUMMYFUNCTION("GOOGLETRANSLATE(B853,""id"",""en"")"),"['knp', 'buy', 'package', 'data', 'reason', 'connection', 'bad', 'try', 'data', 'msh', 'gb', 'bi', ' TPI ',' Gini ',' Slalu ',' Knp ',' ']")</f>
        <v>['knp', 'buy', 'package', 'data', 'reason', 'connection', 'bad', 'try', 'data', 'msh', 'gb', 'bi', ' TPI ',' Gini ',' Slalu ',' Knp ',' ']</v>
      </c>
      <c r="D853" s="3">
        <v>1.0</v>
      </c>
    </row>
    <row r="854" ht="15.75" customHeight="1">
      <c r="A854" s="1">
        <v>852.0</v>
      </c>
      <c r="B854" s="3" t="s">
        <v>855</v>
      </c>
      <c r="C854" s="3" t="str">
        <f>IFERROR(__xludf.DUMMYFUNCTION("GOOGLETRANSLATE(B854,""id"",""en"")"),"['expensive', 'loyal', 'Telkom', 'Rain', 'Wind', 'Dordar', 'Dark', 'Teu', 'Aya', 'Jang', 'Ngi', 'signal', ' Champion ',' Eeeehhh ',' cloudy ',' little ',' network ',' blur ',' disappointing ',' network ',' yahud ',' price ',' expensive ',' okay ',' okay '"&amp;" , 'mAh', 'network', 'stable', 'price', 'wkwkwkwkw', 'rich', 'gini', 'customer', 'blur']")</f>
        <v>['expensive', 'loyal', 'Telkom', 'Rain', 'Wind', 'Dordar', 'Dark', 'Teu', 'Aya', 'Jang', 'Ngi', 'signal', ' Champion ',' Eeeehhh ',' cloudy ',' little ',' network ',' blur ',' disappointing ',' network ',' yahud ',' price ',' expensive ',' okay ',' okay ' , 'mAh', 'network', 'stable', 'price', 'wkwkwkwkw', 'rich', 'gini', 'customer', 'blur']</v>
      </c>
      <c r="D854" s="3">
        <v>1.0</v>
      </c>
    </row>
    <row r="855" ht="15.75" customHeight="1">
      <c r="A855" s="1">
        <v>853.0</v>
      </c>
      <c r="B855" s="3" t="s">
        <v>856</v>
      </c>
      <c r="C855" s="3" t="str">
        <f>IFERROR(__xludf.DUMMYFUNCTION("GOOGLETRANSLATE(B855,""id"",""en"")"),"['Unfortunately', 'package', 'internet', 'active', 'if', 'active', 'quota', 'GB', 'active', 'except', 'quota', 'accumulation', ' ']")</f>
        <v>['Unfortunately', 'package', 'internet', 'active', 'if', 'active', 'quota', 'GB', 'active', 'except', 'quota', 'accumulation', ' ']</v>
      </c>
      <c r="D855" s="3">
        <v>1.0</v>
      </c>
    </row>
    <row r="856" ht="15.75" customHeight="1">
      <c r="A856" s="1">
        <v>854.0</v>
      </c>
      <c r="B856" s="3" t="s">
        <v>857</v>
      </c>
      <c r="C856" s="3" t="str">
        <f>IFERROR(__xludf.DUMMYFUNCTION("GOOGLETRANSLATE(B856,""id"",""en"")"),"['Please', 'Paketannya', 'Internet', 'Dour', 'Price', 'Paketan', 'Covid', 'Covid', 'Difficult', 'Look', 'Money', 'The situation', ' Murat ',' Marit ',' Required ',' Love ',' News', 'Family', 'Village', 'Video', 'Call', 'Wife', 'Child', ""]")</f>
        <v>['Please', 'Paketannya', 'Internet', 'Dour', 'Price', 'Paketan', 'Covid', 'Covid', 'Difficult', 'Look', 'Money', 'The situation', ' Murat ',' Marit ',' Required ',' Love ',' News', 'Family', 'Village', 'Video', 'Call', 'Wife', 'Child', "]</v>
      </c>
      <c r="D856" s="3">
        <v>5.0</v>
      </c>
    </row>
    <row r="857" ht="15.75" customHeight="1">
      <c r="A857" s="1">
        <v>855.0</v>
      </c>
      <c r="B857" s="3" t="s">
        <v>858</v>
      </c>
      <c r="C857" s="3" t="str">
        <f>IFERROR(__xludf.DUMMYFUNCTION("GOOGLETRANSLATE(B857,""id"",""en"")"),"['Disappointed', 'buy', 'pulse', 'thousand', 'pulse', 'thousand', 'GB', 'buy', 'pulse', 'sufficient', 'beforemya', 'mean', ' Please ',' Class', 'Online', '']")</f>
        <v>['Disappointed', 'buy', 'pulse', 'thousand', 'pulse', 'thousand', 'GB', 'buy', 'pulse', 'sufficient', 'beforemya', 'mean', ' Please ',' Class', 'Online', '']</v>
      </c>
      <c r="D857" s="3">
        <v>1.0</v>
      </c>
    </row>
    <row r="858" ht="15.75" customHeight="1">
      <c r="A858" s="1">
        <v>856.0</v>
      </c>
      <c r="B858" s="3" t="s">
        <v>859</v>
      </c>
      <c r="C858" s="3" t="str">
        <f>IFERROR(__xludf.DUMMYFUNCTION("GOOGLETRANSLATE(B858,""id"",""en"")"),"['SBLM', 'ISI', 'Credit', 'TLKMSL', 'Package', 'Data', 'Price', 'RB', 'Okay', 'Contents',' Rb ',' Paketan ',' Price ',' RB ',' Lost ',' Change ',' Jdi ',' RB ',' Okay ',' Contents', 'LGI', 'RB', 'Price', 'Paketan', 'Rb' , 'missing', 'change', 'jdi', 'rb',"&amp;" 'you', 'think', 'as easy', 'you', 'mamme', 'myself', 'weak', 'blind', ' kah ',' eyes', 'your heart', 'can', 'lgi', 'feel', 'pain', 'myself', 'phase', 'Corona', 'toou', ""]")</f>
        <v>['SBLM', 'ISI', 'Credit', 'TLKMSL', 'Package', 'Data', 'Price', 'RB', 'Okay', 'Contents',' Rb ',' Paketan ',' Price ',' RB ',' Lost ',' Change ',' Jdi ',' RB ',' Okay ',' Contents', 'LGI', 'RB', 'Price', 'Paketan', 'Rb' , 'missing', 'change', 'jdi', 'rb', 'you', 'think', 'as easy', 'you', 'mamme', 'myself', 'weak', 'blind', ' kah ',' eyes', 'your heart', 'can', 'lgi', 'feel', 'pain', 'myself', 'phase', 'Corona', 'toou', "]</v>
      </c>
      <c r="D858" s="3">
        <v>1.0</v>
      </c>
    </row>
    <row r="859" ht="15.75" customHeight="1">
      <c r="A859" s="1">
        <v>857.0</v>
      </c>
      <c r="B859" s="3" t="s">
        <v>860</v>
      </c>
      <c r="C859" s="3" t="str">
        <f>IFERROR(__xludf.DUMMYFUNCTION("GOOGLETRANSLATE(B859,""id"",""en"")"),"['Curhat', 'HRI', 'Trying', 'Login', 'TLKMSL', 'CLAIM', 'STAMP', 'COZ', 'TLKM', 'Stamp', 'BSA', 'exchanged', ' package ',' data ',' free ',' glad ',' short ',' story ',' hri ',' udh ',' collected ',' stamp ',' lgi ',' lgi ',' cuy ' , 'Eng', 'ing', 'Eng', "&amp;"'HRI', 'Diligently', 'Open', 'APK', 'TLKMSL', 'check', 'UDH', 'BSA', 'Claim', ' Stamp ',' MNT ',' Clock ',' Clock ',' TPI ',' Stamp ',' Claim ',' Honestly ',' Dlm ',' Clock ',' Stamp ',' Claim ',' Stamp ' , 'owned', 'reset', 'Dri', 'Fix', 'Gimmick', '']")</f>
        <v>['Curhat', 'HRI', 'Trying', 'Login', 'TLKMSL', 'CLAIM', 'STAMP', 'COZ', 'TLKM', 'Stamp', 'BSA', 'exchanged', ' package ',' data ',' free ',' glad ',' short ',' story ',' hri ',' udh ',' collected ',' stamp ',' lgi ',' lgi ',' cuy ' , 'Eng', 'ing', 'Eng', 'HRI', 'Diligently', 'Open', 'APK', 'TLKMSL', 'check', 'UDH', 'BSA', 'Claim', ' Stamp ',' MNT ',' Clock ',' Clock ',' TPI ',' Stamp ',' Claim ',' Honestly ',' Dlm ',' Clock ',' Stamp ',' Claim ',' Stamp ' , 'owned', 'reset', 'Dri', 'Fix', 'Gimmick', '']</v>
      </c>
      <c r="D859" s="3">
        <v>1.0</v>
      </c>
    </row>
    <row r="860" ht="15.75" customHeight="1">
      <c r="A860" s="1">
        <v>858.0</v>
      </c>
      <c r="B860" s="3" t="s">
        <v>861</v>
      </c>
      <c r="C860" s="3" t="str">
        <f>IFERROR(__xludf.DUMMYFUNCTION("GOOGLETRANSLATE(B860,""id"",""en"")"),"['Over', 'Rating', 'Satisfied', 'Telkomsel', 'Improvement', 'Side', 'Telkomsel', 'Company', 'Giant', 'Telkomsel', 'care', 'Quality', ' company ',' giant ',' world ',' bankrupt ',' heart ',' heart ',' fix ',' quality ', ""]")</f>
        <v>['Over', 'Rating', 'Satisfied', 'Telkomsel', 'Improvement', 'Side', 'Telkomsel', 'Company', 'Giant', 'Telkomsel', 'care', 'Quality', ' company ',' giant ',' world ',' bankrupt ',' heart ',' heart ',' fix ',' quality ', "]</v>
      </c>
      <c r="D860" s="3">
        <v>1.0</v>
      </c>
    </row>
    <row r="861" ht="15.75" customHeight="1">
      <c r="A861" s="1">
        <v>859.0</v>
      </c>
      <c r="B861" s="3" t="s">
        <v>862</v>
      </c>
      <c r="C861" s="3" t="str">
        <f>IFERROR(__xludf.DUMMYFUNCTION("GOOGLETRANSLATE(B861,""id"",""en"")"),"['Haii', 'Dewload', 'Dowload', 'Telomsel', 'Telkomsel', 'Bagus',' Lhoo ',' God willing ',' Sorry ',' yaa ',' cumak ',' gave ',' Stars', 'Jugak', 'Ngedowload', 'Okehh', 'Terimaksih', '']")</f>
        <v>['Haii', 'Dewload', 'Dowload', 'Telomsel', 'Telkomsel', 'Bagus',' Lhoo ',' God willing ',' Sorry ',' yaa ',' cumak ',' gave ',' Stars', 'Jugak', 'Ngedowload', 'Okehh', 'Terimaksih', '']</v>
      </c>
      <c r="D861" s="3">
        <v>3.0</v>
      </c>
    </row>
    <row r="862" ht="15.75" customHeight="1">
      <c r="A862" s="1">
        <v>860.0</v>
      </c>
      <c r="B862" s="3" t="s">
        <v>863</v>
      </c>
      <c r="C862" s="3" t="str">
        <f>IFERROR(__xludf.DUMMYFUNCTION("GOOGLETRANSLATE(B862,""id"",""en"")"),"['Please', 'Price', 'Package', 'Data', 'Expensive', 'Customer', 'Official', 'Boss',' Msh ',' Skull ',' Strong ',' Price ',' package ',' expensive ',' wait ',' msh ',' expensive ',' forced ',' moved ',' provider ',' laen ',' hooraa ',' kuhaatt ',' mbokkkk "&amp;"', ""]")</f>
        <v>['Please', 'Price', 'Package', 'Data', 'Expensive', 'Customer', 'Official', 'Boss',' Msh ',' Skull ',' Strong ',' Price ',' package ',' expensive ',' wait ',' msh ',' expensive ',' forced ',' moved ',' provider ',' laen ',' hooraa ',' kuhaatt ',' mbokkkk ', "]</v>
      </c>
      <c r="D862" s="3">
        <v>1.0</v>
      </c>
    </row>
    <row r="863" ht="15.75" customHeight="1">
      <c r="A863" s="1">
        <v>861.0</v>
      </c>
      <c r="B863" s="3" t="s">
        <v>864</v>
      </c>
      <c r="C863" s="3" t="str">
        <f>IFERROR(__xludf.DUMMYFUNCTION("GOOGLETRANSLATE(B863,""id"",""en"")"),"['Quota', 'Local', 'Previous', 'Safe', 'Loss', 'Pay', 'Expensive', 'Yesterday', 'Response']")</f>
        <v>['Quota', 'Local', 'Previous', 'Safe', 'Loss', 'Pay', 'Expensive', 'Yesterday', 'Response']</v>
      </c>
      <c r="D863" s="3">
        <v>1.0</v>
      </c>
    </row>
    <row r="864" ht="15.75" customHeight="1">
      <c r="A864" s="1">
        <v>862.0</v>
      </c>
      <c r="B864" s="3" t="s">
        <v>865</v>
      </c>
      <c r="C864" s="3" t="str">
        <f>IFERROR(__xludf.DUMMYFUNCTION("GOOGLETRANSLATE(B864,""id"",""en"")"),"['thank', 'love', 'Telkomsel', 'hope', 'package', 'internet', 'Telkomsel', 'cheap', 'package', 'package', 'relative', 'expensive', ' ']")</f>
        <v>['thank', 'love', 'Telkomsel', 'hope', 'package', 'internet', 'Telkomsel', 'cheap', 'package', 'package', 'relative', 'expensive', ' ']</v>
      </c>
      <c r="D864" s="3">
        <v>5.0</v>
      </c>
    </row>
    <row r="865" ht="15.75" customHeight="1">
      <c r="A865" s="1">
        <v>863.0</v>
      </c>
      <c r="B865" s="3" t="s">
        <v>866</v>
      </c>
      <c r="C865" s="3" t="str">
        <f>IFERROR(__xludf.DUMMYFUNCTION("GOOGLETRANSLATE(B865,""id"",""en"")"),"['Reverse', 'Dead', 'Lights',' Telkomsel ',' Signal ',' ilang ',' Operator ',' Anteng ',' Anteng ',' Already ',' Good ',' Star ',' ']")</f>
        <v>['Reverse', 'Dead', 'Lights',' Telkomsel ',' Signal ',' ilang ',' Operator ',' Anteng ',' Anteng ',' Already ',' Good ',' Star ',' ']</v>
      </c>
      <c r="D865" s="3">
        <v>3.0</v>
      </c>
    </row>
    <row r="866" ht="15.75" customHeight="1">
      <c r="A866" s="1">
        <v>864.0</v>
      </c>
      <c r="B866" s="3" t="s">
        <v>867</v>
      </c>
      <c r="C866" s="3" t="str">
        <f>IFERROR(__xludf.DUMMYFUNCTION("GOOGLETRANSLATE(B866,""id"",""en"")"),"['zero', 'ksh', 'star', 'zero', 'Telkomsel', 'network', 'bad', 'wind', 'ujan', 'internet', 'loding', 'ilang', ' village ',' remote ',' difficult ',' internet ',' because ',' bad ',' bad ',' age ',' TELKOMSEL ',' Karna ',' network ',' internet ' , 'Good', "&amp;"'Head', 'Telkomsel', 'KALOW', 'Improvement', 'Customer', 'Move', '']")</f>
        <v>['zero', 'ksh', 'star', 'zero', 'Telkomsel', 'network', 'bad', 'wind', 'ujan', 'internet', 'loding', 'ilang', ' village ',' remote ',' difficult ',' internet ',' because ',' bad ',' bad ',' age ',' TELKOMSEL ',' Karna ',' network ',' internet ' , 'Good', 'Head', 'Telkomsel', 'KALOW', 'Improvement', 'Customer', 'Move', '']</v>
      </c>
      <c r="D866" s="3">
        <v>1.0</v>
      </c>
    </row>
    <row r="867" ht="15.75" customHeight="1">
      <c r="A867" s="1">
        <v>865.0</v>
      </c>
      <c r="B867" s="3" t="s">
        <v>868</v>
      </c>
      <c r="C867" s="3" t="str">
        <f>IFERROR(__xludf.DUMMYFUNCTION("GOOGLETRANSLATE(B867,""id"",""en"")"),"['heart', 'heart', 'guys',' application ',' uninstall ',' because ',' times', 'quota', 'run out', 'quota', 'internet', 'phone', ' SMS ',' etc. ',' application ',' absorbing ',' run out ',' pulse ',' main ',' have ',' quota ',' pulse ',' main ',' reduced '"&amp;",' quota ' , 'free', 'run out', 'pulses',' main ',' reduced ',' call ',' send ',' sms', 'activate', 'data', 'cellular', 'experience it', ' Many ',' times', 'jdi', 'solution', 'uninstall', '']")</f>
        <v>['heart', 'heart', 'guys',' application ',' uninstall ',' because ',' times', 'quota', 'run out', 'quota', 'internet', 'phone', ' SMS ',' etc. ',' application ',' absorbing ',' run out ',' pulse ',' main ',' have ',' quota ',' pulse ',' main ',' reduced ',' quota ' , 'free', 'run out', 'pulses',' main ',' reduced ',' call ',' send ',' sms', 'activate', 'data', 'cellular', 'experience it', ' Many ',' times', 'jdi', 'solution', 'uninstall', '']</v>
      </c>
      <c r="D867" s="3">
        <v>1.0</v>
      </c>
    </row>
    <row r="868" ht="15.75" customHeight="1">
      <c r="A868" s="1">
        <v>866.0</v>
      </c>
      <c r="B868" s="3" t="s">
        <v>869</v>
      </c>
      <c r="C868" s="3" t="str">
        <f>IFERROR(__xludf.DUMMYFUNCTION("GOOGLETRANSLATE(B868,""id"",""en"")"),"['gimasihhh', 'contents',' package ',' gopay ',' package ',' enter ',' please ',' min ',' wait ',' enter ',' enter ',' balance ',' After ',' Package ',' Enter ',' How ',' ']")</f>
        <v>['gimasihhh', 'contents',' package ',' gopay ',' package ',' enter ',' please ',' min ',' wait ',' enter ',' enter ',' balance ',' After ',' Package ',' Enter ',' How ',' ']</v>
      </c>
      <c r="D868" s="3">
        <v>1.0</v>
      </c>
    </row>
    <row r="869" ht="15.75" customHeight="1">
      <c r="A869" s="1">
        <v>867.0</v>
      </c>
      <c r="B869" s="3" t="s">
        <v>870</v>
      </c>
      <c r="C869" s="3" t="str">
        <f>IFERROR(__xludf.DUMMYFUNCTION("GOOGLETRANSLATE(B869,""id"",""en"")"),"['Telkomsel', 'fill', 'pulses',' sudden ',' reduced ',' pulses', 'linked', 'internet', 'sms',' call ',' pulses', 'reduced', ' Discourage ',' Purchase ',' Package ',' Telkomsel ',' Karna ',' Credit ', ""]")</f>
        <v>['Telkomsel', 'fill', 'pulses',' sudden ',' reduced ',' pulses', 'linked', 'internet', 'sms',' call ',' pulses', 'reduced', ' Discourage ',' Purchase ',' Package ',' Telkomsel ',' Karna ',' Credit ', "]</v>
      </c>
      <c r="D869" s="3">
        <v>1.0</v>
      </c>
    </row>
    <row r="870" ht="15.75" customHeight="1">
      <c r="A870" s="1">
        <v>868.0</v>
      </c>
      <c r="B870" s="3" t="s">
        <v>871</v>
      </c>
      <c r="C870" s="3" t="str">
        <f>IFERROR(__xludf.DUMMYFUNCTION("GOOGLETRANSLATE(B870,""id"",""en"")"),"['Disappointed', 'Telkomsel', 'Stay', 'City', 'Serasa', 'Live', 'Forest', 'Jungle', 'here', 'Network', 'Good', 'ugly', ' SPRT ',' SKRG ',' Telkomsel ',' Money ',' Satisfaction ',' Customer ',' UDH ',' Comments', 'Good', 'Response', 'User', 'Telkomsel', 'U"&amp;"dh' , 'Rain', 'little', 'signal', 'slow', 'Loding', 'Mulu', 'please', 'repair', 'post', 'ksh', 'star', 'lazy', ' actually ',' ksh ',' star ',' kyk ',' gini ',' trs', 'disappointed']")</f>
        <v>['Disappointed', 'Telkomsel', 'Stay', 'City', 'Serasa', 'Live', 'Forest', 'Jungle', 'here', 'Network', 'Good', 'ugly', ' SPRT ',' SKRG ',' Telkomsel ',' Money ',' Satisfaction ',' Customer ',' UDH ',' Comments', 'Good', 'Response', 'User', 'Telkomsel', 'Udh' , 'Rain', 'little', 'signal', 'slow', 'Loding', 'Mulu', 'please', 'repair', 'post', 'ksh', 'star', 'lazy', ' actually ',' ksh ',' star ',' kyk ',' gini ',' trs', 'disappointed']</v>
      </c>
      <c r="D870" s="3">
        <v>1.0</v>
      </c>
    </row>
    <row r="871" ht="15.75" customHeight="1">
      <c r="A871" s="1">
        <v>869.0</v>
      </c>
      <c r="B871" s="3" t="s">
        <v>872</v>
      </c>
      <c r="C871" s="3" t="str">
        <f>IFERROR(__xludf.DUMMYFUNCTION("GOOGLETRANSLATE(B871,""id"",""en"")"),"['Telkomsel', 'like', 'network', 'internet', 'kek', 'smooth', 'lots', 'update', 'the network', 'expect', '']")</f>
        <v>['Telkomsel', 'like', 'network', 'internet', 'kek', 'smooth', 'lots', 'update', 'the network', 'expect', '']</v>
      </c>
      <c r="D871" s="3">
        <v>1.0</v>
      </c>
    </row>
    <row r="872" ht="15.75" customHeight="1">
      <c r="A872" s="1">
        <v>870.0</v>
      </c>
      <c r="B872" s="3" t="s">
        <v>873</v>
      </c>
      <c r="C872" s="3" t="str">
        <f>IFERROR(__xludf.DUMMYFUNCTION("GOOGLETRANSLATE(B872,""id"",""en"")"),"['woi', 'reply', 'replace', 'loss',' network ',' rotten ',' good ',' cellular ',' bonus', 'quota', 'love', 'bonus',' Quota ',' Network ',' Good ']")</f>
        <v>['woi', 'reply', 'replace', 'loss',' network ',' rotten ',' good ',' cellular ',' bonus', 'quota', 'love', 'bonus',' Quota ',' Network ',' Good ']</v>
      </c>
      <c r="D872" s="3">
        <v>1.0</v>
      </c>
    </row>
    <row r="873" ht="15.75" customHeight="1">
      <c r="A873" s="1">
        <v>871.0</v>
      </c>
      <c r="B873" s="3" t="s">
        <v>874</v>
      </c>
      <c r="C873" s="3" t="str">
        <f>IFERROR(__xludf.DUMMYFUNCTION("GOOGLETRANSLATE(B873,""id"",""en"")"),"['network', 'internet', 'poor', 'comparison', 'performance', 'network', 'rather', 'optimized', 'area', 'sub-district', 'mundu', 'kab', ' Cirebon ',' ']")</f>
        <v>['network', 'internet', 'poor', 'comparison', 'performance', 'network', 'rather', 'optimized', 'area', 'sub-district', 'mundu', 'kab', ' Cirebon ',' ']</v>
      </c>
      <c r="D873" s="3">
        <v>1.0</v>
      </c>
    </row>
    <row r="874" ht="15.75" customHeight="1">
      <c r="A874" s="1">
        <v>872.0</v>
      </c>
      <c r="B874" s="3" t="s">
        <v>875</v>
      </c>
      <c r="C874" s="3" t="str">
        <f>IFERROR(__xludf.DUMMYFUNCTION("GOOGLETRANSLATE(B874,""id"",""en"")"),"['Please', 'Enhanced', 'Security', 'Card', 'Telkomsel', 'Leak', 'DIFON', 'DISMS', 'People', 'Known', 'Please', 'Enhanced', ' system ',' security ',' thank you ']")</f>
        <v>['Please', 'Enhanced', 'Security', 'Card', 'Telkomsel', 'Leak', 'DIFON', 'DISMS', 'People', 'Known', 'Please', 'Enhanced', ' system ',' security ',' thank you ']</v>
      </c>
      <c r="D874" s="3">
        <v>1.0</v>
      </c>
    </row>
    <row r="875" ht="15.75" customHeight="1">
      <c r="A875" s="1">
        <v>873.0</v>
      </c>
      <c r="B875" s="3" t="s">
        <v>876</v>
      </c>
      <c r="C875" s="3" t="str">
        <f>IFERROR(__xludf.DUMMYFUNCTION("GOOGLETRANSLATE(B875,""id"",""en"")"),"['Star', 'appreciate', 'Application', 'Follow', 'coment', 'expensive', 'package', 'data', 'comparable', 'network', 'open', 'YouTube', ' Open ',' game ',' Kouta ',' expensive ',' network ',' strong ',' yes']")</f>
        <v>['Star', 'appreciate', 'Application', 'Follow', 'coment', 'expensive', 'package', 'data', 'comparable', 'network', 'open', 'YouTube', ' Open ',' game ',' Kouta ',' expensive ',' network ',' strong ',' yes']</v>
      </c>
      <c r="D875" s="3">
        <v>2.0</v>
      </c>
    </row>
    <row r="876" ht="15.75" customHeight="1">
      <c r="A876" s="1">
        <v>874.0</v>
      </c>
      <c r="B876" s="3" t="s">
        <v>877</v>
      </c>
      <c r="C876" s="3" t="str">
        <f>IFERROR(__xludf.DUMMYFUNCTION("GOOGLETRANSLATE(B876,""id"",""en"")"),"['Telkomsel', 'Serving', 'Choosing', 'Choose', 'Card', 'Telkomsel', 'Package', 'Combo', 'Sakti', 'Unlimited', 'Card', 'Lazy', ' Buy ',' Package ',' Change ',' Service ']")</f>
        <v>['Telkomsel', 'Serving', 'Choosing', 'Choose', 'Card', 'Telkomsel', 'Package', 'Combo', 'Sakti', 'Unlimited', 'Card', 'Lazy', ' Buy ',' Package ',' Change ',' Service ']</v>
      </c>
      <c r="D876" s="3">
        <v>1.0</v>
      </c>
    </row>
    <row r="877" ht="15.75" customHeight="1">
      <c r="A877" s="1">
        <v>875.0</v>
      </c>
      <c r="B877" s="3" t="s">
        <v>878</v>
      </c>
      <c r="C877" s="3" t="str">
        <f>IFERROR(__xludf.DUMMYFUNCTION("GOOGLETRANSLATE(B877,""id"",""en"")"),"['Severe', 'Telkomsel', 'Network', 'Good', 'ugly', 'like', 'Ngelag', 'already', 'package', 'expensive', 'waiter', 'peaches',' Mending ',' Move ',' After ',' Deh ',' annoying ', ""]")</f>
        <v>['Severe', 'Telkomsel', 'Network', 'Good', 'ugly', 'like', 'Ngelag', 'already', 'package', 'expensive', 'waiter', 'peaches',' Mending ',' Move ',' After ',' Deh ',' annoying ', "]</v>
      </c>
      <c r="D877" s="3">
        <v>1.0</v>
      </c>
    </row>
    <row r="878" ht="15.75" customHeight="1">
      <c r="A878" s="1">
        <v>876.0</v>
      </c>
      <c r="B878" s="3" t="s">
        <v>879</v>
      </c>
      <c r="C878" s="3" t="str">
        <f>IFERROR(__xludf.DUMMYFUNCTION("GOOGLETRANSLATE(B878,""id"",""en"")"),"['Please', 'Sorry', 'Please', 'Telkomsel', 'Signal', 'County', 'Batanghari', 'Jambi', 'Increase', 'Lost', 'Embossed', 'Sinyal', ' Friendly ',' price ',' relative ']")</f>
        <v>['Please', 'Sorry', 'Please', 'Telkomsel', 'Signal', 'County', 'Batanghari', 'Jambi', 'Increase', 'Lost', 'Embossed', 'Sinyal', ' Friendly ',' price ',' relative ']</v>
      </c>
      <c r="D878" s="3">
        <v>1.0</v>
      </c>
    </row>
    <row r="879" ht="15.75" customHeight="1">
      <c r="A879" s="1">
        <v>877.0</v>
      </c>
      <c r="B879" s="3" t="s">
        <v>880</v>
      </c>
      <c r="C879" s="3" t="str">
        <f>IFERROR(__xludf.DUMMYFUNCTION("GOOGLETRANSLATE(B879,""id"",""en"")"),"['users',' loyal ',' Telkomsel ',' Since ',' Use ',' Wear ',' Telkomsel ',' Telkomsel ',' Disappointing ',' Service ',' Paketan ',' Byk ',' expensive ',' quality ',' network ',' abal ',' abal ',' head ',' provider ',' improper ',' left ',' customer ',' bo"&amp;"ss', ""]")</f>
        <v>['users',' loyal ',' Telkomsel ',' Since ',' Use ',' Wear ',' Telkomsel ',' Telkomsel ',' Disappointing ',' Service ',' Paketan ',' Byk ',' expensive ',' quality ',' network ',' abal ',' abal ',' head ',' provider ',' improper ',' left ',' customer ',' boss', "]</v>
      </c>
      <c r="D879" s="3">
        <v>1.0</v>
      </c>
    </row>
    <row r="880" ht="15.75" customHeight="1">
      <c r="A880" s="1">
        <v>878.0</v>
      </c>
      <c r="B880" s="3" t="s">
        <v>881</v>
      </c>
      <c r="C880" s="3" t="str">
        <f>IFERROR(__xludf.DUMMYFUNCTION("GOOGLETRANSLATE(B880,""id"",""en"")"),"['The network', 'ugly', 'really', 'Udagkuorabya', 'expensive', 'tissue', 'extraordinary', 'ugly', 'fix', 'quality', 'net', 'just', ' City ',' Doang ',' Good ',' Village ',' Fix ',' Cave ',' Bakar ',' Tower ',' Telkomsel ',' BANGJE ']")</f>
        <v>['The network', 'ugly', 'really', 'Udagkuorabya', 'expensive', 'tissue', 'extraordinary', 'ugly', 'fix', 'quality', 'net', 'just', ' City ',' Doang ',' Good ',' Village ',' Fix ',' Cave ',' Bakar ',' Tower ',' Telkomsel ',' BANGJE ']</v>
      </c>
      <c r="D880" s="3">
        <v>1.0</v>
      </c>
    </row>
    <row r="881" ht="15.75" customHeight="1">
      <c r="A881" s="1">
        <v>879.0</v>
      </c>
      <c r="B881" s="3" t="s">
        <v>882</v>
      </c>
      <c r="C881" s="3" t="str">
        <f>IFERROR(__xludf.DUMMYFUNCTION("GOOGLETRANSLATE(B881,""id"",""en"")"),"['speed', 'your internet', 'decrease', 'price', 'package', 'data', 'cheap', 'slow', 'really', 'know', 'gini', 'original', ' disappointing ',' forced ',' reduced ']")</f>
        <v>['speed', 'your internet', 'decrease', 'price', 'package', 'data', 'cheap', 'slow', 'really', 'know', 'gini', 'original', ' disappointing ',' forced ',' reduced ']</v>
      </c>
      <c r="D881" s="3">
        <v>1.0</v>
      </c>
    </row>
    <row r="882" ht="15.75" customHeight="1">
      <c r="A882" s="1">
        <v>880.0</v>
      </c>
      <c r="B882" s="3" t="s">
        <v>883</v>
      </c>
      <c r="C882" s="3" t="str">
        <f>IFERROR(__xludf.DUMMYFUNCTION("GOOGLETRANSLATE(B882,""id"",""en"")"),"['Assessment', 'application', 'easy', 'application', 'light', 'quality', 'signal', 'signal', 'setabile', 'quality', 'network', 'internet', ' network ',' internet ',' slow ',' morning ',' noon ',' network ',' internet ',' super ',' slow ',' tariff ',' pric"&amp;"e ',' package ',' internet ' , 'price', 'package', 'comparable', 'quality', 'signal', 'network', 'internet', 'stable', 'super', 'slow', 'star', ""]")</f>
        <v>['Assessment', 'application', 'easy', 'application', 'light', 'quality', 'signal', 'signal', 'setabile', 'quality', 'network', 'internet', ' network ',' internet ',' slow ',' morning ',' noon ',' network ',' internet ',' super ',' slow ',' tariff ',' price ',' package ',' internet ' , 'price', 'package', 'comparable', 'quality', 'signal', 'network', 'internet', 'stable', 'super', 'slow', 'star', "]</v>
      </c>
      <c r="D882" s="3">
        <v>2.0</v>
      </c>
    </row>
    <row r="883" ht="15.75" customHeight="1">
      <c r="A883" s="1">
        <v>881.0</v>
      </c>
      <c r="B883" s="3" t="s">
        <v>884</v>
      </c>
      <c r="C883" s="3" t="str">
        <f>IFERROR(__xludf.DUMMYFUNCTION("GOOGLETRANSLATE(B883,""id"",""en"")"),"['Telkomsel', 'slow', 'network', 'rotten', 'duh', 'star', 'privider', 'please', 'fix', 'customer', 'bnyk', 'disappointed', ' ']")</f>
        <v>['Telkomsel', 'slow', 'network', 'rotten', 'duh', 'star', 'privider', 'please', 'fix', 'customer', 'bnyk', 'disappointed', ' ']</v>
      </c>
      <c r="D883" s="3">
        <v>1.0</v>
      </c>
    </row>
    <row r="884" ht="15.75" customHeight="1">
      <c r="A884" s="1">
        <v>882.0</v>
      </c>
      <c r="B884" s="3" t="s">
        <v>885</v>
      </c>
      <c r="C884" s="3" t="str">
        <f>IFERROR(__xludf.DUMMYFUNCTION("GOOGLETRANSLATE(B884,""id"",""en"")"),"['Try', 'Contents',' Credit ',' Via ',' Application ',' Pay ',' Shopeepay ',' Cut ',' Ad ',' Try ',' Time ',' Try ',' Dongggg ',' Shopeepay ',' UDH ',' Cut "", 'told', 'Wait', 'Clock', 'Tetep', 'Enter', 'Credit', 'Buy', 'Via', 'mobile' , 'Banking', 'SUCCE"&amp;"SS', 'Complaint', 'MSH', 'BLM', 'Enter', 'Pulse', 'told', 'Wait', 'already', 'Update', 'Conclusion', ' Buy ',' Credit ',' Via ',' MyTelkomsel ',' App ',' Recommended ',' App ',' People ',' ']")</f>
        <v>['Try', 'Contents',' Credit ',' Via ',' Application ',' Pay ',' Shopeepay ',' Cut ',' Ad ',' Try ',' Time ',' Try ',' Dongggg ',' Shopeepay ',' UDH ',' Cut ", 'told', 'Wait', 'Clock', 'Tetep', 'Enter', 'Credit', 'Buy', 'Via', 'mobile' , 'Banking', 'SUCCESS', 'Complaint', 'MSH', 'BLM', 'Enter', 'Pulse', 'told', 'Wait', 'already', 'Update', 'Conclusion', ' Buy ',' Credit ',' Via ',' MyTelkomsel ',' App ',' Recommended ',' App ',' People ',' ']</v>
      </c>
      <c r="D884" s="3">
        <v>1.0</v>
      </c>
    </row>
    <row r="885" ht="15.75" customHeight="1">
      <c r="A885" s="1">
        <v>883.0</v>
      </c>
      <c r="B885" s="3" t="s">
        <v>886</v>
      </c>
      <c r="C885" s="3" t="str">
        <f>IFERROR(__xludf.DUMMYFUNCTION("GOOGLETRANSLATE(B885,""id"",""en"")"),"['Hey', 'Telkom', 'Lost', 'Something', 'Signal', 'Blank', 'Paketan', 'Win', 'Expensive', 'Telkom', 'The Network', 'Hadeh', ' Disappointed ',' disappointed ',' expensive ',' at least ',' signal ',' blank ',' blank ',' blank ',' blank ',' mulu ',' wrap ',' "&amp;"do "", 'mahalin' , 'results', 'mAh', 'Different', 'ama', 'operator', 'miss', 'signal', '']")</f>
        <v>['Hey', 'Telkom', 'Lost', 'Something', 'Signal', 'Blank', 'Paketan', 'Win', 'Expensive', 'Telkom', 'The Network', 'Hadeh', ' Disappointed ',' disappointed ',' expensive ',' at least ',' signal ',' blank ',' blank ',' blank ',' blank ',' mulu ',' wrap ',' do ", 'mahalin' , 'results', 'mAh', 'Different', 'ama', 'operator', 'miss', 'signal', '']</v>
      </c>
      <c r="D885" s="3">
        <v>1.0</v>
      </c>
    </row>
    <row r="886" ht="15.75" customHeight="1">
      <c r="A886" s="1">
        <v>884.0</v>
      </c>
      <c r="B886" s="3" t="s">
        <v>887</v>
      </c>
      <c r="C886" s="3" t="str">
        <f>IFERROR(__xludf.DUMMYFUNCTION("GOOGLETRANSLATE(B886,""id"",""en"")"),"['network', 'Telkomsel', 'stable', 'work', 'activity', 'online', 'network', 'Telkomsel', 'rich', 'gini', 'quota', 'expensive', ' card']")</f>
        <v>['network', 'Telkomsel', 'stable', 'work', 'activity', 'online', 'network', 'Telkomsel', 'rich', 'gini', 'quota', 'expensive', ' card']</v>
      </c>
      <c r="D886" s="3">
        <v>1.0</v>
      </c>
    </row>
    <row r="887" ht="15.75" customHeight="1">
      <c r="A887" s="1">
        <v>885.0</v>
      </c>
      <c r="B887" s="3" t="s">
        <v>888</v>
      </c>
      <c r="C887" s="3" t="str">
        <f>IFERROR(__xludf.DUMMYFUNCTION("GOOGLETRANSLATE(B887,""id"",""en"")"),"['halah', 'signal', 'display', 'doang', 'no', 'road', 'moved', 'guys',' not ',' recommended ',' Telkomsel ',' already ',' Use ',' here ',' Severe ',' ']")</f>
        <v>['halah', 'signal', 'display', 'doang', 'no', 'road', 'moved', 'guys',' not ',' recommended ',' Telkomsel ',' already ',' Use ',' here ',' Severe ',' ']</v>
      </c>
      <c r="D887" s="3">
        <v>1.0</v>
      </c>
    </row>
    <row r="888" ht="15.75" customHeight="1">
      <c r="A888" s="1">
        <v>886.0</v>
      </c>
      <c r="B888" s="3" t="s">
        <v>889</v>
      </c>
      <c r="C888" s="3" t="str">
        <f>IFERROR(__xludf.DUMMYFUNCTION("GOOGLETRANSLATE(B888,""id"",""en"")"),"['Say', 'buy', 'pulse', 'application', 'Telkomsel', 'payment', 'application', 'funds',' night ',' pulse ',' right ',' submit ',' Complaints', 'believe', 'Send', 'proof', 'SAA', 'buy', 'package', 'data', 'credit', 'Telkomsel', 'accept', 'quota', 'governmen"&amp;"t' ]")</f>
        <v>['Say', 'buy', 'pulse', 'application', 'Telkomsel', 'payment', 'application', 'funds',' night ',' pulse ',' right ',' submit ',' Complaints', 'believe', 'Send', 'proof', 'SAA', 'buy', 'package', 'data', 'credit', 'Telkomsel', 'accept', 'quota', 'government' ]</v>
      </c>
      <c r="D888" s="3">
        <v>1.0</v>
      </c>
    </row>
    <row r="889" ht="15.75" customHeight="1">
      <c r="A889" s="1">
        <v>887.0</v>
      </c>
      <c r="B889" s="3" t="s">
        <v>890</v>
      </c>
      <c r="C889" s="3" t="str">
        <f>IFERROR(__xludf.DUMMYFUNCTION("GOOGLETRANSLATE(B889,""id"",""en"")"),"['Leet', 'disappointed', 'Telkomsel', 'already', 'said', 'change', 'gini', 'replace', 'card', 'Telkomsel', 'disappointed', 'Telkomsel', ' Most ',' comment ',' people ',' toeletan ',' Telkomsel ',' Telkomsel ',' asw ']")</f>
        <v>['Leet', 'disappointed', 'Telkomsel', 'already', 'said', 'change', 'gini', 'replace', 'card', 'Telkomsel', 'disappointed', 'Telkomsel', ' Most ',' comment ',' people ',' toeletan ',' Telkomsel ',' Telkomsel ',' asw ']</v>
      </c>
      <c r="D889" s="3">
        <v>1.0</v>
      </c>
    </row>
    <row r="890" ht="15.75" customHeight="1">
      <c r="A890" s="1">
        <v>888.0</v>
      </c>
      <c r="B890" s="3" t="s">
        <v>891</v>
      </c>
      <c r="C890" s="3" t="str">
        <f>IFERROR(__xludf.DUMMYFUNCTION("GOOGLETRANSLATE(B890,""id"",""en"")"),"['Pain', 'really', 'PKE', 'card', 'Hello', 'SIMP', 'Love', 'Migration', 'card', 'Hallo', 'Severe', 'really', ' signal ',' Call ',' Center ',' offer ',' promo ',' info ',' network ',' card ',' Hello ',' priority ',' special ',' blah ',' blah ' , 'blah', 'e"&amp;"tc.', 'user', 'migration', 'card', 'hello', 'hdehh', 'right', 'zoonkkk', 'signal', 'pke', 'simp', ' Love ',' smooth ',' Jaya ',' UDH ',' Migration ',' Card ',' Hallo ',' Severe ',' BNGET ',' Raying ',' Solution ',' Moving ',' Migration ' , 'KRTU', 'sympat"&amp;"hy', 'love', 'choose', 'deh', 'migration', 'simp', 'love']")</f>
        <v>['Pain', 'really', 'PKE', 'card', 'Hello', 'SIMP', 'Love', 'Migration', 'card', 'Hallo', 'Severe', 'really', ' signal ',' Call ',' Center ',' offer ',' promo ',' info ',' network ',' card ',' Hello ',' priority ',' special ',' blah ',' blah ' , 'blah', 'etc.', 'user', 'migration', 'card', 'hello', 'hdehh', 'right', 'zoonkkk', 'signal', 'pke', 'simp', ' Love ',' smooth ',' Jaya ',' UDH ',' Migration ',' Card ',' Hallo ',' Severe ',' BNGET ',' Raying ',' Solution ',' Moving ',' Migration ' , 'KRTU', 'sympathy', 'love', 'choose', 'deh', 'migration', 'simp', 'love']</v>
      </c>
      <c r="D890" s="3">
        <v>2.0</v>
      </c>
    </row>
    <row r="891" ht="15.75" customHeight="1">
      <c r="A891" s="1">
        <v>889.0</v>
      </c>
      <c r="B891" s="3" t="s">
        <v>892</v>
      </c>
      <c r="C891" s="3" t="str">
        <f>IFERROR(__xludf.DUMMYFUNCTION("GOOGLETRANSLATE(B891,""id"",""en"")"),"['Star', 'era', 'digital', 'iot', 'rates',' internet ',' cheap ',' easy ',' educational ',' company ',' nation ',' country ',' Hopefully ',' Telkomsel ',' Cana ',' ']")</f>
        <v>['Star', 'era', 'digital', 'iot', 'rates',' internet ',' cheap ',' easy ',' educational ',' company ',' nation ',' country ',' Hopefully ',' Telkomsel ',' Cana ',' ']</v>
      </c>
      <c r="D891" s="3">
        <v>2.0</v>
      </c>
    </row>
    <row r="892" ht="15.75" customHeight="1">
      <c r="A892" s="1">
        <v>890.0</v>
      </c>
      <c r="B892" s="3" t="s">
        <v>893</v>
      </c>
      <c r="C892" s="3" t="str">
        <f>IFERROR(__xludf.DUMMYFUNCTION("GOOGLETRANSLATE(B892,""id"",""en"")"),"['', 'My place', 'Telkomsel', 'network', 'okay', 'really', 'promo', 'lose', 'competitiveness',' provider ',' Goodluck ',' Telkomsel ',' disappointed ', 'customer', '']")</f>
        <v>['', 'My place', 'Telkomsel', 'network', 'okay', 'really', 'promo', 'lose', 'competitiveness',' provider ',' Goodluck ',' Telkomsel ',' disappointed ', 'customer', '']</v>
      </c>
      <c r="D892" s="3">
        <v>5.0</v>
      </c>
    </row>
    <row r="893" ht="15.75" customHeight="1">
      <c r="A893" s="1">
        <v>891.0</v>
      </c>
      <c r="B893" s="3" t="s">
        <v>894</v>
      </c>
      <c r="C893" s="3" t="str">
        <f>IFERROR(__xludf.DUMMYFUNCTION("GOOGLETRANSLATE(B893,""id"",""en"")"),"['Credit', 'buy', 'APK', 'pay', 'via', 'shopeepay', 'date', 'until', 'skrang', 'enter', 'balance', 'already', ' Cut ',' gini ',' service ',' bad ',' ']")</f>
        <v>['Credit', 'buy', 'APK', 'pay', 'via', 'shopeepay', 'date', 'until', 'skrang', 'enter', 'balance', 'already', ' Cut ',' gini ',' service ',' bad ',' ']</v>
      </c>
      <c r="D893" s="3">
        <v>1.0</v>
      </c>
    </row>
    <row r="894" ht="15.75" customHeight="1">
      <c r="A894" s="1">
        <v>892.0</v>
      </c>
      <c r="B894" s="3" t="s">
        <v>895</v>
      </c>
      <c r="C894" s="3" t="str">
        <f>IFERROR(__xludf.DUMMYFUNCTION("GOOGLETRANSLATE(B894,""id"",""en"")"),"['disappointed', 'provider', 'Telkomsel', 'service', 'bad', 'there', 'printed', 'subscription', 'nsp', 'bonus',' package ',' internet ',' Enter ',' Token ',' Credit ',' Cave ',' already ',' Out ',' Gara ',' Basic ',' Telkomsel ',' Bad ',' Abek "", 'Custom"&amp;"er', 'Comfortable' , '']")</f>
        <v>['disappointed', 'provider', 'Telkomsel', 'service', 'bad', 'there', 'printed', 'subscription', 'nsp', 'bonus',' package ',' internet ',' Enter ',' Token ',' Credit ',' Cave ',' already ',' Out ',' Gara ',' Basic ',' Telkomsel ',' Bad ',' Abek ", 'Customer', 'Comfortable' , '']</v>
      </c>
      <c r="D894" s="3">
        <v>1.0</v>
      </c>
    </row>
    <row r="895" ht="15.75" customHeight="1">
      <c r="A895" s="1">
        <v>893.0</v>
      </c>
      <c r="B895" s="3" t="s">
        <v>896</v>
      </c>
      <c r="C895" s="3" t="str">
        <f>IFERROR(__xludf.DUMMYFUNCTION("GOOGLETRANSLATE(B895,""id"",""en"")"),"['application', 'MyTelkomsel', 'quota', 'application', 'opened', 'annoying', 'process', 'purchase', 'quota', 'data', ""]")</f>
        <v>['application', 'MyTelkomsel', 'quota', 'application', 'opened', 'annoying', 'process', 'purchase', 'quota', 'data', "]</v>
      </c>
      <c r="D895" s="3">
        <v>2.0</v>
      </c>
    </row>
    <row r="896" ht="15.75" customHeight="1">
      <c r="A896" s="1">
        <v>894.0</v>
      </c>
      <c r="B896" s="3" t="s">
        <v>897</v>
      </c>
      <c r="C896" s="3" t="str">
        <f>IFERROR(__xludf.DUMMYFUNCTION("GOOGLETRANSLATE(B896,""id"",""en"")"),"['Light', 'users',' Telkomsel ',' disappointed ',' service ',' network ',' Telkomsel ',' Telkomsel ',' rich ',' difficult ',' buy ',' packetan ',' difficult ',' buy ',' enter ',' enter ',' use ',' signal ',' loding ',' area ',' jakarta ',' signal ',' good"&amp;" ',' feel ',' service ' , 'Telkomsel', 'disappointing', 'bright', 'disappointed', '']")</f>
        <v>['Light', 'users',' Telkomsel ',' disappointed ',' service ',' network ',' Telkomsel ',' Telkomsel ',' rich ',' difficult ',' buy ',' packetan ',' difficult ',' buy ',' enter ',' enter ',' use ',' signal ',' loding ',' area ',' jakarta ',' signal ',' good ',' feel ',' service ' , 'Telkomsel', 'disappointing', 'bright', 'disappointed', '']</v>
      </c>
      <c r="D896" s="3">
        <v>1.0</v>
      </c>
    </row>
    <row r="897" ht="15.75" customHeight="1">
      <c r="A897" s="1">
        <v>895.0</v>
      </c>
      <c r="B897" s="3" t="s">
        <v>898</v>
      </c>
      <c r="C897" s="3" t="str">
        <f>IFERROR(__xludf.DUMMYFUNCTION("GOOGLETRANSLATE(B897,""id"",""en"")"),"['Date', 'October', 'Review', 'Signal', 'Telkomsel', 'Bad', 'Streaming', 'Film', 'Spinting', 'Indicator', 'Strength', 'Signal', ' KB ',' area ',' Depok ',' difficult ',' signal ',' Telkomsel ',' remote ',' antah ',' aerate ',' Please ',' signal ',' Telkom"&amp;"sel ',' problematic ' , '']")</f>
        <v>['Date', 'October', 'Review', 'Signal', 'Telkomsel', 'Bad', 'Streaming', 'Film', 'Spinting', 'Indicator', 'Strength', 'Signal', ' KB ',' area ',' Depok ',' difficult ',' signal ',' Telkomsel ',' remote ',' antah ',' aerate ',' Please ',' signal ',' Telkomsel ',' problematic ' , '']</v>
      </c>
      <c r="D897" s="3">
        <v>1.0</v>
      </c>
    </row>
    <row r="898" ht="15.75" customHeight="1">
      <c r="A898" s="1">
        <v>896.0</v>
      </c>
      <c r="B898" s="3" t="s">
        <v>899</v>
      </c>
      <c r="C898" s="3" t="str">
        <f>IFERROR(__xludf.DUMMYFUNCTION("GOOGLETRANSLATE(B898,""id"",""en"")"),"['Severe', 'Severe', 'Severe', 'Opened', 'Something', 'Went', 'Wrong', 'Quota', 'Nyak', 'Already', 'That's',' Network ',' Move ',' take ',' pulse ',' quota ',' abis', 'take', 'pulse', 'yes',' sms', 'tnpa', 'perewah', 'pny', 'pulse' , 'Name', 'Maling', 'Kn"&amp;"p', 'PKE', 'System', 'Rich', 'Tri', 'Quota', 'Out', 'Out', 'Internet', 'Stop', ' take it ',' pulse ',' that's where ',' KNP ',' Males', 'really', 'PKE', 'buy', 'quota', 'internet', 'pke', 'sympathy', 'except' , 'promo', 'rb', 'unlimited', 'a week', '']")</f>
        <v>['Severe', 'Severe', 'Severe', 'Opened', 'Something', 'Went', 'Wrong', 'Quota', 'Nyak', 'Already', 'That's',' Network ',' Move ',' take ',' pulse ',' quota ',' abis', 'take', 'pulse', 'yes',' sms', 'tnpa', 'perewah', 'pny', 'pulse' , 'Name', 'Maling', 'Knp', 'PKE', 'System', 'Rich', 'Tri', 'Quota', 'Out', 'Out', 'Internet', 'Stop', ' take it ',' pulse ',' that's where ',' KNP ',' Males', 'really', 'PKE', 'buy', 'quota', 'internet', 'pke', 'sympathy', 'except' , 'promo', 'rb', 'unlimited', 'a week', '']</v>
      </c>
      <c r="D898" s="3">
        <v>1.0</v>
      </c>
    </row>
    <row r="899" ht="15.75" customHeight="1">
      <c r="A899" s="1">
        <v>897.0</v>
      </c>
      <c r="B899" s="3" t="s">
        <v>900</v>
      </c>
      <c r="C899" s="3" t="str">
        <f>IFERROR(__xludf.DUMMYFUNCTION("GOOGLETRANSLATE(B899,""id"",""en"")"),"['quota', 'internet', 'used', 'need', 'quota', 'internet', 'quota', 'Confernce', 'disappointed', 'please']")</f>
        <v>['quota', 'internet', 'used', 'need', 'quota', 'internet', 'quota', 'Confernce', 'disappointed', 'please']</v>
      </c>
      <c r="D899" s="3">
        <v>1.0</v>
      </c>
    </row>
    <row r="900" ht="15.75" customHeight="1">
      <c r="A900" s="1">
        <v>898.0</v>
      </c>
      <c r="B900" s="3" t="s">
        <v>901</v>
      </c>
      <c r="C900" s="3" t="str">
        <f>IFERROR(__xludf.DUMMYFUNCTION("GOOGLETRANSLATE(B900,""id"",""en"")"),"['Judging', 'Application', 'Network', 'Telkomsel', 'Sabotage', 'Tower', 'Damaged', 'Network', 'Severe', 'Connection', 'Decline']")</f>
        <v>['Judging', 'Application', 'Network', 'Telkomsel', 'Sabotage', 'Tower', 'Damaged', 'Network', 'Severe', 'Connection', 'Decline']</v>
      </c>
      <c r="D900" s="3">
        <v>1.0</v>
      </c>
    </row>
    <row r="901" ht="15.75" customHeight="1">
      <c r="A901" s="1">
        <v>899.0</v>
      </c>
      <c r="B901" s="3" t="s">
        <v>902</v>
      </c>
      <c r="C901" s="3" t="str">
        <f>IFERROR(__xludf.DUMMYFUNCTION("GOOGLETRANSLATE(B901,""id"",""en"")"),"['Telkomsel', 'cheated', 'buy', 'pulse', 'direct', 'sumps',' abis', 'crazy', 'times',' internet ',' bad ',' culuci ',' Mulu ',' work ',' Pantes', 'Internet', 'ugly', 'Nipu', 'Mulu', 'Crazy', ""]")</f>
        <v>['Telkomsel', 'cheated', 'buy', 'pulse', 'direct', 'sumps',' abis', 'crazy', 'times',' internet ',' bad ',' culuci ',' Mulu ',' work ',' Pantes', 'Internet', 'ugly', 'Nipu', 'Mulu', 'Crazy', "]</v>
      </c>
      <c r="D901" s="3">
        <v>1.0</v>
      </c>
    </row>
    <row r="902" ht="15.75" customHeight="1">
      <c r="A902" s="1">
        <v>900.0</v>
      </c>
      <c r="B902" s="3" t="s">
        <v>903</v>
      </c>
      <c r="C902" s="3" t="str">
        <f>IFERROR(__xludf.DUMMYFUNCTION("GOOGLETRANSLATE(B902,""id"",""en"")"),"['oath', 'Kasian', 'really', 'Telkomsel', 'emang', 'company', 'bankrupt', 'network', 'slow', 'unlimited', 'useful', 'disappointed', ' Really ',' users', 'Telkomsel']")</f>
        <v>['oath', 'Kasian', 'really', 'Telkomsel', 'emang', 'company', 'bankrupt', 'network', 'slow', 'unlimited', 'useful', 'disappointed', ' Really ',' users', 'Telkomsel']</v>
      </c>
      <c r="D902" s="3">
        <v>1.0</v>
      </c>
    </row>
    <row r="903" ht="15.75" customHeight="1">
      <c r="A903" s="1">
        <v>901.0</v>
      </c>
      <c r="B903" s="3" t="s">
        <v>904</v>
      </c>
      <c r="C903" s="3" t="str">
        <f>IFERROR(__xludf.DUMMYFUNCTION("GOOGLETRANSLATE(B903,""id"",""en"")"),"['Telkomsel', 'nyengled', 'like', 'ngilanc', 'udh', 'loyal', '']")</f>
        <v>['Telkomsel', 'nyengled', 'like', 'ngilanc', 'udh', 'loyal', '']</v>
      </c>
      <c r="D903" s="3">
        <v>5.0</v>
      </c>
    </row>
    <row r="904" ht="15.75" customHeight="1">
      <c r="A904" s="1">
        <v>902.0</v>
      </c>
      <c r="B904" s="3" t="s">
        <v>905</v>
      </c>
      <c r="C904" s="3" t="str">
        <f>IFERROR(__xludf.DUMMYFUNCTION("GOOGLETRANSLATE(B904,""id"",""en"")"),"['Telkomsel', 'experience', 'obstacles',' at all ',' connection ',' internet ',' slow ',' buy ',' package ',' expensive ',' connection ',' internet ',' slow ',' yak ',' comfortable ',' used ']")</f>
        <v>['Telkomsel', 'experience', 'obstacles',' at all ',' connection ',' internet ',' slow ',' buy ',' package ',' expensive ',' connection ',' internet ',' slow ',' yak ',' comfortable ',' used ']</v>
      </c>
      <c r="D904" s="3">
        <v>1.0</v>
      </c>
    </row>
    <row r="905" ht="15.75" customHeight="1">
      <c r="A905" s="1">
        <v>903.0</v>
      </c>
      <c r="B905" s="3" t="s">
        <v>906</v>
      </c>
      <c r="C905" s="3" t="str">
        <f>IFERROR(__xludf.DUMMYFUNCTION("GOOGLETRANSLATE(B905,""id"",""en"")"),"['easy', 'access',' application ',' use ',' data ',' yaa ',' please ',' minimized ',' krna ',' right ',' package ',' run out ',' Ttapi ',' Difficult ',' Access', 'Application', 'Telkomsel', 'AKN', 'Kecution', 'Mmbeli', 'Package', 'Application', 'Telkomsel"&amp;"']")</f>
        <v>['easy', 'access',' application ',' use ',' data ',' yaa ',' please ',' minimized ',' krna ',' right ',' package ',' run out ',' Ttapi ',' Difficult ',' Access', 'Application', 'Telkomsel', 'AKN', 'Kecution', 'Mmbeli', 'Package', 'Application', 'Telkomsel']</v>
      </c>
      <c r="D905" s="3">
        <v>4.0</v>
      </c>
    </row>
    <row r="906" ht="15.75" customHeight="1">
      <c r="A906" s="1">
        <v>904.0</v>
      </c>
      <c r="B906" s="3" t="s">
        <v>907</v>
      </c>
      <c r="C906" s="3" t="str">
        <f>IFERROR(__xludf.DUMMYFUNCTION("GOOGLETRANSLATE(B906,""id"",""en"")"),"['stand', 'Indonesia', 'network', 'bad', 'operator', 'speed', 'kbps',' consistent ',' bwh ',' kbps', 'network', 'garbage', ' ']")</f>
        <v>['stand', 'Indonesia', 'network', 'bad', 'operator', 'speed', 'kbps',' consistent ',' bwh ',' kbps', 'network', 'garbage', ' ']</v>
      </c>
      <c r="D906" s="3">
        <v>1.0</v>
      </c>
    </row>
    <row r="907" ht="15.75" customHeight="1">
      <c r="A907" s="1">
        <v>905.0</v>
      </c>
      <c r="B907" s="3" t="s">
        <v>908</v>
      </c>
      <c r="C907" s="3" t="str">
        <f>IFERROR(__xludf.DUMMYFUNCTION("GOOGLETRANSLATE(B907,""id"",""en"")"),"['', 'star', 'because', 'Network', 'skarang', 'Different', 'like', 'era', 'skarang', 'era', 'slow', 'tamba', 'price ',' Package ',' Forter ',' Skarang ',' Forced ',' Slow ',' Switch ',' Thank ',' Call ',' Enter ']")</f>
        <v>['', 'star', 'because', 'Network', 'skarang', 'Different', 'like', 'era', 'skarang', 'era', 'slow', 'tamba', 'price ',' Package ',' Forter ',' Skarang ',' Forced ',' Slow ',' Switch ',' Thank ',' Call ',' Enter ']</v>
      </c>
      <c r="D907" s="3">
        <v>1.0</v>
      </c>
    </row>
    <row r="908" ht="15.75" customHeight="1">
      <c r="A908" s="1">
        <v>906.0</v>
      </c>
      <c r="B908" s="3" t="s">
        <v>909</v>
      </c>
      <c r="C908" s="3" t="str">
        <f>IFERROR(__xludf.DUMMYFUNCTION("GOOGLETRANSLATE(B908,""id"",""en"")"),"['Hello', 'Telkomsel', 'Network', 'Disconnect', 'Disconnect', 'Points', 'Lost', 'Points', 'Live', ""]")</f>
        <v>['Hello', 'Telkomsel', 'Network', 'Disconnect', 'Disconnect', 'Points', 'Lost', 'Points', 'Live', "]</v>
      </c>
      <c r="D908" s="3">
        <v>1.0</v>
      </c>
    </row>
    <row r="909" ht="15.75" customHeight="1">
      <c r="A909" s="1">
        <v>907.0</v>
      </c>
      <c r="B909" s="3" t="s">
        <v>910</v>
      </c>
      <c r="C909" s="3" t="str">
        <f>IFERROR(__xludf.DUMMYFUNCTION("GOOGLETRANSLATE(B909,""id"",""en"")"),"['Telkomsel', 'Fik', 'suggestion', 'moved', 'card', 'already', 'Cape', 'Telkomsel', 'comment', 'Please', 'sorry', 'Please', ' Sorry ',' stable ',' rich ',' card ',' card ',' Udahah ',' Thanks', 'Poko', 'Telkomsel', ""]")</f>
        <v>['Telkomsel', 'Fik', 'suggestion', 'moved', 'card', 'already', 'Cape', 'Telkomsel', 'comment', 'Please', 'sorry', 'Please', ' Sorry ',' stable ',' rich ',' card ',' card ',' Udahah ',' Thanks', 'Poko', 'Telkomsel', "]</v>
      </c>
      <c r="D909" s="3">
        <v>1.0</v>
      </c>
    </row>
    <row r="910" ht="15.75" customHeight="1">
      <c r="A910" s="1">
        <v>908.0</v>
      </c>
      <c r="B910" s="3" t="s">
        <v>911</v>
      </c>
      <c r="C910" s="3" t="str">
        <f>IFERROR(__xludf.DUMMYFUNCTION("GOOGLETRANSLATE(B910,""id"",""en"")"),"['haduhhh', 'update', 'like', 'ugly', 'buy', 'Kouta', 'Connect', 'Where', 'Tens',' Telkomsel ',' times', 'Disappointed', ' It's better ',' smartfren ',' good ',' dri ',' PDA ',' Telkomsel ',' skrg ']")</f>
        <v>['haduhhh', 'update', 'like', 'ugly', 'buy', 'Kouta', 'Connect', 'Where', 'Tens',' Telkomsel ',' times', 'Disappointed', ' It's better ',' smartfren ',' good ',' dri ',' PDA ',' Telkomsel ',' skrg ']</v>
      </c>
      <c r="D910" s="3">
        <v>1.0</v>
      </c>
    </row>
    <row r="911" ht="15.75" customHeight="1">
      <c r="A911" s="1">
        <v>909.0</v>
      </c>
      <c r="B911" s="3" t="s">
        <v>912</v>
      </c>
      <c r="C911" s="3" t="str">
        <f>IFERROR(__xludf.DUMMYFUNCTION("GOOGLETRANSLATE(B911,""id"",""en"")"),"['update', 'woy', 'kaga', 'entered', 'error', 'mulu', 'user', 'wifi', 'rich', 'checked', 'quota', 'buy', ' Package ',' APK ',' open ']")</f>
        <v>['update', 'woy', 'kaga', 'entered', 'error', 'mulu', 'user', 'wifi', 'rich', 'checked', 'quota', 'buy', ' Package ',' APK ',' open ']</v>
      </c>
      <c r="D911" s="3">
        <v>1.0</v>
      </c>
    </row>
    <row r="912" ht="15.75" customHeight="1">
      <c r="A912" s="1">
        <v>910.0</v>
      </c>
      <c r="B912" s="3" t="s">
        <v>913</v>
      </c>
      <c r="C912" s="3" t="str">
        <f>IFERROR(__xludf.DUMMYFUNCTION("GOOGLETRANSLATE(B912,""id"",""en"")"),"['', 'fix', 'signal', 'strength', 'network', 'enter', 'application', 'connection', 'internet', 'list', ""]")</f>
        <v>['', 'fix', 'signal', 'strength', 'network', 'enter', 'application', 'connection', 'internet', 'list', "]</v>
      </c>
      <c r="D912" s="3">
        <v>4.0</v>
      </c>
    </row>
    <row r="913" ht="15.75" customHeight="1">
      <c r="A913" s="1">
        <v>911.0</v>
      </c>
      <c r="B913" s="3" t="s">
        <v>914</v>
      </c>
      <c r="C913" s="3" t="str">
        <f>IFERROR(__xludf.DUMMYFUNCTION("GOOGLETRANSLATE(B913,""id"",""en"")"),"['Telkomsel', 'poor', 'gini', 'application', 'Telkomsel', 'open', 'reload', 'purchase', 'package', 'internet', 'according to', 'choice', ' automatically ',' choose ',' detrimental ',' consumers', 'please', 'response', 'explanation', 'donggggg', 'already',"&amp;" 'uninstall', 'telkomsel', 'download', 'play' , 'Store', '']")</f>
        <v>['Telkomsel', 'poor', 'gini', 'application', 'Telkomsel', 'open', 'reload', 'purchase', 'package', 'internet', 'according to', 'choice', ' automatically ',' choose ',' detrimental ',' consumers', 'please', 'response', 'explanation', 'donggggg', 'already', 'uninstall', 'telkomsel', 'download', 'play' , 'Store', '']</v>
      </c>
      <c r="D913" s="3">
        <v>1.0</v>
      </c>
    </row>
    <row r="914" ht="15.75" customHeight="1">
      <c r="A914" s="1">
        <v>912.0</v>
      </c>
      <c r="B914" s="3" t="s">
        <v>915</v>
      </c>
      <c r="C914" s="3" t="str">
        <f>IFERROR(__xludf.DUMMYFUNCTION("GOOGLETRANSLATE(B914,""id"",""en"")"),"['', 'please', 'Telkomsel', 'KNP', 'MSK', 'repeat', 'times',' Download ',' Delete ',' Download ',' TTP ',' enter ',' think ',' Telkomsel ',' notification ',' ']")</f>
        <v>['', 'please', 'Telkomsel', 'KNP', 'MSK', 'repeat', 'times',' Download ',' Delete ',' Download ',' TTP ',' enter ',' think ',' Telkomsel ',' notification ',' ']</v>
      </c>
      <c r="D914" s="3">
        <v>1.0</v>
      </c>
    </row>
    <row r="915" ht="15.75" customHeight="1">
      <c r="A915" s="1">
        <v>913.0</v>
      </c>
      <c r="B915" s="3" t="s">
        <v>916</v>
      </c>
      <c r="C915" s="3" t="str">
        <f>IFERROR(__xludf.DUMMYFUNCTION("GOOGLETRANSLATE(B915,""id"",""en"")"),"['TELong', 'love', 'PHP', 'buy', 'package', 'cheap', 'love', 'Poromo', 'unlimited', 'signal', 'GB', 'Idak', ' Buy ',' Disappointed ',' Team ',' Move ',' Card ',' Next to ',' PHP ',' Make ',' Telkomsel ',' THN ',' PHP ',' Disappointed ', ""]")</f>
        <v>['TELong', 'love', 'PHP', 'buy', 'package', 'cheap', 'love', 'Poromo', 'unlimited', 'signal', 'GB', 'Idak', ' Buy ',' Disappointed ',' Team ',' Move ',' Card ',' Next to ',' PHP ',' Make ',' Telkomsel ',' THN ',' PHP ',' Disappointed ', "]</v>
      </c>
      <c r="D915" s="3">
        <v>1.0</v>
      </c>
    </row>
    <row r="916" ht="15.75" customHeight="1">
      <c r="A916" s="1">
        <v>914.0</v>
      </c>
      <c r="B916" s="3" t="s">
        <v>917</v>
      </c>
      <c r="C916" s="3" t="str">
        <f>IFERROR(__xludf.DUMMYFUNCTION("GOOGLETRANSLATE(B916,""id"",""en"")"),"['signal', 'bad', 'urban', 'sinynya', 'bad', 'sometimes',' sometimes', 'replace', 'network', 'abis',' signal ',' get ',' Change ',' Card ',' Customer ',' Telkomsel ',' Since ',' Pandemic ',' Signal ',' Telkomsel ',' Decline ',' Download ',' GB ',' Minutes"&amp;"', 'Clock' , 'Improved', 'Network', 'make', '']")</f>
        <v>['signal', 'bad', 'urban', 'sinynya', 'bad', 'sometimes',' sometimes', 'replace', 'network', 'abis',' signal ',' get ',' Change ',' Card ',' Customer ',' Telkomsel ',' Since ',' Pandemic ',' Signal ',' Telkomsel ',' Decline ',' Download ',' GB ',' Minutes', 'Clock' , 'Improved', 'Network', 'make', '']</v>
      </c>
      <c r="D916" s="3">
        <v>1.0</v>
      </c>
    </row>
    <row r="917" ht="15.75" customHeight="1">
      <c r="A917" s="1">
        <v>915.0</v>
      </c>
      <c r="B917" s="3" t="s">
        <v>918</v>
      </c>
      <c r="C917" s="3" t="str">
        <f>IFERROR(__xludf.DUMMYFUNCTION("GOOGLETRANSLATE(B917,""id"",""en"")"),"['Telkomsel', 'troublesome', 'pulse', 'suck', 'drained', 'usage', 'package', 'data', 'SIM', 'Telkomsel', 'SIM', 'pulse', ' Decreases', 'cunning', 'strange', 'fed up', 'network', 'like', 'stable', 'belik', 'data', 'package', 'expensive', 'Indonesia', '']")</f>
        <v>['Telkomsel', 'troublesome', 'pulse', 'suck', 'drained', 'usage', 'package', 'data', 'SIM', 'Telkomsel', 'SIM', 'pulse', ' Decreases', 'cunning', 'strange', 'fed up', 'network', 'like', 'stable', 'belik', 'data', 'package', 'expensive', 'Indonesia', '']</v>
      </c>
      <c r="D917" s="3">
        <v>1.0</v>
      </c>
    </row>
    <row r="918" ht="15.75" customHeight="1">
      <c r="A918" s="1">
        <v>916.0</v>
      </c>
      <c r="B918" s="3" t="s">
        <v>919</v>
      </c>
      <c r="C918" s="3" t="str">
        <f>IFERROR(__xludf.DUMMYFUNCTION("GOOGLETRANSLATE(B918,""id"",""en"")"),"['Network', 'Telkomsel', 'Severe', 'Disappointed', 'Paketannya', 'Expensive', 'Cepet', 'Abistir', 'Ujan', 'Already', 'Ancur', ' In ',' fix ',' replace ',' card ',' spend ',' money ',' doang ',' ']")</f>
        <v>['Network', 'Telkomsel', 'Severe', 'Disappointed', 'Paketannya', 'Expensive', 'Cepet', 'Abistir', 'Ujan', 'Already', 'Ancur', ' In ',' fix ',' replace ',' card ',' spend ',' money ',' doang ',' ']</v>
      </c>
      <c r="D918" s="3">
        <v>1.0</v>
      </c>
    </row>
    <row r="919" ht="15.75" customHeight="1">
      <c r="A919" s="1">
        <v>917.0</v>
      </c>
      <c r="B919" s="3" t="s">
        <v>920</v>
      </c>
      <c r="C919" s="3" t="str">
        <f>IFERROR(__xludf.DUMMYFUNCTION("GOOGLETRANSLATE(B919,""id"",""en"")"),"['Haloo', 'min', 'help', 'location', 'network', 'frequency', 'address',' village ',' stone ',' male ',' kec ',' rod ',' Batung ',' Kab ',' HSS ',' Hulu ',' River ',' South ',' Hopefully ',' Reinforced ',' Singals', 'Region', ""]")</f>
        <v>['Haloo', 'min', 'help', 'location', 'network', 'frequency', 'address',' village ',' stone ',' male ',' kec ',' rod ',' Batung ',' Kab ',' HSS ',' Hulu ',' River ',' South ',' Hopefully ',' Reinforced ',' Singals', 'Region', "]</v>
      </c>
      <c r="D919" s="3">
        <v>1.0</v>
      </c>
    </row>
    <row r="920" ht="15.75" customHeight="1">
      <c r="A920" s="1">
        <v>918.0</v>
      </c>
      <c r="B920" s="3" t="s">
        <v>921</v>
      </c>
      <c r="C920" s="3" t="str">
        <f>IFERROR(__xludf.DUMMYFUNCTION("GOOGLETRANSLATE(B920,""id"",""en"")"),"['likes',' cut ',' balance ',' pulse ',' customer ',' anything ',' detrimental ',' customer ',' friend ',' victim ',' contents', 'pulses',' Telkom ',' Mending ',' Direct ',' used ',' deposited ',' collected ',' sucked ',' balance ',' just ',' just ',' aft"&amp;"ernoon ',' buy ',' night ' , 'ilang', 'already', 'many', 'internet', 'his cellphone', 'forget', 'put together', 'is',' so ',' like ',' suck ',' pulses', ' customers', 'TNPA', 'Talikin', 'pulses']")</f>
        <v>['likes',' cut ',' balance ',' pulse ',' customer ',' anything ',' detrimental ',' customer ',' friend ',' victim ',' contents', 'pulses',' Telkom ',' Mending ',' Direct ',' used ',' deposited ',' collected ',' sucked ',' balance ',' just ',' just ',' afternoon ',' buy ',' night ' , 'ilang', 'already', 'many', 'internet', 'his cellphone', 'forget', 'put together', 'is',' so ',' like ',' suck ',' pulses', ' customers', 'TNPA', 'Talikin', 'pulses']</v>
      </c>
      <c r="D920" s="3">
        <v>1.0</v>
      </c>
    </row>
    <row r="921" ht="15.75" customHeight="1">
      <c r="A921" s="1">
        <v>919.0</v>
      </c>
      <c r="B921" s="3" t="s">
        <v>922</v>
      </c>
      <c r="C921" s="3" t="str">
        <f>IFERROR(__xludf.DUMMYFUNCTION("GOOGLETRANSLATE(B921,""id"",""en"")"),"['bid', 'NSP', 'please', 'appears',' screen ',' interested ',' leftover ',' quota ',' scorched ',' accumulated ',' redundant ',' pdhal ',' Fill ',' quota ',' reset ',' before ',' package ',' internet ',' switch ',' package ',' quota ',' operator ', ""]")</f>
        <v>['bid', 'NSP', 'please', 'appears',' screen ',' interested ',' leftover ',' quota ',' scorched ',' accumulated ',' redundant ',' pdhal ',' Fill ',' quota ',' reset ',' before ',' package ',' internet ',' switch ',' package ',' quota ',' operator ', "]</v>
      </c>
      <c r="D921" s="3">
        <v>3.0</v>
      </c>
    </row>
    <row r="922" ht="15.75" customHeight="1">
      <c r="A922" s="1">
        <v>920.0</v>
      </c>
      <c r="B922" s="3" t="s">
        <v>923</v>
      </c>
      <c r="C922" s="3" t="str">
        <f>IFERROR(__xludf.DUMMYFUNCTION("GOOGLETRANSLATE(B922,""id"",""en"")"),"['Points',' Get ',' UDH ',' Advertising ',' Disturbs', 'Game', 'Ngarep', 'Credit', 'Get', 'Pdhl', 'Diligently', 'Buy', ' Credit ',' KNTL ',' Card ',' Satan ',' Most ',' Lottery ',' Tipu ',' Tipu ']")</f>
        <v>['Points',' Get ',' UDH ',' Advertising ',' Disturbs', 'Game', 'Ngarep', 'Credit', 'Get', 'Pdhl', 'Diligently', 'Buy', ' Credit ',' KNTL ',' Card ',' Satan ',' Most ',' Lottery ',' Tipu ',' Tipu ']</v>
      </c>
      <c r="D922" s="3">
        <v>1.0</v>
      </c>
    </row>
    <row r="923" ht="15.75" customHeight="1">
      <c r="A923" s="1">
        <v>921.0</v>
      </c>
      <c r="B923" s="3" t="s">
        <v>924</v>
      </c>
      <c r="C923" s="3" t="str">
        <f>IFERROR(__xludf.DUMMYFUNCTION("GOOGLETRANSLATE(B923,""id"",""en"")"),"['internet', 'Satisfied', 'Package', 'Combo', 'Sakti', 'Family', 'Combo', 'Sakti', ""]")</f>
        <v>['internet', 'Satisfied', 'Package', 'Combo', 'Sakti', 'Family', 'Combo', 'Sakti', "]</v>
      </c>
      <c r="D923" s="3">
        <v>3.0</v>
      </c>
    </row>
    <row r="924" ht="15.75" customHeight="1">
      <c r="A924" s="1">
        <v>922.0</v>
      </c>
      <c r="B924" s="3" t="s">
        <v>925</v>
      </c>
      <c r="C924" s="3" t="str">
        <f>IFERROR(__xludf.DUMMYFUNCTION("GOOGLETRANSLATE(B924,""id"",""en"")"),"['Love', 'Bintang', 'Klu', 'Combo', 'Sakti', 'Adaain', 'Package', 'GB', 'GB', 'NTR', 'Love', 'Star', ' KLU ',' suggest ',' Kabul ',' ']")</f>
        <v>['Love', 'Bintang', 'Klu', 'Combo', 'Sakti', 'Adaain', 'Package', 'GB', 'GB', 'NTR', 'Love', 'Star', ' KLU ',' suggest ',' Kabul ',' ']</v>
      </c>
      <c r="D924" s="3">
        <v>3.0</v>
      </c>
    </row>
    <row r="925" ht="15.75" customHeight="1">
      <c r="A925" s="1">
        <v>923.0</v>
      </c>
      <c r="B925" s="3" t="s">
        <v>926</v>
      </c>
      <c r="C925" s="3" t="str">
        <f>IFERROR(__xludf.DUMMYFUNCTION("GOOGLETRANSLATE(B925,""id"",""en"")"),"['here', 'error', 'auto', 'log', 'out', 'really', 'bug', 'Come', 'Increase', 'decline', 'package', 'expensive', ' error ',' disorder ',' please ',' as soon as possible ',' repair ']")</f>
        <v>['here', 'error', 'auto', 'log', 'out', 'really', 'bug', 'Come', 'Increase', 'decline', 'package', 'expensive', ' error ',' disorder ',' please ',' as soon as possible ',' repair ']</v>
      </c>
      <c r="D925" s="3">
        <v>2.0</v>
      </c>
    </row>
    <row r="926" ht="15.75" customHeight="1">
      <c r="A926" s="1">
        <v>924.0</v>
      </c>
      <c r="B926" s="3" t="s">
        <v>927</v>
      </c>
      <c r="C926" s="3" t="str">
        <f>IFERROR(__xludf.DUMMYFUNCTION("GOOGLETRANSLATE(B926,""id"",""en"")"),"['sory', 'star', 'pulse', 'expensive', 'choice', 'cheap', 'mbok', 'rich', 'provider', 'next door', 'byk', 'promo', ' free ',' provider ',' government ',' best ',' indo ',' peliiiiiit ',' hadeuuuu ',' pantesan ',' byk ',' love ',' star ', ""]")</f>
        <v>['sory', 'star', 'pulse', 'expensive', 'choice', 'cheap', 'mbok', 'rich', 'provider', 'next door', 'byk', 'promo', ' free ',' provider ',' government ',' best ',' indo ',' peliiiiiit ',' hadeuuuu ',' pantesan ',' byk ',' love ',' star ', "]</v>
      </c>
      <c r="D926" s="3">
        <v>1.0</v>
      </c>
    </row>
    <row r="927" ht="15.75" customHeight="1">
      <c r="A927" s="1">
        <v>925.0</v>
      </c>
      <c r="B927" s="3" t="s">
        <v>928</v>
      </c>
      <c r="C927" s="3" t="str">
        <f>IFERROR(__xludf.DUMMYFUNCTION("GOOGLETRANSLATE(B927,""id"",""en"")"),"['here', 'disappointed', 'Telkomsel', 'already', 'signal', 'bad', 'compared to', 'here', 'expensive', 'package', 'buy', 'indo', ' Telkomsel ',' Indo ',' The network ',' stable ',' cheap ',' disappointed ',' use ',' Telkomsel ',' already ']")</f>
        <v>['here', 'disappointed', 'Telkomsel', 'already', 'signal', 'bad', 'compared to', 'here', 'expensive', 'package', 'buy', 'indo', ' Telkomsel ',' Indo ',' The network ',' stable ',' cheap ',' disappointed ',' use ',' Telkomsel ',' already ']</v>
      </c>
      <c r="D927" s="3">
        <v>1.0</v>
      </c>
    </row>
    <row r="928" ht="15.75" customHeight="1">
      <c r="A928" s="1">
        <v>926.0</v>
      </c>
      <c r="B928" s="3" t="s">
        <v>929</v>
      </c>
      <c r="C928" s="3" t="str">
        <f>IFERROR(__xludf.DUMMYFUNCTION("GOOGLETRANSLATE(B928,""id"",""en"")"),"['buy', 'package', 'price', 'pulse', 'thousand', 'so', 'click', 'payment', 'notification', 'internet', 'failed', 'activated', ' Credit ',' sufficient ',' SMS ',' Internet ',' Success', 'Enabled', 'Clock', 'Nut-', 'Free', 'Clock', 'Doang', ""]")</f>
        <v>['buy', 'package', 'price', 'pulse', 'thousand', 'so', 'click', 'payment', 'notification', 'internet', 'failed', 'activated', ' Credit ',' sufficient ',' SMS ',' Internet ',' Success', 'Enabled', 'Clock', 'Nut-', 'Free', 'Clock', 'Doang', "]</v>
      </c>
      <c r="D928" s="3">
        <v>1.0</v>
      </c>
    </row>
    <row r="929" ht="15.75" customHeight="1">
      <c r="A929" s="1">
        <v>927.0</v>
      </c>
      <c r="B929" s="3" t="s">
        <v>930</v>
      </c>
      <c r="C929" s="3" t="str">
        <f>IFERROR(__xludf.DUMMYFUNCTION("GOOGLETRANSLATE(B929,""id"",""en"")"),"['Hello', 'Telkomsel', 'Love', 'Bintang', 'because', 'Satisfied', 'Karna', 'Purchase', 'Package', 'Call', 'Unlimitid', 'Do', ' Transactions', 'Please', 'Stabilize', 'Thanks',' ']")</f>
        <v>['Hello', 'Telkomsel', 'Love', 'Bintang', 'because', 'Satisfied', 'Karna', 'Purchase', 'Package', 'Call', 'Unlimitid', 'Do', ' Transactions', 'Please', 'Stabilize', 'Thanks',' ']</v>
      </c>
      <c r="D929" s="3">
        <v>1.0</v>
      </c>
    </row>
    <row r="930" ht="15.75" customHeight="1">
      <c r="A930" s="1">
        <v>928.0</v>
      </c>
      <c r="B930" s="3" t="s">
        <v>931</v>
      </c>
      <c r="C930" s="3" t="str">
        <f>IFERROR(__xludf.DUMMYFUNCTION("GOOGLETRANSLATE(B930,""id"",""en"")"),"['Sinyal', 'severe', 'lbih', 'neighbor', 'already', 'price', 'pling', 'expensive', 'SBTR', 'use', 'Telkomsel', ""]")</f>
        <v>['Sinyal', 'severe', 'lbih', 'neighbor', 'already', 'price', 'pling', 'expensive', 'SBTR', 'use', 'Telkomsel', "]</v>
      </c>
      <c r="D930" s="3">
        <v>1.0</v>
      </c>
    </row>
    <row r="931" ht="15.75" customHeight="1">
      <c r="A931" s="1">
        <v>929.0</v>
      </c>
      <c r="B931" s="3" t="s">
        <v>932</v>
      </c>
      <c r="C931" s="3" t="str">
        <f>IFERROR(__xludf.DUMMYFUNCTION("GOOGLETRANSLATE(B931,""id"",""en"")"),"['quota', 'SMS', 'Telkomsel', 'in', 'Minute', 'SMS', 'Telkomsel', 'GB', 'quota', 'Flash', 'run out', ' Disappointed ',' Bener ',' Disappointed ',' App ',' Keliar ',' Setial ',' Dismiss', 'Points',' Lottery ',' Coupon ',' Lottery ',' Damn ',' bahkn ' , 'Se"&amp;"t', 'contents', 'pulses', 'tomorrow', 'missing', 'RB', 'RB', 'Padah', 'quota', 'call', 'always', ""]")</f>
        <v>['quota', 'SMS', 'Telkomsel', 'in', 'Minute', 'SMS', 'Telkomsel', 'GB', 'quota', 'Flash', 'run out', ' Disappointed ',' Bener ',' Disappointed ',' App ',' Keliar ',' Setial ',' Dismiss', 'Points',' Lottery ',' Coupon ',' Lottery ',' Damn ',' bahkn ' , 'Set', 'contents', 'pulses', 'tomorrow', 'missing', 'RB', 'RB', 'Padah', 'quota', 'call', 'always', "]</v>
      </c>
      <c r="D931" s="3">
        <v>1.0</v>
      </c>
    </row>
    <row r="932" ht="15.75" customHeight="1">
      <c r="A932" s="1">
        <v>930.0</v>
      </c>
      <c r="B932" s="3" t="s">
        <v>933</v>
      </c>
      <c r="C932" s="3" t="str">
        <f>IFERROR(__xludf.DUMMYFUNCTION("GOOGLETRANSLATE(B932,""id"",""en"")"),"['quality', 'network', 'sympathy', 'pulp', 'connect', 'indicator', 'signal', 'full', 'play', 'game', 'online', 'auto', ' Lost ',' Lose ',' ping ', ""]")</f>
        <v>['quality', 'network', 'sympathy', 'pulp', 'connect', 'indicator', 'signal', 'full', 'play', 'game', 'online', 'auto', ' Lost ',' Lose ',' ping ', "]</v>
      </c>
      <c r="D932" s="3">
        <v>1.0</v>
      </c>
    </row>
    <row r="933" ht="15.75" customHeight="1">
      <c r="A933" s="1">
        <v>931.0</v>
      </c>
      <c r="B933" s="3" t="s">
        <v>934</v>
      </c>
      <c r="C933" s="3" t="str">
        <f>IFERROR(__xludf.DUMMYFUNCTION("GOOGLETRANSLATE(B933,""id"",""en"")"),"['Package', 'Combo', 'Sakti', 'Card', 'Cave', 'Klamp', 'Combo', 'Sakti', 'PHP', 'Promo', 'Quota', 'Mending', ' network ',' good ',' Nipu ',' promo ',' quota ']")</f>
        <v>['Package', 'Combo', 'Sakti', 'Card', 'Cave', 'Klamp', 'Combo', 'Sakti', 'PHP', 'Promo', 'Quota', 'Mending', ' network ',' good ',' Nipu ',' promo ',' quota ']</v>
      </c>
      <c r="D933" s="3">
        <v>1.0</v>
      </c>
    </row>
    <row r="934" ht="15.75" customHeight="1">
      <c r="A934" s="1">
        <v>932.0</v>
      </c>
      <c r="B934" s="3" t="s">
        <v>935</v>
      </c>
      <c r="C934" s="3" t="str">
        <f>IFERROR(__xludf.DUMMYFUNCTION("GOOGLETRANSLATE(B934,""id"",""en"")"),"['already', 'decade', 'make', 'Telkomsel', 'satisfied', 'service', 'internet', 'stable', 'skrg', 'network', 'live', 'area', ' Jepara ',' inland ',' signal ',' get ',' since ',' mid ',' Nov ',' signal ',' drop ',' UDH ',' Always', 'stable', 'quota' , 'GB',"&amp;" 'ilang', 'That's',' Since ',' Update ',' Application ',' TELKOM ',' Opened ',' CITY ',' Service ',' Bad ',' Telkomsel ',' ']")</f>
        <v>['already', 'decade', 'make', 'Telkomsel', 'satisfied', 'service', 'internet', 'stable', 'skrg', 'network', 'live', 'area', ' Jepara ',' inland ',' signal ',' get ',' since ',' mid ',' Nov ',' signal ',' drop ',' UDH ',' Always', 'stable', 'quota' , 'GB', 'ilang', 'That's',' Since ',' Update ',' Application ',' TELKOM ',' Opened ',' CITY ',' Service ',' Bad ',' Telkomsel ',' ']</v>
      </c>
      <c r="D934" s="3">
        <v>1.0</v>
      </c>
    </row>
    <row r="935" ht="15.75" customHeight="1">
      <c r="A935" s="1">
        <v>933.0</v>
      </c>
      <c r="B935" s="3" t="s">
        <v>936</v>
      </c>
      <c r="C935" s="3" t="str">
        <f>IFERROR(__xludf.DUMMYFUNCTION("GOOGLETRANSLATE(B935,""id"",""en"")"),"['open', 'package', 'data', 'failure', 'success',' tapai ',' open ',' use ',' network ',' wifi ',' fast ',' login ',' How ',' Try ',' Use ',' Package ',' Data ',' Number ',' Telkomsel ',' Turning ',' Nawari ',' Promo ',' Package ',' Data ',' Elegory ' , '"&amp;"really', 'Haaddeehhh']")</f>
        <v>['open', 'package', 'data', 'failure', 'success',' tapai ',' open ',' use ',' network ',' wifi ',' fast ',' login ',' How ',' Try ',' Use ',' Package ',' Data ',' Number ',' Telkomsel ',' Turning ',' Nawari ',' Promo ',' Package ',' Data ',' Elegory ' , 'really', 'Haaddeehhh']</v>
      </c>
      <c r="D935" s="3">
        <v>1.0</v>
      </c>
    </row>
    <row r="936" ht="15.75" customHeight="1">
      <c r="A936" s="1">
        <v>934.0</v>
      </c>
      <c r="B936" s="3" t="s">
        <v>937</v>
      </c>
      <c r="C936" s="3" t="str">
        <f>IFERROR(__xludf.DUMMYFUNCTION("GOOGLETRANSLATE(B936,""id"",""en"")"),"['signal', 'ugly', 'in place', 'internet', 'super', 'slow', 'customer', 'loyal', 'use', 'card', 'hello', ""]")</f>
        <v>['signal', 'ugly', 'in place', 'internet', 'super', 'slow', 'customer', 'loyal', 'use', 'card', 'hello', "]</v>
      </c>
      <c r="D936" s="3">
        <v>1.0</v>
      </c>
    </row>
    <row r="937" ht="15.75" customHeight="1">
      <c r="A937" s="1">
        <v>935.0</v>
      </c>
      <c r="B937" s="3" t="s">
        <v>938</v>
      </c>
      <c r="C937" s="3" t="str">
        <f>IFERROR(__xludf.DUMMYFUNCTION("GOOGLETRANSLATE(B937,""id"",""en"")"),"['Please', 'service', 'Territory', 'East', 'especially', 'price', 'pulses',' please ',' seam ',' area ',' Java ',' Please ',' Papua ',' people ',' buy ',' pulses', 'expensive', 'Papua']")</f>
        <v>['Please', 'service', 'Territory', 'East', 'especially', 'price', 'pulses',' please ',' seam ',' area ',' Java ',' Please ',' Papua ',' people ',' buy ',' pulses', 'expensive', 'Papua']</v>
      </c>
      <c r="D937" s="3">
        <v>5.0</v>
      </c>
    </row>
    <row r="938" ht="15.75" customHeight="1">
      <c r="A938" s="1">
        <v>936.0</v>
      </c>
      <c r="B938" s="3" t="s">
        <v>939</v>
      </c>
      <c r="C938" s="3" t="str">
        <f>IFERROR(__xludf.DUMMYFUNCTION("GOOGLETRANSLATE(B938,""id"",""en"")"),"['Try', 'buy', 'package', 'APLKS', 'MyTelkomsel', 'trap', 'Telkomsel', 'PKT', 'Regular', 'Basic', 'Change', 'Package', ' add ',' buy ',' easy ',' die ',' internet ',' lemoot ',' jln ',' enjoy ',' location ',' DKI ',' ']")</f>
        <v>['Try', 'buy', 'package', 'APLKS', 'MyTelkomsel', 'trap', 'Telkomsel', 'PKT', 'Regular', 'Basic', 'Change', 'Package', ' add ',' buy ',' easy ',' die ',' internet ',' lemoot ',' jln ',' enjoy ',' location ',' DKI ',' ']</v>
      </c>
      <c r="D938" s="3">
        <v>1.0</v>
      </c>
    </row>
    <row r="939" ht="15.75" customHeight="1">
      <c r="A939" s="1">
        <v>937.0</v>
      </c>
      <c r="B939" s="3" t="s">
        <v>940</v>
      </c>
      <c r="C939" s="3" t="str">
        <f>IFERROR(__xludf.DUMMYFUNCTION("GOOGLETRANSLATE(B939,""id"",""en"")"),"['Bener', 'disappointed', 'skrg', 'package', 'internet', 'fast', 'abis',' sampe ',' a month ',' already ',' expensive ',' fast ',' finish', '']")</f>
        <v>['Bener', 'disappointed', 'skrg', 'package', 'internet', 'fast', 'abis',' sampe ',' a month ',' already ',' expensive ',' fast ',' finish', '']</v>
      </c>
      <c r="D939" s="3">
        <v>1.0</v>
      </c>
    </row>
    <row r="940" ht="15.75" customHeight="1">
      <c r="A940" s="1">
        <v>938.0</v>
      </c>
      <c r="B940" s="3" t="s">
        <v>941</v>
      </c>
      <c r="C940" s="3" t="str">
        <f>IFERROR(__xludf.DUMMYFUNCTION("GOOGLETRANSLATE(B940,""id"",""en"")"),"['Developer', 'Dear', 'Please', 'Keep', 'Comfort', 'Security', 'User', 'Cell', 'Signal', 'Seburuk', 'User', 'Comfortable', ' Service ',' best ',' please ',' sain ',' wasted ',' keronaan ',' customer ',' situation ',' network ',' bad ',' happi ',' gamers',"&amp;" 'damaging' , 'tools',' because ',' quality ',' signal ',' bad ',' ping ',' colored ',' green ',' quality ',' ping ',' colored ',' red ',' Please, 'Keep', 'Customer', '']")</f>
        <v>['Developer', 'Dear', 'Please', 'Keep', 'Comfort', 'Security', 'User', 'Cell', 'Signal', 'Seburuk', 'User', 'Comfortable', ' Service ',' best ',' please ',' sain ',' wasted ',' keronaan ',' customer ',' situation ',' network ',' bad ',' happi ',' gamers', 'damaging' , 'tools',' because ',' quality ',' signal ',' bad ',' ping ',' colored ',' green ',' quality ',' ping ',' colored ',' red ',' Please, 'Keep', 'Customer', '']</v>
      </c>
      <c r="D940" s="3">
        <v>1.0</v>
      </c>
    </row>
    <row r="941" ht="15.75" customHeight="1">
      <c r="A941" s="1">
        <v>939.0</v>
      </c>
      <c r="B941" s="3" t="s">
        <v>942</v>
      </c>
      <c r="C941" s="3" t="str">
        <f>IFERROR(__xludf.DUMMYFUNCTION("GOOGLETRANSLATE(B941,""id"",""en"")"),"['please', 'Telkomsel', 'customer', 'complaining', 'network', 'ugly', 'Please', 'repaired', 'network', 'every corner', 'corner', ' Urban ',' improvement ',' reinforcement ',' signal ',' Telkomsel ',' priority ',' customer ',' price ',' determines', 'quali"&amp;"ty', ""]")</f>
        <v>['please', 'Telkomsel', 'customer', 'complaining', 'network', 'ugly', 'Please', 'repaired', 'network', 'every corner', 'corner', ' Urban ',' improvement ',' reinforcement ',' signal ',' Telkomsel ',' priority ',' customer ',' price ',' determines', 'quality', "]</v>
      </c>
      <c r="D941" s="3">
        <v>1.0</v>
      </c>
    </row>
    <row r="942" ht="15.75" customHeight="1">
      <c r="A942" s="1">
        <v>940.0</v>
      </c>
      <c r="B942" s="3" t="s">
        <v>943</v>
      </c>
      <c r="C942" s="3" t="str">
        <f>IFERROR(__xludf.DUMMYFUNCTION("GOOGLETRANSLATE(B942,""id"",""en"")"),"['Please', 'responded', 'buy', 'quota', 'internet', 'buy', 'package', 'internet', 'diaplikdi', 'telkomsel', 'just', 'option', ' package ',' Confrence ',' quota ',' education ',' quota ',' maxstream ',' please ',' solution ',' turn ',' buy ',' quota ',' in"&amp;"ternet ',' night ' , '']")</f>
        <v>['Please', 'responded', 'buy', 'quota', 'internet', 'buy', 'package', 'internet', 'diaplikdi', 'telkomsel', 'just', 'option', ' package ',' Confrence ',' quota ',' education ',' quota ',' maxstream ',' please ',' solution ',' turn ',' buy ',' quota ',' internet ',' night ' , '']</v>
      </c>
      <c r="D942" s="3">
        <v>1.0</v>
      </c>
    </row>
    <row r="943" ht="15.75" customHeight="1">
      <c r="A943" s="1">
        <v>941.0</v>
      </c>
      <c r="B943" s="3" t="s">
        <v>944</v>
      </c>
      <c r="C943" s="3" t="str">
        <f>IFERROR(__xludf.DUMMYFUNCTION("GOOGLETRANSLATE(B943,""id"",""en"")"),"['', 'Telkomsel', 'active', 'active', 'activity', 'network', 'world', 'run', 'task', 'electronics',' info ',' access', 'needs ',' People ',' heen ',' put ',' safe ']")</f>
        <v>['', 'Telkomsel', 'active', 'active', 'activity', 'network', 'world', 'run', 'task', 'electronics',' info ',' access', 'needs ',' People ',' heen ',' put ',' safe ']</v>
      </c>
      <c r="D943" s="3">
        <v>5.0</v>
      </c>
    </row>
    <row r="944" ht="15.75" customHeight="1">
      <c r="A944" s="1">
        <v>942.0</v>
      </c>
      <c r="B944" s="3" t="s">
        <v>945</v>
      </c>
      <c r="C944" s="3" t="str">
        <f>IFERROR(__xludf.DUMMYFUNCTION("GOOGLETRANSLATE(B944,""id"",""en"")"),"['I', 'Leave', 'card', 'tri', 'slow', 'network', 'switch', 'Telkomsel', 'aware', 'card', 'tri', 'Mari', ' Leave ',' Telkomsel ',' Switch ',' card ',' tri ',' card ']")</f>
        <v>['I', 'Leave', 'card', 'tri', 'slow', 'network', 'switch', 'Telkomsel', 'aware', 'card', 'tri', 'Mari', ' Leave ',' Telkomsel ',' Switch ',' card ',' tri ',' card ']</v>
      </c>
      <c r="D944" s="3">
        <v>1.0</v>
      </c>
    </row>
    <row r="945" ht="15.75" customHeight="1">
      <c r="A945" s="1">
        <v>943.0</v>
      </c>
      <c r="B945" s="3" t="s">
        <v>946</v>
      </c>
      <c r="C945" s="3" t="str">
        <f>IFERROR(__xludf.DUMMYFUNCTION("GOOGLETRANSLATE(B945,""id"",""en"")"),"['ugly', 'network', 'Telkomsel', 'city', 'Bengkalis',' gini ',' ngak ',' over ',' operator ',' pakek ',' telkomsel ',' already ',' dozens']")</f>
        <v>['ugly', 'network', 'Telkomsel', 'city', 'Bengkalis',' gini ',' ngak ',' over ',' operator ',' pakek ',' telkomsel ',' already ',' dozens']</v>
      </c>
      <c r="D945" s="3">
        <v>1.0</v>
      </c>
    </row>
    <row r="946" ht="15.75" customHeight="1">
      <c r="A946" s="1">
        <v>944.0</v>
      </c>
      <c r="B946" s="3" t="s">
        <v>947</v>
      </c>
      <c r="C946" s="3" t="str">
        <f>IFERROR(__xludf.DUMMYFUNCTION("GOOGLETRANSLATE(B946,""id"",""en"")"),"['Telkomsel', 'good', 'depends',' wear it ',' the application ',' help ',' use it ',' perfect ',' world ',' Telkomsel ',' neutral ',' needs', ' ']")</f>
        <v>['Telkomsel', 'good', 'depends',' wear it ',' the application ',' help ',' use it ',' perfect ',' world ',' Telkomsel ',' neutral ',' needs', ' ']</v>
      </c>
      <c r="D946" s="3">
        <v>5.0</v>
      </c>
    </row>
    <row r="947" ht="15.75" customHeight="1">
      <c r="A947" s="1">
        <v>945.0</v>
      </c>
      <c r="B947" s="3" t="s">
        <v>948</v>
      </c>
      <c r="C947" s="3" t="str">
        <f>IFERROR(__xludf.DUMMYFUNCTION("GOOGLETRANSLATE(B947,""id"",""en"")"),"['buy', 'package', 'funds',' bought ',' balance ',' habistu ',' minimal ',' buy ',' package ',' night ',' already ',' safe ',' data ',' hours', 'package', 'night', 'ttp', 'ngilan', 'really', 'bener', 'extortion', 'learn', 'need', 'access',' resource ' , '"&amp;"Need', 'Data', 'Not bad', 'Kibulin', 'Minking', 'Untung', 'Doang', 'Progress', 'Country', ""]")</f>
        <v>['buy', 'package', 'funds',' bought ',' balance ',' habistu ',' minimal ',' buy ',' package ',' night ',' already ',' safe ',' data ',' hours', 'package', 'night', 'ttp', 'ngilan', 'really', 'bener', 'extortion', 'learn', 'need', 'access',' resource ' , 'Need', 'Data', 'Not bad', 'Kibulin', 'Minking', 'Untung', 'Doang', 'Progress', 'Country', "]</v>
      </c>
      <c r="D947" s="3">
        <v>1.0</v>
      </c>
    </row>
    <row r="948" ht="15.75" customHeight="1">
      <c r="A948" s="1">
        <v>946.0</v>
      </c>
      <c r="B948" s="3" t="s">
        <v>949</v>
      </c>
      <c r="C948" s="3" t="str">
        <f>IFERROR(__xludf.DUMMYFUNCTION("GOOGLETRANSLATE(B948,""id"",""en"")"),"['Telkomsel', 'already', 'Exchange', 'Points',' News', 'Wait', 'SMS', 'Notification', 'Honest', 'Disappointed', 'Karna', 'Already', ' Exchange ',' Points', 'Many', 'Credit', 'Credit', 'Enter']")</f>
        <v>['Telkomsel', 'already', 'Exchange', 'Points',' News', 'Wait', 'SMS', 'Notification', 'Honest', 'Disappointed', 'Karna', 'Already', ' Exchange ',' Points', 'Many', 'Credit', 'Credit', 'Enter']</v>
      </c>
      <c r="D948" s="3">
        <v>1.0</v>
      </c>
    </row>
    <row r="949" ht="15.75" customHeight="1">
      <c r="A949" s="1">
        <v>947.0</v>
      </c>
      <c r="B949" s="3" t="s">
        <v>950</v>
      </c>
      <c r="C949" s="3" t="str">
        <f>IFERROR(__xludf.DUMMYFUNCTION("GOOGLETRANSLATE(B949,""id"",""en"")"),"['network', 'blood', 'play', 'network', 'deliberate', 'what', 'down', 'mulu', 'me', 'play', 'game', 'indihome', ' Telkomsel ',' Strategy ',' Telkomsel ',' no ',' told ',' complaint ',' crime ',' anger ',' control ', ""]")</f>
        <v>['network', 'blood', 'play', 'network', 'deliberate', 'what', 'down', 'mulu', 'me', 'play', 'game', 'indihome', ' Telkomsel ',' Strategy ',' Telkomsel ',' no ',' told ',' complaint ',' crime ',' anger ',' control ', "]</v>
      </c>
      <c r="D949" s="3">
        <v>1.0</v>
      </c>
    </row>
    <row r="950" ht="15.75" customHeight="1">
      <c r="A950" s="1">
        <v>948.0</v>
      </c>
      <c r="B950" s="3" t="s">
        <v>951</v>
      </c>
      <c r="C950" s="3" t="str">
        <f>IFERROR(__xludf.DUMMYFUNCTION("GOOGLETRANSLATE(B950,""id"",""en"")"),"['Telkomsel', 'bad', 'network', 'slow', 'really', 'already', 'price', 'expensive', 'network', 'slow', 'gini', 'regret', ' already ',' buy ',' package ',' ']")</f>
        <v>['Telkomsel', 'bad', 'network', 'slow', 'really', 'already', 'price', 'expensive', 'network', 'slow', 'gini', 'regret', ' already ',' buy ',' package ',' ']</v>
      </c>
      <c r="D950" s="3">
        <v>1.0</v>
      </c>
    </row>
    <row r="951" ht="15.75" customHeight="1">
      <c r="A951" s="1">
        <v>949.0</v>
      </c>
      <c r="B951" s="3" t="s">
        <v>952</v>
      </c>
      <c r="C951" s="3" t="str">
        <f>IFERROR(__xludf.DUMMYFUNCTION("GOOGLETRANSLATE(B951,""id"",""en"")"),"['Assalamualaikum', 'Sorry', 'Telkomsel', 'already', 'Top', 'TPI', 'Credit', 'Enter', 'Chek', 'already', 'Success',' pulses', ' Please, 'Disappointed', 'KMI', '']")</f>
        <v>['Assalamualaikum', 'Sorry', 'Telkomsel', 'already', 'Top', 'TPI', 'Credit', 'Enter', 'Chek', 'already', 'Success',' pulses', ' Please, 'Disappointed', 'KMI', '']</v>
      </c>
      <c r="D951" s="3">
        <v>1.0</v>
      </c>
    </row>
    <row r="952" ht="15.75" customHeight="1">
      <c r="A952" s="1">
        <v>950.0</v>
      </c>
      <c r="B952" s="3" t="s">
        <v>953</v>
      </c>
      <c r="C952" s="3" t="str">
        <f>IFERROR(__xludf.DUMMYFUNCTION("GOOGLETRANSLATE(B952,""id"",""en"")"),"['NOT', 'good', 'signal', 'internet', 'down', 'severe', 'price', 'disappointed', 'heavy', 'already', 'tens', 'use' Telkomsel ',' know ',' Telkomsel ',' Disappointed ',' Pingin ',' Move ',' Gara ',' Network ',' Internet ', ""]")</f>
        <v>['NOT', 'good', 'signal', 'internet', 'down', 'severe', 'price', 'disappointed', 'heavy', 'already', 'tens', 'use' Telkomsel ',' know ',' Telkomsel ',' Disappointed ',' Pingin ',' Move ',' Gara ',' Network ',' Internet ', "]</v>
      </c>
      <c r="D952" s="3">
        <v>1.0</v>
      </c>
    </row>
    <row r="953" ht="15.75" customHeight="1">
      <c r="A953" s="1">
        <v>951.0</v>
      </c>
      <c r="B953" s="3" t="s">
        <v>954</v>
      </c>
      <c r="C953" s="3" t="str">
        <f>IFERROR(__xludf.DUMMYFUNCTION("GOOGLETRANSLATE(B953,""id"",""en"")"),"['Network', 'Telkomsel', 'Rely on', 'Ngelag', 'Severe', 'Load', 'Data', 'Main', 'Game', 'Fucked', 'Disappointed', 'Purchase', ' Package ',' network ',' relied on ',' disappointed ',' teraaatttt ', ""]")</f>
        <v>['Network', 'Telkomsel', 'Rely on', 'Ngelag', 'Severe', 'Load', 'Data', 'Main', 'Game', 'Fucked', 'Disappointed', 'Purchase', ' Package ',' network ',' relied on ',' disappointed ',' teraaatttt ', "]</v>
      </c>
      <c r="D953" s="3">
        <v>1.0</v>
      </c>
    </row>
    <row r="954" ht="15.75" customHeight="1">
      <c r="A954" s="1">
        <v>952.0</v>
      </c>
      <c r="B954" s="3" t="s">
        <v>955</v>
      </c>
      <c r="C954" s="3" t="str">
        <f>IFERROR(__xludf.DUMMYFUNCTION("GOOGLETRANSLATE(B954,""id"",""en"")"),"['users',' Telkomsel ',' signal ',' good ',' really ',' fluently ',' signal ',' slow ',' emotion ',' right ',' cool ',' cool ',' Main ',' Game ',' Online ',' Leet ']")</f>
        <v>['users',' Telkomsel ',' signal ',' good ',' really ',' fluently ',' signal ',' slow ',' emotion ',' right ',' cool ',' cool ',' Main ',' Game ',' Online ',' Leet ']</v>
      </c>
      <c r="D954" s="3">
        <v>1.0</v>
      </c>
    </row>
    <row r="955" ht="15.75" customHeight="1">
      <c r="A955" s="1">
        <v>953.0</v>
      </c>
      <c r="B955" s="3" t="s">
        <v>956</v>
      </c>
      <c r="C955" s="3" t="str">
        <f>IFERROR(__xludf.DUMMYFUNCTION("GOOGLETRANSLATE(B955,""id"",""en"")"),"['Telkomsel', 'card', 'package', 'card', 'pubble', 'package', 'sllu', 'can', 'promo', 'wasteful', 'package', 'repaired', ' Users', 'th', 'can', 'promo']")</f>
        <v>['Telkomsel', 'card', 'package', 'card', 'pubble', 'package', 'sllu', 'can', 'promo', 'wasteful', 'package', 'repaired', ' Users', 'th', 'can', 'promo']</v>
      </c>
      <c r="D955" s="3">
        <v>1.0</v>
      </c>
    </row>
    <row r="956" ht="15.75" customHeight="1">
      <c r="A956" s="1">
        <v>954.0</v>
      </c>
      <c r="B956" s="3" t="s">
        <v>957</v>
      </c>
      <c r="C956" s="3" t="str">
        <f>IFERROR(__xludf.DUMMYFUNCTION("GOOGLETRANSLATE(B956,""id"",""en"")"),"['', 'Network', 'Telkomsel', 'Region', 'Medan', 'Medan', 'Johor', 'Medan', 'Tuntungan', 'Nghak', 'Gini', 'Gini', 'Uda ',' Week ',' please ',' return ',' service ',' network ',' ready ',' user ',' loyal ',' especially ',' sympathy ',' Mohom ',' team ', 'Re"&amp;"lated', 'do', 'improvement', 'special', 'network', 'oath', 'Bener', 'disappointed', ""]")</f>
        <v>['', 'Network', 'Telkomsel', 'Region', 'Medan', 'Medan', 'Johor', 'Medan', 'Tuntungan', 'Nghak', 'Gini', 'Gini', 'Uda ',' Week ',' please ',' return ',' service ',' network ',' ready ',' user ',' loyal ',' especially ',' sympathy ',' Mohom ',' team ', 'Related', 'do', 'improvement', 'special', 'network', 'oath', 'Bener', 'disappointed', "]</v>
      </c>
      <c r="D956" s="3">
        <v>1.0</v>
      </c>
    </row>
    <row r="957" ht="15.75" customHeight="1">
      <c r="A957" s="1">
        <v>955.0</v>
      </c>
      <c r="B957" s="3" t="s">
        <v>958</v>
      </c>
      <c r="C957" s="3" t="str">
        <f>IFERROR(__xludf.DUMMYFUNCTION("GOOGLETRANSLATE(B957,""id"",""en"")"),"['Telkomsel', 'slow', 'me', 'customer', 'Thun', 'disappointed', 'paying', 'expensive', 'satisfying', 'fix', 'replace', 'star', ' Ato ',' change ',' operator ']")</f>
        <v>['Telkomsel', 'slow', 'me', 'customer', 'Thun', 'disappointed', 'paying', 'expensive', 'satisfying', 'fix', 'replace', 'star', ' Ato ',' change ',' operator ']</v>
      </c>
      <c r="D957" s="3">
        <v>1.0</v>
      </c>
    </row>
    <row r="958" ht="15.75" customHeight="1">
      <c r="A958" s="1">
        <v>956.0</v>
      </c>
      <c r="B958" s="3" t="s">
        <v>959</v>
      </c>
      <c r="C958" s="3" t="str">
        <f>IFERROR(__xludf.DUMMYFUNCTION("GOOGLETRANSLATE(B958,""id"",""en"")"),"['Telkomsel', 'congratulations',' left behind ',' bgtu ',' bnyk ',' complaints', 'repay', 'price', 'signal', 'down', 'buy', 'package', ' Internet ',' Cuman ',' Make ',' Contact ',' Email ',' Muyek ',' Listen ',' Sok ',' Sweet ',' Sok ',' Attention ',' Zer"&amp;"o ',' Telkomsel ' , '']")</f>
        <v>['Telkomsel', 'congratulations',' left behind ',' bgtu ',' bnyk ',' complaints', 'repay', 'price', 'signal', 'down', 'buy', 'package', ' Internet ',' Cuman ',' Make ',' Contact ',' Email ',' Muyek ',' Listen ',' Sok ',' Sweet ',' Sok ',' Attention ',' Zero ',' Telkomsel ' , '']</v>
      </c>
      <c r="D958" s="3">
        <v>1.0</v>
      </c>
    </row>
    <row r="959" ht="15.75" customHeight="1">
      <c r="A959" s="1">
        <v>957.0</v>
      </c>
      <c r="B959" s="3" t="s">
        <v>960</v>
      </c>
      <c r="C959" s="3" t="str">
        <f>IFERROR(__xludf.DUMMYFUNCTION("GOOGLETRANSLATE(B959,""id"",""en"")"),"['Good', 'Anyway', 'Good', 'Mimin', 'No', 'Akun', 'Win', 'Undi', 'Undi', 'Heppy', 'hehehe', 'already', ' APK ',' just ',' no ',' lucky ',' event ',' APK ',' good ',' buy ',' pulse ',' no ',' counter ',' direct ',' APK ' , 'hehehe', 'Good', 'Job', 'APK', '"&amp;"Telkomsel', 'Success']")</f>
        <v>['Good', 'Anyway', 'Good', 'Mimin', 'No', 'Akun', 'Win', 'Undi', 'Undi', 'Heppy', 'hehehe', 'already', ' APK ',' just ',' no ',' lucky ',' event ',' APK ',' good ',' buy ',' pulse ',' no ',' counter ',' direct ',' APK ' , 'hehehe', 'Good', 'Job', 'APK', 'Telkomsel', 'Success']</v>
      </c>
      <c r="D959" s="3">
        <v>5.0</v>
      </c>
    </row>
    <row r="960" ht="15.75" customHeight="1">
      <c r="A960" s="1">
        <v>958.0</v>
      </c>
      <c r="B960" s="3" t="s">
        <v>961</v>
      </c>
      <c r="C960" s="3" t="str">
        <f>IFERROR(__xludf.DUMMYFUNCTION("GOOGLETRANSLATE(B960,""id"",""en"")"),"['Package', 'until', 'clock', 'night', 'buy', 'clock', 'afternoon', 'bought', 'pulses',' broken ',' Ajg ',' broke out ',' package ',' right ',' clock ',' surprised ',' pakek ',' play ',' game ',' ping it ',' yellow ',' taikk ', ""]")</f>
        <v>['Package', 'until', 'clock', 'night', 'buy', 'clock', 'afternoon', 'bought', 'pulses',' broken ',' Ajg ',' broke out ',' package ',' right ',' clock ',' surprised ',' pakek ',' play ',' game ',' ping it ',' yellow ',' taikk ', "]</v>
      </c>
      <c r="D960" s="3">
        <v>1.0</v>
      </c>
    </row>
    <row r="961" ht="15.75" customHeight="1">
      <c r="A961" s="1">
        <v>959.0</v>
      </c>
      <c r="B961" s="3" t="s">
        <v>962</v>
      </c>
      <c r="C961" s="3" t="str">
        <f>IFERROR(__xludf.DUMMYFUNCTION("GOOGLETRANSLATE(B961,""id"",""en"")"),"['Promo', 'like', 'Exchange', 'Points',' Balance ',' Link ',' Often ',' Display ',' Quality ',' Network ',' Telkomsel ',' Decline ',' Drastically ',' slow ',' disappointing ']")</f>
        <v>['Promo', 'like', 'Exchange', 'Points',' Balance ',' Link ',' Often ',' Display ',' Quality ',' Network ',' Telkomsel ',' Decline ',' Drastically ',' slow ',' disappointing ']</v>
      </c>
      <c r="D961" s="3">
        <v>3.0</v>
      </c>
    </row>
    <row r="962" ht="15.75" customHeight="1">
      <c r="A962" s="1">
        <v>960.0</v>
      </c>
      <c r="B962" s="3" t="s">
        <v>963</v>
      </c>
      <c r="C962" s="3" t="str">
        <f>IFERROR(__xludf.DUMMYFUNCTION("GOOGLETRANSLATE(B962,""id"",""en"")"),"['application', 'function', 'usage', 'internet', 'road', 'return', 'star', 'operate', ""]")</f>
        <v>['application', 'function', 'usage', 'internet', 'road', 'return', 'star', 'operate', "]</v>
      </c>
      <c r="D962" s="3">
        <v>5.0</v>
      </c>
    </row>
    <row r="963" ht="15.75" customHeight="1">
      <c r="A963" s="1">
        <v>961.0</v>
      </c>
      <c r="B963" s="3" t="s">
        <v>964</v>
      </c>
      <c r="C963" s="3" t="str">
        <f>IFERROR(__xludf.DUMMYFUNCTION("GOOGLETRANSLATE(B963,""id"",""en"")"),"['complaint', 'kyk', 'Telkomsel', 'skrng', 'slow', 'then', 'lgi', 'promo', 'buln', 'quota', 'unlimited', 'udh', ' buy ',' always', 'cheat', 'right', 'Regis',' then ',' check ',' quota ',' validger ',' yes', 'right', 'some', 'now' , 'checked', 'tryrnya', '"&amp;"Buln', 'buy', 'Kirain', 'Krna', 'Change', 'before', 'Ahir', 'buy', 'Bulbial', 'January', ' ',' MSK ',' apply ',' SMPK ',' checked ',' quota ',' salfok ',' tnggal ',' abisnya ',' buln ',' date ',' wahh ',' mna ' , 'already', 'Kejadiany']")</f>
        <v>['complaint', 'kyk', 'Telkomsel', 'skrng', 'slow', 'then', 'lgi', 'promo', 'buln', 'quota', 'unlimited', 'udh', ' buy ',' always', 'cheat', 'right', 'Regis',' then ',' check ',' quota ',' validger ',' yes', 'right', 'some', 'now' , 'checked', 'tryrnya', 'Buln', 'buy', 'Kirain', 'Krna', 'Change', 'before', 'Ahir', 'buy', 'Bulbial', 'January', ' ',' MSK ',' apply ',' SMPK ',' checked ',' quota ',' salfok ',' tnggal ',' abisnya ',' buln ',' date ',' wahh ',' mna ' , 'already', 'Kejadiany']</v>
      </c>
      <c r="D963" s="3">
        <v>1.0</v>
      </c>
    </row>
    <row r="964" ht="15.75" customHeight="1">
      <c r="A964" s="1">
        <v>962.0</v>
      </c>
      <c r="B964" s="3" t="s">
        <v>965</v>
      </c>
      <c r="C964" s="3" t="str">
        <f>IFERROR(__xludf.DUMMYFUNCTION("GOOGLETRANSLATE(B964,""id"",""en"")"),"['Lazy', 'Exchange', 'Points',' Lose ',' Points', 'TTP', 'Hmmm', 'Ujung', 'Edge', 'Sorry', 'Sis',' Constraints', ' Hmmm']")</f>
        <v>['Lazy', 'Exchange', 'Points',' Lose ',' Points', 'TTP', 'Hmmm', 'Ujung', 'Edge', 'Sorry', 'Sis',' Constraints', ' Hmmm']</v>
      </c>
      <c r="D964" s="3">
        <v>1.0</v>
      </c>
    </row>
    <row r="965" ht="15.75" customHeight="1">
      <c r="A965" s="1">
        <v>963.0</v>
      </c>
      <c r="B965" s="3" t="s">
        <v>966</v>
      </c>
      <c r="C965" s="3" t="str">
        <f>IFERROR(__xludf.DUMMYFUNCTION("GOOGLETRANSLATE(B965,""id"",""en"")"),"['Telkomsel', 'Network', 'Bad', 'Pakain', 'Telkomsel', 'here', 'The network', 'bad', ""]")</f>
        <v>['Telkomsel', 'Network', 'Bad', 'Pakain', 'Telkomsel', 'here', 'The network', 'bad', "]</v>
      </c>
      <c r="D965" s="3">
        <v>1.0</v>
      </c>
    </row>
    <row r="966" ht="15.75" customHeight="1">
      <c r="A966" s="1">
        <v>964.0</v>
      </c>
      <c r="B966" s="3" t="s">
        <v>967</v>
      </c>
      <c r="C966" s="3" t="str">
        <f>IFERROR(__xludf.DUMMYFUNCTION("GOOGLETRANSLATE(B966,""id"",""en"")"),"['application', 'class',' Telkomsel ',' bug ',' gacuma ',' severe ',' signal ',' sometimes', 'like', 'difficult', 'really', 'gatau', ' Knapa ',' Singnal ',' home ',' Good ',' Telkomsel ',' Doang ', ""]")</f>
        <v>['application', 'class',' Telkomsel ',' bug ',' gacuma ',' severe ',' signal ',' sometimes', 'like', 'difficult', 'really', 'gatau', ' Knapa ',' Singnal ',' home ',' Good ',' Telkomsel ',' Doang ', "]</v>
      </c>
      <c r="D966" s="3">
        <v>1.0</v>
      </c>
    </row>
    <row r="967" ht="15.75" customHeight="1">
      <c r="A967" s="1">
        <v>965.0</v>
      </c>
      <c r="B967" s="3" t="s">
        <v>968</v>
      </c>
      <c r="C967" s="3" t="str">
        <f>IFERROR(__xludf.DUMMYFUNCTION("GOOGLETRANSLATE(B967,""id"",""en"")"),"['Network', 'ugly', 'city', 'Palembang', 'Plaju', 'signal', 'ugly', 'fix', 'buy', 'package', 'expensive', 'quality', ' bad signal', '']")</f>
        <v>['Network', 'ugly', 'city', 'Palembang', 'Plaju', 'signal', 'ugly', 'fix', 'buy', 'package', 'expensive', 'quality', ' bad signal', '']</v>
      </c>
      <c r="D967" s="3">
        <v>1.0</v>
      </c>
    </row>
    <row r="968" ht="15.75" customHeight="1">
      <c r="A968" s="1">
        <v>966.0</v>
      </c>
      <c r="B968" s="3" t="s">
        <v>969</v>
      </c>
      <c r="C968" s="3" t="str">
        <f>IFERROR(__xludf.DUMMYFUNCTION("GOOGLETRANSLATE(B968,""id"",""en"")"),"['Demand', 'Telkomsel', 'leftover', 'pulse', 'thousand', 'contents',' pulse ',' thousand ',' tital ',' thousand ',' check ',' enter ',' right ',' check ',' clock ',' pulse ',' chopped ',' thousand ',' appain ',' thief ',' demand ',' proof ',' Lengkanya ',"&amp;" ""]")</f>
        <v>['Demand', 'Telkomsel', 'leftover', 'pulse', 'thousand', 'contents',' pulse ',' thousand ',' tital ',' thousand ',' check ',' enter ',' right ',' check ',' clock ',' pulse ',' chopped ',' thousand ',' appain ',' thief ',' demand ',' proof ',' Lengkanya ', "]</v>
      </c>
      <c r="D968" s="3">
        <v>1.0</v>
      </c>
    </row>
    <row r="969" ht="15.75" customHeight="1">
      <c r="A969" s="1">
        <v>967.0</v>
      </c>
      <c r="B969" s="3" t="s">
        <v>970</v>
      </c>
      <c r="C969" s="3" t="str">
        <f>IFERROR(__xludf.DUMMYFUNCTION("GOOGLETRANSLATE(B969,""id"",""en"")"),"['disappointed', 'network', 'slow', 'pdhal', 'city', 'open', 'telkomsel', 'check', 'leftover', 'package', 'card', 'hello', ' Please, 'Benah', 'Server', 'Customer', 'Disappointed']")</f>
        <v>['disappointed', 'network', 'slow', 'pdhal', 'city', 'open', 'telkomsel', 'check', 'leftover', 'package', 'card', 'hello', ' Please, 'Benah', 'Server', 'Customer', 'Disappointed']</v>
      </c>
      <c r="D969" s="3">
        <v>1.0</v>
      </c>
    </row>
    <row r="970" ht="15.75" customHeight="1">
      <c r="A970" s="1">
        <v>968.0</v>
      </c>
      <c r="B970" s="3" t="s">
        <v>971</v>
      </c>
      <c r="C970" s="3" t="str">
        <f>IFERROR(__xludf.DUMMYFUNCTION("GOOGLETRANSLATE(B970,""id"",""en"")"),"['Hold', 'That's where', 'network', 'Telkomsel', 'msalah', 'price', 'expensive', 'pa', 'quality', 'good', 'skg', 'quality', ' network ',' error ',' really ',' disappointing ',' tlong ',' understand ',' repaired ',' oath ',' ngeselin ',' special ',' like '"&amp;",' play ',' game ' , 'emotion', '']")</f>
        <v>['Hold', 'That's where', 'network', 'Telkomsel', 'msalah', 'price', 'expensive', 'pa', 'quality', 'good', 'skg', 'quality', ' network ',' error ',' really ',' disappointing ',' tlong ',' understand ',' repaired ',' oath ',' ngeselin ',' special ',' like ',' play ',' game ' , 'emotion', '']</v>
      </c>
      <c r="D970" s="3">
        <v>1.0</v>
      </c>
    </row>
    <row r="971" ht="15.75" customHeight="1">
      <c r="A971" s="1">
        <v>969.0</v>
      </c>
      <c r="B971" s="3" t="s">
        <v>972</v>
      </c>
      <c r="C971" s="3" t="str">
        <f>IFERROR(__xludf.DUMMYFUNCTION("GOOGLETRANSLATE(B971,""id"",""en"")"),"['discrimination', 'model', 'device', 'app', 'heavy', 'cellphone', 'difficult', 'open it', 'operate', 'slow', 'taste', 'tumor', ' cellphone ',' discriminated against ',' gini ',' Telkomsel ',' model ',' hapenya ',' newest ',' already ',' that's', 'app', '"&amp;"lite', 'already']")</f>
        <v>['discrimination', 'model', 'device', 'app', 'heavy', 'cellphone', 'difficult', 'open it', 'operate', 'slow', 'taste', 'tumor', ' cellphone ',' discriminated against ',' gini ',' Telkomsel ',' model ',' hapenya ',' newest ',' already ',' that's', 'app', 'lite', 'already']</v>
      </c>
      <c r="D971" s="3">
        <v>1.0</v>
      </c>
    </row>
    <row r="972" ht="15.75" customHeight="1">
      <c r="A972" s="1">
        <v>970.0</v>
      </c>
      <c r="B972" s="3" t="s">
        <v>973</v>
      </c>
      <c r="C972" s="3" t="str">
        <f>IFERROR(__xludf.DUMMYFUNCTION("GOOGLETRANSLATE(B972,""id"",""en"")"),"['hi', 'umpteenth', 'time', 'disappointed', 'disappointed', 'point', 'tuker', 'quota', 'program', 'thank', 'love']")</f>
        <v>['hi', 'umpteenth', 'time', 'disappointed', 'disappointed', 'point', 'tuker', 'quota', 'program', 'thank', 'love']</v>
      </c>
      <c r="D972" s="3">
        <v>1.0</v>
      </c>
    </row>
    <row r="973" ht="15.75" customHeight="1">
      <c r="A973" s="1">
        <v>971.0</v>
      </c>
      <c r="B973" s="3" t="s">
        <v>974</v>
      </c>
      <c r="C973" s="3" t="str">
        <f>IFERROR(__xludf.DUMMYFUNCTION("GOOGLETRANSLATE(B973,""id"",""en"")"),"['wooooyyyyyy', 'signal', 'wooyyyyyyy', 'ngeluh', 'because ""Sinyaalllllll', 'Alhamdulillah', 'Network', 'stable', 'Thank you', 'smartfren']")</f>
        <v>['wooooyyyyyy', 'signal', 'wooyyyyyyy', 'ngeluh', 'because "Sinyaalllllll', 'Alhamdulillah', 'Network', 'stable', 'Thank you', 'smartfren']</v>
      </c>
      <c r="D973" s="3">
        <v>1.0</v>
      </c>
    </row>
    <row r="974" ht="15.75" customHeight="1">
      <c r="A974" s="1">
        <v>972.0</v>
      </c>
      <c r="B974" s="3" t="s">
        <v>975</v>
      </c>
      <c r="C974" s="3" t="str">
        <f>IFERROR(__xludf.DUMMYFUNCTION("GOOGLETRANSLATE(B974,""id"",""en"")"),"['Telkomsel', 'Papua', 'Changing', 'Card', 'Hallo', 'Javanese', 'Sinyal', 'Down', 'Village', 'Rain', 'Heras',' Internet ',' Balikan ',' card ',' confused ']")</f>
        <v>['Telkomsel', 'Papua', 'Changing', 'Card', 'Hallo', 'Javanese', 'Sinyal', 'Down', 'Village', 'Rain', 'Heras',' Internet ',' Balikan ',' card ',' confused ']</v>
      </c>
      <c r="D974" s="3">
        <v>1.0</v>
      </c>
    </row>
    <row r="975" ht="15.75" customHeight="1">
      <c r="A975" s="1">
        <v>973.0</v>
      </c>
      <c r="B975" s="3" t="s">
        <v>976</v>
      </c>
      <c r="C975" s="3" t="str">
        <f>IFERROR(__xludf.DUMMYFUNCTION("GOOGLETRANSLATE(B975,""id"",""en"")"),"['Really', 'disappointing', 'sya', 'junior high school', 'smpe', 'skrg', 'telkomsel', 'send', 'gift', 'friend', 'code', 'otp', ' Kmrin ',' Msuk ',' SMS ',' Code ',' OTP ',' SMA ',' SKLI ',' Center ',' Help ',' Response ',' High School ',' Skli ',' Connect"&amp;" ' , 'Bkin', 'Season', '']")</f>
        <v>['Really', 'disappointing', 'sya', 'junior high school', 'smpe', 'skrg', 'telkomsel', 'send', 'gift', 'friend', 'code', 'otp', ' Kmrin ',' Msuk ',' SMS ',' Code ',' OTP ',' SMA ',' SKLI ',' Center ',' Help ',' Response ',' High School ',' Skli ',' Connect ' , 'Bkin', 'Season', '']</v>
      </c>
      <c r="D975" s="3">
        <v>1.0</v>
      </c>
    </row>
    <row r="976" ht="15.75" customHeight="1">
      <c r="A976" s="1">
        <v>974.0</v>
      </c>
      <c r="B976" s="3" t="s">
        <v>977</v>
      </c>
      <c r="C976" s="3" t="str">
        <f>IFERROR(__xludf.DUMMYFUNCTION("GOOGLETRANSLATE(B976,""id"",""en"")"),"['Customer', 'disappointed', 'Telkomsel', 'network', 'internet', 'ugly', 'open', 'application', 'muter', 'open', 'please', 'repair', ' quality ',' customer ',' run ',' operator ',' price ',' doang ',' expensive ',' quality ',' downhill ',' ']")</f>
        <v>['Customer', 'disappointed', 'Telkomsel', 'network', 'internet', 'ugly', 'open', 'application', 'muter', 'open', 'please', 'repair', ' quality ',' customer ',' run ',' operator ',' price ',' doang ',' expensive ',' quality ',' downhill ',' ']</v>
      </c>
      <c r="D976" s="3">
        <v>2.0</v>
      </c>
    </row>
    <row r="977" ht="15.75" customHeight="1">
      <c r="A977" s="1">
        <v>975.0</v>
      </c>
      <c r="B977" s="3" t="s">
        <v>978</v>
      </c>
      <c r="C977" s="3" t="str">
        <f>IFERROR(__xludf.DUMMYFUNCTION("GOOGLETRANSLATE(B977,""id"",""en"")"),"['network', 'down', 'just', 'personal', 'friend', 'friend', 'laen', 'pdahal', 'dri', 'dlu', 'signal', 'stable', ' Heart ',' Sometimes', 'annoyed', 'network', 'sekrng']")</f>
        <v>['network', 'down', 'just', 'personal', 'friend', 'friend', 'laen', 'pdahal', 'dri', 'dlu', 'signal', 'stable', ' Heart ',' Sometimes', 'annoyed', 'network', 'sekrng']</v>
      </c>
      <c r="D977" s="3">
        <v>2.0</v>
      </c>
    </row>
    <row r="978" ht="15.75" customHeight="1">
      <c r="A978" s="1">
        <v>976.0</v>
      </c>
      <c r="B978" s="3" t="s">
        <v>979</v>
      </c>
      <c r="C978" s="3" t="str">
        <f>IFERROR(__xludf.DUMMYFUNCTION("GOOGLETRANSLATE(B978,""id"",""en"")"),"['network', 'Telkomsel', 'ugly', 'signal', 'ugly', 'use', 'Indosat', 'my mouth', 'run out', 'my father', 'use', 'card', ' Telkomsel ',' Please ',' Help ',' Damaged ',' Please ',' Fix ',' Constrained ',' Watch ',' YouTub ',' Please ',' Help ',' Telkomsel '"&amp;",' Friendly ' , 'please', 'Sis', ""]")</f>
        <v>['network', 'Telkomsel', 'ugly', 'signal', 'ugly', 'use', 'Indosat', 'my mouth', 'run out', 'my father', 'use', 'card', ' Telkomsel ',' Please ',' Help ',' Damaged ',' Please ',' Fix ',' Constrained ',' Watch ',' YouTub ',' Please ',' Help ',' Telkomsel ',' Friendly ' , 'please', 'Sis', "]</v>
      </c>
      <c r="D978" s="3">
        <v>1.0</v>
      </c>
    </row>
    <row r="979" ht="15.75" customHeight="1">
      <c r="A979" s="1">
        <v>977.0</v>
      </c>
      <c r="B979" s="3" t="s">
        <v>980</v>
      </c>
      <c r="C979" s="3" t="str">
        <f>IFERROR(__xludf.DUMMYFUNCTION("GOOGLETRANSLATE(B979,""id"",""en"")"),"['given', 'rating', 'minus',' love ',' minus', 'trillion', 'closed', 'provider', 'ngejekekelin', 'really', 'expensive', 'earnings',' according to ',' performance ',' address', 'replace', 'provider', 'family']")</f>
        <v>['given', 'rating', 'minus',' love ',' minus', 'trillion', 'closed', 'provider', 'ngejekekelin', 'really', 'expensive', 'earnings',' according to ',' performance ',' address', 'replace', 'provider', 'family']</v>
      </c>
      <c r="D979" s="3">
        <v>1.0</v>
      </c>
    </row>
    <row r="980" ht="15.75" customHeight="1">
      <c r="A980" s="1">
        <v>978.0</v>
      </c>
      <c r="B980" s="3" t="s">
        <v>981</v>
      </c>
      <c r="C980" s="3" t="str">
        <f>IFERROR(__xludf.DUMMYFUNCTION("GOOGLETRANSLATE(B980,""id"",""en"")"),"['WOI', 'Please', 'Credit', 'Reduced', 'Minutes',' Data ',' Cellular ',' Turned Off ',' WiFi ',' Turned Off ',' Credit ',' Suck ',' Gini ',' cellphone ',' silent ',' pulse ',' reduced ',' embarrassing ', ""]")</f>
        <v>['WOI', 'Please', 'Credit', 'Reduced', 'Minutes',' Data ',' Cellular ',' Turned Off ',' WiFi ',' Turned Off ',' Credit ',' Suck ',' Gini ',' cellphone ',' silent ',' pulse ',' reduced ',' embarrassing ', "]</v>
      </c>
      <c r="D980" s="3">
        <v>1.0</v>
      </c>
    </row>
    <row r="981" ht="15.75" customHeight="1">
      <c r="A981" s="1">
        <v>979.0</v>
      </c>
      <c r="B981" s="3" t="s">
        <v>982</v>
      </c>
      <c r="C981" s="3" t="str">
        <f>IFERROR(__xludf.DUMMYFUNCTION("GOOGLETRANSLATE(B981,""id"",""en"")"),"['Provider', 'Best', 'Provider', 'Worst', 'Signal', 'Location', 'Telkom', 'Signal', 'Bad', 'Change', 'Provider', 'Complaint', ' Recovery ',' Change ']")</f>
        <v>['Provider', 'Best', 'Provider', 'Worst', 'Signal', 'Location', 'Telkom', 'Signal', 'Bad', 'Change', 'Provider', 'Complaint', ' Recovery ',' Change ']</v>
      </c>
      <c r="D981" s="3">
        <v>1.0</v>
      </c>
    </row>
    <row r="982" ht="15.75" customHeight="1">
      <c r="A982" s="1">
        <v>980.0</v>
      </c>
      <c r="B982" s="3" t="s">
        <v>983</v>
      </c>
      <c r="C982" s="3" t="str">
        <f>IFERROR(__xludf.DUMMYFUNCTION("GOOGLETRANSLATE(B982,""id"",""en"")"),"['Sorry', 'use', 'Application', 'Telkomsel', 'Safe', 'Safe', 'Update', 'Latest', 'Open', 'iPhone', 'Under', 'Force', ' Close ',' Please ',' Fix ',' Application ',' User ',' iPhone ',' Lawas']")</f>
        <v>['Sorry', 'use', 'Application', 'Telkomsel', 'Safe', 'Safe', 'Update', 'Latest', 'Open', 'iPhone', 'Under', 'Force', ' Close ',' Please ',' Fix ',' Application ',' User ',' iPhone ',' Lawas']</v>
      </c>
      <c r="D982" s="3">
        <v>5.0</v>
      </c>
    </row>
    <row r="983" ht="15.75" customHeight="1">
      <c r="A983" s="1">
        <v>981.0</v>
      </c>
      <c r="B983" s="3" t="s">
        <v>984</v>
      </c>
      <c r="C983" s="3" t="str">
        <f>IFERROR(__xludf.DUMMYFUNCTION("GOOGLETRANSLATE(B983,""id"",""en"")"),"['Lottery', 'Exchange', 'Point', 'Point', 'Can', 'Minimal', 'Info', 'News', 'Win', 'Lottery', ""]")</f>
        <v>['Lottery', 'Exchange', 'Point', 'Point', 'Can', 'Minimal', 'Info', 'News', 'Win', 'Lottery', "]</v>
      </c>
      <c r="D983" s="3">
        <v>5.0</v>
      </c>
    </row>
    <row r="984" ht="15.75" customHeight="1">
      <c r="A984" s="1">
        <v>982.0</v>
      </c>
      <c r="B984" s="3" t="s">
        <v>985</v>
      </c>
      <c r="C984" s="3" t="str">
        <f>IFERROR(__xludf.DUMMYFUNCTION("GOOGLETRANSLATE(B984,""id"",""en"")"),"['heart', 'heart', 'users',' Telkomsel ',' Change ',' card ',' Hallo ',' monthly ',' pay ',' expensive ',' quota ',' little ',' card ',' Hello ',' strangling ',' pay ',' package ',' little ',' business', 'dredge', 'money', 'customers',' Telkomsel ',' thin"&amp;"k ',' luck ' , 'Network', 'Telkomsel', 'Serasa', 'Renternir', 'KLU', 'BLM', 'Power', 'Disconnect', 'Nomer', ""]")</f>
        <v>['heart', 'heart', 'users',' Telkomsel ',' Change ',' card ',' Hallo ',' monthly ',' pay ',' expensive ',' quota ',' little ',' card ',' Hello ',' strangling ',' pay ',' package ',' little ',' business', 'dredge', 'money', 'customers',' Telkomsel ',' think ',' luck ' , 'Network', 'Telkomsel', 'Serasa', 'Renternir', 'KLU', 'BLM', 'Power', 'Disconnect', 'Nomer', "]</v>
      </c>
      <c r="D984" s="3">
        <v>1.0</v>
      </c>
    </row>
    <row r="985" ht="15.75" customHeight="1">
      <c r="A985" s="1">
        <v>983.0</v>
      </c>
      <c r="B985" s="3" t="s">
        <v>986</v>
      </c>
      <c r="C985" s="3" t="str">
        <f>IFERROR(__xludf.DUMMYFUNCTION("GOOGLETRANSLATE(B985,""id"",""en"")"),"['Fix', 'bug', 'regret', 'Performance', 'service', 'Telkomsel', 'Taun', 'Yesterday', 'Hope', 'Development', 'Professional', ' ']")</f>
        <v>['Fix', 'bug', 'regret', 'Performance', 'service', 'Telkomsel', 'Taun', 'Yesterday', 'Hope', 'Development', 'Professional', ' ']</v>
      </c>
      <c r="D985" s="3">
        <v>2.0</v>
      </c>
    </row>
    <row r="986" ht="15.75" customHeight="1">
      <c r="A986" s="1">
        <v>984.0</v>
      </c>
      <c r="B986" s="3" t="s">
        <v>987</v>
      </c>
      <c r="C986" s="3" t="str">
        <f>IFERROR(__xludf.DUMMYFUNCTION("GOOGLETRANSLATE(B986,""id"",""en"")"),"['promo', 'sometimes',' buy ',' offered ',' mulu ',' ehh ',' buy ',' fit ',' comfortable ',' package ',' missing ',' notification ',' Buy ',' Ato ',' Login ',' ']")</f>
        <v>['promo', 'sometimes',' buy ',' offered ',' mulu ',' ehh ',' buy ',' fit ',' comfortable ',' package ',' missing ',' notification ',' Buy ',' Ato ',' Login ',' ']</v>
      </c>
      <c r="D986" s="3">
        <v>5.0</v>
      </c>
    </row>
    <row r="987" ht="15.75" customHeight="1">
      <c r="A987" s="1">
        <v>985.0</v>
      </c>
      <c r="B987" s="3" t="s">
        <v>988</v>
      </c>
      <c r="C987" s="3" t="str">
        <f>IFERROR(__xludf.DUMMYFUNCTION("GOOGLETRANSLATE(B987,""id"",""en"")"),"['buy', 'credit', 'Telkomsel', 'payment', 'via', 'BCA', 'Virtual', 'account', 'balance', 'Teepotong', 'entry', 'pulses',' Tel ',' Tsel ',' Email ',' Credit ',' Enter ',' Refund ',' How ',' Try ']")</f>
        <v>['buy', 'credit', 'Telkomsel', 'payment', 'via', 'BCA', 'Virtual', 'account', 'balance', 'Teepotong', 'entry', 'pulses',' Tel ',' Tsel ',' Email ',' Credit ',' Enter ',' Refund ',' How ',' Try ']</v>
      </c>
      <c r="D987" s="3">
        <v>1.0</v>
      </c>
    </row>
    <row r="988" ht="15.75" customHeight="1">
      <c r="A988" s="1">
        <v>986.0</v>
      </c>
      <c r="B988" s="3" t="s">
        <v>989</v>
      </c>
      <c r="C988" s="3" t="str">
        <f>IFERROR(__xludf.DUMMYFUNCTION("GOOGLETRANSLATE(B988,""id"",""en"")"),"['myy', 'Different', 'friend', 'palm', 'package', 'expensive', 'expensive', 'my friend', 'cheap', 'cheap', 'sympathy', 'lived', ' village ',' jealous', 'cuk', 'sendin', 'link', 'bought', 'Jari', 'taik', 'wifi', 'pulse', 'exceed', 'price', 'package' , 'Mas"&amp;"i', 'buy']")</f>
        <v>['myy', 'Different', 'friend', 'palm', 'package', 'expensive', 'expensive', 'my friend', 'cheap', 'cheap', 'sympathy', 'lived', ' village ',' jealous', 'cuk', 'sendin', 'link', 'bought', 'Jari', 'taik', 'wifi', 'pulse', 'exceed', 'price', 'package' , 'Masi', 'buy']</v>
      </c>
      <c r="D988" s="3">
        <v>2.0</v>
      </c>
    </row>
    <row r="989" ht="15.75" customHeight="1">
      <c r="A989" s="1">
        <v>987.0</v>
      </c>
      <c r="B989" s="3" t="s">
        <v>990</v>
      </c>
      <c r="C989" s="3" t="str">
        <f>IFERROR(__xludf.DUMMYFUNCTION("GOOGLETRANSLATE(B989,""id"",""en"")"),"['Star', 'fix it', 'Come', 'Customer', 'Survive', 'Kek', 'Gini', 'How', 'Signal', 'yes',' Loading ',' forgiveness', ' Play ',' Game ',' Losr ',' Karna ',' Ping ',' Ting ',' ']")</f>
        <v>['Star', 'fix it', 'Come', 'Customer', 'Survive', 'Kek', 'Gini', 'How', 'Signal', 'yes',' Loading ',' forgiveness', ' Play ',' Game ',' Losr ',' Karna ',' Ping ',' Ting ',' ']</v>
      </c>
      <c r="D989" s="3">
        <v>1.0</v>
      </c>
    </row>
    <row r="990" ht="15.75" customHeight="1">
      <c r="A990" s="1">
        <v>988.0</v>
      </c>
      <c r="B990" s="3" t="s">
        <v>991</v>
      </c>
      <c r="C990" s="3" t="str">
        <f>IFERROR(__xludf.DUMMYFUNCTION("GOOGLETRANSLATE(B990,""id"",""en"")"),"['Open', 'application', 'slow', 'forgiveness',' buy ',' package ',' pulse ',' spade ',' pulse ',' run out ',' loading ',' buy ',' Paketan ',' gabisa ',' login ',' notif ',' maintance ',' disappointed ',' signal ',' chaotic ']")</f>
        <v>['Open', 'application', 'slow', 'forgiveness',' buy ',' package ',' pulse ',' spade ',' pulse ',' run out ',' loading ',' buy ',' Paketan ',' gabisa ',' login ',' notif ',' maintance ',' disappointed ',' signal ',' chaotic ']</v>
      </c>
      <c r="D990" s="3">
        <v>3.0</v>
      </c>
    </row>
    <row r="991" ht="15.75" customHeight="1">
      <c r="A991" s="1">
        <v>989.0</v>
      </c>
      <c r="B991" s="3" t="s">
        <v>992</v>
      </c>
      <c r="C991" s="3" t="str">
        <f>IFERROR(__xludf.DUMMYFUNCTION("GOOGLETRANSLATE(B991,""id"",""en"")"),"['Congratulations',' noon ',' Telkomsel ',' obstacles', 'Sunday', 'MRSA', 'signal', 'ugly', 'annoyed', 'thinking', 'mngganti', 'network', ' Please '""Fix', 'Huuft']")</f>
        <v>['Congratulations',' noon ',' Telkomsel ',' obstacles', 'Sunday', 'MRSA', 'signal', 'ugly', 'annoyed', 'thinking', 'mngganti', 'network', ' Please '"Fix', 'Huuft']</v>
      </c>
      <c r="D991" s="3">
        <v>3.0</v>
      </c>
    </row>
    <row r="992" ht="15.75" customHeight="1">
      <c r="A992" s="1">
        <v>990.0</v>
      </c>
      <c r="B992" s="3" t="s">
        <v>993</v>
      </c>
      <c r="C992" s="3" t="str">
        <f>IFERROR(__xludf.DUMMYFUNCTION("GOOGLETRANSLATE(B992,""id"",""en"")"),"['Hey', 'provider', 'Budiman', 'Sometimes',' here ',' strange ',' user ',' package ',' quota ',' strange ',' quota ',' package ',' GB ',' Sahah ',' Under ',' GB ',' automatic ',' speed ',' follow ',' reduced ',' stupid ',' except ',' emang ',' unlimited '"&amp;",' unlimited ' , 'FUP', 'quota', 'abis',' speed ',' reduced ',' person ',' quota ',' fair ',' speed ',' reduced ',' yrs', 'pke', ' Telkomsel ',' MLH ',' ']")</f>
        <v>['Hey', 'provider', 'Budiman', 'Sometimes',' here ',' strange ',' user ',' package ',' quota ',' strange ',' quota ',' package ',' GB ',' Sahah ',' Under ',' GB ',' automatic ',' speed ',' follow ',' reduced ',' stupid ',' except ',' emang ',' unlimited ',' unlimited ' , 'FUP', 'quota', 'abis',' speed ',' reduced ',' person ',' quota ',' fair ',' speed ',' reduced ',' yrs', 'pke', ' Telkomsel ',' MLH ',' ']</v>
      </c>
      <c r="D992" s="3">
        <v>2.0</v>
      </c>
    </row>
    <row r="993" ht="15.75" customHeight="1">
      <c r="A993" s="1">
        <v>991.0</v>
      </c>
      <c r="B993" s="3" t="s">
        <v>994</v>
      </c>
      <c r="C993" s="3" t="str">
        <f>IFERROR(__xludf.DUMMYFUNCTION("GOOGLETRANSLATE(B993,""id"",""en"")"),"['Tissue', 'Telkomsel', 'ugly', 'Kayak', 'Severe', 'Ntah', 'City', 'Rural', 'Telkomsel', 'As strong', 'Sinyal', 'poor']")</f>
        <v>['Tissue', 'Telkomsel', 'ugly', 'Kayak', 'Severe', 'Ntah', 'City', 'Rural', 'Telkomsel', 'As strong', 'Sinyal', 'poor']</v>
      </c>
      <c r="D993" s="3">
        <v>1.0</v>
      </c>
    </row>
    <row r="994" ht="15.75" customHeight="1">
      <c r="A994" s="1">
        <v>992.0</v>
      </c>
      <c r="B994" s="3" t="s">
        <v>995</v>
      </c>
      <c r="C994" s="3" t="str">
        <f>IFERROR(__xludf.DUMMYFUNCTION("GOOGLETRANSLATE(B994,""id"",""en"")"),"['signal', 'ugly', 'play', 'game', 'destroyed', 'signal', 'stay', 'in the city', 'klw', 'just waiting', 'leave', ' Generation ',' Milineal ']")</f>
        <v>['signal', 'ugly', 'play', 'game', 'destroyed', 'signal', 'stay', 'in the city', 'klw', 'just waiting', 'leave', ' Generation ',' Milineal ']</v>
      </c>
      <c r="D994" s="3">
        <v>1.0</v>
      </c>
    </row>
    <row r="995" ht="15.75" customHeight="1">
      <c r="A995" s="1">
        <v>993.0</v>
      </c>
      <c r="B995" s="3" t="s">
        <v>996</v>
      </c>
      <c r="C995" s="3" t="str">
        <f>IFERROR(__xludf.DUMMYFUNCTION("GOOGLETRANSLATE(B995,""id"",""en"")"),"['TGL', 'Jan', 'Jan', 'Application', 'Opened', 'How', 'Telkomsel', 'Jan', 'Dikasi', 'Link', 'Tsel', 'Apps',' Login ',' application ',' MyTelkomsel ',' Thanks', '']")</f>
        <v>['TGL', 'Jan', 'Jan', 'Application', 'Opened', 'How', 'Telkomsel', 'Jan', 'Dikasi', 'Link', 'Tsel', 'Apps',' Login ',' application ',' MyTelkomsel ',' Thanks', '']</v>
      </c>
      <c r="D995" s="3">
        <v>5.0</v>
      </c>
    </row>
    <row r="996" ht="15.75" customHeight="1">
      <c r="A996" s="1">
        <v>994.0</v>
      </c>
      <c r="B996" s="3" t="s">
        <v>997</v>
      </c>
      <c r="C996" s="3" t="str">
        <f>IFERROR(__xludf.DUMMYFUNCTION("GOOGLETRANSLATE(B996,""id"",""en"")"),"['Sorry', 'Sis', 'yaa', 'list', 'the application', 'no "",' yaa ',' try ',' many ',' times ',' no ',' please ',' repaired ',' yaa ',' kak ',' buy ',' package ',' kak ',' please ',' really ',' yesterday ',' already ',' buy ',' package ',' no ' , 'Applicati"&amp;"on', 'Kek', 'Instagram', 'YouTube', 'Google', 'Nge', 'wifi', 'please', 'repaired', 'yaa', 'kak', ' ']")</f>
        <v>['Sorry', 'Sis', 'yaa', 'list', 'the application', 'no ",' yaa ',' try ',' many ',' times ',' no ',' please ',' repaired ',' yaa ',' kak ',' buy ',' package ',' kak ',' please ',' really ',' yesterday ',' already ',' buy ',' package ',' no ' , 'Application', 'Kek', 'Instagram', 'YouTube', 'Google', 'Nge', 'wifi', 'please', 'repaired', 'yaa', 'kak', ' ']</v>
      </c>
      <c r="D996" s="3">
        <v>2.0</v>
      </c>
    </row>
    <row r="997" ht="15.75" customHeight="1">
      <c r="A997" s="1">
        <v>995.0</v>
      </c>
      <c r="B997" s="3" t="s">
        <v>998</v>
      </c>
      <c r="C997" s="3" t="str">
        <f>IFERROR(__xludf.DUMMYFUNCTION("GOOGLETRANSLATE(B997,""id"",""en"")"),"['woy', 'error', 'entry', 'network', 'error', 'repeat', 'unistal', 'apk', 'trs',' signal ',' ugly ',' lose ',' Want ',' price ',' quota ',' expensive ',' mending ',' buy ',' Telkomsel ']")</f>
        <v>['woy', 'error', 'entry', 'network', 'error', 'repeat', 'unistal', 'apk', 'trs',' signal ',' ugly ',' lose ',' Want ',' price ',' quota ',' expensive ',' mending ',' buy ',' Telkomsel ']</v>
      </c>
      <c r="D997" s="3">
        <v>1.0</v>
      </c>
    </row>
    <row r="998" ht="15.75" customHeight="1">
      <c r="A998" s="1">
        <v>996.0</v>
      </c>
      <c r="B998" s="3" t="s">
        <v>999</v>
      </c>
      <c r="C998" s="3" t="str">
        <f>IFERROR(__xludf.DUMMYFUNCTION("GOOGLETRANSLATE(B998,""id"",""en"")"),"['', 'Application', 'Mending', 'Delete', 'Deh', 'People', 'Already', 'Download', 'Nihil', 'Open', 'Basic', ""]")</f>
        <v>['', 'Application', 'Mending', 'Delete', 'Deh', 'People', 'Already', 'Download', 'Nihil', 'Open', 'Basic', "]</v>
      </c>
      <c r="D998" s="3">
        <v>1.0</v>
      </c>
    </row>
    <row r="999" ht="15.75" customHeight="1">
      <c r="A999" s="1">
        <v>997.0</v>
      </c>
      <c r="B999" s="3" t="s">
        <v>1000</v>
      </c>
      <c r="C999" s="3" t="str">
        <f>IFERROR(__xludf.DUMMYFUNCTION("GOOGLETRANSLATE(B999,""id"",""en"")"),"['like', 'looks', 'quality', 'result', 'decent', 'rating', 'rating', 'post', '']")</f>
        <v>['like', 'looks', 'quality', 'result', 'decent', 'rating', 'rating', 'post', '']</v>
      </c>
      <c r="D999" s="3">
        <v>1.0</v>
      </c>
    </row>
    <row r="1000" ht="15.75" customHeight="1">
      <c r="A1000" s="1">
        <v>998.0</v>
      </c>
      <c r="B1000" s="3" t="s">
        <v>1001</v>
      </c>
      <c r="C1000" s="3" t="str">
        <f>IFERROR(__xludf.DUMMYFUNCTION("GOOGLETRANSLATE(B1000,""id"",""en"")"),"['admin', 'Please', 'Update', 'Fix', 'Version', 'Difficulty', 'Register', 'Login', 'Number', 'Card', 'Something', 'Wen', ' Wrong ',' please ',' try ',' Again ',' Different ',' ']")</f>
        <v>['admin', 'Please', 'Update', 'Fix', 'Version', 'Difficulty', 'Register', 'Login', 'Number', 'Card', 'Something', 'Wen', ' Wrong ',' please ',' try ',' Again ',' Different ',' ']</v>
      </c>
      <c r="D1000" s="3">
        <v>3.0</v>
      </c>
    </row>
    <row r="1001" ht="15.75" customHeight="1">
      <c r="A1001" s="1">
        <v>999.0</v>
      </c>
      <c r="B1001" s="3" t="s">
        <v>1002</v>
      </c>
      <c r="C1001" s="3" t="str">
        <f>IFERROR(__xludf.DUMMYFUNCTION("GOOGLETRANSLATE(B1001,""id"",""en"")"),"['Like', 'Telkomel', 'Network', 'Good', 'Disappointed', 'Package', 'Kombo', 'Sakti', 'Package', 'GB', 'Quota', 'Main', ' Unlimited ',' Sosmed ',' Limitation ',' Speed ​​',' Use ',' Package ',' Combo ',' Sakti ',' Quota ',' Main ',' Out ',' Open ',' sosmed"&amp;" ' , 'speed', 'kbps',' limit ',' speed ',' active ',' please ',' fix ',' yaah ',' comfortable ',' use ',' card ',' sympathy ',' thanks']")</f>
        <v>['Like', 'Telkomel', 'Network', 'Good', 'Disappointed', 'Package', 'Kombo', 'Sakti', 'Package', 'GB', 'Quota', 'Main', ' Unlimited ',' Sosmed ',' Limitation ',' Speed ​​',' Use ',' Package ',' Combo ',' Sakti ',' Quota ',' Main ',' Out ',' Open ',' sosmed ' , 'speed', 'kbps',' limit ',' speed ',' active ',' please ',' fix ',' yaah ',' comfortable ',' use ',' card ',' sympathy ',' thanks']</v>
      </c>
      <c r="D1001" s="3">
        <v>3.0</v>
      </c>
    </row>
    <row r="1002" ht="15.75" customHeight="1">
      <c r="A1002" s="1">
        <v>1000.0</v>
      </c>
      <c r="B1002" s="3" t="s">
        <v>1003</v>
      </c>
      <c r="C1002" s="3" t="str">
        <f>IFERROR(__xludf.DUMMYFUNCTION("GOOGLETRANSLATE(B1002,""id"",""en"")"),"['Application', 'Login', 'Difficult', 'Enter', 'Enter', 'Something', 'Wrong', 'Send', 'Promo', 'Quota', 'Combo', 'Sakti', ' unlimited ',' open ',' please ',' Telkomsel ',' little ',' application ',' wok ',' wok ',' feeling ',' hang ',' so ']")</f>
        <v>['Application', 'Login', 'Difficult', 'Enter', 'Enter', 'Something', 'Wrong', 'Send', 'Promo', 'Quota', 'Combo', 'Sakti', ' unlimited ',' open ',' please ',' Telkomsel ',' little ',' application ',' wok ',' wok ',' feeling ',' hang ',' so ']</v>
      </c>
      <c r="D1002" s="3">
        <v>1.0</v>
      </c>
    </row>
    <row r="1003" ht="15.75" customHeight="1">
      <c r="A1003" s="1">
        <v>1001.0</v>
      </c>
      <c r="B1003" s="3" t="s">
        <v>1004</v>
      </c>
      <c r="C1003" s="3" t="str">
        <f>IFERROR(__xludf.DUMMYFUNCTION("GOOGLETRANSLATE(B1003,""id"",""en"")"),"['skrg', 'difficult', 'login', 'sllu', 'error', 'apk', 'help', 'makes it difficult', 'udh', 'bryah', 'login', 'results',' TTP ',' SMA ',' SLLU ',' KSLANDA ',' Mhon ',' Fix ',' Moving ',' Oprator ',' sblah ',' trimksih ', ""]")</f>
        <v>['skrg', 'difficult', 'login', 'sllu', 'error', 'apk', 'help', 'makes it difficult', 'udh', 'bryah', 'login', 'results',' TTP ',' SMA ',' SLLU ',' KSLANDA ',' Mhon ',' Fix ',' Moving ',' Oprator ',' sblah ',' trimksih ', "]</v>
      </c>
      <c r="D1003" s="3">
        <v>1.0</v>
      </c>
    </row>
    <row r="1004" ht="15.75" customHeight="1">
      <c r="A1004" s="1">
        <v>1002.0</v>
      </c>
      <c r="B1004" s="3" t="s">
        <v>1005</v>
      </c>
      <c r="C1004" s="3" t="str">
        <f>IFERROR(__xludf.DUMMYFUNCTION("GOOGLETRANSLATE(B1004,""id"",""en"")"),"['Sorry', 'Sis',' Telkomsel ',' Troubled ',' How ',' Yesterday ',' Login ',' Something ',' Went ',' Wrong ',' APP ',' Browsing ',' Constraints ',' Please ',' Solutions ',' Sis ',' Thank "", 'Love',""]")</f>
        <v>['Sorry', 'Sis',' Telkomsel ',' Troubled ',' How ',' Yesterday ',' Login ',' Something ',' Went ',' Wrong ',' APP ',' Browsing ',' Constraints ',' Please ',' Solutions ',' Sis ',' Thank ", 'Love',"]</v>
      </c>
      <c r="D1004" s="3">
        <v>2.0</v>
      </c>
    </row>
    <row r="1005" ht="15.75" customHeight="1">
      <c r="A1005" s="1">
        <v>1003.0</v>
      </c>
      <c r="B1005" s="3" t="s">
        <v>1006</v>
      </c>
      <c r="C1005" s="3" t="str">
        <f>IFERROR(__xludf.DUMMYFUNCTION("GOOGLETRANSLATE(B1005,""id"",""en"")"),"['Application', 'Telkomsel', 'Error', 'Description', 'Connection', 'Internet', 'Open', 'Application', 'Heavy', 'Connected', 'Telkomsel', 'Severe', ' Customers', 'Disappointed', 'Plus',' Signal ',' Lost ',' Connection ',' ']")</f>
        <v>['Application', 'Telkomsel', 'Error', 'Description', 'Connection', 'Internet', 'Open', 'Application', 'Heavy', 'Connected', 'Telkomsel', 'Severe', ' Customers', 'Disappointed', 'Plus',' Signal ',' Lost ',' Connection ',' ']</v>
      </c>
      <c r="D1005" s="3">
        <v>2.0</v>
      </c>
    </row>
    <row r="1006" ht="15.75" customHeight="1">
      <c r="A1006" s="1">
        <v>1004.0</v>
      </c>
      <c r="B1006" s="3" t="s">
        <v>1007</v>
      </c>
      <c r="C1006" s="3" t="str">
        <f>IFERROR(__xludf.DUMMYFUNCTION("GOOGLETRANSLATE(B1006,""id"",""en"")"),"['Telkom', 'Dear', 'Network', 'Error', 'Times',' Blakang ',' Middle ',' City ',' Solok ',' Tissue ',' Expensive ',' Indo ',' Gini ',' Stay ',' City ',' Hills', 'Network', 'Loe', 'Kek', 'Gini', 'Axis',' Nompang ',' Good ',' Tissue ',' Telkom ' , 'profit']")</f>
        <v>['Telkom', 'Dear', 'Network', 'Error', 'Times',' Blakang ',' Middle ',' City ',' Solok ',' Tissue ',' Expensive ',' Indo ',' Gini ',' Stay ',' City ',' Hills', 'Network', 'Loe', 'Kek', 'Gini', 'Axis',' Nompang ',' Good ',' Tissue ',' Telkom ' , 'profit']</v>
      </c>
      <c r="D1006" s="3">
        <v>1.0</v>
      </c>
    </row>
    <row r="1007" ht="15.75" customHeight="1">
      <c r="A1007" s="1">
        <v>1005.0</v>
      </c>
      <c r="B1007" s="3" t="s">
        <v>1008</v>
      </c>
      <c r="C1007" s="3" t="str">
        <f>IFERROR(__xludf.DUMMYFUNCTION("GOOGLETRANSLATE(B1007,""id"",""en"")"),"['Ngellag', 'Telkomsel', 'Rich', 'Indihome', 'Comfortable', 'Ntegraame', 'Sousal', 'Ngejumping', 'UDH', 'User', 'Telkomsel', 'Skrg', ' Disappointed ',' Genetas', 'Sousal', 'Application', 'Tsel', 'Gabisa', 'Opened', '']")</f>
        <v>['Ngellag', 'Telkomsel', 'Rich', 'Indihome', 'Comfortable', 'Ntegraame', 'Sousal', 'Ngejumping', 'UDH', 'User', 'Telkomsel', 'Skrg', ' Disappointed ',' Genetas', 'Sousal', 'Application', 'Tsel', 'Gabisa', 'Opened', '']</v>
      </c>
      <c r="D1007" s="3">
        <v>1.0</v>
      </c>
    </row>
    <row r="1008" ht="15.75" customHeight="1">
      <c r="A1008" s="1">
        <v>1006.0</v>
      </c>
      <c r="B1008" s="3" t="s">
        <v>1009</v>
      </c>
      <c r="C1008" s="3" t="str">
        <f>IFERROR(__xludf.DUMMYFUNCTION("GOOGLETRANSLATE(B1008,""id"",""en"")"),"['open', 'bida', 'login', 'update', 'update', 'login', 'telkomsel', 'napa', 'already', 'network', 'slow', 'login', ' The application ',' problematic ',' Alah ']")</f>
        <v>['open', 'bida', 'login', 'update', 'update', 'login', 'telkomsel', 'napa', 'already', 'network', 'slow', 'login', ' The application ',' problematic ',' Alah ']</v>
      </c>
      <c r="D1008" s="3">
        <v>1.0</v>
      </c>
    </row>
    <row r="1009" ht="15.75" customHeight="1">
      <c r="A1009" s="1">
        <v>1007.0</v>
      </c>
      <c r="B1009" s="3" t="s">
        <v>1010</v>
      </c>
      <c r="C1009" s="3" t="str">
        <f>IFERROR(__xludf.DUMMYFUNCTION("GOOGLETRANSLATE(B1009,""id"",""en"")"),"['network', 'slow', 'open', 'application', 'loading', 'speed', 'kbps',' network ',' lined ',' already ',' monthly ',' operator ',' LAKNAT ',' cheats', 'Customer']")</f>
        <v>['network', 'slow', 'open', 'application', 'loading', 'speed', 'kbps',' network ',' lined ',' already ',' monthly ',' operator ',' LAKNAT ',' cheats', 'Customer']</v>
      </c>
      <c r="D1009" s="3">
        <v>1.0</v>
      </c>
    </row>
    <row r="1010" ht="15.75" customHeight="1">
      <c r="A1010" s="1">
        <v>1008.0</v>
      </c>
      <c r="B1010" s="3" t="s">
        <v>1011</v>
      </c>
      <c r="C1010" s="3" t="str">
        <f>IFERROR(__xludf.DUMMYFUNCTION("GOOGLETRANSLATE(B1010,""id"",""en"")"),"['Sorry', 'min', 'Telkomsel', 'setabilia', 'rich', 'slow', 'really', 'that's',' entry ',' APL ',' Telkomsel ',' gabisa ',' play ',' game ',' slow ',' Chatan ',' slow ',' youtube ',' slow ',' Telkomsel ',' Please ',' return ',' network ',' Telkomsel ',' th"&amp;"anks' , '']")</f>
        <v>['Sorry', 'min', 'Telkomsel', 'setabilia', 'rich', 'slow', 'really', 'that's',' entry ',' APL ',' Telkomsel ',' gabisa ',' play ',' game ',' slow ',' Chatan ',' slow ',' youtube ',' slow ',' Telkomsel ',' Please ',' return ',' network ',' Telkomsel ',' thanks' , '']</v>
      </c>
      <c r="D1010" s="3">
        <v>1.0</v>
      </c>
    </row>
    <row r="1011" ht="15.75" customHeight="1">
      <c r="A1011" s="1">
        <v>1009.0</v>
      </c>
      <c r="B1011" s="3" t="s">
        <v>1012</v>
      </c>
      <c r="C1011" s="3" t="str">
        <f>IFERROR(__xludf.DUMMYFUNCTION("GOOGLETRANSLATE(B1011,""id"",""en"")"),"['Please', 'Sorry', 'Mnta', 'Help', 'KNPA', 'Say', 'Enter', 'Telkomsel', 'Week', 'Complaints',' Network ',' just ',' Enter ',' Telkomsel ',' ']")</f>
        <v>['Please', 'Sorry', 'Mnta', 'Help', 'KNPA', 'Say', 'Enter', 'Telkomsel', 'Week', 'Complaints',' Network ',' just ',' Enter ',' Telkomsel ',' ']</v>
      </c>
      <c r="D1011" s="3">
        <v>2.0</v>
      </c>
    </row>
    <row r="1012" ht="15.75" customHeight="1">
      <c r="A1012" s="1">
        <v>1010.0</v>
      </c>
      <c r="B1012" s="3" t="s">
        <v>1013</v>
      </c>
      <c r="C1012" s="3" t="str">
        <f>IFERROR(__xludf.DUMMYFUNCTION("GOOGLETRANSLATE(B1012,""id"",""en"")"),"['Problems', 'Signal', 'Do', 'please', 'Telkomsel', 'many years', 'subscription', 'resolved', 'mkasih', ""]")</f>
        <v>['Problems', 'Signal', 'Do', 'please', 'Telkomsel', 'many years', 'subscription', 'resolved', 'mkasih', "]</v>
      </c>
      <c r="D1012" s="3">
        <v>1.0</v>
      </c>
    </row>
    <row r="1013" ht="15.75" customHeight="1">
      <c r="A1013" s="1">
        <v>1011.0</v>
      </c>
      <c r="B1013" s="3" t="s">
        <v>1014</v>
      </c>
      <c r="C1013" s="3" t="str">
        <f>IFERROR(__xludf.DUMMYFUNCTION("GOOGLETRANSLATE(B1013,""id"",""en"")"),"['Alhamdulillah', 'side', 'wear', 'application', 'Telkomsel', 'Affairs',' internet ',' already ',' check ',' kuto ',' ebelikan ',' pulses', ' Family ',' Easy ',' Exchange ',' Points', 'Stay', 'Press',' Dech ', ""]")</f>
        <v>['Alhamdulillah', 'side', 'wear', 'application', 'Telkomsel', 'Affairs',' internet ',' already ',' check ',' kuto ',' ebelikan ',' pulses', ' Family ',' Easy ',' Exchange ',' Points', 'Stay', 'Press',' Dech ', "]</v>
      </c>
      <c r="D1013" s="3">
        <v>4.0</v>
      </c>
    </row>
    <row r="1014" ht="15.75" customHeight="1">
      <c r="A1014" s="1">
        <v>1012.0</v>
      </c>
      <c r="B1014" s="3" t="s">
        <v>1015</v>
      </c>
      <c r="C1014" s="3" t="str">
        <f>IFERROR(__xludf.DUMMYFUNCTION("GOOGLETRANSLATE(B1014,""id"",""en"")"),"['Disappointed', 'Ama', 'Telkomsel', 'already', 'quota', 'expensive', 'network', 'Hadeh', 'severe', 'woy', 'money', 'use', ' Watch ',' Girl ',' Naked ',' ATA ',' Wik ',' Wik ',' Fix ',' Woy ',' Read ',' Read ',' Read ',' Read ',' Read ' , 'Read', 'Balaca'"&amp;", 'Woy', 'Asik', 'Nonto', 'Naked', 'Chapter', 'Ato', 'Gini', 'Collapin', 'Price', 'Kek', ' Gini ',' Gunaaa ',' Agree ',' Click ',' Agree ',' Click ']")</f>
        <v>['Disappointed', 'Ama', 'Telkomsel', 'already', 'quota', 'expensive', 'network', 'Hadeh', 'severe', 'woy', 'money', 'use', ' Watch ',' Girl ',' Naked ',' ATA ',' Wik ',' Wik ',' Fix ',' Woy ',' Read ',' Read ',' Read ',' Read ',' Read ' , 'Read', 'Balaca', 'Woy', 'Asik', 'Nonto', 'Naked', 'Chapter', 'Ato', 'Gini', 'Collapin', 'Price', 'Kek', ' Gini ',' Gunaaa ',' Agree ',' Click ',' Agree ',' Click ']</v>
      </c>
      <c r="D1014" s="3">
        <v>1.0</v>
      </c>
    </row>
    <row r="1015" ht="15.75" customHeight="1">
      <c r="A1015" s="1">
        <v>1013.0</v>
      </c>
      <c r="B1015" s="3" t="s">
        <v>1016</v>
      </c>
      <c r="C1015" s="3" t="str">
        <f>IFERROR(__xludf.DUMMYFUNCTION("GOOGLETRANSLATE(B1015,""id"",""en"")"),"['Change', 'star', 'Full', 'Login', 'Thank "",' Love ',' Telkomsel ',' Hopefully ',' In the future ',' Error ',""]")</f>
        <v>['Change', 'star', 'Full', 'Login', 'Thank ",' Love ',' Telkomsel ',' Hopefully ',' In the future ',' Error ',"]</v>
      </c>
      <c r="D1015" s="3">
        <v>5.0</v>
      </c>
    </row>
    <row r="1016" ht="15.75" customHeight="1">
      <c r="A1016" s="1">
        <v>1014.0</v>
      </c>
      <c r="B1016" s="3" t="s">
        <v>1017</v>
      </c>
      <c r="C1016" s="3" t="str">
        <f>IFERROR(__xludf.DUMMYFUNCTION("GOOGLETRANSLATE(B1016,""id"",""en"")"),"['HRI', 'Login', 'application', 'Telkomsel', 'installed', 'reset', 'ttp', 'result', 'notification', 'error', 'beg', 'solution', ' Min ',' ']")</f>
        <v>['HRI', 'Login', 'application', 'Telkomsel', 'installed', 'reset', 'ttp', 'result', 'notification', 'error', 'beg', 'solution', ' Min ',' ']</v>
      </c>
      <c r="D1016" s="3">
        <v>1.0</v>
      </c>
    </row>
    <row r="1017" ht="15.75" customHeight="1">
      <c r="A1017" s="1">
        <v>1015.0</v>
      </c>
      <c r="B1017" s="3" t="s">
        <v>1018</v>
      </c>
      <c r="C1017" s="3" t="str">
        <f>IFERROR(__xludf.DUMMYFUNCTION("GOOGLETRANSLATE(B1017,""id"",""en"")"),"['open', 'App', 'MyTelkomsel', 'Samacity', 'opened', 'Posts',' Connection ',' Stable ',' Try ',' Load ',' reset ',' Internet ',' signal ',' interetku ',' full ',' strong ', ""]")</f>
        <v>['open', 'App', 'MyTelkomsel', 'Samacity', 'opened', 'Posts',' Connection ',' Stable ',' Try ',' Load ',' reset ',' Internet ',' signal ',' interetku ',' full ',' strong ', "]</v>
      </c>
      <c r="D1017" s="3">
        <v>1.0</v>
      </c>
    </row>
    <row r="1018" ht="15.75" customHeight="1">
      <c r="A1018" s="1">
        <v>1016.0</v>
      </c>
      <c r="B1018" s="3" t="s">
        <v>1019</v>
      </c>
      <c r="C1018" s="3" t="str">
        <f>IFERROR(__xludf.DUMMYFUNCTION("GOOGLETRANSLATE(B1018,""id"",""en"")"),"['complement', 'told', 'Napa', 'no', 'network', 'card', 'Hello', 'slow', 'application', 'login', 'difficult', 'baget', ' No ',' enter ',' entry ',' updated ',' comment ',' written ',' use ',' network ',' wifi ', ​​""]")</f>
        <v>['complement', 'told', 'Napa', 'no', 'network', 'card', 'Hello', 'slow', 'application', 'login', 'difficult', 'baget', ' No ',' enter ',' entry ',' updated ',' comment ',' written ',' use ',' network ',' wifi ', ​​"]</v>
      </c>
      <c r="D1018" s="3">
        <v>1.0</v>
      </c>
    </row>
    <row r="1019" ht="15.75" customHeight="1">
      <c r="A1019" s="1">
        <v>1017.0</v>
      </c>
      <c r="B1019" s="3" t="s">
        <v>1020</v>
      </c>
      <c r="C1019" s="3" t="str">
        <f>IFERROR(__xludf.DUMMYFUNCTION("GOOGLETRANSLATE(B1019,""id"",""en"")"),"['YTH', 'owners',' Telkomsel ',' users', 'loyal', 'sympathy', 'disappointed', 'network', 'error', 'muter', 'download', 'application', ' Telkomsel ',' open ',' please ',' love ',' muter ',' throw ',' throw ',' ngeeles', 'bajaj', 'use', 'politician', 'syste"&amp;"m', 'staff' , 'in', 'company', 'complaint', ""]")</f>
        <v>['YTH', 'owners',' Telkomsel ',' users', 'loyal', 'sympathy', 'disappointed', 'network', 'error', 'muter', 'download', 'application', ' Telkomsel ',' open ',' please ',' love ',' muter ',' throw ',' throw ',' ngeeles', 'bajaj', 'use', 'politician', 'system', 'staff' , 'in', 'company', 'complaint', "]</v>
      </c>
      <c r="D1019" s="3">
        <v>1.0</v>
      </c>
    </row>
    <row r="1020" ht="15.75" customHeight="1">
      <c r="A1020" s="1">
        <v>1018.0</v>
      </c>
      <c r="B1020" s="3" t="s">
        <v>1021</v>
      </c>
      <c r="C1020" s="3" t="str">
        <f>IFERROR(__xludf.DUMMYFUNCTION("GOOGLETRANSLATE(B1020,""id"",""en"")"),"['Come', 'ugly', 'signal', 'Telkomsel', 'replaced', 'Post', 'Pay', 'TLP', 'signal', 'good', 'application', 'opened' quota', '']")</f>
        <v>['Come', 'ugly', 'signal', 'Telkomsel', 'replaced', 'Post', 'Pay', 'TLP', 'signal', 'good', 'application', 'opened' quota', '']</v>
      </c>
      <c r="D1020" s="3">
        <v>2.0</v>
      </c>
    </row>
    <row r="1021" ht="15.75" customHeight="1">
      <c r="A1021" s="1">
        <v>1019.0</v>
      </c>
      <c r="B1021" s="3" t="s">
        <v>1022</v>
      </c>
      <c r="C1021" s="3" t="str">
        <f>IFERROR(__xludf.DUMMYFUNCTION("GOOGLETRANSLATE(B1021,""id"",""en"")"),"['admin', 'Telkomsel', 'application', 'MyTelkomsel', 'difficult', 'login', 'belo', 'package', 'open', 'yesterday', 'night', 'open', ' Buy ',' Package ',' Pay ',' Link ',' Select ',' Payment ',' Delete ',' Datanganya ',' Enter ',' Contact ',' CS ',' Wait '"&amp;",' Login ' , 'uda', 'fix', 'fast', 'the application', 'move', 'number', 'thank', 'love']")</f>
        <v>['admin', 'Telkomsel', 'application', 'MyTelkomsel', 'difficult', 'login', 'belo', 'package', 'open', 'yesterday', 'night', 'open', ' Buy ',' Package ',' Pay ',' Link ',' Select ',' Payment ',' Delete ',' Datanganya ',' Enter ',' Contact ',' CS ',' Wait ',' Login ' , 'uda', 'fix', 'fast', 'the application', 'move', 'number', 'thank', 'love']</v>
      </c>
      <c r="D1021" s="3">
        <v>4.0</v>
      </c>
    </row>
    <row r="1022" ht="15.75" customHeight="1">
      <c r="A1022" s="1">
        <v>1020.0</v>
      </c>
      <c r="B1022" s="3" t="s">
        <v>1023</v>
      </c>
      <c r="C1022" s="3" t="str">
        <f>IFERROR(__xludf.DUMMYFUNCTION("GOOGLETRANSLATE(B1022,""id"",""en"")"),"['Pret' 'application', 'buy', 'package', 'Smok', 'purchase', 'uda', 'progress',' blm ',' pulse ',' main ',' cut ',' Use ',' Normal ',' Bener ',' Sue ',' Irit ',' Cekik ', ""]")</f>
        <v>['Pret' 'application', 'buy', 'package', 'Smok', 'purchase', 'uda', 'progress',' blm ',' pulse ',' main ',' cut ',' Use ',' Normal ',' Bener ',' Sue ',' Irit ',' Cekik ', "]</v>
      </c>
      <c r="D1022" s="3">
        <v>1.0</v>
      </c>
    </row>
    <row r="1023" ht="15.75" customHeight="1">
      <c r="A1023" s="1">
        <v>1021.0</v>
      </c>
      <c r="B1023" s="3" t="s">
        <v>1024</v>
      </c>
      <c r="C1023" s="3" t="str">
        <f>IFERROR(__xludf.DUMMYFUNCTION("GOOGLETRANSLATE(B1023,""id"",""en"")"),"['The application', 'Nge', 'Down', 'Try', 'Yesterday', 'Network', 'Troubled', 'Watch', 'Yutub', 'Play', 'Game', 'Sosmed', ' Please '""Fix']")</f>
        <v>['The application', 'Nge', 'Down', 'Try', 'Yesterday', 'Network', 'Troubled', 'Watch', 'Yutub', 'Play', 'Game', 'Sosmed', ' Please '"Fix']</v>
      </c>
      <c r="D1023" s="3">
        <v>1.0</v>
      </c>
    </row>
    <row r="1024" ht="15.75" customHeight="1">
      <c r="A1024" s="1">
        <v>1022.0</v>
      </c>
      <c r="B1024" s="3" t="s">
        <v>1025</v>
      </c>
      <c r="C1024" s="3" t="str">
        <f>IFERROR(__xludf.DUMMYFUNCTION("GOOGLETRANSLATE(B1024,""id"",""en"")"),"['Telkomsel', 'Error', 'Kayak', 'Gini', 'Name', 'Network', 'Cih', 'disgust', 'cook', 'ilang', 'Pulak', 'Manage', ' Disappointed ',' Ama ',' Telkomsel ',' Error ',' Forced ',' Pinda ',' Operator ',' Comfortable ',' Stable ',' Network ',' Bye ',' Bye ',' Te"&amp;"lkomsel ' , 'I', 'Pakek', 'card', 'fix', '']")</f>
        <v>['Telkomsel', 'Error', 'Kayak', 'Gini', 'Name', 'Network', 'Cih', 'disgust', 'cook', 'ilang', 'Pulak', 'Manage', ' Disappointed ',' Ama ',' Telkomsel ',' Error ',' Forced ',' Pinda ',' Operator ',' Comfortable ',' Stable ',' Network ',' Bye ',' Bye ',' Telkomsel ' , 'I', 'Pakek', 'card', 'fix', '']</v>
      </c>
      <c r="D1024" s="3">
        <v>1.0</v>
      </c>
    </row>
    <row r="1025" ht="15.75" customHeight="1">
      <c r="A1025" s="1">
        <v>1023.0</v>
      </c>
      <c r="B1025" s="3" t="s">
        <v>1026</v>
      </c>
      <c r="C1025" s="3" t="str">
        <f>IFERROR(__xludf.DUMMYFUNCTION("GOOGLETRANSLATE(B1025,""id"",""en"")"),"['Login', 'Telkomsel', 'Notif', 'Gini', 'Something', 'Went', 'Wrong', 'Please', 'Try', 'Again', 'After', 'sometime', ' repaired ',' because ',' check ',' quota ',' difficult ']")</f>
        <v>['Login', 'Telkomsel', 'Notif', 'Gini', 'Something', 'Went', 'Wrong', 'Please', 'Try', 'Again', 'After', 'sometime', ' repaired ',' because ',' check ',' quota ',' difficult ']</v>
      </c>
      <c r="D1025" s="3">
        <v>1.0</v>
      </c>
    </row>
    <row r="1026" ht="15.75" customHeight="1">
      <c r="A1026" s="1">
        <v>1024.0</v>
      </c>
      <c r="B1026" s="3" t="s">
        <v>1027</v>
      </c>
      <c r="C1026" s="3" t="str">
        <f>IFERROR(__xludf.DUMMYFUNCTION("GOOGLETRANSLATE(B1026,""id"",""en"")"),"['Disappointed', 'APK', 'Ribet', 'Verifkasi', 'Number', 'UDH', 'Litu', 'Open', 'Something', 'Wrong', 'PDHL', 'Open', ' APK ',' Current ',' Knp ',' After ',' Update ',' Please ',' Donk ',' Telkomsel ',' Ilfeel ',' Benerin ',' APK ',' PDHL ',' Signal ' , 'G"&amp;"ood', 'knp', 'UDH', 'HR', 'open', 'UDH', 'restart', 'smoe', 'uninstall', 'many', 'whats',' whats', ' Wrong ',' ']")</f>
        <v>['Disappointed', 'APK', 'Ribet', 'Verifkasi', 'Number', 'UDH', 'Litu', 'Open', 'Something', 'Wrong', 'PDHL', 'Open', ' APK ',' Current ',' Knp ',' After ',' Update ',' Please ',' Donk ',' Telkomsel ',' Ilfeel ',' Benerin ',' APK ',' PDHL ',' Signal ' , 'Good', 'knp', 'UDH', 'HR', 'open', 'UDH', 'restart', 'smoe', 'uninstall', 'many', 'whats',' whats', ' Wrong ',' ']</v>
      </c>
      <c r="D1026" s="3">
        <v>1.0</v>
      </c>
    </row>
    <row r="1027" ht="15.75" customHeight="1">
      <c r="A1027" s="1">
        <v>1025.0</v>
      </c>
      <c r="B1027" s="3" t="s">
        <v>1028</v>
      </c>
      <c r="C1027" s="3" t="str">
        <f>IFERROR(__xludf.DUMMYFUNCTION("GOOGLETRANSLATE(B1027,""id"",""en"")"),"['Activine', 'number', 'TPI', 'appears',' Something ',' Something ',' Went ',' Wrong ',' Try ',' Again ',' WiFi ',' home ',' Try ',' Restart ',' Uninstall ',' Application ',' Bener ',' LGI ',' Try ',' Login ',' Nomer ',' Yaa ',' Try ',' Quota ',' Telkomse"&amp;"l ' , 'error', 'network', 'hope', 'JDI', 'Benerin', 'Kakk', 'Thank you', ""]")</f>
        <v>['Activine', 'number', 'TPI', 'appears',' Something ',' Something ',' Went ',' Wrong ',' Try ',' Again ',' WiFi ',' home ',' Try ',' Restart ',' Uninstall ',' Application ',' Bener ',' LGI ',' Try ',' Login ',' Nomer ',' Yaa ',' Try ',' Quota ',' Telkomsel ' , 'error', 'network', 'hope', 'JDI', 'Benerin', 'Kakk', 'Thank you', "]</v>
      </c>
      <c r="D1027" s="3">
        <v>1.0</v>
      </c>
    </row>
    <row r="1028" ht="15.75" customHeight="1">
      <c r="A1028" s="1">
        <v>1026.0</v>
      </c>
      <c r="B1028" s="3" t="s">
        <v>1029</v>
      </c>
      <c r="C1028" s="3" t="str">
        <f>IFERROR(__xludf.DUMMYFUNCTION("GOOGLETRANSLATE(B1028,""id"",""en"")"),"['Telkomsel', 'Severe', 'Bener', 'Network', 'skrg', 'Login', 'Telkomsel', 'ajj', 'please', 'fix', 'guard', 'stability', ' signal ',' moved ',' provider ',' love ',' star ',' repair ',' thank ',' love ', ""]")</f>
        <v>['Telkomsel', 'Severe', 'Bener', 'Network', 'skrg', 'Login', 'Telkomsel', 'ajj', 'please', 'fix', 'guard', 'stability', ' signal ',' moved ',' provider ',' love ',' star ',' repair ',' thank ',' love ', "]</v>
      </c>
      <c r="D1028" s="3">
        <v>2.0</v>
      </c>
    </row>
    <row r="1029" ht="15.75" customHeight="1">
      <c r="A1029" s="1">
        <v>1027.0</v>
      </c>
      <c r="B1029" s="3" t="s">
        <v>1030</v>
      </c>
      <c r="C1029" s="3" t="str">
        <f>IFERROR(__xludf.DUMMYFUNCTION("GOOGLETRANSLATE(B1029,""id"",""en"")"),"['Application', 'yrs',' PKE ',' Telkomsel ',' obstacles', 'anything', 'sekrng', 'mlh', 'mlh', 'stable', 'tlkomsel', 'poor', ' Mending ',' run ',' operator ',' Next to ',' Bye ',' Bye ',' TLKMSEL ',' ugly ']")</f>
        <v>['Application', 'yrs',' PKE ',' Telkomsel ',' obstacles', 'anything', 'sekrng', 'mlh', 'mlh', 'stable', 'tlkomsel', 'poor', ' Mending ',' run ',' operator ',' Next to ',' Bye ',' Bye ',' TLKMSEL ',' ugly ']</v>
      </c>
      <c r="D1029" s="3">
        <v>1.0</v>
      </c>
    </row>
    <row r="1030" ht="15.75" customHeight="1">
      <c r="A1030" s="1">
        <v>1028.0</v>
      </c>
      <c r="B1030" s="3" t="s">
        <v>1031</v>
      </c>
      <c r="C1030" s="3" t="str">
        <f>IFERROR(__xludf.DUMMYFUNCTION("GOOGLETRANSLATE(B1030,""id"",""en"")"),"['Weekly', 'Difficult', 'Accessible', 'Application', 'Region', 'Depok', 'Sinyal', 'Stable', 'Sometimes',' Slow ',' Connection ',' Data ',' The internet ',' ']")</f>
        <v>['Weekly', 'Difficult', 'Accessible', 'Application', 'Region', 'Depok', 'Sinyal', 'Stable', 'Sometimes',' Slow ',' Connection ',' Data ',' The internet ',' ']</v>
      </c>
      <c r="D1030" s="3">
        <v>4.0</v>
      </c>
    </row>
    <row r="1031" ht="15.75" customHeight="1">
      <c r="A1031" s="1">
        <v>1029.0</v>
      </c>
      <c r="B1031" s="3" t="s">
        <v>1032</v>
      </c>
      <c r="C1031" s="3" t="str">
        <f>IFERROR(__xludf.DUMMYFUNCTION("GOOGLETRANSLATE(B1031,""id"",""en"")"),"['signal', 'bad', 'family', 'use', 'Telkomsel', 'signal', 'down', 'pakek', 'sometimes',' nge ',' clock ',' mulu ',' WatsApp ',' application ',' Sometimes', 'Muser', 'Muser', 'Application', 'Browser', '']")</f>
        <v>['signal', 'bad', 'family', 'use', 'Telkomsel', 'signal', 'down', 'pakek', 'sometimes',' nge ',' clock ',' mulu ',' WatsApp ',' application ',' Sometimes', 'Muser', 'Muser', 'Application', 'Browser', '']</v>
      </c>
      <c r="D1031" s="3">
        <v>1.0</v>
      </c>
    </row>
    <row r="1032" ht="15.75" customHeight="1">
      <c r="A1032" s="1">
        <v>1030.0</v>
      </c>
      <c r="B1032" s="3" t="s">
        <v>1033</v>
      </c>
      <c r="C1032" s="3" t="str">
        <f>IFERROR(__xludf.DUMMYFUNCTION("GOOGLETRANSLATE(B1032,""id"",""en"")"),"['Severe', 'application', 'violation', 'account', 'block', 'application', 'point', 'already', 'bnyak', 'really', 'severe', 'application', ' Try ',' account ',' Login ',' Linkaja ',' ehh ',' block ',' account ',' how ',' admint ',' account ',' block ']")</f>
        <v>['Severe', 'application', 'violation', 'account', 'block', 'application', 'point', 'already', 'bnyak', 'really', 'severe', 'application', ' Try ',' account ',' Login ',' Linkaja ',' ehh ',' block ',' account ',' how ',' admint ',' account ',' block ']</v>
      </c>
      <c r="D1032" s="3">
        <v>1.0</v>
      </c>
    </row>
    <row r="1033" ht="15.75" customHeight="1">
      <c r="A1033" s="1">
        <v>1031.0</v>
      </c>
      <c r="B1033" s="3" t="s">
        <v>1034</v>
      </c>
      <c r="C1033" s="3" t="str">
        <f>IFERROR(__xludf.DUMMYFUNCTION("GOOGLETRANSLATE(B1033,""id"",""en"")"),"['opened', 'network', 'stable', 'network', 'youtube', 'application', 'smooth', 'update', 'open']")</f>
        <v>['opened', 'network', 'stable', 'network', 'youtube', 'application', 'smooth', 'update', 'open']</v>
      </c>
      <c r="D1033" s="3">
        <v>1.0</v>
      </c>
    </row>
    <row r="1034" ht="15.75" customHeight="1">
      <c r="A1034" s="1">
        <v>1032.0</v>
      </c>
      <c r="B1034" s="3" t="s">
        <v>1035</v>
      </c>
      <c r="C1034" s="3" t="str">
        <f>IFERROR(__xludf.DUMMYFUNCTION("GOOGLETRANSLATE(B1034,""id"",""en"")"),"['application', 'Telkomsel', 'TDL', 'used', 'Delete', 'Data', 'cache', 'update', 'TTP', 'Network', 'Internet', 'stable', ' Please ',' repaired ',' Switch ',' Operator ']")</f>
        <v>['application', 'Telkomsel', 'TDL', 'used', 'Delete', 'Data', 'cache', 'update', 'TTP', 'Network', 'Internet', 'stable', ' Please ',' repaired ',' Switch ',' Operator ']</v>
      </c>
      <c r="D1034" s="3">
        <v>1.0</v>
      </c>
    </row>
    <row r="1035" ht="15.75" customHeight="1">
      <c r="A1035" s="1">
        <v>1033.0</v>
      </c>
      <c r="B1035" s="3" t="s">
        <v>1036</v>
      </c>
      <c r="C1035" s="3" t="str">
        <f>IFERROR(__xludf.DUMMYFUNCTION("GOOGLETRANSLATE(B1035,""id"",""en"")"),"['how', 'news',' Telkomsel ',' monitor ',' development ',' quality ',' signal ',' Telkomsel ',' blum ',' progress', 'move', 'oprator', ' Neighbors', 'Next to', 'Good', 'Compare', 'Development', 'Telkomsel', 'Leet']")</f>
        <v>['how', 'news',' Telkomsel ',' monitor ',' development ',' quality ',' signal ',' Telkomsel ',' blum ',' progress', 'move', 'oprator', ' Neighbors', 'Next to', 'Good', 'Compare', 'Development', 'Telkomsel', 'Leet']</v>
      </c>
      <c r="D1035" s="3">
        <v>1.0</v>
      </c>
    </row>
    <row r="1036" ht="15.75" customHeight="1">
      <c r="A1036" s="1">
        <v>1034.0</v>
      </c>
      <c r="B1036" s="3" t="s">
        <v>1037</v>
      </c>
      <c r="C1036" s="3" t="str">
        <f>IFERROR(__xludf.DUMMYFUNCTION("GOOGLETRANSLATE(B1036,""id"",""en"")"),"['buy', 'package', 'quota', 'visits',' enter ',' quota ',' already ',' chat ',' until ',' pulses', 'ASSU', 'Nipu', ' Telkomsel ',' responsible ',' Restore ',' Woii ',' ASSU ',' Credit ',' quota ', ""]")</f>
        <v>['buy', 'package', 'quota', 'visits',' enter ',' quota ',' already ',' chat ',' until ',' pulses', 'ASSU', 'Nipu', ' Telkomsel ',' responsible ',' Restore ',' Woii ',' ASSU ',' Credit ',' quota ', "]</v>
      </c>
      <c r="D1036" s="3">
        <v>1.0</v>
      </c>
    </row>
    <row r="1037" ht="15.75" customHeight="1">
      <c r="A1037" s="1">
        <v>1035.0</v>
      </c>
      <c r="B1037" s="3" t="s">
        <v>1038</v>
      </c>
      <c r="C1037" s="3" t="str">
        <f>IFERROR(__xludf.DUMMYFUNCTION("GOOGLETRANSLATE(B1037,""id"",""en"")"),"['Application', 'opened', 'Something', 'Went', 'Error', 'Network', 'Tlkomsel', 'Jueleekk', 'Poll', 'Dae', 'Jakarta', 'West', ' Uda ',' Sekampung ',' Ngeluh ',' Many ',' Kirabil ',' Internet ',' RMH ',' BLN ',' Switch ',' SmartFRN ',' Tri ',' Pdhl ',' Cust"&amp;"omer ' , 'Hello', 'Platinum', 'sympathy', 'uda', 'yrs',' tracet ',' byu ',' live ',' waiting ',' scorched ',' very ',' bad ',' ']")</f>
        <v>['Application', 'opened', 'Something', 'Went', 'Error', 'Network', 'Tlkomsel', 'Jueleekk', 'Poll', 'Dae', 'Jakarta', 'West', ' Uda ',' Sekampung ',' Ngeluh ',' Many ',' Kirabil ',' Internet ',' RMH ',' BLN ',' Switch ',' SmartFRN ',' Tri ',' Pdhl ',' Customer ' , 'Hello', 'Platinum', 'sympathy', 'uda', 'yrs',' tracet ',' byu ',' live ',' waiting ',' scorched ',' very ',' bad ',' ']</v>
      </c>
      <c r="D1037" s="3">
        <v>1.0</v>
      </c>
    </row>
    <row r="1038" ht="15.75" customHeight="1">
      <c r="A1038" s="1">
        <v>1036.0</v>
      </c>
      <c r="B1038" s="3" t="s">
        <v>1039</v>
      </c>
      <c r="C1038" s="3" t="str">
        <f>IFERROR(__xludf.DUMMYFUNCTION("GOOGLETRANSLATE(B1038,""id"",""en"")"),"['devil', 'entry', 'operator', 'Telkomsel', 'network', 'internet', 'ugly', 'kayak', 'tauuuuuuuu', 'kouta', 'internet', 'suck', ' kayak ',' wind ',' thenuuu ',' cook ',' yes', 'kouta', 'internet', 'run out', 'GB', 'open', 'application', 'shopping', 'online"&amp;"' , 'Doang', 'open', 'for a moment', 'aje', 'gile', 'operator', 'Telkomsel', ""]")</f>
        <v>['devil', 'entry', 'operator', 'Telkomsel', 'network', 'internet', 'ugly', 'kayak', 'tauuuuuuuu', 'kouta', 'internet', 'suck', ' kayak ',' wind ',' thenuuu ',' cook ',' yes', 'kouta', 'internet', 'run out', 'GB', 'open', 'application', 'shopping', 'online' , 'Doang', 'open', 'for a moment', 'aje', 'gile', 'operator', 'Telkomsel', "]</v>
      </c>
      <c r="D1038" s="3">
        <v>1.0</v>
      </c>
    </row>
    <row r="1039" ht="15.75" customHeight="1">
      <c r="A1039" s="1">
        <v>1037.0</v>
      </c>
      <c r="B1039" s="3" t="s">
        <v>1040</v>
      </c>
      <c r="C1039" s="3" t="str">
        <f>IFERROR(__xludf.DUMMYFUNCTION("GOOGLETRANSLATE(B1039,""id"",""en"")"),"['pulse', 'reduced', 'already', 'thousand', 'contact', 'cust', 'service', 'because', 'buy', 'voucher', 'games',' play ',' Games', 'History', 'History', 'Purchases',' Games', 'Buy', 'Rupiah', 'price', 'thousand', 'quota', 'already', 'stay', 'GB' , 'Sinyal'"&amp;", 'slow', 'really']")</f>
        <v>['pulse', 'reduced', 'already', 'thousand', 'contact', 'cust', 'service', 'because', 'buy', 'voucher', 'games',' play ',' Games', 'History', 'History', 'Purchases',' Games', 'Buy', 'Rupiah', 'price', 'thousand', 'quota', 'already', 'stay', 'GB' , 'Sinyal', 'slow', 'really']</v>
      </c>
      <c r="D1039" s="3">
        <v>1.0</v>
      </c>
    </row>
    <row r="1040" ht="15.75" customHeight="1">
      <c r="A1040" s="1">
        <v>1038.0</v>
      </c>
      <c r="B1040" s="3" t="s">
        <v>1041</v>
      </c>
      <c r="C1040" s="3" t="str">
        <f>IFERROR(__xludf.DUMMYFUNCTION("GOOGLETRANSLATE(B1040,""id"",""en"")"),"['Government', 'lose', 'provider', 'complain', 'enter', 'ear', 'right', 'ear', 'left', 'smpe', 'criticism', 'sicken', ' Credit ',' Pandemic ',' Improve ',' Nurunin ',' Perform ',' Sadly ']")</f>
        <v>['Government', 'lose', 'provider', 'complain', 'enter', 'ear', 'right', 'ear', 'left', 'smpe', 'criticism', 'sicken', ' Credit ',' Pandemic ',' Improve ',' Nurunin ',' Perform ',' Sadly ']</v>
      </c>
      <c r="D1040" s="3">
        <v>1.0</v>
      </c>
    </row>
    <row r="1041" ht="15.75" customHeight="1">
      <c r="A1041" s="1">
        <v>1039.0</v>
      </c>
      <c r="B1041" s="3" t="s">
        <v>1042</v>
      </c>
      <c r="C1041" s="3" t="str">
        <f>IFERROR(__xludf.DUMMYFUNCTION("GOOGLETRANSLATE(B1041,""id"",""en"")"),"['', 'Gabisa', 'enter', 'times',' enter ',' something ',' something ',' wint ',' wrong ',' please ',' try ',' again ',' later ',' Koutany ',' skrg ',' broken ', ""]")</f>
        <v>['', 'Gabisa', 'enter', 'times',' enter ',' something ',' something ',' wint ',' wrong ',' please ',' try ',' again ',' later ',' Koutany ',' skrg ',' broken ', "]</v>
      </c>
      <c r="D1041" s="3">
        <v>1.0</v>
      </c>
    </row>
    <row r="1042" ht="15.75" customHeight="1">
      <c r="A1042" s="1">
        <v>1040.0</v>
      </c>
      <c r="B1042" s="3" t="s">
        <v>1043</v>
      </c>
      <c r="C1042" s="3" t="str">
        <f>IFERROR(__xludf.DUMMYFUNCTION("GOOGLETRANSLATE(B1042,""id"",""en"")"),"['Telkomsel', 'checked', 'package', 'data', 'credit', 'jabankan', 'checked', 'enter', 'the application', 'try', 'enter', 'account', ' Facebook ',' Application ',' Change ',' SIM ',' GIMNA ',' NGERTI ',' ']")</f>
        <v>['Telkomsel', 'checked', 'package', 'data', 'credit', 'jabankan', 'checked', 'enter', 'the application', 'try', 'enter', 'account', ' Facebook ',' Application ',' Change ',' SIM ',' GIMNA ',' NGERTI ',' ']</v>
      </c>
      <c r="D1042" s="3">
        <v>1.0</v>
      </c>
    </row>
    <row r="1043" ht="15.75" customHeight="1">
      <c r="A1043" s="1">
        <v>1041.0</v>
      </c>
      <c r="B1043" s="3" t="s">
        <v>1044</v>
      </c>
      <c r="C1043" s="3" t="str">
        <f>IFERROR(__xludf.DUMMYFUNCTION("GOOGLETRANSLATE(B1043,""id"",""en"")"),"['open', 'application', 'network', 'stable', 'stable', 'open', 'application', 'no', 'buy', 'package', 'writing', 'try']")</f>
        <v>['open', 'application', 'network', 'stable', 'stable', 'open', 'application', 'no', 'buy', 'package', 'writing', 'try']</v>
      </c>
      <c r="D1043" s="3">
        <v>2.0</v>
      </c>
    </row>
    <row r="1044" ht="15.75" customHeight="1">
      <c r="A1044" s="1">
        <v>1042.0</v>
      </c>
      <c r="B1044" s="3" t="s">
        <v>1045</v>
      </c>
      <c r="C1044" s="3" t="str">
        <f>IFERROR(__xludf.DUMMYFUNCTION("GOOGLETRANSLATE(B1044,""id"",""en"")"),"['application', 'difficult', 'login', 'right', 'already', 'login', 'told', 'Refresh', 'Tetep', 'appears',' understand ',' the application ',' signal ',' weve ',' here ',' signal ',' ugly ',' difficult ',' check ',' package ',' buy ',' package ',' already "&amp;"',' delicious', 'application' , 'Gini', 'Bener', 'Kebing']")</f>
        <v>['application', 'difficult', 'login', 'right', 'already', 'login', 'told', 'Refresh', 'Tetep', 'appears',' understand ',' the application ',' signal ',' weve ',' here ',' signal ',' ugly ',' difficult ',' check ',' package ',' buy ',' package ',' already ',' delicious', 'application' , 'Gini', 'Bener', 'Kebing']</v>
      </c>
      <c r="D1044" s="3">
        <v>2.0</v>
      </c>
    </row>
    <row r="1045" ht="15.75" customHeight="1">
      <c r="A1045" s="1">
        <v>1043.0</v>
      </c>
      <c r="B1045" s="3" t="s">
        <v>1046</v>
      </c>
      <c r="C1045" s="3" t="str">
        <f>IFERROR(__xludf.DUMMYFUNCTION("GOOGLETRANSLATE(B1045,""id"",""en"")"),"['number', 'Purchase', 'Package', 'Telkomsel', 'user', 'loyal', 'Telkomsel', 'since', 'Purchase', 'Package', 'Telkomsel', 'Disappointed', ' ']")</f>
        <v>['number', 'Purchase', 'Package', 'Telkomsel', 'user', 'loyal', 'Telkomsel', 'since', 'Purchase', 'Package', 'Telkomsel', 'Disappointed', ' ']</v>
      </c>
      <c r="D1045" s="3">
        <v>1.0</v>
      </c>
    </row>
    <row r="1046" ht="15.75" customHeight="1">
      <c r="A1046" s="1">
        <v>1044.0</v>
      </c>
      <c r="B1046" s="3" t="s">
        <v>1047</v>
      </c>
      <c r="C1046" s="3" t="str">
        <f>IFERROR(__xludf.DUMMYFUNCTION("GOOGLETRANSLATE(B1046,""id"",""en"")"),"['update', 'application', 'sekarag', 'disorder', 'difficult', 'enter', 'check', 'discount', 'quota', 'disappear', 'please', 'application', ' Telkomsel ',' fix ',' ']")</f>
        <v>['update', 'application', 'sekarag', 'disorder', 'difficult', 'enter', 'check', 'discount', 'quota', 'disappear', 'please', 'application', ' Telkomsel ',' fix ',' ']</v>
      </c>
      <c r="D1046" s="3">
        <v>2.0</v>
      </c>
    </row>
    <row r="1047" ht="15.75" customHeight="1">
      <c r="A1047" s="1">
        <v>1045.0</v>
      </c>
      <c r="B1047" s="3" t="s">
        <v>1048</v>
      </c>
      <c r="C1047" s="3" t="str">
        <f>IFERROR(__xludf.DUMMYFUNCTION("GOOGLETRANSLATE(B1047,""id"",""en"")"),"['Upgrade', 'Bonus',' Quota ',' Until ',' Blom ',' Upgrade ',' Package ',' Internet ',' thousand ',' GB ',' Upgrade ',' Package ',' JDI ',' expensive ',' meaning ',' Tipu ',' Tipu ',' Customer ',' ']")</f>
        <v>['Upgrade', 'Bonus',' Quota ',' Until ',' Blom ',' Upgrade ',' Package ',' Internet ',' thousand ',' GB ',' Upgrade ',' Package ',' JDI ',' expensive ',' meaning ',' Tipu ',' Tipu ',' Customer ',' ']</v>
      </c>
      <c r="D1047" s="3">
        <v>1.0</v>
      </c>
    </row>
    <row r="1048" ht="15.75" customHeight="1">
      <c r="A1048" s="1">
        <v>1046.0</v>
      </c>
      <c r="B1048" s="3" t="s">
        <v>1049</v>
      </c>
      <c r="C1048" s="3" t="str">
        <f>IFERROR(__xludf.DUMMYFUNCTION("GOOGLETRANSLATE(B1048,""id"",""en"")"),"['Bonus',' Employees', 'Salary', 'Employees',' Gedein ',' Service ',' Quality ',' Customers', 'Telkomsel', 'Cards',' Hallo ',' Cards', ' Prepaid ',' Sampe ',' postpaid ',' Uda ',' yrs', 'quality', 'use', 'card', 'use', 'relations',' number ']")</f>
        <v>['Bonus',' Employees', 'Salary', 'Employees',' Gedein ',' Service ',' Quality ',' Customers', 'Telkomsel', 'Cards',' Hallo ',' Cards', ' Prepaid ',' Sampe ',' postpaid ',' Uda ',' yrs', 'quality', 'use', 'card', 'use', 'relations',' number ']</v>
      </c>
      <c r="D1048" s="3">
        <v>1.0</v>
      </c>
    </row>
    <row r="1049" ht="15.75" customHeight="1">
      <c r="A1049" s="1">
        <v>1047.0</v>
      </c>
      <c r="B1049" s="3" t="s">
        <v>1050</v>
      </c>
      <c r="C1049" s="3" t="str">
        <f>IFERROR(__xludf.DUMMYFUNCTION("GOOGLETRANSLATE(B1049,""id"",""en"")"),"['Application', 'BURIK', 'Login', 'Bahun', 'LPGIN', 'appears',' Something ',' Went ',' Wrong ',' Please ',' Try ',' Again ',' After ',' sometime ',' mean ',' cave ',' disappointed ',' Telkomsel ']")</f>
        <v>['Application', 'BURIK', 'Login', 'Bahun', 'LPGIN', 'appears',' Something ',' Went ',' Wrong ',' Please ',' Try ',' Again ',' After ',' sometime ',' mean ',' cave ',' disappointed ',' Telkomsel ']</v>
      </c>
      <c r="D1049" s="3">
        <v>1.0</v>
      </c>
    </row>
    <row r="1050" ht="15.75" customHeight="1">
      <c r="A1050" s="1">
        <v>1048.0</v>
      </c>
      <c r="B1050" s="3" t="s">
        <v>1051</v>
      </c>
      <c r="C1050" s="3" t="str">
        <f>IFERROR(__xludf.DUMMYFUNCTION("GOOGLETRANSLATE(B1050,""id"",""en"")"),"['Fast', 'Handle', 'Min', 'users',' Telkomsel ',' complaints', 'Open', 'APK', 'Telkomsel', 'appears',' Normal ',' Loading ',' UDH ',' refresh ',' error ',' in ',' credit ',' quota ',' package ',' left ',' knapa ',' error ',' class', 'Telkomsel', 'LOOH' , "&amp;"'gini']")</f>
        <v>['Fast', 'Handle', 'Min', 'users',' Telkomsel ',' complaints', 'Open', 'APK', 'Telkomsel', 'appears',' Normal ',' Loading ',' UDH ',' refresh ',' error ',' in ',' credit ',' quota ',' package ',' left ',' knapa ',' error ',' class', 'Telkomsel', 'LOOH' , 'gini']</v>
      </c>
      <c r="D1050" s="3">
        <v>2.0</v>
      </c>
    </row>
    <row r="1051" ht="15.75" customHeight="1">
      <c r="A1051" s="1">
        <v>1049.0</v>
      </c>
      <c r="B1051" s="3" t="s">
        <v>1052</v>
      </c>
      <c r="C1051" s="3" t="str">
        <f>IFERROR(__xludf.DUMMYFUNCTION("GOOGLETRANSLATE(B1051,""id"",""en"")"),"['', 'Download', 'Gabisa', 'Log', 'friend', 'App', 'MASLIAH', 'APK', 'Have', 'Wait', 'Tomorrow', 'right', 'Tomorrow ',' try ',' log ',' gabisa ',' knp ',' ']")</f>
        <v>['', 'Download', 'Gabisa', 'Log', 'friend', 'App', 'MASLIAH', 'APK', 'Have', 'Wait', 'Tomorrow', 'right', 'Tomorrow ',' try ',' log ',' gabisa ',' knp ',' ']</v>
      </c>
      <c r="D1051" s="3">
        <v>2.0</v>
      </c>
    </row>
    <row r="1052" ht="15.75" customHeight="1">
      <c r="A1052" s="1">
        <v>1050.0</v>
      </c>
      <c r="B1052" s="3" t="s">
        <v>1053</v>
      </c>
      <c r="C1052" s="3" t="str">
        <f>IFERROR(__xludf.DUMMYFUNCTION("GOOGLETRANSLATE(B1052,""id"",""en"")"),"['company', 'TPI', 'Application', 'Kayak', 'Application', 'ECE', 'ECE', 'Garbage', 'Login', 'Difficult', 'Very', 'Enter', ' Mending ',' Provider ',' Kayak ',' Gini ',' Poor ',' for ',' Telkomsel ', ""]")</f>
        <v>['company', 'TPI', 'Application', 'Kayak', 'Application', 'ECE', 'ECE', 'Garbage', 'Login', 'Difficult', 'Very', 'Enter', ' Mending ',' Provider ',' Kayak ',' Gini ',' Poor ',' for ',' Telkomsel ', "]</v>
      </c>
      <c r="D1052" s="3">
        <v>1.0</v>
      </c>
    </row>
    <row r="1053" ht="15.75" customHeight="1">
      <c r="A1053" s="1">
        <v>1051.0</v>
      </c>
      <c r="B1053" s="3" t="s">
        <v>1054</v>
      </c>
      <c r="C1053" s="3" t="str">
        <f>IFERROR(__xludf.DUMMYFUNCTION("GOOGLETRANSLATE(B1053,""id"",""en"")"),"['signal', 'difficult', 'Region', 'Mintaragen', 'City', 'Tegal', 'Java', 'Logo', 'Guarantee', 'Quality', 'Sinyal', 'Good', ' plus', 'often', 'problematic', 'application', 'Telkomsel', 'difficult', 'login', 'raises',' display ',' menu ',' intact ',' please"&amp;" ',' he ate ' , 'thank you', '']")</f>
        <v>['signal', 'difficult', 'Region', 'Mintaragen', 'City', 'Tegal', 'Java', 'Logo', 'Guarantee', 'Quality', 'Sinyal', 'Good', ' plus', 'often', 'problematic', 'application', 'Telkomsel', 'difficult', 'login', 'raises',' display ',' menu ',' intact ',' please ',' he ate ' , 'thank you', '']</v>
      </c>
      <c r="D1053" s="3">
        <v>1.0</v>
      </c>
    </row>
    <row r="1054" ht="15.75" customHeight="1">
      <c r="A1054" s="1">
        <v>1052.0</v>
      </c>
      <c r="B1054" s="3" t="s">
        <v>1055</v>
      </c>
      <c r="C1054" s="3" t="str">
        <f>IFERROR(__xludf.DUMMYFUNCTION("GOOGLETRANSLATE(B1054,""id"",""en"")"),"['Telkomsel', 'improvement', 'system', 'yesterday', 'entered', 'application', 'right', 'update', 'the application', 'eehh', 'login', 'reset', ' please ',' repaired ',' easy ',' smooth ',' obstacle ']")</f>
        <v>['Telkomsel', 'improvement', 'system', 'yesterday', 'entered', 'application', 'right', 'update', 'the application', 'eehh', 'login', 'reset', ' please ',' repaired ',' easy ',' smooth ',' obstacle ']</v>
      </c>
      <c r="D1054" s="3">
        <v>1.0</v>
      </c>
    </row>
    <row r="1055" ht="15.75" customHeight="1">
      <c r="A1055" s="1">
        <v>1053.0</v>
      </c>
      <c r="B1055" s="3" t="s">
        <v>1056</v>
      </c>
      <c r="C1055" s="3" t="str">
        <f>IFERROR(__xludf.DUMMYFUNCTION("GOOGLETRANSLATE(B1055,""id"",""en"")"),"['application', 'enter', 'error', 'try', 'all day', 'try', 'bsoknya', 'try', 'ttap', 'kyak', 'so', 'try', ' Update ',' app ',' Msih ',' Delete ',' then ',' Download ',' Ttap ',' smpe ',' skarang ',' try ',' check ',' quota ',' manual ' , 'SMS', 'notificat"&amp;"ion', 'Please', 'Telkomsel', 'How', '']")</f>
        <v>['application', 'enter', 'error', 'try', 'all day', 'try', 'bsoknya', 'try', 'ttap', 'kyak', 'so', 'try', ' Update ',' app ',' Msih ',' Delete ',' then ',' Download ',' Ttap ',' smpe ',' skarang ',' try ',' check ',' quota ',' manual ' , 'SMS', 'notification', 'Please', 'Telkomsel', 'How', '']</v>
      </c>
      <c r="D1055" s="3">
        <v>1.0</v>
      </c>
    </row>
    <row r="1056" ht="15.75" customHeight="1">
      <c r="A1056" s="1">
        <v>1054.0</v>
      </c>
      <c r="B1056" s="3" t="s">
        <v>1057</v>
      </c>
      <c r="C1056" s="3" t="str">
        <f>IFERROR(__xludf.DUMMYFUNCTION("GOOGLETRANSLATE(B1056,""id"",""en"")"),"['Login', 'Credit', 'On', 'card', 'number', 'Enter', 'already', 'right', 'right', 'click', 'Login', 'enter', ' already ',' use ',' telkom ']")</f>
        <v>['Login', 'Credit', 'On', 'card', 'number', 'Enter', 'already', 'right', 'right', 'click', 'Login', 'enter', ' already ',' use ',' telkom ']</v>
      </c>
      <c r="D1056" s="3">
        <v>2.0</v>
      </c>
    </row>
    <row r="1057" ht="15.75" customHeight="1">
      <c r="A1057" s="1">
        <v>1055.0</v>
      </c>
      <c r="B1057" s="3" t="s">
        <v>1058</v>
      </c>
      <c r="C1057" s="3" t="str">
        <f>IFERROR(__xludf.DUMMYFUNCTION("GOOGLETRANSLATE(B1057,""id"",""en"")"),"['Login', 'difficult', 'already', 'input', 'number', 'Login', 'said', 'Something', 'Went', 'Wrong', 'number', 'Bener', ' "", 'Link', 'Verification', 'already', 'Click', 'Tetep', 'said', 'Something', 'Went', 'Wrong', 'already', 'Try', 'Login' , 'Digituin',"&amp;" 'Emotion', 'Unistall', 'Ajalah', 'Application', 'Gajelas', 'Login', 'Difficult', ""]")</f>
        <v>['Login', 'difficult', 'already', 'input', 'number', 'Login', 'said', 'Something', 'Went', 'Wrong', 'number', 'Bener', ' ", 'Link', 'Verification', 'already', 'Click', 'Tetep', 'said', 'Something', 'Went', 'Wrong', 'already', 'Try', 'Login' , 'Digituin', 'Emotion', 'Unistall', 'Ajalah', 'Application', 'Gajelas', 'Login', 'Difficult', "]</v>
      </c>
      <c r="D1057" s="3">
        <v>1.0</v>
      </c>
    </row>
    <row r="1058" ht="15.75" customHeight="1">
      <c r="A1058" s="1">
        <v>1056.0</v>
      </c>
      <c r="B1058" s="3" t="s">
        <v>1059</v>
      </c>
      <c r="C1058" s="3" t="str">
        <f>IFERROR(__xludf.DUMMYFUNCTION("GOOGLETRANSLATE(B1058,""id"",""en"")"),"['Network', 'stable', 'connectivity', 'as fast as',' application ',' mytelkomsel ',' access', 'reload', 'access',' please ',' fix ',' thank ',' love', '']")</f>
        <v>['Network', 'stable', 'connectivity', 'as fast as',' application ',' mytelkomsel ',' access', 'reload', 'access',' please ',' fix ',' thank ',' love', '']</v>
      </c>
      <c r="D1058" s="3">
        <v>1.0</v>
      </c>
    </row>
    <row r="1059" ht="15.75" customHeight="1">
      <c r="A1059" s="1">
        <v>1057.0</v>
      </c>
      <c r="B1059" s="3" t="s">
        <v>1060</v>
      </c>
      <c r="C1059" s="3" t="str">
        <f>IFERROR(__xludf.DUMMYFUNCTION("GOOGLETRANSLATE(B1059,""id"",""en"")"),"['Telkomsel', 'Ngontool', 'Gabisa', 'Enter', 'Telkomsel', 'Something', 'Something', 'Wrong', 'PLIS', 'Try', 'Again', 'Later', ' Crhome ',' Posts', 'Connection', 'Internet', 'Error', 'Ajg']")</f>
        <v>['Telkomsel', 'Ngontool', 'Gabisa', 'Enter', 'Telkomsel', 'Something', 'Something', 'Wrong', 'PLIS', 'Try', 'Again', 'Later', ' Crhome ',' Posts', 'Connection', 'Internet', 'Error', 'Ajg']</v>
      </c>
      <c r="D1059" s="3">
        <v>2.0</v>
      </c>
    </row>
    <row r="1060" ht="15.75" customHeight="1">
      <c r="A1060" s="1">
        <v>1058.0</v>
      </c>
      <c r="B1060" s="3" t="s">
        <v>1061</v>
      </c>
      <c r="C1060" s="3" t="str">
        <f>IFERROR(__xludf.DUMMYFUNCTION("GOOGLETRANSLATE(B1060,""id"",""en"")"),"['App', 'Dri', 'Yesterday', 'opened', 'Suggest', 'Something', 'Went', 'Wrong', 'pls',' try ',' Again ',' that's', ' The server ',' broken ',' GMN ',' buy ',' pulse ',' quota ',' emang ',' intention ',' app ',' USA ',' meapa ',' troublesome ',' user ' , 'H"&amp;"is name']")</f>
        <v>['App', 'Dri', 'Yesterday', 'opened', 'Suggest', 'Something', 'Went', 'Wrong', 'pls',' try ',' Again ',' that's', ' The server ',' broken ',' GMN ',' buy ',' pulse ',' quota ',' emang ',' intention ',' app ',' USA ',' meapa ',' troublesome ',' user ' , 'His name']</v>
      </c>
      <c r="D1060" s="3">
        <v>1.0</v>
      </c>
    </row>
    <row r="1061" ht="15.75" customHeight="1">
      <c r="A1061" s="1">
        <v>1059.0</v>
      </c>
      <c r="B1061" s="3" t="s">
        <v>1062</v>
      </c>
      <c r="C1061" s="3" t="str">
        <f>IFERROR(__xludf.DUMMYFUNCTION("GOOGLETRANSLATE(B1061,""id"",""en"")"),"['problem', 'open', 'APK', 'network', 'smooth', 'open', 'sites',' sites', 'apk', 'apk', 'Telkomsel', 'Cman', ' JDI ',' Display ',' Doang ',' Troubled ',' Opened ']")</f>
        <v>['problem', 'open', 'APK', 'network', 'smooth', 'open', 'sites',' sites', 'apk', 'apk', 'Telkomsel', 'Cman', ' JDI ',' Display ',' Doang ',' Troubled ',' Opened ']</v>
      </c>
      <c r="D1061" s="3">
        <v>1.0</v>
      </c>
    </row>
    <row r="1062" ht="15.75" customHeight="1">
      <c r="A1062" s="1">
        <v>1060.0</v>
      </c>
      <c r="B1062" s="3" t="s">
        <v>1063</v>
      </c>
      <c r="C1062" s="3" t="str">
        <f>IFERROR(__xludf.DUMMYFUNCTION("GOOGLETRANSLATE(B1062,""id"",""en"")"),"['Cave', 'Ngerti', 'quota', 'giga', 'survive', 'cave', 'use', 'quota', 'right', 'office', 'doang', 'use', ' Main ',' doang ',' trs', 'palingan', 'listen', 'radio', 'online', 'right', 'jogging', 'doang', 'and then', 'times',' the rest ' , 'cave', 'wifi', '"&amp;"Sue', 'yesterday', 'right', 'jogging', 'listen', 'radio', 'online', 'abis',' quota ',' giga ',' Wonder ',' cave ',' surprised ',' severe ',' really ',' signal ',' rich ',' provider ',' born ',' plendak ',' plenduk ',' koyo ',' telek ' , '']")</f>
        <v>['Cave', 'Ngerti', 'quota', 'giga', 'survive', 'cave', 'use', 'quota', 'right', 'office', 'doang', 'use', ' Main ',' doang ',' trs', 'palingan', 'listen', 'radio', 'online', 'right', 'jogging', 'doang', 'and then', 'times',' the rest ' , 'cave', 'wifi', 'Sue', 'yesterday', 'right', 'jogging', 'listen', 'radio', 'online', 'abis',' quota ',' giga ',' Wonder ',' cave ',' surprised ',' severe ',' really ',' signal ',' rich ',' provider ',' born ',' plendak ',' plenduk ',' koyo ',' telek ' , '']</v>
      </c>
      <c r="D1062" s="3">
        <v>1.0</v>
      </c>
    </row>
    <row r="1063" ht="15.75" customHeight="1">
      <c r="A1063" s="1">
        <v>1061.0</v>
      </c>
      <c r="B1063" s="3" t="s">
        <v>1064</v>
      </c>
      <c r="C1063" s="3" t="str">
        <f>IFERROR(__xludf.DUMMYFUNCTION("GOOGLETRANSLATE(B1063,""id"",""en"")"),"['Actually', 'APK', 'good', 'gabisa', 'open', 'apk', 'already', 'refresh', 'ttp', 'gabisa', 'trs',' internet ',' Telkomsel ',' slow ',' Polll ',' Please ',' Help ',' Thank ',' Love ']")</f>
        <v>['Actually', 'APK', 'good', 'gabisa', 'open', 'apk', 'already', 'refresh', 'ttp', 'gabisa', 'trs',' internet ',' Telkomsel ',' slow ',' Polll ',' Please ',' Help ',' Thank ',' Love ']</v>
      </c>
      <c r="D1063" s="3">
        <v>2.0</v>
      </c>
    </row>
    <row r="1064" ht="15.75" customHeight="1">
      <c r="A1064" s="1">
        <v>1062.0</v>
      </c>
      <c r="B1064" s="3" t="s">
        <v>1065</v>
      </c>
      <c r="C1064" s="3" t="str">
        <f>IFERROR(__xludf.DUMMYFUNCTION("GOOGLETRANSLATE(B1064,""id"",""en"")"),"['Min', 'Login', 'Telkomsel', 'Constraints', 'Network', 'Download', 'Game', 'Current', 'Login']")</f>
        <v>['Min', 'Login', 'Telkomsel', 'Constraints', 'Network', 'Download', 'Game', 'Current', 'Login']</v>
      </c>
      <c r="D1064" s="3">
        <v>1.0</v>
      </c>
    </row>
    <row r="1065" ht="15.75" customHeight="1">
      <c r="A1065" s="1">
        <v>1063.0</v>
      </c>
      <c r="B1065" s="3" t="s">
        <v>1066</v>
      </c>
      <c r="C1065" s="3" t="str">
        <f>IFERROR(__xludf.DUMMYFUNCTION("GOOGLETRANSLATE(B1065,""id"",""en"")"),"['MyTelkomsel', 'Yesterday', 'appears',' notification ',' Try ',' Update ',' Wear ',' Card ',' Register ',' Domor ',' Only ',' Error ',' Enter ',' notification ',' please ',' yaa ',' like ',' the application ',' obstacle ',' comfortable ',' use it ', ""]")</f>
        <v>['MyTelkomsel', 'Yesterday', 'appears',' notification ',' Try ',' Update ',' Wear ',' Card ',' Register ',' Domor ',' Only ',' Error ',' Enter ',' notification ',' please ',' yaa ',' like ',' the application ',' obstacle ',' comfortable ',' use it ', "]</v>
      </c>
      <c r="D1065" s="3">
        <v>4.0</v>
      </c>
    </row>
    <row r="1066" ht="15.75" customHeight="1">
      <c r="A1066" s="1">
        <v>1064.0</v>
      </c>
      <c r="B1066" s="3" t="s">
        <v>1067</v>
      </c>
      <c r="C1066" s="3" t="str">
        <f>IFERROR(__xludf.DUMMYFUNCTION("GOOGLETRANSLATE(B1066,""id"",""en"")"),"['annoyed', 'login', 'account', 'enter', 'number', 'cellphone', 'frefikasi', 'please', 'fix', 'app', 'please', 'check', ' Credit ',' Restore ']")</f>
        <v>['annoyed', 'login', 'account', 'enter', 'number', 'cellphone', 'frefikasi', 'please', 'fix', 'app', 'please', 'check', ' Credit ',' Restore ']</v>
      </c>
      <c r="D1066" s="3">
        <v>2.0</v>
      </c>
    </row>
    <row r="1067" ht="15.75" customHeight="1">
      <c r="A1067" s="1">
        <v>1065.0</v>
      </c>
      <c r="B1067" s="3" t="s">
        <v>1068</v>
      </c>
      <c r="C1067" s="3" t="str">
        <f>IFERROR(__xludf.DUMMYFUNCTION("GOOGLETRANSLATE(B1067,""id"",""en"")"),"['Application', 'Error', 'Reset', 'Install', 'Reset', 'Application', 'Error', 'Daat', 'Opened', 'Signal', 'Good', 'Application', ' opened ',' error ',' check ',' pulse ',' quota ',' haaah ',' application ',' the application ',' error ', ""]")</f>
        <v>['Application', 'Error', 'Reset', 'Install', 'Reset', 'Application', 'Error', 'Daat', 'Opened', 'Signal', 'Good', 'Application', ' opened ',' error ',' check ',' pulse ',' quota ',' haaah ',' application ',' the application ',' error ', "]</v>
      </c>
      <c r="D1067" s="3">
        <v>1.0</v>
      </c>
    </row>
    <row r="1068" ht="15.75" customHeight="1">
      <c r="A1068" s="1">
        <v>1066.0</v>
      </c>
      <c r="B1068" s="3" t="s">
        <v>1069</v>
      </c>
      <c r="C1068" s="3" t="str">
        <f>IFERROR(__xludf.DUMMYFUNCTION("GOOGLETRANSLATE(B1068,""id"",""en"")"),"['please', 'Telkomsel', 'sampek', 'klw', 'already', 'apk', 'difficult', 'enter', 'login', 'link', 'login', 'TPI', ' ']")</f>
        <v>['please', 'Telkomsel', 'sampek', 'klw', 'already', 'apk', 'difficult', 'enter', 'login', 'link', 'login', 'TPI', ' ']</v>
      </c>
      <c r="D1068" s="3">
        <v>1.0</v>
      </c>
    </row>
    <row r="1069" ht="15.75" customHeight="1">
      <c r="A1069" s="1">
        <v>1067.0</v>
      </c>
      <c r="B1069" s="3" t="s">
        <v>1070</v>
      </c>
      <c r="C1069" s="3" t="str">
        <f>IFERROR(__xludf.DUMMYFUNCTION("GOOGLETRANSLATE(B1069,""id"",""en"")"),"['difficult', 'untul', 'login', 'application', 'quota', 'failed', 'login', 'here', 'disappointed', 'application', 'hard', 'forgiveness',' Please ',' Developer ',' Update ',' Repaired ',' Error ',' Thank "", 'Love',""]")</f>
        <v>['difficult', 'untul', 'login', 'application', 'quota', 'failed', 'login', 'here', 'disappointed', 'application', 'hard', 'forgiveness',' Please ',' Developer ',' Update ',' Repaired ',' Error ',' Thank ", 'Love',"]</v>
      </c>
      <c r="D1069" s="3">
        <v>1.0</v>
      </c>
    </row>
    <row r="1070" ht="15.75" customHeight="1">
      <c r="A1070" s="1">
        <v>1068.0</v>
      </c>
      <c r="B1070" s="3" t="s">
        <v>1071</v>
      </c>
      <c r="C1070" s="3" t="str">
        <f>IFERROR(__xludf.DUMMYFUNCTION("GOOGLETRANSLATE(B1070,""id"",""en"")"),"['used', 'appears', 'Something', 'Wents', 'Wrong', 'blah', 'blah', 'blah', 'connection', 'internet', 'smooth', 'please' Repaired ',' Trims', '']")</f>
        <v>['used', 'appears', 'Something', 'Wents', 'Wrong', 'blah', 'blah', 'blah', 'connection', 'internet', 'smooth', 'please' Repaired ',' Trims', '']</v>
      </c>
      <c r="D1070" s="3">
        <v>1.0</v>
      </c>
    </row>
    <row r="1071" ht="15.75" customHeight="1">
      <c r="A1071" s="1">
        <v>1069.0</v>
      </c>
      <c r="B1071" s="3" t="s">
        <v>1072</v>
      </c>
      <c r="C1071" s="3" t="str">
        <f>IFERROR(__xludf.DUMMYFUNCTION("GOOGLETRANSLATE(B1071,""id"",""en"")"),"['update', 'tasty', 'obstacle', 'yesterday', 'difficult', 'bed', 'opened', 'tried', 'wife', 'opened', 'buy', 'pulse', ' Package ',' data ',' Telkomsel ',' please ',' fix ',' ']")</f>
        <v>['update', 'tasty', 'obstacle', 'yesterday', 'difficult', 'bed', 'opened', 'tried', 'wife', 'opened', 'buy', 'pulse', ' Package ',' data ',' Telkomsel ',' please ',' fix ',' ']</v>
      </c>
      <c r="D1071" s="3">
        <v>2.0</v>
      </c>
    </row>
    <row r="1072" ht="15.75" customHeight="1">
      <c r="A1072" s="1">
        <v>1070.0</v>
      </c>
      <c r="B1072" s="3" t="s">
        <v>1073</v>
      </c>
      <c r="C1072" s="3" t="str">
        <f>IFERROR(__xludf.DUMMYFUNCTION("GOOGLETRANSLATE(B1072,""id"",""en"")"),"['Hello', 'Telkomsel', 'Signal', 'ugly', 'Since', 'Corona', 'Karna', 'Employee', 'WFH', 'Signal', 'Kayak', 'Gini', ' people ',' users', 'Telkomsel', 'moved', 'operator', 'comfortable', 'operator', 'remote', 'Javanese', 'West', 'forgiveness',' Sinynya ',' "&amp;"severe ' , 'quality', 'internet', 'bad', 'please', 'fast', 'fix', 'quality', 'signal', 'telephone', 'internet', 'user', 'disappointed']")</f>
        <v>['Hello', 'Telkomsel', 'Signal', 'ugly', 'Since', 'Corona', 'Karna', 'Employee', 'WFH', 'Signal', 'Kayak', 'Gini', ' people ',' users', 'Telkomsel', 'moved', 'operator', 'comfortable', 'operator', 'remote', 'Javanese', 'West', 'forgiveness',' Sinynya ',' severe ' , 'quality', 'internet', 'bad', 'please', 'fast', 'fix', 'quality', 'signal', 'telephone', 'internet', 'user', 'disappointed']</v>
      </c>
      <c r="D1072" s="3">
        <v>2.0</v>
      </c>
    </row>
    <row r="1073" ht="15.75" customHeight="1">
      <c r="A1073" s="1">
        <v>1071.0</v>
      </c>
      <c r="B1073" s="3" t="s">
        <v>1074</v>
      </c>
      <c r="C1073" s="3" t="str">
        <f>IFERROR(__xludf.DUMMYFUNCTION("GOOGLETRANSLATE(B1073,""id"",""en"")"),"['application', 'error', 'please', 'fix', 'buy', 'quota', 'monthly', 'mytelkomsel', 'like', 'udh', 'good', 'ntr', ' Stars', 'Edit', 'Thank you', ""]")</f>
        <v>['application', 'error', 'please', 'fix', 'buy', 'quota', 'monthly', 'mytelkomsel', 'like', 'udh', 'good', 'ntr', ' Stars', 'Edit', 'Thank you', "]</v>
      </c>
      <c r="D1073" s="3">
        <v>1.0</v>
      </c>
    </row>
    <row r="1074" ht="15.75" customHeight="1">
      <c r="A1074" s="1">
        <v>1072.0</v>
      </c>
      <c r="B1074" s="3" t="s">
        <v>1075</v>
      </c>
      <c r="C1074" s="3" t="str">
        <f>IFERROR(__xludf.DUMMYFUNCTION("GOOGLETRANSLATE(B1074,""id"",""en"")"),"['luck', 'belom', 'downlod', 'so', 'complaints',' comment ',' star ',' Telkomsel ',' network ',' slow ',' village ',' comfortable ',' bad', '']")</f>
        <v>['luck', 'belom', 'downlod', 'so', 'complaints',' comment ',' star ',' Telkomsel ',' network ',' slow ',' village ',' comfortable ',' bad', '']</v>
      </c>
      <c r="D1074" s="3">
        <v>1.0</v>
      </c>
    </row>
    <row r="1075" ht="15.75" customHeight="1">
      <c r="A1075" s="1">
        <v>1073.0</v>
      </c>
      <c r="B1075" s="3" t="s">
        <v>1076</v>
      </c>
      <c r="C1075" s="3" t="str">
        <f>IFERROR(__xludf.DUMMYFUNCTION("GOOGLETRANSLATE(B1075,""id"",""en"")"),"['Disappointed', 'Download', 'Application', 'Opened', 'Opened', 'Muter', 'Doang', 'Network', 'Area', 'Good', 'Open', 'Application', ' already ',' package ',' expensive ',' fix ',' network ',' looked ',' luck ',' doang ',' plisss', 'please', 'repaired', """&amp;"]")</f>
        <v>['Disappointed', 'Download', 'Application', 'Opened', 'Opened', 'Muter', 'Doang', 'Network', 'Area', 'Good', 'Open', 'Application', ' already ',' package ',' expensive ',' fix ',' network ',' looked ',' luck ',' doang ',' plisss', 'please', 'repaired', "]</v>
      </c>
      <c r="D1075" s="3">
        <v>1.0</v>
      </c>
    </row>
    <row r="1076" ht="15.75" customHeight="1">
      <c r="A1076" s="1">
        <v>1074.0</v>
      </c>
      <c r="B1076" s="3" t="s">
        <v>1077</v>
      </c>
      <c r="C1076" s="3" t="str">
        <f>IFERROR(__xludf.DUMMYFUNCTION("GOOGLETRANSLATE(B1076,""id"",""en"")"),"['difficult', 'log', 'quota', 'stay', 'log', 'answer', 'error', 'number', 'entered', ""]")</f>
        <v>['difficult', 'log', 'quota', 'stay', 'log', 'answer', 'error', 'number', 'entered', "]</v>
      </c>
      <c r="D1076" s="3">
        <v>2.0</v>
      </c>
    </row>
    <row r="1077" ht="15.75" customHeight="1">
      <c r="A1077" s="1">
        <v>1075.0</v>
      </c>
      <c r="B1077" s="3" t="s">
        <v>1078</v>
      </c>
      <c r="C1077" s="3" t="str">
        <f>IFERROR(__xludf.DUMMYFUNCTION("GOOGLETRANSLATE(B1077,""id"",""en"")"),"['Woy', 'Telkomsel', 'app', 'Telkomsel', 'yesterday', 'open', 'write', 'error', 'connection', 'mulu', 'quota', 'open', ' App ',' smooth ',' Open ',' App ',' Telkomsel ',' Doang ',' Troubled ', ""]")</f>
        <v>['Woy', 'Telkomsel', 'app', 'Telkomsel', 'yesterday', 'open', 'write', 'error', 'connection', 'mulu', 'quota', 'open', ' App ',' smooth ',' Open ',' App ',' Telkomsel ',' Doang ',' Troubled ', "]</v>
      </c>
      <c r="D1077" s="3">
        <v>2.0</v>
      </c>
    </row>
    <row r="1078" ht="15.75" customHeight="1">
      <c r="A1078" s="1">
        <v>1076.0</v>
      </c>
      <c r="B1078" s="3" t="s">
        <v>1079</v>
      </c>
      <c r="C1078" s="3" t="str">
        <f>IFERROR(__xludf.DUMMYFUNCTION("GOOGLETRANSLATE(B1078,""id"",""en"")"),"['really', 'trouble', 'application', 'Telkomsel', 'buy', 'quota', 'check', 'quota', 'easy', 'check', 'quota', 'buy', ' Quota ',' fast ',' questionnaire ',' apk ',' Telkomsel ',' fix ',' service ',' quality ',' hopefully ',' future ',' enhanced ',' quality"&amp;" ',' service ' , 'Application', 'MyTelkomsel', 'spirit', '']")</f>
        <v>['really', 'trouble', 'application', 'Telkomsel', 'buy', 'quota', 'check', 'quota', 'easy', 'check', 'quota', 'buy', ' Quota ',' fast ',' questionnaire ',' apk ',' Telkomsel ',' fix ',' service ',' quality ',' hopefully ',' future ',' enhanced ',' quality ',' service ' , 'Application', 'MyTelkomsel', 'spirit', '']</v>
      </c>
      <c r="D1078" s="3">
        <v>2.0</v>
      </c>
    </row>
    <row r="1079" ht="15.75" customHeight="1">
      <c r="A1079" s="1">
        <v>1077.0</v>
      </c>
      <c r="B1079" s="3" t="s">
        <v>1080</v>
      </c>
      <c r="C1079" s="3" t="str">
        <f>IFERROR(__xludf.DUMMYFUNCTION("GOOGLETRANSLATE(B1079,""id"",""en"")"),"['Application', 'Mytsel', 'Sya', 'opened', 'update', 'please', 'updated', 'service', 'signal', 'a week', 'stable', 'ugly', ' ']")</f>
        <v>['Application', 'Mytsel', 'Sya', 'opened', 'update', 'please', 'updated', 'service', 'signal', 'a week', 'stable', 'ugly', ' ']</v>
      </c>
      <c r="D1079" s="3">
        <v>1.0</v>
      </c>
    </row>
    <row r="1080" ht="15.75" customHeight="1">
      <c r="A1080" s="1">
        <v>1078.0</v>
      </c>
      <c r="B1080" s="3" t="s">
        <v>1081</v>
      </c>
      <c r="C1080" s="3" t="str">
        <f>IFERROR(__xludf.DUMMYFUNCTION("GOOGLETRANSLATE(B1080,""id"",""en"")"),"['ksh', 'star', 'because', 'buy', 'package', 'unlimited', 'TPI', 'buffering', 'dipke', 'network', 'then' signal ',' good ',' leftover ',' pulses', 'take', 'buy', 'a day', 'smooth', 'TPI', 'Dipke', 'please', 'repaired', 'yaa', 'Telkomsel' , 'JDI', 'Severe'"&amp;", 'Gini', ""]")</f>
        <v>['ksh', 'star', 'because', 'buy', 'package', 'unlimited', 'TPI', 'buffering', 'dipke', 'network', 'then' signal ',' good ',' leftover ',' pulses', 'take', 'buy', 'a day', 'smooth', 'TPI', 'Dipke', 'please', 'repaired', 'yaa', 'Telkomsel' , 'JDI', 'Severe', 'Gini', "]</v>
      </c>
      <c r="D1080" s="3">
        <v>1.0</v>
      </c>
    </row>
    <row r="1081" ht="15.75" customHeight="1">
      <c r="A1081" s="1">
        <v>1079.0</v>
      </c>
      <c r="B1081" s="3" t="s">
        <v>1082</v>
      </c>
      <c r="C1081" s="3" t="str">
        <f>IFERROR(__xludf.DUMMYFUNCTION("GOOGLETRANSLATE(B1081,""id"",""en"")"),"['connection', 'price', 'package', 'according to', 'connection', 'wasteful', 'drop', 'ping', 'tal', 'stable', 'price', 'package', ' exorbitant ',' the application ',' really ',' error ',' application ',' login ',' emang ',' because 'ram', 'strong', 'appli"&amp;"cation', 'provider', 'only' , 'normal']")</f>
        <v>['connection', 'price', 'package', 'according to', 'connection', 'wasteful', 'drop', 'ping', 'tal', 'stable', 'price', 'package', ' exorbitant ',' the application ',' really ',' error ',' application ',' login ',' emang ',' because 'ram', 'strong', 'application', 'provider', 'only' , 'normal']</v>
      </c>
      <c r="D1081" s="3">
        <v>1.0</v>
      </c>
    </row>
    <row r="1082" ht="15.75" customHeight="1">
      <c r="A1082" s="1">
        <v>1080.0</v>
      </c>
      <c r="B1082" s="3" t="s">
        <v>1083</v>
      </c>
      <c r="C1082" s="3" t="str">
        <f>IFERROR(__xludf.DUMMYFUNCTION("GOOGLETRANSLATE(B1082,""id"",""en"")"),"['week', 'Telkomsel', 'slow', 'signal', 'iyah', 'pdahal', 'week', 'yesterday', 'rich', 'giinih', 'check', 'quota', ' Telkomsel ',' difficult ',' forgiveness', 'Dahh', 'please', 'Udh', 'Telkom', 'appreciate', 'thank', 'love']")</f>
        <v>['week', 'Telkomsel', 'slow', 'signal', 'iyah', 'pdahal', 'week', 'yesterday', 'rich', 'giinih', 'check', 'quota', ' Telkomsel ',' difficult ',' forgiveness', 'Dahh', 'please', 'Udh', 'Telkom', 'appreciate', 'thank', 'love']</v>
      </c>
      <c r="D1082" s="3">
        <v>2.0</v>
      </c>
    </row>
    <row r="1083" ht="15.75" customHeight="1">
      <c r="A1083" s="1">
        <v>1081.0</v>
      </c>
      <c r="B1083" s="3" t="s">
        <v>1084</v>
      </c>
      <c r="C1083" s="3" t="str">
        <f>IFERROR(__xludf.DUMMYFUNCTION("GOOGLETRANSLATE(B1083,""id"",""en"")"),"['Disappointed', 'really', 'Telkomsel', 'already', 'log', 'number', 'apk', 'pdahal', 'apk', 'ter', 'update', 'please', ' repair', '']")</f>
        <v>['Disappointed', 'really', 'Telkomsel', 'already', 'log', 'number', 'apk', 'pdahal', 'apk', 'ter', 'update', 'please', ' repair', '']</v>
      </c>
      <c r="D1083" s="3">
        <v>1.0</v>
      </c>
    </row>
    <row r="1084" ht="15.75" customHeight="1">
      <c r="A1084" s="1">
        <v>1082.0</v>
      </c>
      <c r="B1084" s="3" t="s">
        <v>1085</v>
      </c>
      <c r="C1084" s="3" t="str">
        <f>IFERROR(__xludf.DUMMYFUNCTION("GOOGLETRANSLATE(B1084,""id"",""en"")"),"['buy', 'Package', 'payment', 'told', 'Try', 'Something', 'Went', 'Wrong', 'Please', 'try', 'Again', 'After', ' sometime ',' malem ',' please ',' help ',' uninstall ',' then ',' install ',' reset ',' enter ',' login ',' google ',' link ',' can ' , 'Enter'"&amp;", 'please', 'explanation', 'help', 'Telkomsel', 'already', 'smooth', 'love', 'star', ""]")</f>
        <v>['buy', 'Package', 'payment', 'told', 'Try', 'Something', 'Went', 'Wrong', 'Please', 'try', 'Again', 'After', ' sometime ',' malem ',' please ',' help ',' uninstall ',' then ',' install ',' reset ',' enter ',' login ',' google ',' link ',' can ' , 'Enter', 'please', 'explanation', 'help', 'Telkomsel', 'already', 'smooth', 'love', 'star', "]</v>
      </c>
      <c r="D1084" s="3">
        <v>3.0</v>
      </c>
    </row>
    <row r="1085" ht="15.75" customHeight="1">
      <c r="A1085" s="1">
        <v>1083.0</v>
      </c>
      <c r="B1085" s="3" t="s">
        <v>1086</v>
      </c>
      <c r="C1085" s="3" t="str">
        <f>IFERROR(__xludf.DUMMYFUNCTION("GOOGLETRANSLATE(B1085,""id"",""en"")"),"['yaaa', 'look', 'white', 'writing', 'sorry', 'something', 'wrong', 'log', 'reset', 'so', 'connection', 'slow', ' Duuh ',' Reduce ',' Star ']")</f>
        <v>['yaaa', 'look', 'white', 'writing', 'sorry', 'something', 'wrong', 'log', 'reset', 'so', 'connection', 'slow', ' Duuh ',' Reduce ',' Star ']</v>
      </c>
      <c r="D1085" s="3">
        <v>3.0</v>
      </c>
    </row>
    <row r="1086" ht="15.75" customHeight="1">
      <c r="A1086" s="1">
        <v>1084.0</v>
      </c>
      <c r="B1086" s="3" t="s">
        <v>1087</v>
      </c>
      <c r="C1086" s="3" t="str">
        <f>IFERROR(__xludf.DUMMYFUNCTION("GOOGLETRANSLATE(B1086,""id"",""en"")"),"['The application', 'no', 'repaired', 'times',' download ',' reset ',' entry ',' JT ',' downloaded ',' Iyalah ',' the application ',' error ',' installed ',' reset ',' entered ',' repaired ',' already ',' package ',' expensive ',' error ',' shy ',' shame "&amp;"',' employee ',' Telkomsel ',' love ' , 'Rating', '']")</f>
        <v>['The application', 'no', 'repaired', 'times',' download ',' reset ',' entry ',' JT ',' downloaded ',' Iyalah ',' the application ',' error ',' installed ',' reset ',' entered ',' repaired ',' already ',' package ',' expensive ',' error ',' shy ',' shame ',' employee ',' Telkomsel ',' love ' , 'Rating', '']</v>
      </c>
      <c r="D1086" s="3">
        <v>1.0</v>
      </c>
    </row>
    <row r="1087" ht="15.75" customHeight="1">
      <c r="A1087" s="1">
        <v>1085.0</v>
      </c>
      <c r="B1087" s="3" t="s">
        <v>1088</v>
      </c>
      <c r="C1087" s="3" t="str">
        <f>IFERROR(__xludf.DUMMYFUNCTION("GOOGLETRANSLATE(B1087,""id"",""en"")"),"['version', 'latest', 'Force', 'Close', 'opened', 'version', 'normal', 'use', 'iPhone', 'please', 'repaired', 'min', ' Used ',' ']")</f>
        <v>['version', 'latest', 'Force', 'Close', 'opened', 'version', 'normal', 'use', 'iPhone', 'please', 'repaired', 'min', ' Used ',' ']</v>
      </c>
      <c r="D1087" s="3">
        <v>1.0</v>
      </c>
    </row>
    <row r="1088" ht="15.75" customHeight="1">
      <c r="A1088" s="1">
        <v>1086.0</v>
      </c>
      <c r="B1088" s="3" t="s">
        <v>1089</v>
      </c>
      <c r="C1088" s="3" t="str">
        <f>IFERROR(__xludf.DUMMYFUNCTION("GOOGLETRANSLATE(B1088,""id"",""en"")"),"['expensive', 'Package', 'MyTelkomsel', 'choice', 'Package', 'RB', 'Package', 'Cheap', 'Under', 'RB', 'Student', 'earn', ' aka ',' unemployed ',' can ',' month ',' package ',' mhal ',' bnget ',' please ',' Telkomsel ',' is home ',' package ', ""]")</f>
        <v>['expensive', 'Package', 'MyTelkomsel', 'choice', 'Package', 'RB', 'Package', 'Cheap', 'Under', 'RB', 'Student', 'earn', ' aka ',' unemployed ',' can ',' month ',' package ',' mhal ',' bnget ',' please ',' Telkomsel ',' is home ',' package ', "]</v>
      </c>
      <c r="D1088" s="3">
        <v>2.0</v>
      </c>
    </row>
    <row r="1089" ht="15.75" customHeight="1">
      <c r="A1089" s="1">
        <v>1087.0</v>
      </c>
      <c r="B1089" s="3" t="s">
        <v>1090</v>
      </c>
      <c r="C1089" s="3" t="str">
        <f>IFERROR(__xludf.DUMMYFUNCTION("GOOGLETRANSLATE(B1089,""id"",""en"")"),"['contents',' voucher ',' Telkomsel ',' obstacles', 'write', 'sorry', 'voucher', 'region', 'area', 'country', 'love', 'as soon as possible Min ',' ']")</f>
        <v>['contents',' voucher ',' Telkomsel ',' obstacles', 'write', 'sorry', 'voucher', 'region', 'area', 'country', 'love', 'as soon as possible Min ',' ']</v>
      </c>
      <c r="D1089" s="3">
        <v>1.0</v>
      </c>
    </row>
    <row r="1090" ht="15.75" customHeight="1">
      <c r="A1090" s="1">
        <v>1088.0</v>
      </c>
      <c r="B1090" s="3" t="s">
        <v>1091</v>
      </c>
      <c r="C1090" s="3" t="str">
        <f>IFERROR(__xludf.DUMMYFUNCTION("GOOGLETRANSLATE(B1090,""id"",""en"")"),"['buy', 'pulse', 'right', 'application', 'broken', 'difficult', 'buy', 'xblabla', 'changed', 'change', 'package', 'traveling', ' aaah ',' parents', 'binun', 'need', 'telephone', 'internet', 'try', 'broken']")</f>
        <v>['buy', 'pulse', 'right', 'application', 'broken', 'difficult', 'buy', 'xblabla', 'changed', 'change', 'package', 'traveling', ' aaah ',' parents', 'binun', 'need', 'telephone', 'internet', 'try', 'broken']</v>
      </c>
      <c r="D1090" s="3">
        <v>1.0</v>
      </c>
    </row>
    <row r="1091" ht="15.75" customHeight="1">
      <c r="A1091" s="1">
        <v>1089.0</v>
      </c>
      <c r="B1091" s="3" t="s">
        <v>1092</v>
      </c>
      <c r="C1091" s="3" t="str">
        <f>IFERROR(__xludf.DUMMYFUNCTION("GOOGLETRANSLATE(B1091,""id"",""en"")"),"['already', 'week', 'login', 'notification', 'quota', 'internet', 'run out', 'real', 'buy', 'package', 'unlimited', 'GB', ' price ',' rb ',' waaahh ',' disappointed ',' teach ',' online ',' quota ',' loss', 'kak']")</f>
        <v>['already', 'week', 'login', 'notification', 'quota', 'internet', 'run out', 'real', 'buy', 'package', 'unlimited', 'GB', ' price ',' rb ',' waaahh ',' disappointed ',' teach ',' online ',' quota ',' loss', 'kak']</v>
      </c>
      <c r="D1091" s="3">
        <v>1.0</v>
      </c>
    </row>
    <row r="1092" ht="15.75" customHeight="1">
      <c r="A1092" s="1">
        <v>1090.0</v>
      </c>
      <c r="B1092" s="3" t="s">
        <v>1093</v>
      </c>
      <c r="C1092" s="3" t="str">
        <f>IFERROR(__xludf.DUMMYFUNCTION("GOOGLETRANSLATE(B1092,""id"",""en"")"),"['Most', 'sorry', 'brother', 'comfort', 'taik', 'change', 'list', 'entry', 'number', 'telkom', 'conslet']")</f>
        <v>['Most', 'sorry', 'brother', 'comfort', 'taik', 'change', 'list', 'entry', 'number', 'telkom', 'conslet']</v>
      </c>
      <c r="D1092" s="3">
        <v>1.0</v>
      </c>
    </row>
    <row r="1093" ht="15.75" customHeight="1">
      <c r="A1093" s="1">
        <v>1091.0</v>
      </c>
      <c r="B1093" s="3" t="s">
        <v>1094</v>
      </c>
      <c r="C1093" s="3" t="str">
        <f>IFERROR(__xludf.DUMMYFUNCTION("GOOGLETRANSLATE(B1093,""id"",""en"")"),"['Date', 'January', 'MyTelkomsel', 'access', 'user', 'service', 'package', 'to' Youtube ',' unlimited ',' access ',' MyTelkomsel ',' Please ',' solution ']")</f>
        <v>['Date', 'January', 'MyTelkomsel', 'access', 'user', 'service', 'package', 'to' Youtube ',' unlimited ',' access ',' MyTelkomsel ',' Please ',' solution ']</v>
      </c>
      <c r="D1093" s="3">
        <v>3.0</v>
      </c>
    </row>
    <row r="1094" ht="15.75" customHeight="1">
      <c r="A1094" s="1">
        <v>1092.0</v>
      </c>
      <c r="B1094" s="3" t="s">
        <v>1095</v>
      </c>
      <c r="C1094" s="3" t="str">
        <f>IFERROR(__xludf.DUMMYFUNCTION("GOOGLETRANSLATE(B1094,""id"",""en"")"),"['', 'No', 'Telkomsel', 'Signal', 'Severe', 'Lost', 'Know', 'Telkomsel', 'Faithful', 'Bad', 'Fix', 'Star', "" ]")</f>
        <v>['', 'No', 'Telkomsel', 'Signal', 'Severe', 'Lost', 'Know', 'Telkomsel', 'Faithful', 'Bad', 'Fix', 'Star', " ]</v>
      </c>
      <c r="D1094" s="3">
        <v>1.0</v>
      </c>
    </row>
    <row r="1095" ht="15.75" customHeight="1">
      <c r="A1095" s="1">
        <v>1093.0</v>
      </c>
      <c r="B1095" s="3" t="s">
        <v>1096</v>
      </c>
      <c r="C1095" s="3" t="str">
        <f>IFERROR(__xludf.DUMMYFUNCTION("GOOGLETRANSLATE(B1095,""id"",""en"")"),"['Yesterday', 'Afternoon', 'Until', 'Open', 'Telkomsel', 'Yaa', 'Reasons',' Internet ',' Stable ',' Mulu ',' Network ',' wifi ',' Package ',' data ',' open ',' application ',' Telkomsel ',' ']")</f>
        <v>['Yesterday', 'Afternoon', 'Until', 'Open', 'Telkomsel', 'Yaa', 'Reasons',' Internet ',' Stable ',' Mulu ',' Network ',' wifi ',' Package ',' data ',' open ',' application ',' Telkomsel ',' ']</v>
      </c>
      <c r="D1095" s="3">
        <v>2.0</v>
      </c>
    </row>
    <row r="1096" ht="15.75" customHeight="1">
      <c r="A1096" s="1">
        <v>1094.0</v>
      </c>
      <c r="B1096" s="3" t="s">
        <v>1097</v>
      </c>
      <c r="C1096" s="3" t="str">
        <f>IFERROR(__xludf.DUMMYFUNCTION("GOOGLETRANSLATE(B1096,""id"",""en"")"),"['SLMT', 'MANAGI', 'MIMINN', 'APK', 'Telkomsel', 'Erorpr', 'Loggin', 'Errr', 'Improvement', 'Please "",""]")</f>
        <v>['SLMT', 'MANAGI', 'MIMINN', 'APK', 'Telkomsel', 'Erorpr', 'Loggin', 'Errr', 'Improvement', 'Please ","]</v>
      </c>
      <c r="D1096" s="3">
        <v>3.0</v>
      </c>
    </row>
    <row r="1097" ht="15.75" customHeight="1">
      <c r="A1097" s="1">
        <v>1095.0</v>
      </c>
      <c r="B1097" s="3" t="s">
        <v>1098</v>
      </c>
      <c r="C1097" s="3" t="str">
        <f>IFERROR(__xludf.DUMMYFUNCTION("GOOGLETRANSLATE(B1097,""id"",""en"")"),"['application', 'Severe', 'slow', 'network', 'anything', 'open it', 'need', 'dozens',' minutes', 'provider', 'plg', 'expensive', ' Rotten ',' STLH ',' many years', 'Changing', 'Post', 'Pay', 'Unlimitid', 'Disappointed', 'Paketan', 'Unlimited', 'Applicatio"&amp;"n', 'STLH', 'Application' , 'Take', 'quota', 'main', 'Different', 'SGN', 'POST', 'PAY', 'User', 'Saturday', 'Say', 'Goodbay', 'GPP', ' Hangus', 'disappointing', '']")</f>
        <v>['application', 'Severe', 'slow', 'network', 'anything', 'open it', 'need', 'dozens',' minutes', 'provider', 'plg', 'expensive', ' Rotten ',' STLH ',' many years', 'Changing', 'Post', 'Pay', 'Unlimitid', 'Disappointed', 'Paketan', 'Unlimited', 'Application', 'STLH', 'Application' , 'Take', 'quota', 'main', 'Different', 'SGN', 'POST', 'PAY', 'User', 'Saturday', 'Say', 'Goodbay', 'GPP', ' Hangus', 'disappointing', '']</v>
      </c>
      <c r="D1097" s="3">
        <v>1.0</v>
      </c>
    </row>
    <row r="1098" ht="15.75" customHeight="1">
      <c r="A1098" s="1">
        <v>1096.0</v>
      </c>
      <c r="B1098" s="3" t="s">
        <v>1099</v>
      </c>
      <c r="C1098" s="3" t="str">
        <f>IFERROR(__xludf.DUMMYFUNCTION("GOOGLETRANSLATE(B1098,""id"",""en"")"),"['Kek', 'apk', 'open', 'already', 'log', 'log', 'out', 'login', 'a week', 'contents',' package ',' quota ',' Stayed ',' BRP ',' Something ',' Wrong ',' Signal ',' Weak ',' ilang ', ""]")</f>
        <v>['Kek', 'apk', 'open', 'already', 'log', 'log', 'out', 'login', 'a week', 'contents',' package ',' quota ',' Stayed ',' BRP ',' Something ',' Wrong ',' Signal ',' Weak ',' ilang ', "]</v>
      </c>
      <c r="D1098" s="3">
        <v>3.0</v>
      </c>
    </row>
    <row r="1099" ht="15.75" customHeight="1">
      <c r="A1099" s="1">
        <v>1097.0</v>
      </c>
      <c r="B1099" s="3" t="s">
        <v>1100</v>
      </c>
      <c r="C1099" s="3" t="str">
        <f>IFERROR(__xludf.DUMMYFUNCTION("GOOGLETRANSLATE(B1099,""id"",""en"")"),"['Application', 'Error', 'Fix', 'Error', 'Network', 'Good', 'Watch', 'Main', 'Game', 'Etc.', 'Enter', 'Application', ' Written ',' network ',' stable ',' other ',' stable ',' star ',' error ', ""]")</f>
        <v>['Application', 'Error', 'Fix', 'Error', 'Network', 'Good', 'Watch', 'Main', 'Game', 'Etc.', 'Enter', 'Application', ' Written ',' network ',' stable ',' other ',' stable ',' star ',' error ', "]</v>
      </c>
      <c r="D1099" s="3">
        <v>1.0</v>
      </c>
    </row>
    <row r="1100" ht="15.75" customHeight="1">
      <c r="A1100" s="1">
        <v>1098.0</v>
      </c>
      <c r="B1100" s="3" t="s">
        <v>1101</v>
      </c>
      <c r="C1100" s="3" t="str">
        <f>IFERROR(__xludf.DUMMYFUNCTION("GOOGLETRANSLATE(B1100,""id"",""en"")"),"['already', 'application', 'Telkomsel', 'opened', 'unstable', 'connection', 'open', 'application', 'already', 'updated', 'that's',' APL ',' Telkomsel ',' emang ',' error ',' ']")</f>
        <v>['already', 'application', 'Telkomsel', 'opened', 'unstable', 'connection', 'open', 'application', 'already', 'updated', 'that's',' APL ',' Telkomsel ',' emang ',' error ',' ']</v>
      </c>
      <c r="D1100" s="3">
        <v>3.0</v>
      </c>
    </row>
    <row r="1101" ht="15.75" customHeight="1">
      <c r="A1101" s="1">
        <v>1099.0</v>
      </c>
      <c r="B1101" s="3" t="s">
        <v>1102</v>
      </c>
      <c r="C1101" s="3" t="str">
        <f>IFERROR(__xludf.DUMMYFUNCTION("GOOGLETRANSLATE(B1101,""id"",""en"")"),"['Dear', 'Telkomsel', 'Dear', 'Remote', 'Village', 'Help', 'Masyarakt', 'Class',' Economy ',' Expensive ',' Paketan ',' Signal ',' "", 'lgi', 'suffering', 'really', 'stay', 'village', 'already', 'finance', 'provencing', 'bro', 'Cman', 'Telkom', 'sad' , 'p"&amp;"lus', 'can', 'open', 'my APK', 'gmna', 'right', 'open', 'apk', 'mslah', 'huh']")</f>
        <v>['Dear', 'Telkomsel', 'Dear', 'Remote', 'Village', 'Help', 'Masyarakt', 'Class',' Economy ',' Expensive ',' Paketan ',' Signal ',' ", 'lgi', 'suffering', 'really', 'stay', 'village', 'already', 'finance', 'provencing', 'bro', 'Cman', 'Telkom', 'sad' , 'plus', 'can', 'open', 'my APK', 'gmna', 'right', 'open', 'apk', 'mslah', 'huh']</v>
      </c>
      <c r="D1101" s="3">
        <v>1.0</v>
      </c>
    </row>
    <row r="1102" ht="15.75" customHeight="1">
      <c r="A1102" s="1">
        <v>1100.0</v>
      </c>
      <c r="B1102" s="3" t="s">
        <v>1103</v>
      </c>
      <c r="C1102" s="3" t="str">
        <f>IFERROR(__xludf.DUMMYFUNCTION("GOOGLETRANSLATE(B1102,""id"",""en"")"),"['Telkomsel', 'accessed', 'SIH', 'check', 'network', 'internet', 'good', 'use', 'wifi', 'tetep', 'accessed', 'wish', ' Sihh ',' Credit ',' Cut ',' Data ',' Internet ',' Use ',' Operator ',' WiFi ',' Company ', ""]")</f>
        <v>['Telkomsel', 'accessed', 'SIH', 'check', 'network', 'internet', 'good', 'use', 'wifi', 'tetep', 'accessed', 'wish', ' Sihh ',' Credit ',' Cut ',' Data ',' Internet ',' Use ',' Operator ',' WiFi ',' Company ', "]</v>
      </c>
      <c r="D1102" s="3">
        <v>1.0</v>
      </c>
    </row>
    <row r="1103" ht="15.75" customHeight="1">
      <c r="A1103" s="1">
        <v>1101.0</v>
      </c>
      <c r="B1103" s="3" t="s">
        <v>1104</v>
      </c>
      <c r="C1103" s="3" t="str">
        <f>IFERROR(__xludf.DUMMYFUNCTION("GOOGLETRANSLATE(B1103,""id"",""en"")"),"['Enter', 'APK', 'Network', 'Telkomsel', 'Papua', 'ugly', 'Bangat', 'Network', 'Lacar', 'Skali', 'Suggestion', 'Telkomsel', ' Update ',' Network ',' Papua ',' Please ',' Sorry ',' Wrong ']")</f>
        <v>['Enter', 'APK', 'Network', 'Telkomsel', 'Papua', 'ugly', 'Bangat', 'Network', 'Lacar', 'Skali', 'Suggestion', 'Telkomsel', ' Update ',' Network ',' Papua ',' Please ',' Sorry ',' Wrong ']</v>
      </c>
      <c r="D1103" s="3">
        <v>5.0</v>
      </c>
    </row>
    <row r="1104" ht="15.75" customHeight="1">
      <c r="A1104" s="1">
        <v>1102.0</v>
      </c>
      <c r="B1104" s="3" t="s">
        <v>1105</v>
      </c>
      <c r="C1104" s="3" t="str">
        <f>IFERROR(__xludf.DUMMYFUNCTION("GOOGLETRANSLATE(B1104,""id"",""en"")"),"['Application', 'Coxx', 'ISI', 'Credit', 'RB', 'App', 'Jamin', 'Credit', 'Enter', 'Annyway', 'Response', 'Ribet', ' Help ',' Assyuuu ',' Cook ',' Premare ',' Gede ',' System ',' I ',' Buy ',' Credit ',' Donation ',' Credit ',' Coxx ',' Cook ' , 'Browse', "&amp;"'']")</f>
        <v>['Application', 'Coxx', 'ISI', 'Credit', 'RB', 'App', 'Jamin', 'Credit', 'Enter', 'Annyway', 'Response', 'Ribet', ' Help ',' Assyuuu ',' Cook ',' Premare ',' Gede ',' System ',' I ',' Buy ',' Credit ',' Donation ',' Credit ',' Coxx ',' Cook ' , 'Browse', '']</v>
      </c>
      <c r="D1104" s="3">
        <v>1.0</v>
      </c>
    </row>
    <row r="1105" ht="15.75" customHeight="1">
      <c r="A1105" s="1">
        <v>1103.0</v>
      </c>
      <c r="B1105" s="3" t="s">
        <v>1106</v>
      </c>
      <c r="C1105" s="3" t="str">
        <f>IFERROR(__xludf.DUMMYFUNCTION("GOOGLETRANSLATE(B1105,""id"",""en"")"),"['Yesterday', 'Tuesday', 'Wednesday', 'Application', 'Error', 'Ustable', 'Connection', 'Please', 'Repaired', 'Thank', 'Love', ""]")</f>
        <v>['Yesterday', 'Tuesday', 'Wednesday', 'Application', 'Error', 'Ustable', 'Connection', 'Please', 'Repaired', 'Thank', 'Love', "]</v>
      </c>
      <c r="D1105" s="3">
        <v>2.0</v>
      </c>
    </row>
    <row r="1106" ht="15.75" customHeight="1">
      <c r="A1106" s="1">
        <v>1104.0</v>
      </c>
      <c r="B1106" s="3" t="s">
        <v>1107</v>
      </c>
      <c r="C1106" s="3" t="str">
        <f>IFERROR(__xludf.DUMMYFUNCTION("GOOGLETRANSLATE(B1106,""id"",""en"")"),"['Abis',' Update ',' Error ',' Screen ',' White ',' Doang ',' Unstabble ',' Connection ',' Click ',' Refresh ',' Cave ',' Refres', ' Whatever ',' Tetep ',' White ',' Doang ',' Really ',' Telkomsel ', ""]")</f>
        <v>['Abis',' Update ',' Error ',' Screen ',' White ',' Doang ',' Unstabble ',' Connection ',' Click ',' Refresh ',' Cave ',' Refres', ' Whatever ',' Tetep ',' White ',' Doang ',' Really ',' Telkomsel ', "]</v>
      </c>
      <c r="D1106" s="3">
        <v>2.0</v>
      </c>
    </row>
    <row r="1107" ht="15.75" customHeight="1">
      <c r="A1107" s="1">
        <v>1105.0</v>
      </c>
      <c r="B1107" s="3" t="s">
        <v>1108</v>
      </c>
      <c r="C1107" s="3" t="str">
        <f>IFERROR(__xludf.DUMMYFUNCTION("GOOGLETRANSLATE(B1107,""id"",""en"")"),"['application', 'size', 'GB', 'open', 'luuuuemot', 'severe', 'crazy', 'refresh', 'refresh', 'hundreds',' enter ',' menu ',' No ',' that's', 'Tetep', 'Stag', 'Road', 'Taste', 'Make', 'Hape', 'old', 'Memory', 'Fullll', 'Haduhhh', 'class' , 'Telkomsel', 'app"&amp;"lication', 'rotten', 'gini', 'lose', 'provider', 'next door', 'disappointing', 'trivial', 'rich', 'gini', 'look at']")</f>
        <v>['application', 'size', 'GB', 'open', 'luuuuemot', 'severe', 'crazy', 'refresh', 'refresh', 'hundreds',' enter ',' menu ',' No ',' that's', 'Tetep', 'Stag', 'Road', 'Taste', 'Make', 'Hape', 'old', 'Memory', 'Fullll', 'Haduhhh', 'class' , 'Telkomsel', 'application', 'rotten', 'gini', 'lose', 'provider', 'next door', 'disappointing', 'trivial', 'rich', 'gini', 'look at']</v>
      </c>
      <c r="D1107" s="3">
        <v>1.0</v>
      </c>
    </row>
    <row r="1108" ht="15.75" customHeight="1">
      <c r="A1108" s="1">
        <v>1106.0</v>
      </c>
      <c r="B1108" s="3" t="s">
        <v>1109</v>
      </c>
      <c r="C1108" s="3" t="str">
        <f>IFERROR(__xludf.DUMMYFUNCTION("GOOGLETRANSLATE(B1108,""id"",""en"")"),"['Woy', 'Developer', 'Telkomsel', 'Love', 'Network', 'Telkom', 'Sya', 'Sprti', 'Nyh', 'msh', 'sell', 'please', ' Benerin ',' Network ',' Nyh ',' Sya ',' Card ',' Telkom ',' here ',' Comfortable ',' Nyh ',' Nyh ',' Understand ', ""]")</f>
        <v>['Woy', 'Developer', 'Telkomsel', 'Love', 'Network', 'Telkom', 'Sya', 'Sprti', 'Nyh', 'msh', 'sell', 'please', ' Benerin ',' Network ',' Nyh ',' Sya ',' Card ',' Telkom ',' here ',' Comfortable ',' Nyh ',' Nyh ',' Understand ', "]</v>
      </c>
      <c r="D1108" s="3">
        <v>1.0</v>
      </c>
    </row>
    <row r="1109" ht="15.75" customHeight="1">
      <c r="A1109" s="1">
        <v>1107.0</v>
      </c>
      <c r="B1109" s="3" t="s">
        <v>1110</v>
      </c>
      <c r="C1109" s="3" t="str">
        <f>IFERROR(__xludf.DUMMYFUNCTION("GOOGLETRANSLATE(B1109,""id"",""en"")"),"['week', 'Telkomsel', 'buy', 'package', 'error', 'application', 'already', 'update', 'application', 'tetep', 'error', ""]")</f>
        <v>['week', 'Telkomsel', 'buy', 'package', 'error', 'application', 'already', 'update', 'application', 'tetep', 'error', "]</v>
      </c>
      <c r="D1109" s="3">
        <v>1.0</v>
      </c>
    </row>
    <row r="1110" ht="15.75" customHeight="1">
      <c r="A1110" s="1">
        <v>1108.0</v>
      </c>
      <c r="B1110" s="3" t="s">
        <v>1111</v>
      </c>
      <c r="C1110" s="3" t="str">
        <f>IFERROR(__xludf.DUMMYFUNCTION("GOOGLETRANSLATE(B1110,""id"",""en"")"),"['Already', 'Telkomsel', 'Something', 'Wrong', 'Try', 'already', 'Many', 'Enter', 'Litu', 'Notification', 'Disappointing', '']")</f>
        <v>['Already', 'Telkomsel', 'Something', 'Wrong', 'Try', 'already', 'Many', 'Enter', 'Litu', 'Notification', 'Disappointing', '']</v>
      </c>
      <c r="D1110" s="3">
        <v>1.0</v>
      </c>
    </row>
    <row r="1111" ht="15.75" customHeight="1">
      <c r="A1111" s="1">
        <v>1109.0</v>
      </c>
      <c r="B1111" s="3" t="s">
        <v>1112</v>
      </c>
      <c r="C1111" s="3" t="str">
        <f>IFERROR(__xludf.DUMMYFUNCTION("GOOGLETRANSLATE(B1111,""id"",""en"")"),"['UDH', 'use', 'card', 'UDH', 'LAM', 'Network', 'Leet', 'How', 'ok', 'address',' App ',' problematic ',' Telkomsel ',' Bankrupt ',' Sampe ',' Pelangement ',' Complaint ',' Network ',' Internet ']")</f>
        <v>['UDH', 'use', 'card', 'UDH', 'LAM', 'Network', 'Leet', 'How', 'ok', 'address',' App ',' problematic ',' Telkomsel ',' Bankrupt ',' Sampe ',' Pelangement ',' Complaint ',' Network ',' Internet ']</v>
      </c>
      <c r="D1111" s="3">
        <v>2.0</v>
      </c>
    </row>
    <row r="1112" ht="15.75" customHeight="1">
      <c r="A1112" s="1">
        <v>1110.0</v>
      </c>
      <c r="B1112" s="3" t="s">
        <v>1113</v>
      </c>
      <c r="C1112" s="3" t="str">
        <f>IFERROR(__xludf.DUMMYFUNCTION("GOOGLETRANSLATE(B1112,""id"",""en"")"),"['application', 'no', 'access', 'no', 'use', 'try', 'install', 'reset', 'waiting', 'clock', 'repair', ""]")</f>
        <v>['application', 'no', 'access', 'no', 'use', 'try', 'install', 'reset', 'waiting', 'clock', 'repair', "]</v>
      </c>
      <c r="D1112" s="3">
        <v>1.0</v>
      </c>
    </row>
    <row r="1113" ht="15.75" customHeight="1">
      <c r="A1113" s="1">
        <v>1111.0</v>
      </c>
      <c r="B1113" s="3" t="s">
        <v>1114</v>
      </c>
      <c r="C1113" s="3" t="str">
        <f>IFERROR(__xludf.DUMMYFUNCTION("GOOGLETRANSLATE(B1113,""id"",""en"")"),"['submit', 'complaints',' Lower ',' Please ',' Yesterday ',' Enter ',' Telkomsel ',' Gara ',' Gara ',' Check ',' Date ',' Already ',' Take ',' MB ',' Have ',' Update ',' Already ',' Do ',' Already ',' Uninstall ',' Install ',' Reset ',' Please ',' Respons"&amp;"e ',' Bener ' , 'love', '']")</f>
        <v>['submit', 'complaints',' Lower ',' Please ',' Yesterday ',' Enter ',' Telkomsel ',' Gara ',' Gara ',' Check ',' Date ',' Already ',' Take ',' MB ',' Have ',' Update ',' Already ',' Do ',' Already ',' Uninstall ',' Install ',' Reset ',' Please ',' Response ',' Bener ' , 'love', '']</v>
      </c>
      <c r="D1113" s="3">
        <v>1.0</v>
      </c>
    </row>
    <row r="1114" ht="15.75" customHeight="1">
      <c r="A1114" s="1">
        <v>1112.0</v>
      </c>
      <c r="B1114" s="3" t="s">
        <v>1115</v>
      </c>
      <c r="C1114" s="3" t="str">
        <f>IFERROR(__xludf.DUMMYFUNCTION("GOOGLETRANSLATE(B1114,""id"",""en"")"),"['Open', 'Application', 'Try', 'Again', 'Mulu', 'Something', 'Went', 'Wrong', 'Package', 'Malem', 'The Network', 'Burik', ' Buy ',' Money ',' Free ',' Move ',' ']")</f>
        <v>['Open', 'Application', 'Try', 'Again', 'Mulu', 'Something', 'Went', 'Wrong', 'Package', 'Malem', 'The Network', 'Burik', ' Buy ',' Money ',' Free ',' Move ',' ']</v>
      </c>
      <c r="D1114" s="3">
        <v>1.0</v>
      </c>
    </row>
    <row r="1115" ht="15.75" customHeight="1">
      <c r="A1115" s="1">
        <v>1113.0</v>
      </c>
      <c r="B1115" s="3" t="s">
        <v>1116</v>
      </c>
      <c r="C1115" s="3" t="str">
        <f>IFERROR(__xludf.DUMMYFUNCTION("GOOGLETRANSLATE(B1115,""id"",""en"")"),"['Application', 'strange', 'use', 'signal', 'internet', 'Telkomsel', 'open', 'application', 'operator', 'smooth', '']")</f>
        <v>['Application', 'strange', 'use', 'signal', 'internet', 'Telkomsel', 'open', 'application', 'operator', 'smooth', '']</v>
      </c>
      <c r="D1115" s="3">
        <v>1.0</v>
      </c>
    </row>
    <row r="1116" ht="15.75" customHeight="1">
      <c r="A1116" s="1">
        <v>1114.0</v>
      </c>
      <c r="B1116" s="3" t="s">
        <v>1117</v>
      </c>
      <c r="C1116" s="3" t="str">
        <f>IFERROR(__xludf.DUMMYFUNCTION("GOOGLETRANSLATE(B1116,""id"",""en"")"),"['Telkomsel', 'open', 'connection', 'connection', 'good', 'really', 'something', 'Went', 'Wrong', 'please', 'try', 'Again', ' After ',' sometime ',' mean ',' please ']")</f>
        <v>['Telkomsel', 'open', 'connection', 'connection', 'good', 'really', 'something', 'Went', 'Wrong', 'please', 'try', 'Again', ' After ',' sometime ',' mean ',' please ']</v>
      </c>
      <c r="D1116" s="3">
        <v>1.0</v>
      </c>
    </row>
    <row r="1117" ht="15.75" customHeight="1">
      <c r="A1117" s="1">
        <v>1115.0</v>
      </c>
      <c r="B1117" s="3" t="s">
        <v>1118</v>
      </c>
      <c r="C1117" s="3" t="str">
        <f>IFERROR(__xludf.DUMMYFUNCTION("GOOGLETRANSLATE(B1117,""id"",""en"")"),"['Login', 'Difficult', 'Clear', 'Data', 'Already', 'Clear', 'Cache', 'Already', 'Delete', 'APK', 'then' download ',' already']")</f>
        <v>['Login', 'Difficult', 'Clear', 'Data', 'Already', 'Clear', 'Cache', 'Already', 'Delete', 'APK', 'then' download ',' already']</v>
      </c>
      <c r="D1117" s="3">
        <v>1.0</v>
      </c>
    </row>
    <row r="1118" ht="15.75" customHeight="1">
      <c r="A1118" s="1">
        <v>1116.0</v>
      </c>
      <c r="B1118" s="3" t="s">
        <v>1119</v>
      </c>
      <c r="C1118" s="3" t="str">
        <f>IFERROR(__xludf.DUMMYFUNCTION("GOOGLETRANSLATE(B1118,""id"",""en"")"),"['Come on', 'stingy', 'usage', 'pulse', 'cave', 'translucent', 'jta', 'stingy', 'already', 'update', 'open', 'connection', ' ']")</f>
        <v>['Come on', 'stingy', 'usage', 'pulse', 'cave', 'translucent', 'jta', 'stingy', 'already', 'update', 'open', 'connection', ' ']</v>
      </c>
      <c r="D1118" s="3">
        <v>3.0</v>
      </c>
    </row>
    <row r="1119" ht="15.75" customHeight="1">
      <c r="A1119" s="1">
        <v>1117.0</v>
      </c>
      <c r="B1119" s="3" t="s">
        <v>1120</v>
      </c>
      <c r="C1119" s="3" t="str">
        <f>IFERROR(__xludf.DUMMYFUNCTION("GOOGLETRANSLATE(B1119,""id"",""en"")"),"['Application', 'already', 'quota', 'take it', 'quota', 'main', 'pdhal', 'unlimited', 'multimedia', 'the application', 'difficult', 'really' opened ',' pdhal ',' signal ',' stable ',' pkek ',' wifi ',' ttepaja ', ""]")</f>
        <v>['Application', 'already', 'quota', 'take it', 'quota', 'main', 'pdhal', 'unlimited', 'multimedia', 'the application', 'difficult', 'really' opened ',' pdhal ',' signal ',' stable ',' pkek ',' wifi ',' ttepaja ', "]</v>
      </c>
      <c r="D1119" s="3">
        <v>1.0</v>
      </c>
    </row>
    <row r="1120" ht="15.75" customHeight="1">
      <c r="A1120" s="1">
        <v>1118.0</v>
      </c>
      <c r="B1120" s="3" t="s">
        <v>1121</v>
      </c>
      <c r="C1120" s="3" t="str">
        <f>IFERROR(__xludf.DUMMYFUNCTION("GOOGLETRANSLATE(B1120,""id"",""en"")"),"['night', 'Telkomsel', 'no', 'open', 'honest', 'disappointed', 'really', 'Telkomsel', 'region', 'bogor', 'east', 'network', ' Telkomsel ',' no ',' supports', 'really', 'streaming', 'nge', 'game', 'please', 'as fast', 'fix', 'aspect', 'signal', 'price' , '"&amp;"Quota', 'Region', 'Bogor', 'Timur', 'Tanks']")</f>
        <v>['night', 'Telkomsel', 'no', 'open', 'honest', 'disappointed', 'really', 'Telkomsel', 'region', 'bogor', 'east', 'network', ' Telkomsel ',' no ',' supports', 'really', 'streaming', 'nge', 'game', 'please', 'as fast', 'fix', 'aspect', 'signal', 'price' , 'Quota', 'Region', 'Bogor', 'Timur', 'Tanks']</v>
      </c>
      <c r="D1120" s="3">
        <v>1.0</v>
      </c>
    </row>
    <row r="1121" ht="15.75" customHeight="1">
      <c r="A1121" s="1">
        <v>1119.0</v>
      </c>
      <c r="B1121" s="3" t="s">
        <v>1122</v>
      </c>
      <c r="C1121" s="3" t="str">
        <f>IFERROR(__xludf.DUMMYFUNCTION("GOOGLETRANSLATE(B1121,""id"",""en"")"),"['application', 'open', 'initial', 'told', 'refresh', 'smpe', 'alternating', 'lht', 'leftover', 'quota', 'smpe', 'die', ' life ',' alternating ',' mode ',' plane ',' tetep ',' lht ',' leftover ',' quota ',' smpe ',' delete ',' download ',' application ','"&amp;" enter ' , 'ATW', 'Login', 'Description', 'Its',' Wrong ',' smpe ',' repeated ',' reset ',' I did ',' Telkomsel ',' disappointed ',' expensive ',' SSH ',' Mending ',' Cheap ',' Safe ',' ']")</f>
        <v>['application', 'open', 'initial', 'told', 'refresh', 'smpe', 'alternating', 'lht', 'leftover', 'quota', 'smpe', 'die', ' life ',' alternating ',' mode ',' plane ',' tetep ',' lht ',' leftover ',' quota ',' smpe ',' delete ',' download ',' application ',' enter ' , 'ATW', 'Login', 'Description', 'Its',' Wrong ',' smpe ',' repeated ',' reset ',' I did ',' Telkomsel ',' disappointed ',' expensive ',' SSH ',' Mending ',' Cheap ',' Safe ',' ']</v>
      </c>
      <c r="D1121" s="3">
        <v>1.0</v>
      </c>
    </row>
    <row r="1122" ht="15.75" customHeight="1">
      <c r="A1122" s="1">
        <v>1120.0</v>
      </c>
      <c r="B1122" s="3" t="s">
        <v>1123</v>
      </c>
      <c r="C1122" s="3" t="str">
        <f>IFERROR(__xludf.DUMMYFUNCTION("GOOGLETRANSLATE(B1122,""id"",""en"")"),"['Sis',' Telkomsel ',' Disruption ',' Enter ',' TLPN ',' Information ',' Something ',' Went ',' Wrong ',' Please ',' Try ',' Agan ',' After ',' sometimes', 'information', 'already', 'Yesterday', ""]")</f>
        <v>['Sis',' Telkomsel ',' Disruption ',' Enter ',' TLPN ',' Information ',' Something ',' Went ',' Wrong ',' Please ',' Try ',' Agan ',' After ',' sometimes', 'information', 'already', 'Yesterday', "]</v>
      </c>
      <c r="D1122" s="3">
        <v>5.0</v>
      </c>
    </row>
    <row r="1123" ht="15.75" customHeight="1">
      <c r="A1123" s="1">
        <v>1121.0</v>
      </c>
      <c r="B1123" s="3" t="s">
        <v>1124</v>
      </c>
      <c r="C1123" s="3" t="str">
        <f>IFERROR(__xludf.DUMMYFUNCTION("GOOGLETRANSLATE(B1123,""id"",""en"")"),"['application', 'good', 'ojol', 'like', 'error', 'likes',' logout ',' log ',' difficult ',' enter ',' angrl ',' angel ',' Angel ',' ']")</f>
        <v>['application', 'good', 'ojol', 'like', 'error', 'likes',' logout ',' log ',' difficult ',' enter ',' angrl ',' angel ',' Angel ',' ']</v>
      </c>
      <c r="D1123" s="3">
        <v>3.0</v>
      </c>
    </row>
    <row r="1124" ht="15.75" customHeight="1">
      <c r="A1124" s="1">
        <v>1122.0</v>
      </c>
      <c r="B1124" s="3" t="s">
        <v>1125</v>
      </c>
      <c r="C1124" s="3" t="str">
        <f>IFERROR(__xludf.DUMMYFUNCTION("GOOGLETRANSLATE(B1124,""id"",""en"")"),"['app', 'error', 'buy', 'package', 'signal', 'as good', 'already', 'price', 'expensive', 'TPI', 'connection', 'rich', ' Gini ',' Severe ',' again ',' notification ',' me ',' Season ',' Service ', ""]")</f>
        <v>['app', 'error', 'buy', 'package', 'signal', 'as good', 'already', 'price', 'expensive', 'TPI', 'connection', 'rich', ' Gini ',' Severe ',' again ',' notification ',' me ',' Season ',' Service ', "]</v>
      </c>
      <c r="D1124" s="3">
        <v>1.0</v>
      </c>
    </row>
    <row r="1125" ht="15.75" customHeight="1">
      <c r="A1125" s="1">
        <v>1123.0</v>
      </c>
      <c r="B1125" s="3" t="s">
        <v>1126</v>
      </c>
      <c r="C1125" s="3" t="str">
        <f>IFERROR(__xludf.DUMMYFUNCTION("GOOGLETRANSLATE(B1125,""id"",""en"")"),"['Please', 'Disappointed', 'NGSI', 'Credit', 'Then', 'Buy', 'Package', 'Code', 'Dial', 'Tetep', 'Sumpot', 'Pulses',' Please ',' UDH ',' umpsugity ',' Time ',' UDH ',' Cape ',' wasteful ',' Money ',' Please ',' Fix ',' Change ',' Loss', 'Kek' , 'Rb', 'puls"&amp;"es', 'run out', 'turn on', 'data', 'used', 'Season', '']")</f>
        <v>['Please', 'Disappointed', 'NGSI', 'Credit', 'Then', 'Buy', 'Package', 'Code', 'Dial', 'Tetep', 'Sumpot', 'Pulses',' Please ',' UDH ',' umpsugity ',' Time ',' UDH ',' Cape ',' wasteful ',' Money ',' Please ',' Fix ',' Change ',' Loss', 'Kek' , 'Rb', 'pulses', 'run out', 'turn on', 'data', 'used', 'Season', '']</v>
      </c>
      <c r="D1125" s="3">
        <v>1.0</v>
      </c>
    </row>
    <row r="1126" ht="15.75" customHeight="1">
      <c r="A1126" s="1">
        <v>1124.0</v>
      </c>
      <c r="B1126" s="3" t="s">
        <v>1127</v>
      </c>
      <c r="C1126" s="3" t="str">
        <f>IFERROR(__xludf.DUMMYFUNCTION("GOOGLETRANSLATE(B1126,""id"",""en"")"),"['Disappointed', 'Application', 'Network', 'Error', 'PDHAL', 'Watch', 'YouTube', 'Current', 'Current', 'Download', 'Speed', ""]")</f>
        <v>['Disappointed', 'Application', 'Network', 'Error', 'PDHAL', 'Watch', 'YouTube', 'Current', 'Current', 'Download', 'Speed', "]</v>
      </c>
      <c r="D1126" s="3">
        <v>2.0</v>
      </c>
    </row>
    <row r="1127" ht="15.75" customHeight="1">
      <c r="A1127" s="1">
        <v>1125.0</v>
      </c>
      <c r="B1127" s="3" t="s">
        <v>1128</v>
      </c>
      <c r="C1127" s="3" t="str">
        <f>IFERROR(__xludf.DUMMYFUNCTION("GOOGLETRANSLATE(B1127,""id"",""en"")"),"['application', 'update', 'open', 'error', 'that's',' signal ',' sometimes', 'difficult', 'buy', 'package', 'expensive', 'expensive', ' The quality ',' garbage ',' priority ',' customers', 'Telkomsel', 'Original', 'regret', '']")</f>
        <v>['application', 'update', 'open', 'error', 'that's',' signal ',' sometimes', 'difficult', 'buy', 'package', 'expensive', 'expensive', ' The quality ',' garbage ',' priority ',' customers', 'Telkomsel', 'Original', 'regret', '']</v>
      </c>
      <c r="D1127" s="3">
        <v>1.0</v>
      </c>
    </row>
    <row r="1128" ht="15.75" customHeight="1">
      <c r="A1128" s="1">
        <v>1126.0</v>
      </c>
      <c r="B1128" s="3" t="s">
        <v>1129</v>
      </c>
      <c r="C1128" s="3" t="str">
        <f>IFERROR(__xludf.DUMMYFUNCTION("GOOGLETRANSLATE(B1128,""id"",""en"")"),"['', 'Bener', 'signal', 'slow', 'users', 'Telkomsel', 'comfortable', 'that's', 'comfortable', 'different', '']")</f>
        <v>['', 'Bener', 'signal', 'slow', 'users', 'Telkomsel', 'comfortable', 'that's', 'comfortable', 'different', '']</v>
      </c>
      <c r="D1128" s="3">
        <v>1.0</v>
      </c>
    </row>
    <row r="1129" ht="15.75" customHeight="1">
      <c r="A1129" s="1">
        <v>1127.0</v>
      </c>
      <c r="B1129" s="3" t="s">
        <v>1130</v>
      </c>
      <c r="C1129" s="3" t="str">
        <f>IFERROR(__xludf.DUMMYFUNCTION("GOOGLETRANSLATE(B1129,""id"",""en"")"),"['', 'Login', 'Connection', 'Internet', 'Package', 'Buy', 'Package', 'Message', 'Try', 'Credit', 'Udh', 'Suck', 'Data ',' enter ',' login ',' sorry ',' sendang ',' error ',' system ',' ']")</f>
        <v>['', 'Login', 'Connection', 'Internet', 'Package', 'Buy', 'Package', 'Message', 'Try', 'Credit', 'Udh', 'Suck', 'Data ',' enter ',' login ',' sorry ',' sendang ',' error ',' system ',' ']</v>
      </c>
      <c r="D1129" s="3">
        <v>1.0</v>
      </c>
    </row>
    <row r="1130" ht="15.75" customHeight="1">
      <c r="A1130" s="1">
        <v>1128.0</v>
      </c>
      <c r="B1130" s="3" t="s">
        <v>1131</v>
      </c>
      <c r="C1130" s="3" t="str">
        <f>IFERROR(__xludf.DUMMYFUNCTION("GOOGLETRANSLATE(B1130,""id"",""en"")"),"['disappointing', 'quota', 'sucked', 'pulse', 'notification', 'quota', 'run out', 'user', 'wear', 'rates',' normal ',' check ',' Quota ',' GB ',' Credit ',' Ludes', 'remaining', 'Harm', ""]")</f>
        <v>['disappointing', 'quota', 'sucked', 'pulse', 'notification', 'quota', 'run out', 'user', 'wear', 'rates',' normal ',' check ',' Quota ',' GB ',' Credit ',' Ludes', 'remaining', 'Harm', "]</v>
      </c>
      <c r="D1130" s="3">
        <v>1.0</v>
      </c>
    </row>
    <row r="1131" ht="15.75" customHeight="1">
      <c r="A1131" s="1">
        <v>1129.0</v>
      </c>
      <c r="B1131" s="3" t="s">
        <v>1132</v>
      </c>
      <c r="C1131" s="3" t="str">
        <f>IFERROR(__xludf.DUMMYFUNCTION("GOOGLETRANSLATE(B1131,""id"",""en"")"),"['How', 'Login', 'already', 'account', 'number', 'according to', 'number', 'telephone', 'enter', 'Segerah', 'fix', 'disappointing', ' Downloader ']")</f>
        <v>['How', 'Login', 'already', 'account', 'number', 'according to', 'number', 'telephone', 'enter', 'Segerah', 'fix', 'disappointing', ' Downloader ']</v>
      </c>
      <c r="D1131" s="3">
        <v>1.0</v>
      </c>
    </row>
    <row r="1132" ht="15.75" customHeight="1">
      <c r="A1132" s="1">
        <v>1130.0</v>
      </c>
      <c r="B1132" s="3" t="s">
        <v>1133</v>
      </c>
      <c r="C1132" s="3" t="str">
        <f>IFERROR(__xludf.DUMMYFUNCTION("GOOGLETRANSLATE(B1132,""id"",""en"")"),"['Application', 'slow', 'really', 'disappointing', 'buy', 'package', 'difficult', 'hurried', 'cheek', 'first', 'pulses',' keelel ',' hours', 'login', 'enter', 'clock', 'morning', 'Different', 'ama', 'neighbor', 'next door', 'makasihhh', ""]")</f>
        <v>['Application', 'slow', 'really', 'disappointing', 'buy', 'package', 'difficult', 'hurried', 'cheek', 'first', 'pulses',' keelel ',' hours', 'login', 'enter', 'clock', 'morning', 'Different', 'ama', 'neighbor', 'next door', 'makasihhh', "]</v>
      </c>
      <c r="D1132" s="3">
        <v>1.0</v>
      </c>
    </row>
    <row r="1133" ht="15.75" customHeight="1">
      <c r="A1133" s="1">
        <v>1131.0</v>
      </c>
      <c r="B1133" s="3" t="s">
        <v>1134</v>
      </c>
      <c r="C1133" s="3" t="str">
        <f>IFERROR(__xludf.DUMMYFUNCTION("GOOGLETRANSLATE(B1133,""id"",""en"")"),"['Whyaa', 'Asked', 'Check', 'Package', 'Cheap', 'Buy', 'Credit', 'Telkom', 'Gabisa', 'Asked', 'Failed', ' Scorched ',' Pasetanya ',' Loading ',' Load ',' Reset ',' Load ',' Re-reset ',' Gabisa ',' Have ',' Wait ',' All Day ',' Kagak ',' Opened ' , 'Packag"&amp;"ey', 'already', 'scorched', 'internet', 'internet', 'enter', 'apk', 'smpai', 'hee', 'wifi', 'tetep', 'gabisa', ' Written ',' Internet ',' What's', 'Wait', 'All Day', 'Kagak', 'Sianying']")</f>
        <v>['Whyaa', 'Asked', 'Check', 'Package', 'Cheap', 'Buy', 'Credit', 'Telkom', 'Gabisa', 'Asked', 'Failed', ' Scorched ',' Pasetanya ',' Loading ',' Load ',' Reset ',' Load ',' Re-reset ',' Gabisa ',' Have ',' Wait ',' All Day ',' Kagak ',' Opened ' , 'Packagey', 'already', 'scorched', 'internet', 'internet', 'enter', 'apk', 'smpai', 'hee', 'wifi', 'tetep', 'gabisa', ' Written ',' Internet ',' What's', 'Wait', 'All Day', 'Kagak', 'Sianying']</v>
      </c>
      <c r="D1133" s="3">
        <v>1.0</v>
      </c>
    </row>
    <row r="1134" ht="15.75" customHeight="1">
      <c r="A1134" s="1">
        <v>1132.0</v>
      </c>
      <c r="B1134" s="3" t="s">
        <v>1135</v>
      </c>
      <c r="C1134" s="3" t="str">
        <f>IFERROR(__xludf.DUMMYFUNCTION("GOOGLETRANSLATE(B1134,""id"",""en"")"),"['apk', 'Telkomsel', 'open', 'sihh', 'already', 'hundreds',' times', 'tried', 'open', 'signal', 'sometimes',' good ',' Dri ',' users', 'loyal', 'Telkomsel', 'here', 'disappointing', 'please', 'repaired', 'Lahh', ""]")</f>
        <v>['apk', 'Telkomsel', 'open', 'sihh', 'already', 'hundreds',' times', 'tried', 'open', 'signal', 'sometimes',' good ',' Dri ',' users', 'loyal', 'Telkomsel', 'here', 'disappointing', 'please', 'repaired', 'Lahh', "]</v>
      </c>
      <c r="D1134" s="3">
        <v>2.0</v>
      </c>
    </row>
    <row r="1135" ht="15.75" customHeight="1">
      <c r="A1135" s="1">
        <v>1133.0</v>
      </c>
      <c r="B1135" s="3" t="s">
        <v>1136</v>
      </c>
      <c r="C1135" s="3" t="str">
        <f>IFERROR(__xludf.DUMMYFUNCTION("GOOGLETRANSLATE(B1135,""id"",""en"")"),"['rude', 'times',' play ',' game ',' signal ',' writing ',' doang ',' signal ',' taste ',' card ',' pretty ',' expensive ',' Compare ',' Please ',' Quality ',' Price ',' Sisahan ',' Disappointed ']")</f>
        <v>['rude', 'times',' play ',' game ',' signal ',' writing ',' doang ',' signal ',' taste ',' card ',' pretty ',' expensive ',' Compare ',' Please ',' Quality ',' Price ',' Sisahan ',' Disappointed ']</v>
      </c>
      <c r="D1135" s="3">
        <v>1.0</v>
      </c>
    </row>
    <row r="1136" ht="15.75" customHeight="1">
      <c r="A1136" s="1">
        <v>1134.0</v>
      </c>
      <c r="B1136" s="3" t="s">
        <v>1137</v>
      </c>
      <c r="C1136" s="3" t="str">
        <f>IFERROR(__xludf.DUMMYFUNCTION("GOOGLETRANSLATE(B1136,""id"",""en"")"),"['application', 'error', 'enter', 'manual', 'via', 'signal', 'internet', 'my place', 'ilang', 'try', 'setting', 'connection', ' Phone ',' Veronica ',' Changed ',' Hopefully ',' front ',' Customer ',' go ', ""]")</f>
        <v>['application', 'error', 'enter', 'manual', 'via', 'signal', 'internet', 'my place', 'ilang', 'try', 'setting', 'connection', ' Phone ',' Veronica ',' Changed ',' Hopefully ',' front ',' Customer ',' go ', "]</v>
      </c>
      <c r="D1136" s="3">
        <v>2.0</v>
      </c>
    </row>
    <row r="1137" ht="15.75" customHeight="1">
      <c r="A1137" s="1">
        <v>1135.0</v>
      </c>
      <c r="B1137" s="3" t="s">
        <v>1138</v>
      </c>
      <c r="C1137" s="3" t="str">
        <f>IFERROR(__xludf.DUMMYFUNCTION("GOOGLETRANSLATE(B1137,""id"",""en"")"),"['Telkomsel', 'like', 'gini', 'entered', 'Telkomsel', 'please', 'help', 'udh', 'many years',' Telkomsel ',' like ',' this is', ' The incident ',' disappointed ',' really ',' entered ',' Telkomsel ',' error ',' mulu ',' emang ',' wrong ',' package ',' doan"&amp;"g ',' expensive ',' already ' , 'chat', 'Telkomsel', 'bales',' Connect ',' how ',' explanation ',' plosok ',' Negri ',' just ',' Telkomsel ',' please ',' fix ',' The network ',' buy ',' package ',' expensive ',' gini ',' loss', 'really', ""]")</f>
        <v>['Telkomsel', 'like', 'gini', 'entered', 'Telkomsel', 'please', 'help', 'udh', 'many years',' Telkomsel ',' like ',' this is', ' The incident ',' disappointed ',' really ',' entered ',' Telkomsel ',' error ',' mulu ',' emang ',' wrong ',' package ',' doang ',' expensive ',' already ' , 'chat', 'Telkomsel', 'bales',' Connect ',' how ',' explanation ',' plosok ',' Negri ',' just ',' Telkomsel ',' please ',' fix ',' The network ',' buy ',' package ',' expensive ',' gini ',' loss', 'really', "]</v>
      </c>
      <c r="D1137" s="3">
        <v>1.0</v>
      </c>
    </row>
    <row r="1138" ht="15.75" customHeight="1">
      <c r="A1138" s="1">
        <v>1136.0</v>
      </c>
      <c r="B1138" s="3" t="s">
        <v>1139</v>
      </c>
      <c r="C1138" s="3" t="str">
        <f>IFERROR(__xludf.DUMMYFUNCTION("GOOGLETRANSLATE(B1138,""id"",""en"")"),"['Telkomsel', 'Center', 'Please', 'Read', 'Yesterday', 'Telkomsel', 'Error', 'MLU', 'Sampe', 'PDHL', 'Application', 'Current', ' UDH ',' Sya ',' Restart ',' Application ',' UDH ',' Install ',' Return ',' Delete ',' Data ',' Tetep ',' Error ',' Disappointe"&amp;"d ',' Very ' , 'Customer', 'loyal', 'Telkomsel']")</f>
        <v>['Telkomsel', 'Center', 'Please', 'Read', 'Yesterday', 'Telkomsel', 'Error', 'MLU', 'Sampe', 'PDHL', 'Application', 'Current', ' UDH ',' Sya ',' Restart ',' Application ',' UDH ',' Install ',' Return ',' Delete ',' Data ',' Tetep ',' Error ',' Disappointed ',' Very ' , 'Customer', 'loyal', 'Telkomsel']</v>
      </c>
      <c r="D1138" s="3">
        <v>1.0</v>
      </c>
    </row>
    <row r="1139" ht="15.75" customHeight="1">
      <c r="A1139" s="1">
        <v>1137.0</v>
      </c>
      <c r="B1139" s="3" t="s">
        <v>1140</v>
      </c>
      <c r="C1139" s="3" t="str">
        <f>IFERROR(__xludf.DUMMYFUNCTION("GOOGLETRANSLATE(B1139,""id"",""en"")"),"['Disappointing', 'skrg', 'Telkomsel', 'signal', 'severe', 'Telkomsel', 'meek', 'second', 'he knows',' severe ',' imagined ',' already ',' expensive ',' signal ',' ugly ',' severe ',' understand ',' pdhl ',' like ',' use ',' provider ',' tsel ',' compared"&amp;" to ',' willing ',' use ' , 'postpaid', 'skrg', 'disappointing', 'skli', 'open', 'application', 'tsel', 'blm', 'package', 'entertainment', 'use', 'loss',' Pay ',' expensive ',' ']")</f>
        <v>['Disappointing', 'skrg', 'Telkomsel', 'signal', 'severe', 'Telkomsel', 'meek', 'second', 'he knows',' severe ',' imagined ',' already ',' expensive ',' signal ',' ugly ',' severe ',' understand ',' pdhl ',' like ',' use ',' provider ',' tsel ',' compared to ',' willing ',' use ' , 'postpaid', 'skrg', 'disappointing', 'skli', 'open', 'application', 'tsel', 'blm', 'package', 'entertainment', 'use', 'loss',' Pay ',' expensive ',' ']</v>
      </c>
      <c r="D1139" s="3">
        <v>3.0</v>
      </c>
    </row>
    <row r="1140" ht="15.75" customHeight="1">
      <c r="A1140" s="1">
        <v>1138.0</v>
      </c>
      <c r="B1140" s="3" t="s">
        <v>1141</v>
      </c>
      <c r="C1140" s="3" t="str">
        <f>IFERROR(__xludf.DUMMYFUNCTION("GOOGLETRANSLATE(B1140,""id"",""en"")"),"['updated', 'apk', 'Telkomsel', 'login', 'failed', 'connected', 'connection', 'strange', 'connection', 'please', 'admin', 'fix']")</f>
        <v>['updated', 'apk', 'Telkomsel', 'login', 'failed', 'connected', 'connection', 'strange', 'connection', 'please', 'admin', 'fix']</v>
      </c>
      <c r="D1140" s="3">
        <v>2.0</v>
      </c>
    </row>
    <row r="1141" ht="15.75" customHeight="1">
      <c r="A1141" s="1">
        <v>1139.0</v>
      </c>
      <c r="B1141" s="3" t="s">
        <v>1142</v>
      </c>
      <c r="C1141" s="3" t="str">
        <f>IFERROR(__xludf.DUMMYFUNCTION("GOOGLETRANSLATE(B1141,""id"",""en"")"),"['In the area', 'signal', 'Telkomsel', 'bad', 'bad', 'hope', 'smooth', 'trim', ""]")</f>
        <v>['In the area', 'signal', 'Telkomsel', 'bad', 'bad', 'hope', 'smooth', 'trim', "]</v>
      </c>
      <c r="D1141" s="3">
        <v>1.0</v>
      </c>
    </row>
    <row r="1142" ht="15.75" customHeight="1">
      <c r="A1142" s="1">
        <v>1140.0</v>
      </c>
      <c r="B1142" s="3" t="s">
        <v>1143</v>
      </c>
      <c r="C1142" s="3" t="str">
        <f>IFERROR(__xludf.DUMMYFUNCTION("GOOGLETRANSLATE(B1142,""id"",""en"")"),"['Hello', 'Developer', 'Asked', 'Something', 'Something', 'Went', 'Wrong', 'Please', 'There', 'Again', 'After', 'Something', ' so ',' please ',' help ',' pliss', 'need', 'really', '']")</f>
        <v>['Hello', 'Developer', 'Asked', 'Something', 'Something', 'Went', 'Wrong', 'Please', 'There', 'Again', 'After', 'Something', ' so ',' please ',' help ',' pliss', 'need', 'really', '']</v>
      </c>
      <c r="D1142" s="3">
        <v>3.0</v>
      </c>
    </row>
    <row r="1143" ht="15.75" customHeight="1">
      <c r="A1143" s="1">
        <v>1141.0</v>
      </c>
      <c r="B1143" s="3" t="s">
        <v>1144</v>
      </c>
      <c r="C1143" s="3" t="str">
        <f>IFERROR(__xludf.DUMMYFUNCTION("GOOGLETRANSLATE(B1143,""id"",""en"")"),"['Complement', 'Benerin', 'Network', 'Tetep', 'Member', 'Diamond', 'Priority', 'Improved', 'Network', 'Location', 'Is',' Bener ',' bad connection', '']")</f>
        <v>['Complement', 'Benerin', 'Network', 'Tetep', 'Member', 'Diamond', 'Priority', 'Improved', 'Network', 'Location', 'Is',' Bener ',' bad connection', '']</v>
      </c>
      <c r="D1143" s="3">
        <v>1.0</v>
      </c>
    </row>
    <row r="1144" ht="15.75" customHeight="1">
      <c r="A1144" s="1">
        <v>1142.0</v>
      </c>
      <c r="B1144" s="3" t="s">
        <v>1145</v>
      </c>
      <c r="C1144" s="3" t="str">
        <f>IFERROR(__xludf.DUMMYFUNCTION("GOOGLETRANSLATE(B1144,""id"",""en"")"),"['Severe', 'application', 'open', 'kagak', 'update', 'good', 'easy', 'complicated', 'difficult', 'enter']")</f>
        <v>['Severe', 'application', 'open', 'kagak', 'update', 'good', 'easy', 'complicated', 'difficult', 'enter']</v>
      </c>
      <c r="D1144" s="3">
        <v>2.0</v>
      </c>
    </row>
    <row r="1145" ht="15.75" customHeight="1">
      <c r="A1145" s="1">
        <v>1143.0</v>
      </c>
      <c r="B1145" s="3" t="s">
        <v>1146</v>
      </c>
      <c r="C1145" s="3" t="str">
        <f>IFERROR(__xludf.DUMMYFUNCTION("GOOGLETRANSLATE(B1145,""id"",""en"")"),"['package', 'expensive', 'network', 'already', 'slow', 'forced', 'forced', 'hijrah', 'operator', 'next door', 'bru', 'yesterday', ' Bandingin ',' Lasung ',' Card ',' Download ',' Cash ',' Swallow ',' Play ',' Store ',' Internet ',' Tsel ',' Minutes', 'Int"&amp;"ernet', 'Operator' , 'Next', 'count', 'second']")</f>
        <v>['package', 'expensive', 'network', 'already', 'slow', 'forced', 'forced', 'hijrah', 'operator', 'next door', 'bru', 'yesterday', ' Bandingin ',' Lasung ',' Card ',' Download ',' Cash ',' Swallow ',' Play ',' Store ',' Internet ',' Tsel ',' Minutes', 'Internet', 'Operator' , 'Next', 'count', 'second']</v>
      </c>
      <c r="D1145" s="3">
        <v>1.0</v>
      </c>
    </row>
    <row r="1146" ht="15.75" customHeight="1">
      <c r="A1146" s="1">
        <v>1144.0</v>
      </c>
      <c r="B1146" s="3" t="s">
        <v>1147</v>
      </c>
      <c r="C1146" s="3" t="str">
        <f>IFERROR(__xludf.DUMMYFUNCTION("GOOGLETRANSLATE(B1146,""id"",""en"")"),"['Telkomsel', 'Login', 'Application', 'Telkomsel', 'Difficult', 'Update', 'That's',' Update ',' GMNA ',' Terms', 'JWB', 'Enter', ' Application ',' Telkomsel ']")</f>
        <v>['Telkomsel', 'Login', 'Application', 'Telkomsel', 'Difficult', 'Update', 'That's',' Update ',' GMNA ',' Terms', 'JWB', 'Enter', ' Application ',' Telkomsel ']</v>
      </c>
      <c r="D1146" s="3">
        <v>1.0</v>
      </c>
    </row>
    <row r="1147" ht="15.75" customHeight="1">
      <c r="A1147" s="1">
        <v>1145.0</v>
      </c>
      <c r="B1147" s="3" t="s">
        <v>1148</v>
      </c>
      <c r="C1147" s="3" t="str">
        <f>IFERROR(__xludf.DUMMYFUNCTION("GOOGLETRANSLATE(B1147,""id"",""en"")"),"['Telkomsel', 'Open', 'Application', 'Application', 'Force', 'Close', 'Smartphone', 'Nge', 'Freeze', 'Please', 'Fix', 'Application', ' thank you']")</f>
        <v>['Telkomsel', 'Open', 'Application', 'Application', 'Force', 'Close', 'Smartphone', 'Nge', 'Freeze', 'Please', 'Fix', 'Application', ' thank you']</v>
      </c>
      <c r="D1147" s="3">
        <v>1.0</v>
      </c>
    </row>
    <row r="1148" ht="15.75" customHeight="1">
      <c r="A1148" s="1">
        <v>1146.0</v>
      </c>
      <c r="B1148" s="3" t="s">
        <v>1149</v>
      </c>
      <c r="C1148" s="3" t="str">
        <f>IFERROR(__xludf.DUMMYFUNCTION("GOOGLETRANSLATE(B1148,""id"",""en"")"),"['Application', 'Open', 'Internet', 'Open', 'YouTube', 'Current', 'Application', 'Bener', 'Jngan', 'Prove', 'Price', 'Determine', ' quality ',' price ',' expensive ',' quality ',' bad ']")</f>
        <v>['Application', 'Open', 'Internet', 'Open', 'YouTube', 'Current', 'Application', 'Bener', 'Jngan', 'Prove', 'Price', 'Determine', ' quality ',' price ',' expensive ',' quality ',' bad ']</v>
      </c>
      <c r="D1148" s="3">
        <v>1.0</v>
      </c>
    </row>
    <row r="1149" ht="15.75" customHeight="1">
      <c r="A1149" s="1">
        <v>1147.0</v>
      </c>
      <c r="B1149" s="3" t="s">
        <v>1150</v>
      </c>
      <c r="C1149" s="3" t="str">
        <f>IFERROR(__xludf.DUMMYFUNCTION("GOOGLETRANSLATE(B1149,""id"",""en"")"),"['number', 'enter', 'write', 'error', 'mulu', 'application', 'error', 'logout', 'login', 'please', 'Telkomsel', 'number', ' enter', '']")</f>
        <v>['number', 'enter', 'write', 'error', 'mulu', 'application', 'error', 'logout', 'login', 'please', 'Telkomsel', 'number', ' enter', '']</v>
      </c>
      <c r="D1149" s="3">
        <v>1.0</v>
      </c>
    </row>
    <row r="1150" ht="15.75" customHeight="1">
      <c r="A1150" s="1">
        <v>1148.0</v>
      </c>
      <c r="B1150" s="3" t="s">
        <v>1151</v>
      </c>
      <c r="C1150" s="3" t="str">
        <f>IFERROR(__xludf.DUMMYFUNCTION("GOOGLETRANSLATE(B1150,""id"",""en"")"),"['Warning', 'Telkomsel', 'Kadrun', 'Partner', 'Work', 'GraPARI', 'Telkomsel', 'Events',' Regions', 'Regions',' Sell ',' Data ',' consumers', 'mode', 'install', 'indihome', 'photo', 'KTP', 'person', 'smbl', 'hold', 'KTP', 'procedure', 'employees',' partner"&amp;" ' , 'work', 'Telkomsel', 'use', 'crime', 'loan', 'online', 'strange', 'Telkomsel', 'procedure', 'detrimental', 'consumer', ""]")</f>
        <v>['Warning', 'Telkomsel', 'Kadrun', 'Partner', 'Work', 'GraPARI', 'Telkomsel', 'Events',' Regions', 'Regions',' Sell ',' Data ',' consumers', 'mode', 'install', 'indihome', 'photo', 'KTP', 'person', 'smbl', 'hold', 'KTP', 'procedure', 'employees',' partner ' , 'work', 'Telkomsel', 'use', 'crime', 'loan', 'online', 'strange', 'Telkomsel', 'procedure', 'detrimental', 'consumer', "]</v>
      </c>
      <c r="D1150" s="3">
        <v>1.0</v>
      </c>
    </row>
    <row r="1151" ht="15.75" customHeight="1">
      <c r="A1151" s="1">
        <v>1149.0</v>
      </c>
      <c r="B1151" s="3" t="s">
        <v>1152</v>
      </c>
      <c r="C1151" s="3" t="str">
        <f>IFERROR(__xludf.DUMMYFUNCTION("GOOGLETRANSLATE(B1151,""id"",""en"")"),"['Disappointed', 'really', 'Telkomsel', 'users',' Telkomsel ',' a year ',' network ',' signal ',' Telkomsel ',' bad ',' many ',' times', ' Complement ',' results', 'plus',' already ',' APK ',' MyTelkomsel ',' opened ',' buy ',' quota ',' apk ',' save ',' "&amp;"udh ',' accessible ' , 'disappointed', '']")</f>
        <v>['Disappointed', 'really', 'Telkomsel', 'users',' Telkomsel ',' a year ',' network ',' signal ',' Telkomsel ',' bad ',' many ',' times', ' Complement ',' results', 'plus',' already ',' APK ',' MyTelkomsel ',' opened ',' buy ',' quota ',' apk ',' save ',' udh ',' accessible ' , 'disappointed', '']</v>
      </c>
      <c r="D1151" s="3">
        <v>1.0</v>
      </c>
    </row>
    <row r="1152" ht="15.75" customHeight="1">
      <c r="A1152" s="1">
        <v>1150.0</v>
      </c>
      <c r="B1152" s="3" t="s">
        <v>1153</v>
      </c>
      <c r="C1152" s="3" t="str">
        <f>IFERROR(__xludf.DUMMYFUNCTION("GOOGLETRANSLATE(B1152,""id"",""en"")"),"['Haduuh', 'Nie', 'application', 'open', 'open', 'please', 'as soon as possible', 'fix', 'package', 'data', 'already', 'limit', ' Sya ',' already ',' buy ',' Paketan ',' Telkomsel ', ""]")</f>
        <v>['Haduuh', 'Nie', 'application', 'open', 'open', 'please', 'as soon as possible', 'fix', 'package', 'data', 'already', 'limit', ' Sya ',' already ',' buy ',' Paketan ',' Telkomsel ', "]</v>
      </c>
      <c r="D1152" s="3">
        <v>5.0</v>
      </c>
    </row>
    <row r="1153" ht="15.75" customHeight="1">
      <c r="A1153" s="1">
        <v>1151.0</v>
      </c>
      <c r="B1153" s="3" t="s">
        <v>1154</v>
      </c>
      <c r="C1153" s="3" t="str">
        <f>IFERROR(__xludf.DUMMYFUNCTION("GOOGLETRANSLATE(B1153,""id"",""en"")"),"['Gatau', 'Cape', 'It's like', 'rough', 'already', 'gatau', 'essence', 'mytsel', 'until', 'date', 'msh', 'login', ' Cave ',' Ogah ',' Deh ',' Search ',' Cuan ',' Package ',' Dial ',' Think ',' aspects', 'Reasons',' TTP ',' Network ',' Service ' , 'bot', '"&amp;"price', 'expensive', 'quality', 'trash', 'funny thing', 'msh', 'think', 'ttp', 'service', 'mending', 'switch', ' Providers', 'Prices',' RB ',' Funds', 'Telkom', 'RB', 'MGKN', 'Developers',' Optimists', 'Jelucu', ""]")</f>
        <v>['Gatau', 'Cape', 'It's like', 'rough', 'already', 'gatau', 'essence', 'mytsel', 'until', 'date', 'msh', 'login', ' Cave ',' Ogah ',' Deh ',' Search ',' Cuan ',' Package ',' Dial ',' Think ',' aspects', 'Reasons',' TTP ',' Network ',' Service ' , 'bot', 'price', 'expensive', 'quality', 'trash', 'funny thing', 'msh', 'think', 'ttp', 'service', 'mending', 'switch', ' Providers', 'Prices',' RB ',' Funds', 'Telkom', 'RB', 'MGKN', 'Developers',' Optimists', 'Jelucu', "]</v>
      </c>
      <c r="D1153" s="3">
        <v>1.0</v>
      </c>
    </row>
    <row r="1154" ht="15.75" customHeight="1">
      <c r="A1154" s="1">
        <v>1152.0</v>
      </c>
      <c r="B1154" s="3" t="s">
        <v>1155</v>
      </c>
      <c r="C1154" s="3" t="str">
        <f>IFERROR(__xludf.DUMMYFUNCTION("GOOGLETRANSLATE(B1154,""id"",""en"")"),"['Signal', 'Tariff', 'Sya', 'Delimits',' SBB ',' PRNH ',' Compensation ',' Customer ',' Update ',' App ',' Telkomsel ',' Please ',' Global ',' Pakek ',' Devices', 'Jngn', 'CMA', 'Devices',' Latest ',' As', 'User', 'Telkomsel', 'People', 'Duin', 'Sllu' , '"&amp;"Gnti', 'device', 'suggest', 'use', 'Telkomsel', 'Lite', 'as' as' app', 'satisfying', 'so', 'thank you', 'Please', ' Consideration ']")</f>
        <v>['Signal', 'Tariff', 'Sya', 'Delimits',' SBB ',' PRNH ',' Compensation ',' Customer ',' Update ',' App ',' Telkomsel ',' Please ',' Global ',' Pakek ',' Devices', 'Jngn', 'CMA', 'Devices',' Latest ',' As', 'User', 'Telkomsel', 'People', 'Duin', 'Sllu' , 'Gnti', 'device', 'suggest', 'use', 'Telkomsel', 'Lite', 'as' as' app', 'satisfying', 'so', 'thank you', 'Please', ' Consideration ']</v>
      </c>
      <c r="D1154" s="3">
        <v>1.0</v>
      </c>
    </row>
    <row r="1155" ht="15.75" customHeight="1">
      <c r="A1155" s="1">
        <v>1153.0</v>
      </c>
      <c r="B1155" s="3" t="s">
        <v>1156</v>
      </c>
      <c r="C1155" s="3" t="str">
        <f>IFERROR(__xludf.DUMMYFUNCTION("GOOGLETRANSLATE(B1155,""id"",""en"")"),"['Yesterday', 'login', 'gmn', 'list', 'package', 'quota', 'woyyyy', 'comfortable', 'delicious', 'application']")</f>
        <v>['Yesterday', 'login', 'gmn', 'list', 'package', 'quota', 'woyyyy', 'comfortable', 'delicious', 'application']</v>
      </c>
      <c r="D1155" s="3">
        <v>1.0</v>
      </c>
    </row>
    <row r="1156" ht="15.75" customHeight="1">
      <c r="A1156" s="1">
        <v>1154.0</v>
      </c>
      <c r="B1156" s="3" t="s">
        <v>1157</v>
      </c>
      <c r="C1156" s="3" t="str">
        <f>IFERROR(__xludf.DUMMYFUNCTION("GOOGLETRANSLATE(B1156,""id"",""en"")"),"['times',' feel ',' disappointed ',' severe ',' really ',' contents', 'quota', 'many', 'times',' input ',' ngak ',' open ',' Description ',' Network ',' Busy ',' Try ',' Many ',' Times', 'Name', 'Faithful', 'Tenguna', 'Service', 'Severe', 'Ngak', 'Satisfy"&amp;"ing' ]")</f>
        <v>['times',' feel ',' disappointed ',' severe ',' really ',' contents', 'quota', 'many', 'times',' input ',' ngak ',' open ',' Description ',' Network ',' Busy ',' Try ',' Many ',' Times', 'Name', 'Faithful', 'Tenguna', 'Service', 'Severe', 'Ngak', 'Satisfying' ]</v>
      </c>
      <c r="D1156" s="3">
        <v>1.0</v>
      </c>
    </row>
    <row r="1157" ht="15.75" customHeight="1">
      <c r="A1157" s="1">
        <v>1155.0</v>
      </c>
      <c r="B1157" s="3" t="s">
        <v>1158</v>
      </c>
      <c r="C1157" s="3" t="str">
        <f>IFERROR(__xludf.DUMMYFUNCTION("GOOGLETRANSLATE(B1157,""id"",""en"")"),"['already', 'actually', 'application', 'gatau', 'yesterday', 'error', 'so', 'uninstall', 'reset', 'login', 'how', 'happy', ' Happy ',' Follow ',' Game ',' Daily ',' Login ',' Something ',' Something ',' Were ',' Wrong ',' Try ',' Again ',' Later ',' alrea"&amp;"dy ' , 'Try', 'Periodic', 'Tetep', 'Enter', 'Application', 'Already', 'Bener', 'Rating', 'Fix']")</f>
        <v>['already', 'actually', 'application', 'gatau', 'yesterday', 'error', 'so', 'uninstall', 'reset', 'login', 'how', 'happy', ' Happy ',' Follow ',' Game ',' Daily ',' Login ',' Something ',' Something ',' Were ',' Wrong ',' Try ',' Again ',' Later ',' already ' , 'Try', 'Periodic', 'Tetep', 'Enter', 'Application', 'Already', 'Bener', 'Rating', 'Fix']</v>
      </c>
      <c r="D1157" s="3">
        <v>1.0</v>
      </c>
    </row>
    <row r="1158" ht="15.75" customHeight="1">
      <c r="A1158" s="1">
        <v>1156.0</v>
      </c>
      <c r="B1158" s="3" t="s">
        <v>1159</v>
      </c>
      <c r="C1158" s="3" t="str">
        <f>IFERROR(__xludf.DUMMYFUNCTION("GOOGLETRANSLATE(B1158,""id"",""en"")"),"['disappointed', 'application', 'transaction', 'purchase', 'quota', 'network', 'good', 'problematic', '']")</f>
        <v>['disappointed', 'application', 'transaction', 'purchase', 'quota', 'network', 'good', 'problematic', '']</v>
      </c>
      <c r="D1158" s="3">
        <v>1.0</v>
      </c>
    </row>
    <row r="1159" ht="15.75" customHeight="1">
      <c r="A1159" s="1">
        <v>1157.0</v>
      </c>
      <c r="B1159" s="3" t="s">
        <v>1160</v>
      </c>
      <c r="C1159" s="3" t="str">
        <f>IFERROR(__xludf.DUMMYFUNCTION("GOOGLETRANSLATE(B1159,""id"",""en"")"),"['users',' Telkomsel ',' Entering ',' Phone ',' Click ',' Finish ',' Appears', 'Something', 'Something', 'Went', 'Wrong', 'Bagamana', ' overcome it ',' thank ',' love ']")</f>
        <v>['users',' Telkomsel ',' Entering ',' Phone ',' Click ',' Finish ',' Appears', 'Something', 'Something', 'Went', 'Wrong', 'Bagamana', ' overcome it ',' thank ',' love ']</v>
      </c>
      <c r="D1159" s="3">
        <v>3.0</v>
      </c>
    </row>
    <row r="1160" ht="15.75" customHeight="1">
      <c r="A1160" s="1">
        <v>1158.0</v>
      </c>
      <c r="B1160" s="3" t="s">
        <v>1161</v>
      </c>
      <c r="C1160" s="3" t="str">
        <f>IFERROR(__xludf.DUMMYFUNCTION("GOOGLETRANSLATE(B1160,""id"",""en"")"),"['Enter', 'MyTelkomsel', 'Until', 'Update', 'version', 'Latest', 'Uninstall', 'Download', 'Many', 'Tetep', 'Login', 'Plus',' network ',' LEG ',' BERIK ',' MOVEMENT ',' OPERATOR ',' LOSE ',' OPERATOR ',' ECEK ',' Signal ',' Kenceng ', ""]")</f>
        <v>['Enter', 'MyTelkomsel', 'Until', 'Update', 'version', 'Latest', 'Uninstall', 'Download', 'Many', 'Tetep', 'Login', 'Plus',' network ',' LEG ',' BERIK ',' MOVEMENT ',' OPERATOR ',' LOSE ',' OPERATOR ',' ECEK ',' Signal ',' Kenceng ', "]</v>
      </c>
      <c r="D1160" s="3">
        <v>1.0</v>
      </c>
    </row>
    <row r="1161" ht="15.75" customHeight="1">
      <c r="A1161" s="1">
        <v>1159.0</v>
      </c>
      <c r="B1161" s="3" t="s">
        <v>1162</v>
      </c>
      <c r="C1161" s="3" t="str">
        <f>IFERROR(__xludf.DUMMYFUNCTION("GOOGLETRANSLATE(B1161,""id"",""en"")"),"['', 'Telkomsel', 'replace', 'loyal', 'Telkomsel', 'aspects',' network ',' love ',' star ',' bad ',' quality ',' activity ',' based ',' Online ',' delayed ',' entered ',' loss', 'signal', 'sudden', 'suntuk', 'try', 'game', 'online', 'slamming', 'wrong', '"&amp;"signal', 'please', 'in the future', 'reviewed', 'aspect', 'quality', 'speed', 'signal', '']")</f>
        <v>['', 'Telkomsel', 'replace', 'loyal', 'Telkomsel', 'aspects',' network ',' love ',' star ',' bad ',' quality ',' activity ',' based ',' Online ',' delayed ',' entered ',' loss', 'signal', 'sudden', 'suntuk', 'try', 'game', 'online', 'slamming', 'wrong', 'signal', 'please', 'in the future', 'reviewed', 'aspect', 'quality', 'speed', 'signal', '']</v>
      </c>
      <c r="D1161" s="3">
        <v>1.0</v>
      </c>
    </row>
    <row r="1162" ht="15.75" customHeight="1">
      <c r="A1162" s="1">
        <v>1160.0</v>
      </c>
      <c r="B1162" s="3" t="s">
        <v>1163</v>
      </c>
      <c r="C1162" s="3" t="str">
        <f>IFERROR(__xludf.DUMMYFUNCTION("GOOGLETRANSLATE(B1162,""id"",""en"")"),"['Log', 'out', 'checked', 'package', 'right', 'login', 'network', 'sudden', 'slow', 'apk', 'please', 'repay', ' application']")</f>
        <v>['Log', 'out', 'checked', 'package', 'right', 'login', 'network', 'sudden', 'slow', 'apk', 'please', 'repay', ' application']</v>
      </c>
      <c r="D1162" s="3">
        <v>2.0</v>
      </c>
    </row>
    <row r="1163" ht="15.75" customHeight="1">
      <c r="A1163" s="1">
        <v>1161.0</v>
      </c>
      <c r="B1163" s="3" t="s">
        <v>1164</v>
      </c>
      <c r="C1163" s="3" t="str">
        <f>IFERROR(__xludf.DUMMYFUNCTION("GOOGLETRANSLATE(B1163,""id"",""en"")"),"['user', 'loyal', 'Telkomsel', 'disappointed', 'price', 'network', 'down', 'where', 'jajal', 'card', 'backup', 'smartfren', ' Current ',' Total ',' Please ',' Sorry ',' Telkomsel ',' Turns', 'Signal', 'DLU', 'Hopefully', 'Success', ""]")</f>
        <v>['user', 'loyal', 'Telkomsel', 'disappointed', 'price', 'network', 'down', 'where', 'jajal', 'card', 'backup', 'smartfren', ' Current ',' Total ',' Please ',' Sorry ',' Telkomsel ',' Turns', 'Signal', 'DLU', 'Hopefully', 'Success', "]</v>
      </c>
      <c r="D1163" s="3">
        <v>2.0</v>
      </c>
    </row>
    <row r="1164" ht="15.75" customHeight="1">
      <c r="A1164" s="1">
        <v>1162.0</v>
      </c>
      <c r="B1164" s="3" t="s">
        <v>1165</v>
      </c>
      <c r="C1164" s="3" t="str">
        <f>IFERROR(__xludf.DUMMYFUNCTION("GOOGLETRANSLATE(B1164,""id"",""en"")"),"['Please', 'fixed', 'Telkomsel', 'fill in', 'pulse', 'plsa', 'thousand', 'data', 'push', 'life', 'minutes',' stay ',' Credit ',' Total ',' Rb ',' Please ',' Seam ',' Rich ',' Card ',' Hima ',' Harm ',' Consumer ',' GTU ',' padah ',' Langanan ' , 'Telkomse"&amp;"l', 'times', 'times', 'eat', 'here', 'eats', 'ugly', 'service', 'Telkomsel']")</f>
        <v>['Please', 'fixed', 'Telkomsel', 'fill in', 'pulse', 'plsa', 'thousand', 'data', 'push', 'life', 'minutes',' stay ',' Credit ',' Total ',' Rb ',' Please ',' Seam ',' Rich ',' Card ',' Hima ',' Harm ',' Consumer ',' GTU ',' padah ',' Langanan ' , 'Telkomsel', 'times', 'times', 'eat', 'here', 'eats', 'ugly', 'service', 'Telkomsel']</v>
      </c>
      <c r="D1164" s="3">
        <v>1.0</v>
      </c>
    </row>
    <row r="1165" ht="15.75" customHeight="1">
      <c r="A1165" s="1">
        <v>1163.0</v>
      </c>
      <c r="B1165" s="3" t="s">
        <v>1166</v>
      </c>
      <c r="C1165" s="3" t="str">
        <f>IFERROR(__xludf.DUMMYFUNCTION("GOOGLETRANSLATE(B1165,""id"",""en"")"),"['Wonder', 'already', 'in', 'Store', 'Telkomsel', 'Error', 'Refresh', 'Error', 'Network', 'Application', 'Troubled', 'Star', ' problematic ',' network ',' thank ',' love ',' ']")</f>
        <v>['Wonder', 'already', 'in', 'Store', 'Telkomsel', 'Error', 'Refresh', 'Error', 'Network', 'Application', 'Troubled', 'Star', ' problematic ',' network ',' thank ',' love ',' ']</v>
      </c>
      <c r="D1165" s="3">
        <v>2.0</v>
      </c>
    </row>
    <row r="1166" ht="15.75" customHeight="1">
      <c r="A1166" s="1">
        <v>1164.0</v>
      </c>
      <c r="B1166" s="3" t="s">
        <v>1167</v>
      </c>
      <c r="C1166" s="3" t="str">
        <f>IFERROR(__xludf.DUMMYFUNCTION("GOOGLETRANSLATE(B1166,""id"",""en"")"),"['What', 'shy', 'star', 'disappointed', 'repaired', 'appointment', 'application', 'login', 'difficult', 'really', 'lagging', 'makes it easy', ' Customers', 'Berun', 'Telkomsel', 'Decline', 'Quality', '']")</f>
        <v>['What', 'shy', 'star', 'disappointed', 'repaired', 'appointment', 'application', 'login', 'difficult', 'really', 'lagging', 'makes it easy', ' Customers', 'Berun', 'Telkomsel', 'Decline', 'Quality', '']</v>
      </c>
      <c r="D1166" s="3">
        <v>1.0</v>
      </c>
    </row>
    <row r="1167" ht="15.75" customHeight="1">
      <c r="A1167" s="1">
        <v>1165.0</v>
      </c>
      <c r="B1167" s="3" t="s">
        <v>1168</v>
      </c>
      <c r="C1167" s="3" t="str">
        <f>IFERROR(__xludf.DUMMYFUNCTION("GOOGLETRANSLATE(B1167,""id"",""en"")"),"['Ngerti', 'Login', 'Enter', 'Login', 'Input', 'Love', 'Star', 'Masi', 'Uninstall', 'APK', 'Please', 'Sorry']")</f>
        <v>['Ngerti', 'Login', 'Enter', 'Login', 'Input', 'Love', 'Star', 'Masi', 'Uninstall', 'APK', 'Please', 'Sorry']</v>
      </c>
      <c r="D1167" s="3">
        <v>1.0</v>
      </c>
    </row>
    <row r="1168" ht="15.75" customHeight="1">
      <c r="A1168" s="1">
        <v>1166.0</v>
      </c>
      <c r="B1168" s="3" t="s">
        <v>1169</v>
      </c>
      <c r="C1168" s="3" t="str">
        <f>IFERROR(__xludf.DUMMYFUNCTION("GOOGLETRANSLATE(B1168,""id"",""en"")"),"['card', 'use', 'Telkomsel', 'darling', 'check', 'SIM', 'SIM', 'check', 'safe', 'safe', 'fast', 'rich', ' Kah ', ""]")</f>
        <v>['card', 'use', 'Telkomsel', 'darling', 'check', 'SIM', 'SIM', 'check', 'safe', 'safe', 'fast', 'rich', ' Kah ', "]</v>
      </c>
      <c r="D1168" s="3">
        <v>1.0</v>
      </c>
    </row>
    <row r="1169" ht="15.75" customHeight="1">
      <c r="A1169" s="1">
        <v>1167.0</v>
      </c>
      <c r="B1169" s="3" t="s">
        <v>1170</v>
      </c>
      <c r="C1169" s="3" t="str">
        <f>IFERROR(__xludf.DUMMYFUNCTION("GOOGLETRANSLATE(B1169,""id"",""en"")"),"['Satisfied', 'Massa', 'Open', 'YouTobe', 'Smooth', 'Current', 'Current', 'Tiktok', 'Current', 'Strength', 'Signal', 'Ampek', ' KB ',' GIVER ',' APK ',' Telkom ',' LEG ',' Connection ',' Stable ',' Telkom ',' Already ',' Leet ',' Lost ',' Ama ',' Ama ' , "&amp;"'Axis']")</f>
        <v>['Satisfied', 'Massa', 'Open', 'YouTobe', 'Smooth', 'Current', 'Current', 'Tiktok', 'Current', 'Strength', 'Signal', 'Ampek', ' KB ',' GIVER ',' APK ',' Telkom ',' LEG ',' Connection ',' Stable ',' Telkom ',' Already ',' Leet ',' Lost ',' Ama ',' Ama ' , 'Axis']</v>
      </c>
      <c r="D1169" s="3">
        <v>1.0</v>
      </c>
    </row>
    <row r="1170" ht="15.75" customHeight="1">
      <c r="A1170" s="1">
        <v>1168.0</v>
      </c>
      <c r="B1170" s="3" t="s">
        <v>1171</v>
      </c>
      <c r="C1170" s="3" t="str">
        <f>IFERROR(__xludf.DUMMYFUNCTION("GOOGLETRANSLATE(B1170,""id"",""en"")"),"['Login', 'account', 'MyTelkomsel', 'Gabisa', 'yaa', 'reading', 'something', 'Went', 'Wrong', 'please', 'try', 'Again', ' sometime ',' no ',' wrong ',' number ',' already ',' right ',' please ',' explained ', ""]")</f>
        <v>['Login', 'account', 'MyTelkomsel', 'Gabisa', 'yaa', 'reading', 'something', 'Went', 'Wrong', 'please', 'try', 'Again', ' sometime ',' no ',' wrong ',' number ',' already ',' right ',' please ',' explained ', "]</v>
      </c>
      <c r="D1170" s="3">
        <v>1.0</v>
      </c>
    </row>
    <row r="1171" ht="15.75" customHeight="1">
      <c r="A1171" s="1">
        <v>1169.0</v>
      </c>
      <c r="B1171" s="3" t="s">
        <v>1172</v>
      </c>
      <c r="C1171" s="3" t="str">
        <f>IFERROR(__xludf.DUMMYFUNCTION("GOOGLETRANSLATE(B1171,""id"",""en"")"),"['Linge', 'Switch', 'card', 'Pre', 'Pay', 'Login', 'Telkomsel', 'Negative', 'Disappointment', 'Fear', 'Switch', ' how ',' experience ',' loss', 'disappointment', 'Is there', 'suggestion', 'Telkomsel', 'how', 'compensation', 'reward', 'loss',' service ', "&amp;"""]")</f>
        <v>['Linge', 'Switch', 'card', 'Pre', 'Pay', 'Login', 'Telkomsel', 'Negative', 'Disappointment', 'Fear', 'Switch', ' how ',' experience ',' loss', 'disappointment', 'Is there', 'suggestion', 'Telkomsel', 'how', 'compensation', 'reward', 'loss',' service ', "]</v>
      </c>
      <c r="D1171" s="3">
        <v>2.0</v>
      </c>
    </row>
    <row r="1172" ht="15.75" customHeight="1">
      <c r="A1172" s="1">
        <v>1170.0</v>
      </c>
      <c r="B1172" s="3" t="s">
        <v>1173</v>
      </c>
      <c r="C1172" s="3" t="str">
        <f>IFERROR(__xludf.DUMMYFUNCTION("GOOGLETRANSLATE(B1172,""id"",""en"")"),"['Customer', 'Telkomsel', 'yrs', 'here', 'signal', 'deteriorating', 'download', 'stable', 'down', 'postpaid', 'disappointed', 'thx']")</f>
        <v>['Customer', 'Telkomsel', 'yrs', 'here', 'signal', 'deteriorating', 'download', 'stable', 'down', 'postpaid', 'disappointed', 'thx']</v>
      </c>
      <c r="D1172" s="3">
        <v>1.0</v>
      </c>
    </row>
    <row r="1173" ht="15.75" customHeight="1">
      <c r="A1173" s="1">
        <v>1171.0</v>
      </c>
      <c r="B1173" s="3" t="s">
        <v>1174</v>
      </c>
      <c r="C1173" s="3" t="str">
        <f>IFERROR(__xludf.DUMMYFUNCTION("GOOGLETRANSLATE(B1173,""id"",""en"")"),"['strange', 'APL', 'Log', 'then', 'skrng', 'mah', 'signal', 'ilang', 'then', 'landing', 'his president', 'call', ' satellites', 'nyampe', 'signal', 'udh', 'signal', 'ilang', 'hadeh', 'miss',' brp ',' try ',' country ',' laen ', ""]")</f>
        <v>['strange', 'APL', 'Log', 'then', 'skrng', 'mah', 'signal', 'ilang', 'then', 'landing', 'his president', 'call', ' satellites', 'nyampe', 'signal', 'udh', 'signal', 'ilang', 'hadeh', 'miss',' brp ',' try ',' country ',' laen ', "]</v>
      </c>
      <c r="D1173" s="3">
        <v>1.0</v>
      </c>
    </row>
    <row r="1174" ht="15.75" customHeight="1">
      <c r="A1174" s="1">
        <v>1172.0</v>
      </c>
      <c r="B1174" s="3" t="s">
        <v>1175</v>
      </c>
      <c r="C1174" s="3" t="str">
        <f>IFERROR(__xludf.DUMMYFUNCTION("GOOGLETRANSLATE(B1174,""id"",""en"")"),"['iOS', 'replace', 'Android', 'problematic', 'signal', 'good', 'application', 'force', 'Close', 'then', 'class',' service ',' Telkomsel ']")</f>
        <v>['iOS', 'replace', 'Android', 'problematic', 'signal', 'good', 'application', 'force', 'Close', 'then', 'class',' service ',' Telkomsel ']</v>
      </c>
      <c r="D1174" s="3">
        <v>1.0</v>
      </c>
    </row>
    <row r="1175" ht="15.75" customHeight="1">
      <c r="A1175" s="1">
        <v>1173.0</v>
      </c>
      <c r="B1175" s="3" t="s">
        <v>1176</v>
      </c>
      <c r="C1175" s="3" t="str">
        <f>IFERROR(__xludf.DUMMYFUNCTION("GOOGLETRANSLATE(B1175,""id"",""en"")"),"['expensive', 'operator', 'strength', 'network', 'cheap', 'review', 'edit', 'disappointment', 'signal', 'bad', 'application', 'Telkomsel', ' Opened ',' Install ',' reset ',' ']")</f>
        <v>['expensive', 'operator', 'strength', 'network', 'cheap', 'review', 'edit', 'disappointment', 'signal', 'bad', 'application', 'Telkomsel', ' Opened ',' Install ',' reset ',' ']</v>
      </c>
      <c r="D1175" s="3">
        <v>2.0</v>
      </c>
    </row>
    <row r="1176" ht="15.75" customHeight="1">
      <c r="A1176" s="1">
        <v>1174.0</v>
      </c>
      <c r="B1176" s="3" t="s">
        <v>1177</v>
      </c>
      <c r="C1176" s="3" t="str">
        <f>IFERROR(__xludf.DUMMYFUNCTION("GOOGLETRANSLATE(B1176,""id"",""en"")"),"['No', 'opened', 'Application', 'Login', 'Try', 'Many', 'Times', 'FAIL', '']")</f>
        <v>['No', 'opened', 'Application', 'Login', 'Try', 'Many', 'Times', 'FAIL', '']</v>
      </c>
      <c r="D1176" s="3">
        <v>1.0</v>
      </c>
    </row>
    <row r="1177" ht="15.75" customHeight="1">
      <c r="A1177" s="1">
        <v>1175.0</v>
      </c>
      <c r="B1177" s="3" t="s">
        <v>1178</v>
      </c>
      <c r="C1177" s="3" t="str">
        <f>IFERROR(__xludf.DUMMYFUNCTION("GOOGLETRANSLATE(B1177,""id"",""en"")"),"['UDH', 'subscription', 'Telkomsel', 'SRG', 'Change', 'NMR', 'Ntah', 'Knp', 'signalny', 'Krg', 'strong', 'yak', ' Biasany ',' ugly ',' Divert ',' Ribet ',' BTW ',' home ',' SBY ',' Region ',' Suramadu ',' Negthink ',' Thinking ',' GR ',' Wind ' , 'sea', '"&amp;"synchy', 'ugly', 'btw', 'knp', 'apk', 'bsr', 'bsr', 'think', 'apk', 'spti', 'trllu', ' Sizenya ',' spec ',' low ',' msh ',' use ',' org ',' spec ',' cape ',' bln ',' hrs', 'update']")</f>
        <v>['UDH', 'subscription', 'Telkomsel', 'SRG', 'Change', 'NMR', 'Ntah', 'Knp', 'signalny', 'Krg', 'strong', 'yak', ' Biasany ',' ugly ',' Divert ',' Ribet ',' BTW ',' home ',' SBY ',' Region ',' Suramadu ',' Negthink ',' Thinking ',' GR ',' Wind ' , 'sea', 'synchy', 'ugly', 'btw', 'knp', 'apk', 'bsr', 'bsr', 'think', 'apk', 'spti', 'trllu', ' Sizenya ',' spec ',' low ',' msh ',' use ',' org ',' spec ',' cape ',' bln ',' hrs', 'update']</v>
      </c>
      <c r="D1177" s="3">
        <v>4.0</v>
      </c>
    </row>
    <row r="1178" ht="15.75" customHeight="1">
      <c r="A1178" s="1">
        <v>1176.0</v>
      </c>
      <c r="B1178" s="3" t="s">
        <v>1179</v>
      </c>
      <c r="C1178" s="3" t="str">
        <f>IFERROR(__xludf.DUMMYFUNCTION("GOOGLETRANSLATE(B1178,""id"",""en"")"),"['told', 'upgrade', 'failed', 'then', 'login', 'application', 'already', 'morning', 'then']")</f>
        <v>['told', 'upgrade', 'failed', 'then', 'login', 'application', 'already', 'morning', 'then']</v>
      </c>
      <c r="D1178" s="3">
        <v>1.0</v>
      </c>
    </row>
    <row r="1179" ht="15.75" customHeight="1">
      <c r="A1179" s="1">
        <v>1177.0</v>
      </c>
      <c r="B1179" s="3" t="s">
        <v>1180</v>
      </c>
      <c r="C1179" s="3" t="str">
        <f>IFERROR(__xludf.DUMMYFUNCTION("GOOGLETRANSLATE(B1179,""id"",""en"")"),"['Package', 'run out', 'leftover', 'internet', 'main', 'like', 'break up', 'broke', 'ping', 'heavy', 'really', 'disappointing', ' application ',' Telkomsel ',' kagak ',' open ',' like ',' error ',' severe ',' right ',' application ',' open ',' open ',' pu"&amp;"lse ',' take ' , 'intention', 'buy', 'package', 'application', 'Telkomsel', 'Professional', 'expensive', 'prayed', 'facilities', 'tolonh', 'noticed']")</f>
        <v>['Package', 'run out', 'leftover', 'internet', 'main', 'like', 'break up', 'broke', 'ping', 'heavy', 'really', 'disappointing', ' application ',' Telkomsel ',' kagak ',' open ',' like ',' error ',' severe ',' right ',' application ',' open ',' open ',' pulse ',' take ' , 'intention', 'buy', 'package', 'application', 'Telkomsel', 'Professional', 'expensive', 'prayed', 'facilities', 'tolonh', 'noticed']</v>
      </c>
      <c r="D1179" s="3">
        <v>1.0</v>
      </c>
    </row>
    <row r="1180" ht="15.75" customHeight="1">
      <c r="A1180" s="1">
        <v>1178.0</v>
      </c>
      <c r="B1180" s="3" t="s">
        <v>1181</v>
      </c>
      <c r="C1180" s="3" t="str">
        <f>IFERROR(__xludf.DUMMYFUNCTION("GOOGLETRANSLATE(B1180,""id"",""en"")"),"['Hello', 'minn', 'setrlah', 'update', 'kenpa', 'log', 'application', 'try', 'love', 'info', 'work', 'partner', ' Telkomsel ',' Knpa ',' Hujukin ',' ']")</f>
        <v>['Hello', 'minn', 'setrlah', 'update', 'kenpa', 'log', 'application', 'try', 'love', 'info', 'work', 'partner', ' Telkomsel ',' Knpa ',' Hujukin ',' ']</v>
      </c>
      <c r="D1180" s="3">
        <v>2.0</v>
      </c>
    </row>
    <row r="1181" ht="15.75" customHeight="1">
      <c r="A1181" s="1">
        <v>1179.0</v>
      </c>
      <c r="B1181" s="3" t="s">
        <v>1182</v>
      </c>
      <c r="C1181" s="3" t="str">
        <f>IFERROR(__xludf.DUMMYFUNCTION("GOOGLETRANSLATE(B1181,""id"",""en"")"),"['Soon', 'Severe', 'Open', 'Telkomsel', 'APK', 'Difficult', 'Forgiveness', 'Please', 'Fix', 'Disappointed', ""]")</f>
        <v>['Soon', 'Severe', 'Open', 'Telkomsel', 'APK', 'Difficult', 'Forgiveness', 'Please', 'Fix', 'Disappointed', "]</v>
      </c>
      <c r="D1181" s="3">
        <v>1.0</v>
      </c>
    </row>
    <row r="1182" ht="15.75" customHeight="1">
      <c r="A1182" s="1">
        <v>1180.0</v>
      </c>
      <c r="B1182" s="3" t="s">
        <v>1183</v>
      </c>
      <c r="C1182" s="3" t="str">
        <f>IFERROR(__xludf.DUMMYFUNCTION("GOOGLETRANSLATE(B1182,""id"",""en"")"),"['Please', 'Condition', 'Kouta', 'at least', 'notice', 'Kouta', 'Abis',' one ',' please ',' conditioned ',' apk ',' error ',' Pelangan ',' Disappointed ',' ']")</f>
        <v>['Please', 'Condition', 'Kouta', 'at least', 'notice', 'Kouta', 'Abis',' one ',' please ',' conditioned ',' apk ',' error ',' Pelangan ',' Disappointed ',' ']</v>
      </c>
      <c r="D1182" s="3">
        <v>1.0</v>
      </c>
    </row>
    <row r="1183" ht="15.75" customHeight="1">
      <c r="A1183" s="1">
        <v>1181.0</v>
      </c>
      <c r="B1183" s="3" t="s">
        <v>1184</v>
      </c>
      <c r="C1183" s="3" t="str">
        <f>IFERROR(__xludf.DUMMYFUNCTION("GOOGLETRANSLATE(B1183,""id"",""en"")"),"['application', 'opened', 'dowload', 'application', 'check', 'manual', 'friend', 'complaining', '']")</f>
        <v>['application', 'opened', 'dowload', 'application', 'check', 'manual', 'friend', 'complaining', '']</v>
      </c>
      <c r="D1183" s="3">
        <v>1.0</v>
      </c>
    </row>
    <row r="1184" ht="15.75" customHeight="1">
      <c r="A1184" s="1">
        <v>1182.0</v>
      </c>
      <c r="B1184" s="3" t="s">
        <v>1185</v>
      </c>
      <c r="C1184" s="3" t="str">
        <f>IFERROR(__xludf.DUMMYFUNCTION("GOOGLETRANSLATE(B1184,""id"",""en"")"),"['Application', 'Error', 'Signal', 'Bad', 'Telkomsel', 'Signal', 'Good', 'Price', 'Quality', 'Appropriate']")</f>
        <v>['Application', 'Error', 'Signal', 'Bad', 'Telkomsel', 'Signal', 'Good', 'Price', 'Quality', 'Appropriate']</v>
      </c>
      <c r="D1184" s="3">
        <v>1.0</v>
      </c>
    </row>
    <row r="1185" ht="15.75" customHeight="1">
      <c r="A1185" s="1">
        <v>1183.0</v>
      </c>
      <c r="B1185" s="3" t="s">
        <v>1186</v>
      </c>
      <c r="C1185" s="3" t="str">
        <f>IFERROR(__xludf.DUMMYFUNCTION("GOOGLETRANSLATE(B1185,""id"",""en"")"),"['application', 'stable', 'difficult', 'open', 'open', 'application', 'browser', 'fast', 'please', 'repair', 'times',' use ',' Disappointed ',' thank ',' love ',' ']")</f>
        <v>['application', 'stable', 'difficult', 'open', 'open', 'application', 'browser', 'fast', 'please', 'repair', 'times',' use ',' Disappointed ',' thank ',' love ',' ']</v>
      </c>
      <c r="D1185" s="3">
        <v>2.0</v>
      </c>
    </row>
    <row r="1186" ht="15.75" customHeight="1">
      <c r="A1186" s="1">
        <v>1184.0</v>
      </c>
      <c r="B1186" s="3" t="s">
        <v>1187</v>
      </c>
      <c r="C1186" s="3" t="str">
        <f>IFERROR(__xludf.DUMMYFUNCTION("GOOGLETRANSLATE(B1186,""id"",""en"")"),"['Promo', 'Application', 'Error', 'Try', 'Open', 'Clock', 'Something', 'Wrong', 'Check', 'Update', 'Uda', 'Please', ' Fix ',' Performance ',' Application ',' ']")</f>
        <v>['Promo', 'Application', 'Error', 'Try', 'Open', 'Clock', 'Something', 'Wrong', 'Check', 'Update', 'Uda', 'Please', ' Fix ',' Performance ',' Application ',' ']</v>
      </c>
      <c r="D1186" s="3">
        <v>1.0</v>
      </c>
    </row>
    <row r="1187" ht="15.75" customHeight="1">
      <c r="A1187" s="1">
        <v>1185.0</v>
      </c>
      <c r="B1187" s="3" t="s">
        <v>1188</v>
      </c>
      <c r="C1187" s="3" t="str">
        <f>IFERROR(__xludf.DUMMYFUNCTION("GOOGLETRANSLATE(B1187,""id"",""en"")"),"['Satisfied', 'Application', 'Telkomsel', 'Help', 'Open', 'Application', 'Telkomsel', 'Hurry', 'Download', 'Application', 'Dissel', 'Download', ' Application ',' Telkomsel ',' Mobile ',' Easily ',' Needs', 'Yuyu', 'Hurry', 'Download', 'Application', '']")</f>
        <v>['Satisfied', 'Application', 'Telkomsel', 'Help', 'Open', 'Application', 'Telkomsel', 'Hurry', 'Download', 'Application', 'Dissel', 'Download', ' Application ',' Telkomsel ',' Mobile ',' Easily ',' Needs', 'Yuyu', 'Hurry', 'Download', 'Application', '']</v>
      </c>
      <c r="D1187" s="3">
        <v>5.0</v>
      </c>
    </row>
    <row r="1188" ht="15.75" customHeight="1">
      <c r="A1188" s="1">
        <v>1186.0</v>
      </c>
      <c r="B1188" s="3" t="s">
        <v>1189</v>
      </c>
      <c r="C1188" s="3" t="str">
        <f>IFERROR(__xludf.DUMMYFUNCTION("GOOGLETRANSLATE(B1188,""id"",""en"")"),"['like', 'strange', 'Telkomsel', 'play', 'game', 'online', 'ngellag', 'ping', 'yellow', 'right', 'diyoutube', 'smooth', ' strangely ',' check ',' signal ',' ping ',' green ',' full ',' inside ',' game ',' ping ',' yellow ',' full ',' beg ',' repaired ' , "&amp;"'Kalai', 'repaired', 'Sorry', 'move', 'operator', 'next door']")</f>
        <v>['like', 'strange', 'Telkomsel', 'play', 'game', 'online', 'ngellag', 'ping', 'yellow', 'right', 'diyoutube', 'smooth', ' strangely ',' check ',' signal ',' ping ',' green ',' full ',' inside ',' game ',' ping ',' yellow ',' full ',' beg ',' repaired ' , 'Kalai', 'repaired', 'Sorry', 'move', 'operator', 'next door']</v>
      </c>
      <c r="D1188" s="3">
        <v>1.0</v>
      </c>
    </row>
    <row r="1189" ht="15.75" customHeight="1">
      <c r="A1189" s="1">
        <v>1187.0</v>
      </c>
      <c r="B1189" s="3" t="s">
        <v>1190</v>
      </c>
      <c r="C1189" s="3" t="str">
        <f>IFERROR(__xludf.DUMMYFUNCTION("GOOGLETRANSLATE(B1189,""id"",""en"")"),"['application', 'open', 'seisp', 'times',' open ',' appear ',' writing ',' error ',' please ',' try ',' signal ',' normal ',' DSN ',' Deh ',' GMN ',' That's', 'Appears',' Posts', 'Network', 'Stable', 'Safe', 'Network', 'Appsai', 'Dibroch', 'times' , '']")</f>
        <v>['application', 'open', 'seisp', 'times',' open ',' appear ',' writing ',' error ',' please ',' try ',' signal ',' normal ',' DSN ',' Deh ',' GMN ',' That's', 'Appears',' Posts', 'Network', 'Stable', 'Safe', 'Network', 'Appsai', 'Dibroch', 'times' , '']</v>
      </c>
      <c r="D1189" s="3">
        <v>1.0</v>
      </c>
    </row>
    <row r="1190" ht="15.75" customHeight="1">
      <c r="A1190" s="1">
        <v>1188.0</v>
      </c>
      <c r="B1190" s="3" t="s">
        <v>1191</v>
      </c>
      <c r="C1190" s="3" t="str">
        <f>IFERROR(__xludf.DUMMYFUNCTION("GOOGLETRANSLATE(B1190,""id"",""en"")"),"['Open', 'said', 'Something', 'Wrong', 'Something', 'Wrong', 'Telkomsel', 'Wrong', 'disappointing', 'millions', 'customers', '']")</f>
        <v>['Open', 'said', 'Something', 'Wrong', 'Something', 'Wrong', 'Telkomsel', 'Wrong', 'disappointing', 'millions', 'customers', '']</v>
      </c>
      <c r="D1190" s="3">
        <v>3.0</v>
      </c>
    </row>
    <row r="1191" ht="15.75" customHeight="1">
      <c r="A1191" s="1">
        <v>1189.0</v>
      </c>
      <c r="B1191" s="3" t="s">
        <v>1192</v>
      </c>
      <c r="C1191" s="3" t="str">
        <f>IFERROR(__xludf.DUMMYFUNCTION("GOOGLETRANSLATE(B1191,""id"",""en"")"),"['cunan', 'search', 'utung', 'doank', 'signal', 'repay', 'already', 'price', 'expensive', 'signal', 'ketcher', 'cave', ' Users', 'loyal', 'Cecewa', 'Dadly', 'Success',' Monoh ',' responded ']")</f>
        <v>['cunan', 'search', 'utung', 'doank', 'signal', 'repay', 'already', 'price', 'expensive', 'signal', 'ketcher', 'cave', ' Users', 'loyal', 'Cecewa', 'Dadly', 'Success',' Monoh ',' responded ']</v>
      </c>
      <c r="D1191" s="3">
        <v>1.0</v>
      </c>
    </row>
    <row r="1192" ht="15.75" customHeight="1">
      <c r="A1192" s="1">
        <v>1190.0</v>
      </c>
      <c r="B1192" s="3" t="s">
        <v>1193</v>
      </c>
      <c r="C1192" s="3" t="str">
        <f>IFERROR(__xludf.DUMMYFUNCTION("GOOGLETRANSLATE(B1192,""id"",""en"")"),"['Application', 'MyTelkomsel', 'Anjim', 'Sometimes',' Enter ',' Application ',' Like ',' Signal ',' Safe ',' Safe ',' Connection ',' Bad ',' MyTelkomsel ',' Please ',' Fix ',' Custember ',' Keceet ',' Telkomsel ',' Install ',' Delete ',' Tetep ',' Enter '"&amp;",' Login ',' Please ' , 'Fix', 'Sometimes', 'Season', '']")</f>
        <v>['Application', 'MyTelkomsel', 'Anjim', 'Sometimes',' Enter ',' Application ',' Like ',' Signal ',' Safe ',' Safe ',' Connection ',' Bad ',' MyTelkomsel ',' Please ',' Fix ',' Custember ',' Keceet ',' Telkomsel ',' Install ',' Delete ',' Tetep ',' Enter ',' Login ',' Please ' , 'Fix', 'Sometimes', 'Season', '']</v>
      </c>
      <c r="D1192" s="3">
        <v>1.0</v>
      </c>
    </row>
    <row r="1193" ht="15.75" customHeight="1">
      <c r="A1193" s="1">
        <v>1191.0</v>
      </c>
      <c r="B1193" s="3" t="s">
        <v>1194</v>
      </c>
      <c r="C1193" s="3" t="str">
        <f>IFERROR(__xludf.DUMMYFUNCTION("GOOGLETRANSLATE(B1193,""id"",""en"")"),"['App', 'Telkomsel', 'account', 'enter', 'alternating', 'login', 'JWB', 'Something', 'Wrong', 'buy', 'quota', 'complicated', ' hrs', 'right', 'login', 'Telkomsel', 'already', 'Delete', 'then', 'Install', 'reset', 'please', 'assisted', 'Telkomsel', 'Custom"&amp;"er' , 'difficulty', 'login', 'application']")</f>
        <v>['App', 'Telkomsel', 'account', 'enter', 'alternating', 'login', 'JWB', 'Something', 'Wrong', 'buy', 'quota', 'complicated', ' hrs', 'right', 'login', 'Telkomsel', 'already', 'Delete', 'then', 'Install', 'reset', 'please', 'assisted', 'Telkomsel', 'Customer' , 'difficulty', 'login', 'application']</v>
      </c>
      <c r="D1193" s="3">
        <v>1.0</v>
      </c>
    </row>
    <row r="1194" ht="15.75" customHeight="1">
      <c r="A1194" s="1">
        <v>1192.0</v>
      </c>
      <c r="B1194" s="3" t="s">
        <v>1195</v>
      </c>
      <c r="C1194" s="3" t="str">
        <f>IFERROR(__xludf.DUMMYFUNCTION("GOOGLETRANSLATE(B1194,""id"",""en"")"),"['Disappointed', 'really', 'really', 'really', 'already', 'told', 'entry', 'gabisa', 'then', 'udh', 'entry', 'just', ' Loading ',' Doang ',' Buy ',' Package ',' Gabisa ',' Cuman ',' Image ',' Muter ',' Muter ',' Doang ',' Mending ',' Buy ', ""]")</f>
        <v>['Disappointed', 'really', 'really', 'really', 'already', 'told', 'entry', 'gabisa', 'then', 'udh', 'entry', 'just', ' Loading ',' Doang ',' Buy ',' Package ',' Gabisa ',' Cuman ',' Image ',' Muter ',' Muter ',' Doang ',' Mending ',' Buy ', "]</v>
      </c>
      <c r="D1194" s="3">
        <v>1.0</v>
      </c>
    </row>
    <row r="1195" ht="15.75" customHeight="1">
      <c r="A1195" s="1">
        <v>1193.0</v>
      </c>
      <c r="B1195" s="3" t="s">
        <v>1196</v>
      </c>
      <c r="C1195" s="3" t="str">
        <f>IFERROR(__xludf.DUMMYFUNCTION("GOOGLETRANSLATE(B1195,""id"",""en"")"),"['TGGL', 'January', 'Application', 'Error', 'Anjirr', 'Login', 'Trending', 'Topic', 'Twitter', 'Application', 'Bloon', 'That Sege', ' kagak ',' take care ',' team ',' idiot ',' salary ',' big ',' take care ',' kagak ',' uninstall ',' uninstall ',' applica"&amp;"tion ',' ']")</f>
        <v>['TGGL', 'January', 'Application', 'Error', 'Anjirr', 'Login', 'Trending', 'Topic', 'Twitter', 'Application', 'Bloon', 'That Sege', ' kagak ',' take care ',' team ',' idiot ',' salary ',' big ',' take care ',' kagak ',' uninstall ',' uninstall ',' application ',' ']</v>
      </c>
      <c r="D1195" s="3">
        <v>1.0</v>
      </c>
    </row>
    <row r="1196" ht="15.75" customHeight="1">
      <c r="A1196" s="1">
        <v>1194.0</v>
      </c>
      <c r="B1196" s="3" t="s">
        <v>1197</v>
      </c>
      <c r="C1196" s="3" t="str">
        <f>IFERROR(__xludf.DUMMYFUNCTION("GOOGLETRANSLATE(B1196,""id"",""en"")"),"['Hello', 'Telkomsel', 'remove', 'package', 'internet', 'unlimited', 'kayak', 'yrs',' yesterday ',' package ',' internet ',' unlimited ',' Telkomsel ',' buy ',' package ',' season ',' covid ',' difficult ',' money ',' salary ',' wait ',' update ',' packag"&amp;"e ',' internet ',' unlimited ' , 'thanks']")</f>
        <v>['Hello', 'Telkomsel', 'remove', 'package', 'internet', 'unlimited', 'kayak', 'yrs',' yesterday ',' package ',' internet ',' unlimited ',' Telkomsel ',' buy ',' package ',' season ',' covid ',' difficult ',' money ',' salary ',' wait ',' update ',' package ',' internet ',' unlimited ' , 'thanks']</v>
      </c>
      <c r="D1196" s="3">
        <v>3.0</v>
      </c>
    </row>
    <row r="1197" ht="15.75" customHeight="1">
      <c r="A1197" s="1">
        <v>1195.0</v>
      </c>
      <c r="B1197" s="3" t="s">
        <v>1198</v>
      </c>
      <c r="C1197" s="3" t="str">
        <f>IFERROR(__xludf.DUMMYFUNCTION("GOOGLETRANSLATE(B1197,""id"",""en"")"),"['application', 'error', 'update', 'signal', 'bad', 'Telkomsel', 'for a moment', 'already', 'here', 'signal', 'bad', 'please', ' CUL ',' thinking ',' package ',' is mentioned ',' price ',' quality ',' repaired ',' ']")</f>
        <v>['application', 'error', 'update', 'signal', 'bad', 'Telkomsel', 'for a moment', 'already', 'here', 'signal', 'bad', 'please', ' CUL ',' thinking ',' package ',' is mentioned ',' price ',' quality ',' repaired ',' ']</v>
      </c>
      <c r="D1197" s="3">
        <v>1.0</v>
      </c>
    </row>
    <row r="1198" ht="15.75" customHeight="1">
      <c r="A1198" s="1">
        <v>1196.0</v>
      </c>
      <c r="B1198" s="3" t="s">
        <v>1199</v>
      </c>
      <c r="C1198" s="3" t="str">
        <f>IFERROR(__xludf.DUMMYFUNCTION("GOOGLETRANSLATE(B1198,""id"",""en"")"),"['already', 'Telkomsel', 'Telkomsel', 'open', 'Telkomsel', 'signal', 'jammed', 'how', 'already', 'buy', 'package', 'expensive', ' Kayak ']")</f>
        <v>['already', 'Telkomsel', 'Telkomsel', 'open', 'Telkomsel', 'signal', 'jammed', 'how', 'already', 'buy', 'package', 'expensive', ' Kayak ']</v>
      </c>
      <c r="D1198" s="3">
        <v>3.0</v>
      </c>
    </row>
    <row r="1199" ht="15.75" customHeight="1">
      <c r="A1199" s="1">
        <v>1197.0</v>
      </c>
      <c r="B1199" s="3" t="s">
        <v>1200</v>
      </c>
      <c r="C1199" s="3" t="str">
        <f>IFERROR(__xludf.DUMMYFUNCTION("GOOGLETRANSLATE(B1199,""id"",""en"")"),"['Update', 'Login', 'Min', 'Response', 'App', 'Verification', 'Number', 'Something', 'Went', 'Wrong', 'Please', 'Try', ' Again ',' After ',' sometime ',' solution ',' how ',' ']")</f>
        <v>['Update', 'Login', 'Min', 'Response', 'App', 'Verification', 'Number', 'Something', 'Went', 'Wrong', 'Please', 'Try', ' Again ',' After ',' sometime ',' solution ',' how ',' ']</v>
      </c>
      <c r="D1199" s="3">
        <v>2.0</v>
      </c>
    </row>
    <row r="1200" ht="15.75" customHeight="1">
      <c r="A1200" s="1">
        <v>1198.0</v>
      </c>
      <c r="B1200" s="3" t="s">
        <v>1201</v>
      </c>
      <c r="C1200" s="3" t="str">
        <f>IFERROR(__xludf.DUMMYFUNCTION("GOOGLETRANSLATE(B1200,""id"",""en"")"),"['update', 'application', 'connection', 'internet', 'available', 'right', 'open', 'application', 'browsing', 'play', 'game', 'online', ' Current ',' smooth ',' severe ',' update ',' improvement ',' bugs', 'MOTHER', 'NGK', 'application', 'operator']")</f>
        <v>['update', 'application', 'connection', 'internet', 'available', 'right', 'open', 'application', 'browsing', 'play', 'game', 'online', ' Current ',' smooth ',' severe ',' update ',' improvement ',' bugs', 'MOTHER', 'NGK', 'application', 'operator']</v>
      </c>
      <c r="D1200" s="3">
        <v>1.0</v>
      </c>
    </row>
    <row r="1201" ht="15.75" customHeight="1">
      <c r="A1201" s="1">
        <v>1199.0</v>
      </c>
      <c r="B1201" s="3" t="s">
        <v>1202</v>
      </c>
      <c r="C1201" s="3" t="str">
        <f>IFERROR(__xludf.DUMMYFUNCTION("GOOGLETRANSLATE(B1201,""id"",""en"")"),"['Disappointed', 'Telkomsel', 'Enter', 'Telkomsel', 'Error', 'Already', 'Lakuin', 'Please', 'Help', 'Operator']")</f>
        <v>['Disappointed', 'Telkomsel', 'Enter', 'Telkomsel', 'Error', 'Already', 'Lakuin', 'Please', 'Help', 'Operator']</v>
      </c>
      <c r="D1201" s="3">
        <v>1.0</v>
      </c>
    </row>
    <row r="1202" ht="15.75" customHeight="1">
      <c r="A1202" s="1">
        <v>1200.0</v>
      </c>
      <c r="B1202" s="3" t="s">
        <v>1203</v>
      </c>
      <c r="C1202" s="3" t="str">
        <f>IFERROR(__xludf.DUMMYFUNCTION("GOOGLETRANSLATE(B1202,""id"",""en"")"),"['No', 'enter', 'card', 'no', 'verification', 'yesterday', 'no', 'checked', 'quota', 'difficult', 'disappearaaaaaaaaaaaaaaaaaaaaaaaaaaaaaa")</f>
        <v>['No', 'enter', 'card', 'no', 'verification', 'yesterday', 'no', 'checked', 'quota', 'difficult', 'disappearaaaaaaaaaaaaaaaaaaaaaaaaaaaaaa</v>
      </c>
      <c r="D1202" s="3">
        <v>3.0</v>
      </c>
    </row>
    <row r="1203" ht="15.75" customHeight="1">
      <c r="A1203" s="1">
        <v>1201.0</v>
      </c>
      <c r="B1203" s="3" t="s">
        <v>1204</v>
      </c>
      <c r="C1203" s="3" t="str">
        <f>IFERROR(__xludf.DUMMYFUNCTION("GOOGLETRANSLATE(B1203,""id"",""en"")"),"['Ngerti', 'Telkomsel', 'remember', 'already', 'BBRAPA', 'quota', 'fast', 'down', 'padahl', 'open', 'youtube', 'application', ' Game ',' eat ',' quota ',' Viu ',' buy ',' premium ',' ad ',' card ',' Hello ',' quota ',' entertainment ',' quota ',' main ' ,"&amp;" 'Abis',' just now ',' Telkomsel ',' access', 'login', 'quota', 'already', 'Abis',' GB ',' SMS ',' Report ',' annoying ',' Ngerni ',' Bad ',' Bad ',' ']")</f>
        <v>['Ngerti', 'Telkomsel', 'remember', 'already', 'BBRAPA', 'quota', 'fast', 'down', 'padahl', 'open', 'youtube', 'application', ' Game ',' eat ',' quota ',' Viu ',' buy ',' premium ',' ad ',' card ',' Hello ',' quota ',' entertainment ',' quota ',' main ' , 'Abis',' just now ',' Telkomsel ',' access', 'login', 'quota', 'already', 'Abis',' GB ',' SMS ',' Report ',' annoying ',' Ngerni ',' Bad ',' Bad ',' ']</v>
      </c>
      <c r="D1203" s="3">
        <v>1.0</v>
      </c>
    </row>
    <row r="1204" ht="15.75" customHeight="1">
      <c r="A1204" s="1">
        <v>1202.0</v>
      </c>
      <c r="B1204" s="3" t="s">
        <v>1205</v>
      </c>
      <c r="C1204" s="3" t="str">
        <f>IFERROR(__xludf.DUMMYFUNCTION("GOOGLETRANSLATE(B1204,""id"",""en"")"),"['Kaga', 'enter', 'block', 'ama', 'server', 'telkomsel', 'quota', 'open', 'application', 'mytelkomsel', 'loading', 'mulu', ' cheating ',' really ',' Telkomsel ',' Application ',' Caskek ',' Credit ',' Block ']")</f>
        <v>['Kaga', 'enter', 'block', 'ama', 'server', 'telkomsel', 'quota', 'open', 'application', 'mytelkomsel', 'loading', 'mulu', ' cheating ',' really ',' Telkomsel ',' Application ',' Caskek ',' Credit ',' Block ']</v>
      </c>
      <c r="D1204" s="3">
        <v>1.0</v>
      </c>
    </row>
    <row r="1205" ht="15.75" customHeight="1">
      <c r="A1205" s="1">
        <v>1203.0</v>
      </c>
      <c r="B1205" s="3" t="s">
        <v>1206</v>
      </c>
      <c r="C1205" s="3" t="str">
        <f>IFERROR(__xludf.DUMMYFUNCTION("GOOGLETRANSLATE(B1205,""id"",""en"")"),"['times',' buy ',' Package ',' payment ',' via ',' Shopee ',' entry ',' balance ',' shopee ',' reduced ',' wrong ',' shopee ',' application ',' application ',' slow ',' open ',' change ',' name ',' ']")</f>
        <v>['times',' buy ',' Package ',' payment ',' via ',' Shopee ',' entry ',' balance ',' shopee ',' reduced ',' wrong ',' shopee ',' application ',' application ',' slow ',' open ',' change ',' name ',' ']</v>
      </c>
      <c r="D1205" s="3">
        <v>4.0</v>
      </c>
    </row>
    <row r="1206" ht="15.75" customHeight="1">
      <c r="A1206" s="1">
        <v>1204.0</v>
      </c>
      <c r="B1206" s="3" t="s">
        <v>1207</v>
      </c>
      <c r="C1206" s="3" t="str">
        <f>IFERROR(__xludf.DUMMYFUNCTION("GOOGLETRANSLATE(B1206,""id"",""en"")"),"['Sorry', 'love', 'buntang', 'already', 'ligin', 'number', 'right', 'login', 'times',' use ',' number ',' use ',' number ',' please ',' given ',' instructions', '']")</f>
        <v>['Sorry', 'love', 'buntang', 'already', 'ligin', 'number', 'right', 'login', 'times',' use ',' number ',' use ',' number ',' please ',' given ',' instructions', '']</v>
      </c>
      <c r="D1206" s="3">
        <v>2.0</v>
      </c>
    </row>
    <row r="1207" ht="15.75" customHeight="1">
      <c r="A1207" s="1">
        <v>1205.0</v>
      </c>
      <c r="B1207" s="3" t="s">
        <v>1208</v>
      </c>
      <c r="C1207" s="3" t="str">
        <f>IFERROR(__xludf.DUMMYFUNCTION("GOOGLETRANSLATE(B1207,""id"",""en"")"),"['Please', 'signal', 'deteriorating', 'disturbing', 'bngt', 'maen', 'game', 'online', 'please', 'fast', 'fix', 'lgi', ' telkomjing ',' pig ',' cave ',' gabisa ',' entry ',' app ',' bngst ']")</f>
        <v>['Please', 'signal', 'deteriorating', 'disturbing', 'bngt', 'maen', 'game', 'online', 'please', 'fast', 'fix', 'lgi', ' telkomjing ',' pig ',' cave ',' gabisa ',' entry ',' app ',' bngst ']</v>
      </c>
      <c r="D1207" s="3">
        <v>2.0</v>
      </c>
    </row>
    <row r="1208" ht="15.75" customHeight="1">
      <c r="A1208" s="1">
        <v>1206.0</v>
      </c>
      <c r="B1208" s="3" t="s">
        <v>1209</v>
      </c>
      <c r="C1208" s="3" t="str">
        <f>IFERROR(__xludf.DUMMYFUNCTION("GOOGLETRANSLATE(B1208,""id"",""en"")"),"['Error', 'right', 'opened', 'written', 'connection', 'stable', 'right', 'check', 'appp', 'smooth', 'signal', 'speeding', ' Telkomsel ',' problematic ']")</f>
        <v>['Error', 'right', 'opened', 'written', 'connection', 'stable', 'right', 'check', 'appp', 'smooth', 'signal', 'speeding', ' Telkomsel ',' problematic ']</v>
      </c>
      <c r="D1208" s="3">
        <v>1.0</v>
      </c>
    </row>
    <row r="1209" ht="15.75" customHeight="1">
      <c r="A1209" s="1">
        <v>1207.0</v>
      </c>
      <c r="B1209" s="3" t="s">
        <v>1210</v>
      </c>
      <c r="C1209" s="3" t="str">
        <f>IFERROR(__xludf.DUMMYFUNCTION("GOOGLETRANSLATE(B1209,""id"",""en"")"),"['Just', 'Suggestions', 'Quality', 'Service', 'Enhanced', 'Fastest', 'Indonesia', 'Network', 'Region', 'Houses', 'Slow', 'Really' thank you']")</f>
        <v>['Just', 'Suggestions', 'Quality', 'Service', 'Enhanced', 'Fastest', 'Indonesia', 'Network', 'Region', 'Houses', 'Slow', 'Really' thank you']</v>
      </c>
      <c r="D1209" s="3">
        <v>1.0</v>
      </c>
    </row>
    <row r="1210" ht="15.75" customHeight="1">
      <c r="A1210" s="1">
        <v>1208.0</v>
      </c>
      <c r="B1210" s="3" t="s">
        <v>1211</v>
      </c>
      <c r="C1210" s="3" t="str">
        <f>IFERROR(__xludf.DUMMYFUNCTION("GOOGLETRANSLATE(B1210,""id"",""en"")"),"['application', 'abal', 'abal', 'out', 'quota', 'login', 'use', 'number', 'use', 'account', 'application', 'gini', ' Displayed ',' Play ',' Store ',' TDI ',' Use ',' Application ',' Check ',' Pulse ',' Lost ',' Disappointed ', ""]")</f>
        <v>['application', 'abal', 'abal', 'out', 'quota', 'login', 'use', 'number', 'use', 'account', 'application', 'gini', ' Displayed ',' Play ',' Store ',' TDI ',' Use ',' Application ',' Check ',' Pulse ',' Lost ',' Disappointed ', "]</v>
      </c>
      <c r="D1210" s="3">
        <v>1.0</v>
      </c>
    </row>
    <row r="1211" ht="15.75" customHeight="1">
      <c r="A1211" s="1">
        <v>1209.0</v>
      </c>
      <c r="B1211" s="3" t="s">
        <v>1212</v>
      </c>
      <c r="C1211" s="3" t="str">
        <f>IFERROR(__xludf.DUMMYFUNCTION("GOOGLETRANSLATE(B1211,""id"",""en"")"),"['kagak', 'login', 'kagak', 'entry', 'his writing', 'something', 'wrong', 'kagak', 'buy', 'package', 'already', 'sorted', ' replaced ',' Review ',' Thanks']")</f>
        <v>['kagak', 'login', 'kagak', 'entry', 'his writing', 'something', 'wrong', 'kagak', 'buy', 'package', 'already', 'sorted', ' replaced ',' Review ',' Thanks']</v>
      </c>
      <c r="D1211" s="3">
        <v>1.0</v>
      </c>
    </row>
    <row r="1212" ht="15.75" customHeight="1">
      <c r="A1212" s="1">
        <v>1210.0</v>
      </c>
      <c r="B1212" s="3" t="s">
        <v>1213</v>
      </c>
      <c r="C1212" s="3" t="str">
        <f>IFERROR(__xludf.DUMMYFUNCTION("GOOGLETRANSLATE(B1212,""id"",""en"")"),"['emergency', 'maintenance', 'love', 'message', 'KEK', 'JDYA', 'buy', 'quota', 'nggk', 'hrs',' waiting ',' maintenance ',' APK ',' finished ',' quota ',' package ',' available ',' Telkomsel ',' Package ']")</f>
        <v>['emergency', 'maintenance', 'love', 'message', 'KEK', 'JDYA', 'buy', 'quota', 'nggk', 'hrs',' waiting ',' maintenance ',' APK ',' finished ',' quota ',' package ',' available ',' Telkomsel ',' Package ']</v>
      </c>
      <c r="D1212" s="3">
        <v>2.0</v>
      </c>
    </row>
    <row r="1213" ht="15.75" customHeight="1">
      <c r="A1213" s="1">
        <v>1211.0</v>
      </c>
      <c r="B1213" s="3" t="s">
        <v>1214</v>
      </c>
      <c r="C1213" s="3" t="str">
        <f>IFERROR(__xludf.DUMMYFUNCTION("GOOGLETRANSLATE(B1213,""id"",""en"")"),"['Login', 'already', 'uninstall', 'Install', 'reset', 'tetep', 'pdhl', 'internet', 'stable', 'smooth', 'Jaya', 'right', ' Login ',' ']")</f>
        <v>['Login', 'already', 'uninstall', 'Install', 'reset', 'tetep', 'pdhl', 'internet', 'stable', 'smooth', 'Jaya', 'right', ' Login ',' ']</v>
      </c>
      <c r="D1213" s="3">
        <v>1.0</v>
      </c>
    </row>
    <row r="1214" ht="15.75" customHeight="1">
      <c r="A1214" s="1">
        <v>1212.0</v>
      </c>
      <c r="B1214" s="3" t="s">
        <v>1215</v>
      </c>
      <c r="C1214" s="3" t="str">
        <f>IFERROR(__xludf.DUMMYFUNCTION("GOOGLETRANSLATE(B1214,""id"",""en"")"),"['Kah', 'Network', 'Telkomsel', 'Severe', 'Please', 'Suggest', 'Email', 'Where', 'Tired', 'Mulu', 'Benerin', 'Comfortable', ' Disorders', 'provider', 'the most expensive', 'service', 'cheap', '']")</f>
        <v>['Kah', 'Network', 'Telkomsel', 'Severe', 'Please', 'Suggest', 'Email', 'Where', 'Tired', 'Mulu', 'Benerin', 'Comfortable', ' Disorders', 'provider', 'the most expensive', 'service', 'cheap', '']</v>
      </c>
      <c r="D1214" s="3">
        <v>1.0</v>
      </c>
    </row>
    <row r="1215" ht="15.75" customHeight="1">
      <c r="A1215" s="1">
        <v>1213.0</v>
      </c>
      <c r="B1215" s="3" t="s">
        <v>1216</v>
      </c>
      <c r="C1215" s="3" t="str">
        <f>IFERROR(__xludf.DUMMYFUNCTION("GOOGLETRANSLATE(B1215,""id"",""en"")"),"['Sorry', 'given', 'Rating', 'Yesterday', 'Application', 'Disruption', 'The answer', 'Improved', 'System', 'Hello', 'Improved', 'System', ' Sampek ',' clock ',' noon ',' Yesterday ',' Need ',' Application ',' Telkomsel ',' Ngaktivation ',' Package ',' Ser"&amp;"vice ',' Money ',' Already ',' Accessible ' , 'users', 'Telkomsel', 'loyal', 'service', 'people', 'disappointed', '']")</f>
        <v>['Sorry', 'given', 'Rating', 'Yesterday', 'Application', 'Disruption', 'The answer', 'Improved', 'System', 'Hello', 'Improved', 'System', ' Sampek ',' clock ',' noon ',' Yesterday ',' Need ',' Application ',' Telkomsel ',' Ngaktivation ',' Package ',' Service ',' Money ',' Already ',' Accessible ' , 'users', 'Telkomsel', 'loyal', 'service', 'people', 'disappointed', '']</v>
      </c>
      <c r="D1215" s="3">
        <v>1.0</v>
      </c>
    </row>
    <row r="1216" ht="15.75" customHeight="1">
      <c r="A1216" s="1">
        <v>1214.0</v>
      </c>
      <c r="B1216" s="3" t="s">
        <v>1217</v>
      </c>
      <c r="C1216" s="3" t="str">
        <f>IFERROR(__xludf.DUMMYFUNCTION("GOOGLETRANSLATE(B1216,""id"",""en"")"),"['Please', 'improve', 'network', 'area', 'Depok', 'signal', 'like', 'jumping', 'access',' sosmed ',' play ',' games', ' etc. ',' signal ',' like ',' down ',' cellphone ',' potatoes', 'emng', 'likes',' down ',' jdi ',' repair ',' network ',' area ' , 'remo"&amp;"te', 'disappointed']")</f>
        <v>['Please', 'improve', 'network', 'area', 'Depok', 'signal', 'like', 'jumping', 'access',' sosmed ',' play ',' games', ' etc. ',' signal ',' like ',' down ',' cellphone ',' potatoes', 'emng', 'likes',' down ',' jdi ',' repair ',' network ',' area ' , 'remote', 'disappointed']</v>
      </c>
      <c r="D1216" s="3">
        <v>1.0</v>
      </c>
    </row>
    <row r="1217" ht="15.75" customHeight="1">
      <c r="A1217" s="1">
        <v>1215.0</v>
      </c>
      <c r="B1217" s="3" t="s">
        <v>1218</v>
      </c>
      <c r="C1217" s="3" t="str">
        <f>IFERROR(__xludf.DUMMYFUNCTION("GOOGLETRANSLATE(B1217,""id"",""en"")"),"['Telkomsel', 'ugly', 'enter', 'application', 'error', 'buy', 'package', 'hidden', 'return', 'GB']")</f>
        <v>['Telkomsel', 'ugly', 'enter', 'application', 'error', 'buy', 'package', 'hidden', 'return', 'GB']</v>
      </c>
      <c r="D1217" s="3">
        <v>1.0</v>
      </c>
    </row>
    <row r="1218" ht="15.75" customHeight="1">
      <c r="A1218" s="1">
        <v>1216.0</v>
      </c>
      <c r="B1218" s="3" t="s">
        <v>1219</v>
      </c>
      <c r="C1218" s="3" t="str">
        <f>IFERROR(__xludf.DUMMYFUNCTION("GOOGLETRANSLATE(B1218,""id"",""en"")"),"['Please', 'The network', 'knpa', 'slow', 'download', 'open', 'apk', 'buffering', 'maen', 'game', 'ksering', 'do it', ' lost ',' then ',' redeem ',' point ',' already ',' nyampe ',' hundreds', 'point', 'cmn', 'his style', 'redeem', 'point', 'added' , 'KNP"&amp;"A', 'BSA', 'Open', 'Update', 'Taik', ""]")</f>
        <v>['Please', 'The network', 'knpa', 'slow', 'download', 'open', 'apk', 'buffering', 'maen', 'game', 'ksering', 'do it', ' lost ',' then ',' redeem ',' point ',' already ',' nyampe ',' hundreds', 'point', 'cmn', 'his style', 'redeem', 'point', 'added' , 'KNPA', 'BSA', 'Open', 'Update', 'Taik', "]</v>
      </c>
      <c r="D1218" s="3">
        <v>1.0</v>
      </c>
    </row>
    <row r="1219" ht="15.75" customHeight="1">
      <c r="A1219" s="1">
        <v>1217.0</v>
      </c>
      <c r="B1219" s="3" t="s">
        <v>1220</v>
      </c>
      <c r="C1219" s="3" t="str">
        <f>IFERROR(__xludf.DUMMYFUNCTION("GOOGLETRANSLATE(B1219,""id"",""en"")"),"['application', 'login', 'web', 'internet', 'internet', 'buy', 'quota', 'persuhit', 'ugly', 'really', 'quality']")</f>
        <v>['application', 'login', 'web', 'internet', 'internet', 'buy', 'quota', 'persuhit', 'ugly', 'really', 'quality']</v>
      </c>
      <c r="D1219" s="3">
        <v>1.0</v>
      </c>
    </row>
    <row r="1220" ht="15.75" customHeight="1">
      <c r="A1220" s="1">
        <v>1218.0</v>
      </c>
      <c r="B1220" s="3" t="s">
        <v>1221</v>
      </c>
      <c r="C1220" s="3" t="str">
        <f>IFERROR(__xludf.DUMMYFUNCTION("GOOGLETRANSLATE(B1220,""id"",""en"")"),"['gabisa', 'enter', 'application', 'problematic', 'try', 'please', 'fix', 'as soon as possible', 'Telkomsel', 'user', 'please', ' Users', 'loss',' users', '']")</f>
        <v>['gabisa', 'enter', 'application', 'problematic', 'try', 'please', 'fix', 'as soon as possible', 'Telkomsel', 'user', 'please', ' Users', 'loss',' users', '']</v>
      </c>
      <c r="D1220" s="3">
        <v>2.0</v>
      </c>
    </row>
    <row r="1221" ht="15.75" customHeight="1">
      <c r="A1221" s="1">
        <v>1219.0</v>
      </c>
      <c r="B1221" s="3" t="s">
        <v>1222</v>
      </c>
      <c r="C1221" s="3" t="str">
        <f>IFERROR(__xludf.DUMMYFUNCTION("GOOGLETRANSLATE(B1221,""id"",""en"")"),"['subscribe', 'some', 'yrs', 'per week', 'signal', 'ugly', 'package', 'chaotic', 'sometimes', 'gabisa', 'use', 'while' Log ',' uninstall ',' reply ',' enter ',' link ',' suggest ',' thanks', 'server', ""]")</f>
        <v>['subscribe', 'some', 'yrs', 'per week', 'signal', 'ugly', 'package', 'chaotic', 'sometimes', 'gabisa', 'use', 'while' Log ',' uninstall ',' reply ',' enter ',' link ',' suggest ',' thanks', 'server', "]</v>
      </c>
      <c r="D1221" s="3">
        <v>1.0</v>
      </c>
    </row>
    <row r="1222" ht="15.75" customHeight="1">
      <c r="A1222" s="1">
        <v>1220.0</v>
      </c>
      <c r="B1222" s="3" t="s">
        <v>1223</v>
      </c>
      <c r="C1222" s="3" t="str">
        <f>IFERROR(__xludf.DUMMYFUNCTION("GOOGLETRANSLATE(B1222,""id"",""en"")"),"['Telkomsel', 'threat', 'it's',' slow ',' severe ',' padal ',' jatangn ',' near ',' tower ',' app ',' Telkomsel ',' open ',' Error ',' Defeloper ',' Disright ',' User ',' ']")</f>
        <v>['Telkomsel', 'threat', 'it's',' slow ',' severe ',' padal ',' jatangn ',' near ',' tower ',' app ',' Telkomsel ',' open ',' Error ',' Defeloper ',' Disright ',' User ',' ']</v>
      </c>
      <c r="D1222" s="3">
        <v>1.0</v>
      </c>
    </row>
    <row r="1223" ht="15.75" customHeight="1">
      <c r="A1223" s="1">
        <v>1221.0</v>
      </c>
      <c r="B1223" s="3" t="s">
        <v>1224</v>
      </c>
      <c r="C1223" s="3" t="str">
        <f>IFERROR(__xludf.DUMMYFUNCTION("GOOGLETRANSLATE(B1223,""id"",""en"")"),"['Customer', 'Telkomsel', 'Talk', 'turn', 'need', 'server', 'down', 'times', 'down', 'just', 'until', 'for days' Something ',' Went ',' Wrong ',' Please ',' Try ',' Again ',' After ',' sometimes', 'Turn', 'Login', 'Website', 'Telkomsel', 'Tetep' , 'Intern"&amp;"et', 'turn', 'open', 'google', 'open', 'application', 'tetep', 'smooth', 'telkomsel', 'healthy', 'already', 'rich', ' Provider ',' Please ',' Reference ',' Network ',' Good ',' Telkomsel ',' Move ',' Merak ',' Network ', ""]")</f>
        <v>['Customer', 'Telkomsel', 'Talk', 'turn', 'need', 'server', 'down', 'times', 'down', 'just', 'until', 'for days' Something ',' Went ',' Wrong ',' Please ',' Try ',' Again ',' After ',' sometimes', 'Turn', 'Login', 'Website', 'Telkomsel', 'Tetep' , 'Internet', 'turn', 'open', 'google', 'open', 'application', 'tetep', 'smooth', 'telkomsel', 'healthy', 'already', 'rich', ' Provider ',' Please ',' Reference ',' Network ',' Good ',' Telkomsel ',' Move ',' Merak ',' Network ', "]</v>
      </c>
      <c r="D1223" s="3">
        <v>1.0</v>
      </c>
    </row>
    <row r="1224" ht="15.75" customHeight="1">
      <c r="A1224" s="1">
        <v>1222.0</v>
      </c>
      <c r="B1224" s="3" t="s">
        <v>1225</v>
      </c>
      <c r="C1224" s="3" t="str">
        <f>IFERROR(__xludf.DUMMYFUNCTION("GOOGLETRANSLATE(B1224,""id"",""en"")"),"['Dilapidated', 'Application', 'MyTelkomsel', 'Login', 'Harmin', 'Customer', 'Fast', 'Fix', 'Error', 'Netizen', 'Blasphemen', 'Telkomsel', ' ']")</f>
        <v>['Dilapidated', 'Application', 'MyTelkomsel', 'Login', 'Harmin', 'Customer', 'Fast', 'Fix', 'Error', 'Netizen', 'Blasphemen', 'Telkomsel', ' ']</v>
      </c>
      <c r="D1224" s="3">
        <v>1.0</v>
      </c>
    </row>
    <row r="1225" ht="15.75" customHeight="1">
      <c r="A1225" s="1">
        <v>1223.0</v>
      </c>
      <c r="B1225" s="3" t="s">
        <v>1226</v>
      </c>
      <c r="C1225" s="3" t="str">
        <f>IFERROR(__xludf.DUMMYFUNCTION("GOOGLETRANSLATE(B1225,""id"",""en"")"),"['Disappointedaaaaa', 'Loginnnnnn', 'already', 'inserted', 'number', 'cana', 'something', 'went', 'wrong', 'signal', 'fullll']")</f>
        <v>['Disappointedaaaaa', 'Loginnnnnn', 'already', 'inserted', 'number', 'cana', 'something', 'went', 'wrong', 'signal', 'fullll']</v>
      </c>
      <c r="D1225" s="3">
        <v>1.0</v>
      </c>
    </row>
    <row r="1226" ht="15.75" customHeight="1">
      <c r="A1226" s="1">
        <v>1224.0</v>
      </c>
      <c r="B1226" s="3" t="s">
        <v>1227</v>
      </c>
      <c r="C1226" s="3" t="str">
        <f>IFERROR(__xludf.DUMMYFUNCTION("GOOGLETRANSLATE(B1226,""id"",""en"")"),"['', 'Login', 'Application', 'Telkomsel', 'number', 'Telkomsel', 'use', 'Different', 'Ngeselin', 'already', 'expensive', 'network', 'service ',' zero ',' number ',' already ',' dipake ',' person ',' person ',' already ',' replace ',' operator ',' name ','"&amp;" gede ',' big ', 'Practice', 'zero', '']")</f>
        <v>['', 'Login', 'Application', 'Telkomsel', 'number', 'Telkomsel', 'use', 'Different', 'Ngeselin', 'already', 'expensive', 'network', 'service ',' zero ',' number ',' already ',' dipake ',' person ',' person ',' already ',' replace ',' operator ',' name ',' gede ',' big ', 'Practice', 'zero', '']</v>
      </c>
      <c r="D1226" s="3">
        <v>1.0</v>
      </c>
    </row>
    <row r="1227" ht="15.75" customHeight="1">
      <c r="A1227" s="1">
        <v>1225.0</v>
      </c>
      <c r="B1227" s="3" t="s">
        <v>1228</v>
      </c>
      <c r="C1227" s="3" t="str">
        <f>IFERROR(__xludf.DUMMYFUNCTION("GOOGLETRANSLATE(B1227,""id"",""en"")"),"['Login', 'Application', 'Telkomsel', 'How', 'Improvement', 'Agree', 'Please', 'Repair', ""]")</f>
        <v>['Login', 'Application', 'Telkomsel', 'How', 'Improvement', 'Agree', 'Please', 'Repair', "]</v>
      </c>
      <c r="D1227" s="3">
        <v>1.0</v>
      </c>
    </row>
    <row r="1228" ht="15.75" customHeight="1">
      <c r="A1228" s="1">
        <v>1226.0</v>
      </c>
      <c r="B1228" s="3" t="s">
        <v>1229</v>
      </c>
      <c r="C1228" s="3" t="str">
        <f>IFERROR(__xludf.DUMMYFUNCTION("GOOGLETRANSLATE(B1228,""id"",""en"")"),"['Cool', 'Telkomsel', 'Region', 'Salatiga', 'Good', 'Kah', 'Update', 'Application', 'Improved', 'Network', 'Min', 'Please', ' ass', 'commentar', 'min', 'download', 'game', 'malem', 'please']")</f>
        <v>['Cool', 'Telkomsel', 'Region', 'Salatiga', 'Good', 'Kah', 'Update', 'Application', 'Improved', 'Network', 'Min', 'Please', ' ass', 'commentar', 'min', 'download', 'game', 'malem', 'please']</v>
      </c>
      <c r="D1228" s="3">
        <v>5.0</v>
      </c>
    </row>
    <row r="1229" ht="15.75" customHeight="1">
      <c r="A1229" s="1">
        <v>1227.0</v>
      </c>
      <c r="B1229" s="3" t="s">
        <v>1230</v>
      </c>
      <c r="C1229" s="3" t="str">
        <f>IFERROR(__xludf.DUMMYFUNCTION("GOOGLETRANSLATE(B1229,""id"",""en"")"),"['hope', 'Telkomsel', 'front', 'good', 'promo', 'satisfied', 'promo', 'internet', 'message', 'increase', 'promo', 'signal', ' KPD ',' The ',' Best ',' Love ',' You ',' Telkomsel ',' ']")</f>
        <v>['hope', 'Telkomsel', 'front', 'good', 'promo', 'satisfied', 'promo', 'internet', 'message', 'increase', 'promo', 'signal', ' KPD ',' The ',' Best ',' Love ',' You ',' Telkomsel ',' ']</v>
      </c>
      <c r="D1229" s="3">
        <v>5.0</v>
      </c>
    </row>
    <row r="1230" ht="15.75" customHeight="1">
      <c r="A1230" s="1">
        <v>1228.0</v>
      </c>
      <c r="B1230" s="3" t="s">
        <v>1231</v>
      </c>
      <c r="C1230" s="3" t="str">
        <f>IFERROR(__xludf.DUMMYFUNCTION("GOOGLETRANSLATE(B1230,""id"",""en"")"),"['ugly', 'application', 'login', 'number', 'number', 'Telkomsel', 'please', 'repair', ""]")</f>
        <v>['ugly', 'application', 'login', 'number', 'number', 'Telkomsel', 'please', 'repair', "]</v>
      </c>
      <c r="D1230" s="3">
        <v>1.0</v>
      </c>
    </row>
    <row r="1231" ht="15.75" customHeight="1">
      <c r="A1231" s="1">
        <v>1229.0</v>
      </c>
      <c r="B1231" s="3" t="s">
        <v>1232</v>
      </c>
      <c r="C1231" s="3" t="str">
        <f>IFERROR(__xludf.DUMMYFUNCTION("GOOGLETRANSLATE(B1231,""id"",""en"")"),"['Disappointed', 'really', 'already', 'Try', 'Many', 'times',' Login ',' Ngak ',' Enter ',' What ',' Provider ',' best ',' Indonesia ',' Kayak ',' Gini ',' Try ',' Telkomsel ',' Mending ',' Deh ',' ']")</f>
        <v>['Disappointed', 'really', 'already', 'Try', 'Many', 'times',' Login ',' Ngak ',' Enter ',' What ',' Provider ',' best ',' Indonesia ',' Kayak ',' Gini ',' Try ',' Telkomsel ',' Mending ',' Deh ',' ']</v>
      </c>
      <c r="D1231" s="3">
        <v>1.0</v>
      </c>
    </row>
    <row r="1232" ht="15.75" customHeight="1">
      <c r="A1232" s="1">
        <v>1230.0</v>
      </c>
      <c r="B1232" s="3" t="s">
        <v>1233</v>
      </c>
      <c r="C1232" s="3" t="str">
        <f>IFERROR(__xludf.DUMMYFUNCTION("GOOGLETRANSLATE(B1232,""id"",""en"")"),"['Please', 'Fix', 'Login', 'Application', 'Telkomsel', 'already', 'cave', 'email', 'response', 'pig', 'emang', 'already', ' Email ',' Enter ',' Development ',' Application ',' Bazard ',' Cuih ']")</f>
        <v>['Please', 'Fix', 'Login', 'Application', 'Telkomsel', 'already', 'cave', 'email', 'response', 'pig', 'emang', 'already', ' Email ',' Enter ',' Development ',' Application ',' Bazard ',' Cuih ']</v>
      </c>
      <c r="D1232" s="3">
        <v>1.0</v>
      </c>
    </row>
    <row r="1233" ht="15.75" customHeight="1">
      <c r="A1233" s="1">
        <v>1231.0</v>
      </c>
      <c r="B1233" s="3" t="s">
        <v>1234</v>
      </c>
      <c r="C1233" s="3" t="str">
        <f>IFERROR(__xludf.DUMMYFUNCTION("GOOGLETRANSLATE(B1233,""id"",""en"")"),"['Edit', 'Review', 'Connection', 'Stable', 'Yesterday', 'Application', 'MyTelkomsel', 'Access', 'Telkomsel', 'Kayak', ""]")</f>
        <v>['Edit', 'Review', 'Connection', 'Stable', 'Yesterday', 'Application', 'MyTelkomsel', 'Access', 'Telkomsel', 'Kayak', "]</v>
      </c>
      <c r="D1233" s="3">
        <v>2.0</v>
      </c>
    </row>
    <row r="1234" ht="15.75" customHeight="1">
      <c r="A1234" s="1">
        <v>1232.0</v>
      </c>
      <c r="B1234" s="3" t="s">
        <v>1235</v>
      </c>
      <c r="C1234" s="3" t="str">
        <f>IFERROR(__xludf.DUMMYFUNCTION("GOOGLETRANSLATE(B1234,""id"",""en"")"),"['Network', 'weak', 'UDH', 'Please', 'Increase', 'App', 'Telkomsel', 'Connection', 'Fix', 'Krna', 'smw', 'comment', ' Complaints', 'Network', 'Bad']")</f>
        <v>['Network', 'weak', 'UDH', 'Please', 'Increase', 'App', 'Telkomsel', 'Connection', 'Fix', 'Krna', 'smw', 'comment', ' Complaints', 'Network', 'Bad']</v>
      </c>
      <c r="D1234" s="3">
        <v>2.0</v>
      </c>
    </row>
    <row r="1235" ht="15.75" customHeight="1">
      <c r="A1235" s="1">
        <v>1233.0</v>
      </c>
      <c r="B1235" s="3" t="s">
        <v>1236</v>
      </c>
      <c r="C1235" s="3" t="str">
        <f>IFERROR(__xludf.DUMMYFUNCTION("GOOGLETRANSLATE(B1235,""id"",""en"")"),"['Disappointed', 'really', 'replace', 'card', 'account', 'Telkomsel', 'replace', 'then', 'right', 'cave', 'entry', 'already', ' Entering ',' Nomer ',' Tetep ',' Kluar ',' Shomething ',' What's', 'Macem', 'Login', 'Media', 'Social', 'Try', 'Klau', 'Kya' , "&amp;"'gini', 'mending', 'cave', 'uninstall']")</f>
        <v>['Disappointed', 'really', 'replace', 'card', 'account', 'Telkomsel', 'replace', 'then', 'right', 'cave', 'entry', 'already', ' Entering ',' Nomer ',' Tetep ',' Kluar ',' Shomething ',' What's', 'Macem', 'Login', 'Media', 'Social', 'Try', 'Klau', 'Kya' , 'gini', 'mending', 'cave', 'uninstall']</v>
      </c>
      <c r="D1235" s="3">
        <v>1.0</v>
      </c>
    </row>
    <row r="1236" ht="15.75" customHeight="1">
      <c r="A1236" s="1">
        <v>1234.0</v>
      </c>
      <c r="B1236" s="3" t="s">
        <v>1237</v>
      </c>
      <c r="C1236" s="3" t="str">
        <f>IFERROR(__xludf.DUMMYFUNCTION("GOOGLETRANSLATE(B1236,""id"",""en"")"),"['Kyk', 'Gini', 'Telkomsel', 'Network', 'Bad', 'Application', 'Hard', 'Buy', 'Package', 'Try', 'Telkomsel', 'Network', ' number ',' SEINDONES ',' Price ',' Expensive ',' Quality ',' Keep ',' Price ',' Expensive ',' Quality ',' Keep ',' ']")</f>
        <v>['Kyk', 'Gini', 'Telkomsel', 'Network', 'Bad', 'Application', 'Hard', 'Buy', 'Package', 'Try', 'Telkomsel', 'Network', ' number ',' SEINDONES ',' Price ',' Expensive ',' Quality ',' Keep ',' Price ',' Expensive ',' Quality ',' Keep ',' ']</v>
      </c>
      <c r="D1236" s="3">
        <v>1.0</v>
      </c>
    </row>
    <row r="1237" ht="15.75" customHeight="1">
      <c r="A1237" s="1">
        <v>1235.0</v>
      </c>
      <c r="B1237" s="3" t="s">
        <v>1238</v>
      </c>
      <c r="C1237" s="3" t="str">
        <f>IFERROR(__xludf.DUMMYFUNCTION("GOOGLETRANSLATE(B1237,""id"",""en"")"),"['Disappointed', 'Service', 'Telkomsel', 'Network', 'Good', 'Use', 'Telkomsel', 'Disappointed', 'MyTelkomsel', 'Uninstall', 'Tetep', 'Please', ' Repaired ',' Thank you ']")</f>
        <v>['Disappointed', 'Service', 'Telkomsel', 'Network', 'Good', 'Use', 'Telkomsel', 'Disappointed', 'MyTelkomsel', 'Uninstall', 'Tetep', 'Please', ' Repaired ',' Thank you ']</v>
      </c>
      <c r="D1237" s="3">
        <v>1.0</v>
      </c>
    </row>
    <row r="1238" ht="15.75" customHeight="1">
      <c r="A1238" s="1">
        <v>1236.0</v>
      </c>
      <c r="B1238" s="3" t="s">
        <v>1239</v>
      </c>
      <c r="C1238" s="3" t="str">
        <f>IFERROR(__xludf.DUMMYFUNCTION("GOOGLETRANSLATE(B1238,""id"",""en"")"),"['Sometimes',' login ',' Something ',' Wrong ',' signal ',' package ',' expensive ',' expensive ',' signal ',' aburadul ',' expensive ',' doang ',' Kenceng ',' Kaga ',' Lose ',' Gang ',' Side ']")</f>
        <v>['Sometimes',' login ',' Something ',' Wrong ',' signal ',' package ',' expensive ',' expensive ',' signal ',' aburadul ',' expensive ',' doang ',' Kenceng ',' Kaga ',' Lose ',' Gang ',' Side ']</v>
      </c>
      <c r="D1238" s="3">
        <v>2.0</v>
      </c>
    </row>
    <row r="1239" ht="15.75" customHeight="1">
      <c r="A1239" s="1">
        <v>1237.0</v>
      </c>
      <c r="B1239" s="3" t="s">
        <v>1240</v>
      </c>
      <c r="C1239" s="3" t="str">
        <f>IFERROR(__xludf.DUMMYFUNCTION("GOOGLETRANSLATE(B1239,""id"",""en"")"),"['Please', 'Fix', 'Application', 'Time', 'Open', 'Application', 'Sometime', 'Wrong', 'Disturbing', 'Uninstall', 'Delete', 'Cache', ' opened ',' please ',' fix ',' the application ',' rating ',' good ',' ']")</f>
        <v>['Please', 'Fix', 'Application', 'Time', 'Open', 'Application', 'Sometime', 'Wrong', 'Disturbing', 'Uninstall', 'Delete', 'Cache', ' opened ',' please ',' fix ',' the application ',' rating ',' good ',' ']</v>
      </c>
      <c r="D1239" s="3">
        <v>1.0</v>
      </c>
    </row>
    <row r="1240" ht="15.75" customHeight="1">
      <c r="A1240" s="1">
        <v>1238.0</v>
      </c>
      <c r="B1240" s="3" t="s">
        <v>1241</v>
      </c>
      <c r="C1240" s="3" t="str">
        <f>IFERROR(__xludf.DUMMYFUNCTION("GOOGLETRANSLATE(B1240,""id"",""en"")"),"['Thn', 'use', 'Telkomsel', 'NOT', 'Signal', 'Telkomsel', 'ugly', 'Lost', 'Indosat', 'smartfren', 'village', 'smartfren', ' Not bad ',' Tekomsel ',' ads', 'disappointed', 'already', 'expensive', 'ugly', '']")</f>
        <v>['Thn', 'use', 'Telkomsel', 'NOT', 'Signal', 'Telkomsel', 'ugly', 'Lost', 'Indosat', 'smartfren', 'village', 'smartfren', ' Not bad ',' Tekomsel ',' ads', 'disappointed', 'already', 'expensive', 'ugly', '']</v>
      </c>
      <c r="D1240" s="3">
        <v>1.0</v>
      </c>
    </row>
    <row r="1241" ht="15.75" customHeight="1">
      <c r="A1241" s="1">
        <v>1239.0</v>
      </c>
      <c r="B1241" s="3" t="s">
        <v>1242</v>
      </c>
      <c r="C1241" s="3" t="str">
        <f>IFERROR(__xludf.DUMMYFUNCTION("GOOGLETRANSLATE(B1241,""id"",""en"")"),"['customer', 'loyal', 'Telkomel', 'number', 'Telkomsel', 'Often', 'Application', 'Telkomsel', 'Opened', 'Loading', 'Sometimes',' Needed ',' Check ',' quota ',' home ',' number ',' Akn ',' run out ',' package ',' internet ',' buy ',' package ',' Telkomsel "&amp;"',' nmun ',' open ' , 'SLL', 'appears', 'pop', 'connection', 'stable', 'Try', 'needed', 'help', 'Please', 'Concern', 'solution', ""]")</f>
        <v>['customer', 'loyal', 'Telkomel', 'number', 'Telkomsel', 'Often', 'Application', 'Telkomsel', 'Opened', 'Loading', 'Sometimes',' Needed ',' Check ',' quota ',' home ',' number ',' Akn ',' run out ',' package ',' internet ',' buy ',' package ',' Telkomsel ',' nmun ',' open ' , 'SLL', 'appears', 'pop', 'connection', 'stable', 'Try', 'needed', 'help', 'Please', 'Concern', 'solution', "]</v>
      </c>
      <c r="D1241" s="3">
        <v>1.0</v>
      </c>
    </row>
    <row r="1242" ht="15.75" customHeight="1">
      <c r="A1242" s="1">
        <v>1240.0</v>
      </c>
      <c r="B1242" s="3" t="s">
        <v>1243</v>
      </c>
      <c r="C1242" s="3" t="str">
        <f>IFERROR(__xludf.DUMMYFUNCTION("GOOGLETRANSLATE(B1242,""id"",""en"")"),"['Sangaaat', 'Sangaaaat', 'Sangaaaa', 'Disappointed', 'Mending', 'Closed', 'Turns',' Telkomsel ',' Buy ',' Quota ',' Expensive ',' Signal ',' Hard ',' Pakcet ',' Emblems', 'fooled', 'community', 'buy', 'Package', 'LOL', 'Change', 'Provider']")</f>
        <v>['Sangaaat', 'Sangaaaat', 'Sangaaaa', 'Disappointed', 'Mending', 'Closed', 'Turns',' Telkomsel ',' Buy ',' Quota ',' Expensive ',' Signal ',' Hard ',' Pakcet ',' Emblems', 'fooled', 'community', 'buy', 'Package', 'LOL', 'Change', 'Provider']</v>
      </c>
      <c r="D1242" s="3">
        <v>1.0</v>
      </c>
    </row>
    <row r="1243" ht="15.75" customHeight="1">
      <c r="A1243" s="1">
        <v>1241.0</v>
      </c>
      <c r="B1243" s="3" t="s">
        <v>1244</v>
      </c>
      <c r="C1243" s="3" t="str">
        <f>IFERROR(__xludf.DUMMYFUNCTION("GOOGLETRANSLATE(B1243,""id"",""en"")"),"['not', 'gud', 'every time', 'report', 'told', 'waiting', 'hours',' run out ',' wait ',' blm ',' finish ',' told ',' Wait ',' people ',' disappointed ',' heart ',' Telkomsel ',' Nerka ',' waiting for you ']")</f>
        <v>['not', 'gud', 'every time', 'report', 'told', 'waiting', 'hours',' run out ',' wait ',' blm ',' finish ',' told ',' Wait ',' people ',' disappointed ',' heart ',' Telkomsel ',' Nerka ',' waiting for you ']</v>
      </c>
      <c r="D1243" s="3">
        <v>1.0</v>
      </c>
    </row>
    <row r="1244" ht="15.75" customHeight="1">
      <c r="A1244" s="1">
        <v>1242.0</v>
      </c>
      <c r="B1244" s="3" t="s">
        <v>1245</v>
      </c>
      <c r="C1244" s="3" t="str">
        <f>IFERROR(__xludf.DUMMYFUNCTION("GOOGLETRANSLATE(B1244,""id"",""en"")"),"['Disruption', 'Application', 'Open', 'Disorders',' How ',' Buy ',' Package ',' Gini ',' Application ',' Telkomsel ',' TPI ',' ugly ',' really ',' rich ',' quality ',' Telkomsel ',' really ',' deh ']")</f>
        <v>['Disruption', 'Application', 'Open', 'Disorders',' How ',' Buy ',' Package ',' Gini ',' Application ',' Telkomsel ',' TPI ',' ugly ',' really ',' rich ',' quality ',' Telkomsel ',' really ',' deh ']</v>
      </c>
      <c r="D1244" s="3">
        <v>1.0</v>
      </c>
    </row>
    <row r="1245" ht="15.75" customHeight="1">
      <c r="A1245" s="1">
        <v>1243.0</v>
      </c>
      <c r="B1245" s="3" t="s">
        <v>1246</v>
      </c>
      <c r="C1245" s="3" t="str">
        <f>IFERROR(__xludf.DUMMYFUNCTION("GOOGLETRANSLATE(B1245,""id"",""en"")"),"['Telkomsel', 'Severe', 'Network', 'lag', 'routine', 'rich', 'emang', 'can', 'capacity', 'customer', 'ngeluarin', 'card', ' First ',' annoying ',' Customers', 'Thn', 'Telkomsel', 'Disappointed', 'Network', 'Setabil', 'Tida', 'Satisfying', 'Severe', 'Pleas"&amp;"e', 'Fix' , 'Move', 'Haluan', 'Comfortable', '']")</f>
        <v>['Telkomsel', 'Severe', 'Network', 'lag', 'routine', 'rich', 'emang', 'can', 'capacity', 'customer', 'ngeluarin', 'card', ' First ',' annoying ',' Customers', 'Thn', 'Telkomsel', 'Disappointed', 'Network', 'Setabil', 'Tida', 'Satisfying', 'Severe', 'Please', 'Fix' , 'Move', 'Haluan', 'Comfortable', '']</v>
      </c>
      <c r="D1245" s="3">
        <v>1.0</v>
      </c>
    </row>
    <row r="1246" ht="15.75" customHeight="1">
      <c r="A1246" s="1">
        <v>1244.0</v>
      </c>
      <c r="B1246" s="3" t="s">
        <v>1247</v>
      </c>
      <c r="C1246" s="3" t="str">
        <f>IFERROR(__xludf.DUMMYFUNCTION("GOOGLETRANSLATE(B1246,""id"",""en"")"),"['ngechek', 'data', 'loading', 'Loading', 'reset', 'then', 'apk', 'delete', 'download', 'reset', 'enter', 'my number', ' help', '']")</f>
        <v>['ngechek', 'data', 'loading', 'Loading', 'reset', 'then', 'apk', 'delete', 'download', 'reset', 'enter', 'my number', ' help', '']</v>
      </c>
      <c r="D1246" s="3">
        <v>3.0</v>
      </c>
    </row>
    <row r="1247" ht="15.75" customHeight="1">
      <c r="A1247" s="1">
        <v>1245.0</v>
      </c>
      <c r="B1247" s="3" t="s">
        <v>1248</v>
      </c>
      <c r="C1247" s="3" t="str">
        <f>IFERROR(__xludf.DUMMYFUNCTION("GOOGLETRANSLATE(B1247,""id"",""en"")"),"['Sorry', 'Love', 'Bintang', 'Buy', 'Package', 'Internet', 'Written', 'Network', 'Stable', 'Try', 'Open', 'YouTube', ' Current ',' smooth ',' please ',' fix ']")</f>
        <v>['Sorry', 'Love', 'Bintang', 'Buy', 'Package', 'Internet', 'Written', 'Network', 'Stable', 'Try', 'Open', 'YouTube', ' Current ',' smooth ',' please ',' fix ']</v>
      </c>
      <c r="D1247" s="3">
        <v>1.0</v>
      </c>
    </row>
    <row r="1248" ht="15.75" customHeight="1">
      <c r="A1248" s="1">
        <v>1246.0</v>
      </c>
      <c r="B1248" s="3" t="s">
        <v>1249</v>
      </c>
      <c r="C1248" s="3" t="str">
        <f>IFERROR(__xludf.DUMMYFUNCTION("GOOGLETRANSLATE(B1248,""id"",""en"")"),"['What', 'Satisfied', 'Bad', 'Gini', 'Service', 'Signal', 'ugly', 'App', 'Error', 'Disappointed', 'Pay', 'Rich', ' Gini ']")</f>
        <v>['What', 'Satisfied', 'Bad', 'Gini', 'Service', 'Signal', 'ugly', 'App', 'Error', 'Disappointed', 'Pay', 'Rich', ' Gini ']</v>
      </c>
      <c r="D1248" s="3">
        <v>1.0</v>
      </c>
    </row>
    <row r="1249" ht="15.75" customHeight="1">
      <c r="A1249" s="1">
        <v>1247.0</v>
      </c>
      <c r="B1249" s="3" t="s">
        <v>1250</v>
      </c>
      <c r="C1249" s="3" t="str">
        <f>IFERROR(__xludf.DUMMYFUNCTION("GOOGLETRANSLATE(B1249,""id"",""en"")"),"['woi', 'package', 'thousand', 'bogor', 'network', 'sometimes',' stuk ',' sometimes', 'slow', 'lose', 'ama', 'promo', ' Neighbors', 'Kenceng', 'Abis',' Ngilak ',' LGAN ',' App ',' Telkomsel ',' Error ',' Geblek ',' Disappointed ',' Auto ',' Change ',' Car"&amp;"d ' ]")</f>
        <v>['woi', 'package', 'thousand', 'bogor', 'network', 'sometimes',' stuk ',' sometimes', 'slow', 'lose', 'ama', 'promo', ' Neighbors', 'Kenceng', 'Abis',' Ngilak ',' LGAN ',' App ',' Telkomsel ',' Error ',' Geblek ',' Disappointed ',' Auto ',' Change ',' Card ' ]</v>
      </c>
      <c r="D1249" s="3">
        <v>1.0</v>
      </c>
    </row>
    <row r="1250" ht="15.75" customHeight="1">
      <c r="A1250" s="1">
        <v>1248.0</v>
      </c>
      <c r="B1250" s="3" t="s">
        <v>1251</v>
      </c>
      <c r="C1250" s="3" t="str">
        <f>IFERROR(__xludf.DUMMYFUNCTION("GOOGLETRANSLATE(B1250,""id"",""en"")"),"['', 'Edit', 'Review', 'here', 'Severe', 'Network', 'Application', 'Telkomsel', 'Kebuka', 'Oath', 'Disappointed', 'Quality', 'Service ',' Telkomsel ',' price ',' expensive ',' guarantee ',' quality ',' price ',' package ',' data ',' omg ',' GB ',' thousan"&amp;"d ',' directly ', 'Changed', 'thousand', 'count', 'second', 'change', 'events',' at the time ',' pulse ',' price ',' thousand ',' contents', 'pulses',' directly ',' Changed ',' thousand ',' network ',' good ',' good ',' please ',' responsibility ',' cheat"&amp;"ing ',' consumer ',' know ', ""]")</f>
        <v>['', 'Edit', 'Review', 'here', 'Severe', 'Network', 'Application', 'Telkomsel', 'Kebuka', 'Oath', 'Disappointed', 'Quality', 'Service ',' Telkomsel ',' price ',' expensive ',' guarantee ',' quality ',' price ',' package ',' data ',' omg ',' GB ',' thousand ',' directly ', 'Changed', 'thousand', 'count', 'second', 'change', 'events',' at the time ',' pulse ',' price ',' thousand ',' contents', 'pulses',' directly ',' Changed ',' thousand ',' network ',' good ',' good ',' please ',' responsibility ',' cheating ',' consumer ',' know ', "]</v>
      </c>
      <c r="D1250" s="3">
        <v>1.0</v>
      </c>
    </row>
    <row r="1251" ht="15.75" customHeight="1">
      <c r="A1251" s="1">
        <v>1249.0</v>
      </c>
      <c r="B1251" s="3" t="s">
        <v>1252</v>
      </c>
      <c r="C1251" s="3" t="str">
        <f>IFERROR(__xludf.DUMMYFUNCTION("GOOGLETRANSLATE(B1251,""id"",""en"")"),"['My APK', 'ugly', 'network', 'call', 'no', 'package', 'expensive', 'hadeh', 'telkomsel', 'area', 'thank', 'that's']")</f>
        <v>['My APK', 'ugly', 'network', 'call', 'no', 'package', 'expensive', 'hadeh', 'telkomsel', 'area', 'thank', 'that's']</v>
      </c>
      <c r="D1251" s="3">
        <v>1.0</v>
      </c>
    </row>
    <row r="1252" ht="15.75" customHeight="1">
      <c r="A1252" s="1">
        <v>1250.0</v>
      </c>
      <c r="B1252" s="3" t="s">
        <v>1253</v>
      </c>
      <c r="C1252" s="3" t="str">
        <f>IFERROR(__xludf.DUMMYFUNCTION("GOOGLETRANSLATE(B1252,""id"",""en"")"),"['Your signal', 'ugly', 'gada', 'good', 'slow', 'abis',' play ',' game ',' ngelag ',' mulu ',' play ',' youtube ',' Buffering ',' Males', 'Telkomsel', 'Expensive', 'Network', 'Severe', 'Fix', 'Your Network', 'Order', 'Fix', 'Settings']")</f>
        <v>['Your signal', 'ugly', 'gada', 'good', 'slow', 'abis',' play ',' game ',' ngelag ',' mulu ',' play ',' youtube ',' Buffering ',' Males', 'Telkomsel', 'Expensive', 'Network', 'Severe', 'Fix', 'Your Network', 'Order', 'Fix', 'Settings']</v>
      </c>
      <c r="D1252" s="3">
        <v>1.0</v>
      </c>
    </row>
    <row r="1253" ht="15.75" customHeight="1">
      <c r="A1253" s="1">
        <v>1251.0</v>
      </c>
      <c r="B1253" s="3" t="s">
        <v>1254</v>
      </c>
      <c r="C1253" s="3" t="str">
        <f>IFERROR(__xludf.DUMMYFUNCTION("GOOGLETRANSLATE(B1253,""id"",""en"")"),"['The essence', 'Telkomsel', 'Nga', 'emergency', 'little', 'quota', 'ngehek', 'difficult', 'NOT', 'application', 'kgak', 'bales',' Must ',' Balesan ',' ']")</f>
        <v>['The essence', 'Telkomsel', 'Nga', 'emergency', 'little', 'quota', 'ngehek', 'difficult', 'NOT', 'application', 'kgak', 'bales',' Must ',' Balesan ',' ']</v>
      </c>
      <c r="D1253" s="3">
        <v>3.0</v>
      </c>
    </row>
    <row r="1254" ht="15.75" customHeight="1">
      <c r="A1254" s="1">
        <v>1252.0</v>
      </c>
      <c r="B1254" s="3" t="s">
        <v>1255</v>
      </c>
      <c r="C1254" s="3" t="str">
        <f>IFERROR(__xludf.DUMMYFUNCTION("GOOGLETRANSLATE(B1254,""id"",""en"")"),"['Rampok', 'mah', 'buy', 'quota', 'weekly', 'a day', 'already', 'abis',' notification ',' quota ',' local ',' leftover ',' MB ',' minutes', 'notification', 'quota', 'run out', 'fast', 'right', 'GB', 'minutes',' check ',' Telkomsel ',' because ',' reason '"&amp;" , 'network', 'stable', 'ntar', 'contact', 'tip', 'paid', 'really', 'morotin', 'customer', 'doang', 'severe']")</f>
        <v>['Rampok', 'mah', 'buy', 'quota', 'weekly', 'a day', 'already', 'abis',' notification ',' quota ',' local ',' leftover ',' MB ',' minutes', 'notification', 'quota', 'run out', 'fast', 'right', 'GB', 'minutes',' check ',' Telkomsel ',' because ',' reason ' , 'network', 'stable', 'ntar', 'contact', 'tip', 'paid', 'really', 'morotin', 'customer', 'doang', 'severe']</v>
      </c>
      <c r="D1254" s="3">
        <v>1.0</v>
      </c>
    </row>
    <row r="1255" ht="15.75" customHeight="1">
      <c r="A1255" s="1">
        <v>1253.0</v>
      </c>
      <c r="B1255" s="3" t="s">
        <v>1256</v>
      </c>
      <c r="C1255" s="3" t="str">
        <f>IFERROR(__xludf.DUMMYFUNCTION("GOOGLETRANSLATE(B1255,""id"",""en"")"),"['morning', 'nyampe', 'malem', 'sinya', 'open', 'application', 'information', 'konsesksi', 'stable', 'please', 'try', 'network', ' The widest ',' Indonesia ',' Village ',' Naturally ',' City ',' Boss', ""]")</f>
        <v>['morning', 'nyampe', 'malem', 'sinya', 'open', 'application', 'information', 'konsesksi', 'stable', 'please', 'try', 'network', ' The widest ',' Indonesia ',' Village ',' Naturally ',' City ',' Boss', "]</v>
      </c>
      <c r="D1255" s="3">
        <v>1.0</v>
      </c>
    </row>
    <row r="1256" ht="15.75" customHeight="1">
      <c r="A1256" s="1">
        <v>1254.0</v>
      </c>
      <c r="B1256" s="3" t="s">
        <v>1257</v>
      </c>
      <c r="C1256" s="3" t="str">
        <f>IFERROR(__xludf.DUMMYFUNCTION("GOOGLETRANSLATE(B1256,""id"",""en"")"),"['Sousiny', 'destroyed', 'really', 'buy', 'package', 'expensive', 'expensive', 'use', 'already', 'report', 'where', 'network', ' destroyed ',' internet ',' nelfon ',' broken ',' really ',' like ',' makai ',' card ',' cheap ',' gini ',' network ',' guarant"&amp;"ee ',' moved ' , 'Operator', 'Please', 'The Network', 'Fix', 'Thx']")</f>
        <v>['Sousiny', 'destroyed', 'really', 'buy', 'package', 'expensive', 'expensive', 'use', 'already', 'report', 'where', 'network', ' destroyed ',' internet ',' nelfon ',' broken ',' really ',' like ',' makai ',' card ',' cheap ',' gini ',' network ',' guarantee ',' moved ' , 'Operator', 'Please', 'The Network', 'Fix', 'Thx']</v>
      </c>
      <c r="D1256" s="3">
        <v>1.0</v>
      </c>
    </row>
    <row r="1257" ht="15.75" customHeight="1">
      <c r="A1257" s="1">
        <v>1255.0</v>
      </c>
      <c r="B1257" s="3" t="s">
        <v>1258</v>
      </c>
      <c r="C1257" s="3" t="str">
        <f>IFERROR(__xludf.DUMMYFUNCTION("GOOGLETRANSLATE(B1257,""id"",""en"")"),"['Application', 'rotten', 'update', 'bad', 'Delete', 'application', 'Sia', 'Sia', 'I guess',' Customer ',' Telkomsel ',' disappointed ',' Application ',' network ',' kayak ',' garbage ',' me ',' ngeluarin ',' thousand ',' vain ',' vain ',' card ',' forced"&amp;" ',' use ',' card ' , 'Fix', 'network', 'admit', 'admit', 'covers', 'remote', 'city', 'ugly', 'ugly', 'your network', 'price', 'expensive']")</f>
        <v>['Application', 'rotten', 'update', 'bad', 'Delete', 'application', 'Sia', 'Sia', 'I guess',' Customer ',' Telkomsel ',' disappointed ',' Application ',' network ',' kayak ',' garbage ',' me ',' ngeluarin ',' thousand ',' vain ',' vain ',' card ',' forced ',' use ',' card ' , 'Fix', 'network', 'admit', 'admit', 'covers', 'remote', 'city', 'ugly', 'ugly', 'your network', 'price', 'expensive']</v>
      </c>
      <c r="D1257" s="3">
        <v>1.0</v>
      </c>
    </row>
    <row r="1258" ht="15.75" customHeight="1">
      <c r="A1258" s="1">
        <v>1256.0</v>
      </c>
      <c r="B1258" s="3" t="s">
        <v>1259</v>
      </c>
      <c r="C1258" s="3" t="str">
        <f>IFERROR(__xludf.DUMMYFUNCTION("GOOGLETRANSLATE(B1258,""id"",""en"")"),"['disappointed', 'enter', 'muter', 'muter', 'doang', 'refresh', 'then', 'buy', 'package', 'difficult', 'blm', 'entry', ' Credit ',' already ',' Gara ',' Loading ', ""]")</f>
        <v>['disappointed', 'enter', 'muter', 'muter', 'doang', 'refresh', 'then', 'buy', 'package', 'difficult', 'blm', 'entry', ' Credit ',' already ',' Gara ',' Loading ', "]</v>
      </c>
      <c r="D1258" s="3">
        <v>1.0</v>
      </c>
    </row>
    <row r="1259" ht="15.75" customHeight="1">
      <c r="A1259" s="1">
        <v>1257.0</v>
      </c>
      <c r="B1259" s="3" t="s">
        <v>1260</v>
      </c>
      <c r="C1259" s="3" t="str">
        <f>IFERROR(__xludf.DUMMYFUNCTION("GOOGLETRANSLATE(B1259,""id"",""en"")"),"['Fix', 'gajelas',' network ',' already ',' wait ',' package ',' expensive ',' quality ',' increase ',' sorry ',' move ',' heart ',' Thank you ',' Telkomsel ',' ']")</f>
        <v>['Fix', 'gajelas',' network ',' already ',' wait ',' package ',' expensive ',' quality ',' increase ',' sorry ',' move ',' heart ',' Thank you ',' Telkomsel ',' ']</v>
      </c>
      <c r="D1259" s="3">
        <v>1.0</v>
      </c>
    </row>
    <row r="1260" ht="15.75" customHeight="1">
      <c r="A1260" s="1">
        <v>1258.0</v>
      </c>
      <c r="B1260" s="3" t="s">
        <v>1261</v>
      </c>
      <c r="C1260" s="3" t="str">
        <f>IFERROR(__xludf.DUMMYFUNCTION("GOOGLETRANSLATE(B1260,""id"",""en"")"),"['', 'application', 'already', 'hri', 'kaga', 'open', 'check', 'package', 'buy', 'package', 'what', 'love', 'star ',' dlu ',' already ',' open ',' Addin ',' star ']")</f>
        <v>['', 'application', 'already', 'hri', 'kaga', 'open', 'check', 'package', 'buy', 'package', 'what', 'love', 'star ',' dlu ',' already ',' open ',' Addin ',' star ']</v>
      </c>
      <c r="D1260" s="3">
        <v>1.0</v>
      </c>
    </row>
    <row r="1261" ht="15.75" customHeight="1">
      <c r="A1261" s="1">
        <v>1259.0</v>
      </c>
      <c r="B1261" s="3" t="s">
        <v>1262</v>
      </c>
      <c r="C1261" s="3" t="str">
        <f>IFERROR(__xludf.DUMMYFUNCTION("GOOGLETRANSLATE(B1261,""id"",""en"")"),"['Please', 'Mass',' Number ',' Login ',' Already ',' Tow ',' Many ',' Day ',' Jugak ',' Disappointed ',' Substance ',' Telkomsel ',' Please ',' Married ',' Easy ']")</f>
        <v>['Please', 'Mass',' Number ',' Login ',' Already ',' Tow ',' Many ',' Day ',' Jugak ',' Disappointed ',' Substance ',' Telkomsel ',' Please ',' Married ',' Easy ']</v>
      </c>
      <c r="D1261" s="3">
        <v>5.0</v>
      </c>
    </row>
    <row r="1262" ht="15.75" customHeight="1">
      <c r="A1262" s="1">
        <v>1260.0</v>
      </c>
      <c r="B1262" s="3" t="s">
        <v>1263</v>
      </c>
      <c r="C1262" s="3" t="str">
        <f>IFERROR(__xludf.DUMMYFUNCTION("GOOGLETRANSLATE(B1262,""id"",""en"")"),"['update', 'application', 'Telkomsel', 'enter', 'please', 'noticed', 'user', 'postpaid', 'network', 'Telokmsel', 'region', 'Tasikmalaya', ' Ciamis', 'Enhanced', 'Quality', 'Network', 'Signal', 'Good', 'Region']")</f>
        <v>['update', 'application', 'Telkomsel', 'enter', 'please', 'noticed', 'user', 'postpaid', 'network', 'Telokmsel', 'region', 'Tasikmalaya', ' Ciamis', 'Enhanced', 'Quality', 'Network', 'Signal', 'Good', 'Region']</v>
      </c>
      <c r="D1262" s="3">
        <v>1.0</v>
      </c>
    </row>
    <row r="1263" ht="15.75" customHeight="1">
      <c r="A1263" s="1">
        <v>1261.0</v>
      </c>
      <c r="B1263" s="3" t="s">
        <v>1264</v>
      </c>
      <c r="C1263" s="3" t="str">
        <f>IFERROR(__xludf.DUMMYFUNCTION("GOOGLETRANSLATE(B1263,""id"",""en"")"),"['apk', 'open', 'notification', 'network', 'stable', 'open', 'youtube', 'smooth', 'open', 'apk', 'telkomsel', 'notification', ' So ',' already ',' try ',' times']")</f>
        <v>['apk', 'open', 'notification', 'network', 'stable', 'open', 'youtube', 'smooth', 'open', 'apk', 'telkomsel', 'notification', ' So ',' already ',' try ',' times']</v>
      </c>
      <c r="D1263" s="3">
        <v>1.0</v>
      </c>
    </row>
    <row r="1264" ht="15.75" customHeight="1">
      <c r="A1264" s="1">
        <v>1262.0</v>
      </c>
      <c r="B1264" s="3" t="s">
        <v>1265</v>
      </c>
      <c r="C1264" s="3" t="str">
        <f>IFERROR(__xludf.DUMMYFUNCTION("GOOGLETRANSLATE(B1264,""id"",""en"")"),"['Severe', 'Package', 'Unlimited', 'Buy', 'Credit', 'Enter', 'SMS', 'Charging', 'Successful', 'Check', 'MyTelkomsel', 'Errrrrrrr', ' troosssss', 'right', 'check', 'pulses',' stay ',' kepaktonggggg ',' disappointed ',' back ',' pulses', 'cave', 'oyy', ""]")</f>
        <v>['Severe', 'Package', 'Unlimited', 'Buy', 'Credit', 'Enter', 'SMS', 'Charging', 'Successful', 'Check', 'MyTelkomsel', 'Errrrrrrr', ' troosssss', 'right', 'check', 'pulses',' stay ',' kepaktonggggg ',' disappointed ',' back ',' pulses', 'cave', 'oyy', "]</v>
      </c>
      <c r="D1264" s="3">
        <v>1.0</v>
      </c>
    </row>
    <row r="1265" ht="15.75" customHeight="1">
      <c r="A1265" s="1">
        <v>1263.0</v>
      </c>
      <c r="B1265" s="3" t="s">
        <v>1266</v>
      </c>
      <c r="C1265" s="3" t="str">
        <f>IFERROR(__xludf.DUMMYFUNCTION("GOOGLETRANSLATE(B1265,""id"",""en"")"),"['Kirain', 'Nge', 'Msalah', 'Signal', 'Mimin', 'Komen', 'Hubi', 'Call', 'Call', 'etc.', 'Tetep', ' Ngbar ',' handling ',' slow ',' slow ',' Telkomsel ',' application ',' Telkomsel ',' slow ',' opened ', ""]")</f>
        <v>['Kirain', 'Nge', 'Msalah', 'Signal', 'Mimin', 'Komen', 'Hubi', 'Call', 'Call', 'etc.', 'Tetep', ' Ngbar ',' handling ',' slow ',' slow ',' Telkomsel ',' application ',' Telkomsel ',' slow ',' opened ', "]</v>
      </c>
      <c r="D1265" s="3">
        <v>1.0</v>
      </c>
    </row>
    <row r="1266" ht="15.75" customHeight="1">
      <c r="A1266" s="1">
        <v>1264.0</v>
      </c>
      <c r="B1266" s="3" t="s">
        <v>1267</v>
      </c>
      <c r="C1266" s="3" t="str">
        <f>IFERROR(__xludf.DUMMYFUNCTION("GOOGLETRANSLATE(B1266,""id"",""en"")"),"['bad', 'aspect', 'network', 'application', 'tsel', 'already', 'trusted', 'person', 'perform', 'decline', 'please', 'repaired', ' Customers', 'Switch', 'Provider', 'Thanks',' ']")</f>
        <v>['bad', 'aspect', 'network', 'application', 'tsel', 'already', 'trusted', 'person', 'perform', 'decline', 'please', 'repaired', ' Customers', 'Switch', 'Provider', 'Thanks',' ']</v>
      </c>
      <c r="D1266" s="3">
        <v>1.0</v>
      </c>
    </row>
    <row r="1267" ht="15.75" customHeight="1">
      <c r="A1267" s="1">
        <v>1265.0</v>
      </c>
      <c r="B1267" s="3" t="s">
        <v>1268</v>
      </c>
      <c r="C1267" s="3" t="str">
        <f>IFERROR(__xludf.DUMMYFUNCTION("GOOGLETRANSLATE(B1267,""id"",""en"")"),"['Klu', 'Event', 'Jelaz', 'Event', 'Gift', 'Lottery', 'Info', 'Winner', 'Event', 'Promo', 'Promo', 'Pieces',' Silver ',' expensive ',' package ',' network ',' signal ',' stable ',' enter ',' APK ',' reply ',' connection ',' stable ',' please ',' try ' , '"&amp;"funny', '']")</f>
        <v>['Klu', 'Event', 'Jelaz', 'Event', 'Gift', 'Lottery', 'Info', 'Winner', 'Event', 'Promo', 'Promo', 'Pieces',' Silver ',' expensive ',' package ',' network ',' signal ',' stable ',' enter ',' APK ',' reply ',' connection ',' stable ',' please ',' try ' , 'funny', '']</v>
      </c>
      <c r="D1267" s="3">
        <v>1.0</v>
      </c>
    </row>
    <row r="1268" ht="15.75" customHeight="1">
      <c r="A1268" s="1">
        <v>1266.0</v>
      </c>
      <c r="B1268" s="3" t="s">
        <v>1269</v>
      </c>
      <c r="C1268" s="3" t="str">
        <f>IFERROR(__xludf.DUMMYFUNCTION("GOOGLETRANSLATE(B1268,""id"",""en"")"),"['Open', 'APP', 'MyTelkomsel', 'Unstable', 'Connection', 'Click', 'Refresh', 'followed', 'Open', 'pdhal', 'quota', 'byk', ' signal ',' bgs', 'in town', 'international', 'lho', 'cook', 'kuta', 'bali', 'jdi', 'kenken', 'tar', 'bnrn', 'moved' , 'operator', '"&amp;"service', 'ugly', 'stay', 'nti']")</f>
        <v>['Open', 'APP', 'MyTelkomsel', 'Unstable', 'Connection', 'Click', 'Refresh', 'followed', 'Open', 'pdhal', 'quota', 'byk', ' signal ',' bgs', 'in town', 'international', 'lho', 'cook', 'kuta', 'bali', 'jdi', 'kenken', 'tar', 'bnrn', 'moved' , 'operator', 'service', 'ugly', 'stay', 'nti']</v>
      </c>
      <c r="D1268" s="3">
        <v>2.0</v>
      </c>
    </row>
    <row r="1269" ht="15.75" customHeight="1">
      <c r="A1269" s="1">
        <v>1267.0</v>
      </c>
      <c r="B1269" s="3" t="s">
        <v>1270</v>
      </c>
      <c r="C1269" s="3" t="str">
        <f>IFERROR(__xludf.DUMMYFUNCTION("GOOGLETRANSLATE(B1269,""id"",""en"")"),"['check', 'quota', 'buy', 'quota', 'open', 'application', 'difficult', 'connection', 'available', 'quota', 'open', 'apk', ' Atuh ',' Download ',' Mending ',' Manual ',' Enter ',' APK ',' Difficult ',' Blood ', ""]")</f>
        <v>['check', 'quota', 'buy', 'quota', 'open', 'application', 'difficult', 'connection', 'available', 'quota', 'open', 'apk', ' Atuh ',' Download ',' Mending ',' Manual ',' Enter ',' APK ',' Difficult ',' Blood ', "]</v>
      </c>
      <c r="D1269" s="3">
        <v>1.0</v>
      </c>
    </row>
    <row r="1270" ht="15.75" customHeight="1">
      <c r="A1270" s="1">
        <v>1268.0</v>
      </c>
      <c r="B1270" s="3" t="s">
        <v>1271</v>
      </c>
      <c r="C1270" s="3" t="str">
        <f>IFERROR(__xludf.DUMMYFUNCTION("GOOGLETRANSLATE(B1270,""id"",""en"")"),"['Gosh', 'cheated', 'Call', 'Center', 'forced', 'use', 'Tsel', 'Hello', 'price', 'expensive', 'use', 'prepaid', ' quota ',' cheap ',' prepaid ',' block ',' card ',' card ',' action ',' coercion ',' squeeze ',' disappointed ',' tsel ',' thinking ',' money "&amp;"' , 'Smart', 'cheats', 'Costumer']")</f>
        <v>['Gosh', 'cheated', 'Call', 'Center', 'forced', 'use', 'Tsel', 'Hello', 'price', 'expensive', 'use', 'prepaid', ' quota ',' cheap ',' prepaid ',' block ',' card ',' card ',' action ',' coercion ',' squeeze ',' disappointed ',' tsel ',' thinking ',' money ' , 'Smart', 'cheats', 'Costumer']</v>
      </c>
      <c r="D1270" s="3">
        <v>1.0</v>
      </c>
    </row>
    <row r="1271" ht="15.75" customHeight="1">
      <c r="A1271" s="1">
        <v>1269.0</v>
      </c>
      <c r="B1271" s="3" t="s">
        <v>1272</v>
      </c>
      <c r="C1271" s="3" t="str">
        <f>IFERROR(__xludf.DUMMYFUNCTION("GOOGLETRANSLATE(B1271,""id"",""en"")"),"['Connection', 'smooth', 'right', 'enter', 'application', 'slow', 'loading', 'refresh', 'the application', 'complete', 'loading', 'data', ' disappointed', '']")</f>
        <v>['Connection', 'smooth', 'right', 'enter', 'application', 'slow', 'loading', 'refresh', 'the application', 'complete', 'loading', 'data', ' disappointed', '']</v>
      </c>
      <c r="D1271" s="3">
        <v>1.0</v>
      </c>
    </row>
    <row r="1272" ht="15.75" customHeight="1">
      <c r="A1272" s="1">
        <v>1270.0</v>
      </c>
      <c r="B1272" s="3" t="s">
        <v>1273</v>
      </c>
      <c r="C1272" s="3" t="str">
        <f>IFERROR(__xludf.DUMMYFUNCTION("GOOGLETRANSLATE(B1272,""id"",""en"")"),"['', 'according to', 'motonya', 'signal', 'spacious',' strong ',' tsel ',' internet ',' slow ',' network ',' already ',' like ',' network ',' network ',' dead ',' kalu ',' suck ',' pulse ',' internet ',' die ',' additional ',' tsel ',' suck ',' data ',' c"&amp;"ontents', 'quota', 'date', 'date', 'run out', 'the wearer', 'week', 'wasteful', 'use', 'times',' severe ',' already ',' lalot ',' nyedot ',' ']")</f>
        <v>['', 'according to', 'motonya', 'signal', 'spacious',' strong ',' tsel ',' internet ',' slow ',' network ',' already ',' like ',' network ',' network ',' dead ',' kalu ',' suck ',' pulse ',' internet ',' die ',' additional ',' tsel ',' suck ',' data ',' contents', 'quota', 'date', 'date', 'run out', 'the wearer', 'week', 'wasteful', 'use', 'times',' severe ',' already ',' lalot ',' nyedot ',' ']</v>
      </c>
      <c r="D1272" s="3">
        <v>1.0</v>
      </c>
    </row>
    <row r="1273" ht="15.75" customHeight="1">
      <c r="A1273" s="1">
        <v>1271.0</v>
      </c>
      <c r="B1273" s="3" t="s">
        <v>1274</v>
      </c>
      <c r="C1273" s="3" t="str">
        <f>IFERROR(__xludf.DUMMYFUNCTION("GOOGLETRANSLATE(B1273,""id"",""en"")"),"['crazy', 'network', 'Telkomsel', 'emotions',' Telkomsel ',' famous', 'network', 'fast', 'wherever', 'slow', 'network', 'feels',' network ',' slow ',' really ',' please ',' fix ',' network ',' signal ']")</f>
        <v>['crazy', 'network', 'Telkomsel', 'emotions',' Telkomsel ',' famous', 'network', 'fast', 'wherever', 'slow', 'network', 'feels',' network ',' slow ',' really ',' please ',' fix ',' network ',' signal ']</v>
      </c>
      <c r="D1273" s="3">
        <v>1.0</v>
      </c>
    </row>
    <row r="1274" ht="15.75" customHeight="1">
      <c r="A1274" s="1">
        <v>1272.0</v>
      </c>
      <c r="B1274" s="3" t="s">
        <v>1275</v>
      </c>
      <c r="C1274" s="3" t="str">
        <f>IFERROR(__xludf.DUMMYFUNCTION("GOOGLETRANSLATE(B1274,""id"",""en"")"),"['Please', 'Comments',' Direct ',' Respond ',' Solution ',' Complaints', 'Throw', 'Email', 'Twitter', 'etc.', 'repeat', 'times',' Download ',' App ',' Login ']")</f>
        <v>['Please', 'Comments',' Direct ',' Respond ',' Solution ',' Complaints', 'Throw', 'Email', 'Twitter', 'etc.', 'repeat', 'times',' Download ',' App ',' Login ']</v>
      </c>
      <c r="D1274" s="3">
        <v>2.0</v>
      </c>
    </row>
    <row r="1275" ht="15.75" customHeight="1">
      <c r="A1275" s="1">
        <v>1273.0</v>
      </c>
      <c r="B1275" s="3" t="s">
        <v>1276</v>
      </c>
      <c r="C1275" s="3" t="str">
        <f>IFERROR(__xludf.DUMMYFUNCTION("GOOGLETRANSLATE(B1275,""id"",""en"")"),"['application', 'buy', 'package', 'internet', 'failed', 'tried', 'logout', 'login', ""]")</f>
        <v>['application', 'buy', 'package', 'internet', 'failed', 'tried', 'logout', 'login', "]</v>
      </c>
      <c r="D1275" s="3">
        <v>1.0</v>
      </c>
    </row>
    <row r="1276" ht="15.75" customHeight="1">
      <c r="A1276" s="1">
        <v>1274.0</v>
      </c>
      <c r="B1276" s="3" t="s">
        <v>1277</v>
      </c>
      <c r="C1276" s="3" t="str">
        <f>IFERROR(__xludf.DUMMYFUNCTION("GOOGLETRANSLATE(B1276,""id"",""en"")"),"['Sekrang', 'bnyak', 'complain', 'quality', 'signal', 'internet', 'Telkomsel', 'please', 'response', 'skrng', 'package', 'cheap', ' quality ',' less', 'already', 'strong', 'pay', 'employee', 'kah', 'Telkomsel', '']")</f>
        <v>['Sekrang', 'bnyak', 'complain', 'quality', 'signal', 'internet', 'Telkomsel', 'please', 'response', 'skrng', 'package', 'cheap', ' quality ',' less', 'already', 'strong', 'pay', 'employee', 'kah', 'Telkomsel', '']</v>
      </c>
      <c r="D1276" s="3">
        <v>1.0</v>
      </c>
    </row>
    <row r="1277" ht="15.75" customHeight="1">
      <c r="A1277" s="1">
        <v>1275.0</v>
      </c>
      <c r="B1277" s="3" t="s">
        <v>1278</v>
      </c>
      <c r="C1277" s="3" t="str">
        <f>IFERROR(__xludf.DUMMYFUNCTION("GOOGLETRANSLATE(B1277,""id"",""en"")"),"['DiproBolinggo', 'Causat', 'Wonoasih', 'Skrg', 'Network', 'Telkomsel', 'Bad', 'Please', 'Update', 'Pkek', 'Card', 'Telkomsel', ' Males', 'Change', 'Change', 'Krtu']")</f>
        <v>['DiproBolinggo', 'Causat', 'Wonoasih', 'Skrg', 'Network', 'Telkomsel', 'Bad', 'Please', 'Update', 'Pkek', 'Card', 'Telkomsel', ' Males', 'Change', 'Change', 'Krtu']</v>
      </c>
      <c r="D1277" s="3">
        <v>1.0</v>
      </c>
    </row>
    <row r="1278" ht="15.75" customHeight="1">
      <c r="A1278" s="1">
        <v>1276.0</v>
      </c>
      <c r="B1278" s="3" t="s">
        <v>1279</v>
      </c>
      <c r="C1278" s="3" t="str">
        <f>IFERROR(__xludf.DUMMYFUNCTION("GOOGLETRANSLATE(B1278,""id"",""en"")"),"['Disappointment', 'time', 'Telkomsel', 'Gara', 'signal', 'like', 'ilang', 'pulse', 'sumps',' strange ',' apk ',' login ',' Samsek ',' Want ',' Change ',' Operator ',' ']")</f>
        <v>['Disappointment', 'time', 'Telkomsel', 'Gara', 'signal', 'like', 'ilang', 'pulse', 'sumps',' strange ',' apk ',' login ',' Samsek ',' Want ',' Change ',' Operator ',' ']</v>
      </c>
      <c r="D1278" s="3">
        <v>1.0</v>
      </c>
    </row>
    <row r="1279" ht="15.75" customHeight="1">
      <c r="A1279" s="1">
        <v>1277.0</v>
      </c>
      <c r="B1279" s="3" t="s">
        <v>1280</v>
      </c>
      <c r="C1279" s="3" t="str">
        <f>IFERROR(__xludf.DUMMYFUNCTION("GOOGLETRANSLATE(B1279,""id"",""en"")"),"['Disappointed', 'Ama', 'Telkomsel', 'Open', 'Telkomsel', 'Signal', 'Difficult', 'Try', 'Try', 'Already', 'Uninstall', 'Install', ' Kaga ',' open ',' mdh ',' signal ',' missing ',' ']")</f>
        <v>['Disappointed', 'Ama', 'Telkomsel', 'Open', 'Telkomsel', 'Signal', 'Difficult', 'Try', 'Try', 'Already', 'Uninstall', 'Install', ' Kaga ',' open ',' mdh ',' signal ',' missing ',' ']</v>
      </c>
      <c r="D1279" s="3">
        <v>1.0</v>
      </c>
    </row>
    <row r="1280" ht="15.75" customHeight="1">
      <c r="A1280" s="1">
        <v>1278.0</v>
      </c>
      <c r="B1280" s="3" t="s">
        <v>1281</v>
      </c>
      <c r="C1280" s="3" t="str">
        <f>IFERROR(__xludf.DUMMYFUNCTION("GOOGLETRANSLATE(B1280,""id"",""en"")"),"['customer', 'loyal', 'Telkomsel', 'taun', 'change', 'already', 'moved', 'operator', 'check', 'data', 'Telkomsel', 'slow', ' Play ',' already ',' package ',' data ',' expensive ',' friendly ']")</f>
        <v>['customer', 'loyal', 'Telkomsel', 'taun', 'change', 'already', 'moved', 'operator', 'check', 'data', 'Telkomsel', 'slow', ' Play ',' already ',' package ',' data ',' expensive ',' friendly ']</v>
      </c>
      <c r="D1280" s="3">
        <v>1.0</v>
      </c>
    </row>
    <row r="1281" ht="15.75" customHeight="1">
      <c r="A1281" s="1">
        <v>1279.0</v>
      </c>
      <c r="B1281" s="3" t="s">
        <v>1282</v>
      </c>
      <c r="C1281" s="3" t="str">
        <f>IFERROR(__xludf.DUMMYFUNCTION("GOOGLETRANSLATE(B1281,""id"",""en"")"),"['Hello', 'brother', 'Open', 'Application', 'Error', 'Check', 'Application', 'APK', 'Down', 'Please', 'Reply', 'Need', ' ']")</f>
        <v>['Hello', 'brother', 'Open', 'Application', 'Error', 'Check', 'Application', 'APK', 'Down', 'Please', 'Reply', 'Need', ' ']</v>
      </c>
      <c r="D1281" s="3">
        <v>2.0</v>
      </c>
    </row>
    <row r="1282" ht="15.75" customHeight="1">
      <c r="A1282" s="1">
        <v>1280.0</v>
      </c>
      <c r="B1282" s="3" t="s">
        <v>1283</v>
      </c>
      <c r="C1282" s="3" t="str">
        <f>IFERROR(__xludf.DUMMYFUNCTION("GOOGLETRANSLATE(B1282,""id"",""en"")"),"['expensive', 'plus',' slow ',' complete ',' deh ',' fate ',' customer ',' operator ',' country ',' enter ',' msh ',' gave ',' Stars', 'Bintang', 'Buset', 'Knp', 'Bintang', 'Separoh', 'Choice', 'Severe', 'Telkomsel', 'Internet', 'Klu', 'Repair', 'Speed' ,"&amp;" 'Internet', 'get', 'Mbps', 'try', 'read', 'comment', ""]")</f>
        <v>['expensive', 'plus',' slow ',' complete ',' deh ',' fate ',' customer ',' operator ',' country ',' enter ',' msh ',' gave ',' Stars', 'Bintang', 'Buset', 'Knp', 'Bintang', 'Separoh', 'Choice', 'Severe', 'Telkomsel', 'Internet', 'Klu', 'Repair', 'Speed' , 'Internet', 'get', 'Mbps', 'try', 'read', 'comment', "]</v>
      </c>
      <c r="D1282" s="3">
        <v>1.0</v>
      </c>
    </row>
    <row r="1283" ht="15.75" customHeight="1">
      <c r="A1283" s="1">
        <v>1281.0</v>
      </c>
      <c r="B1283" s="3" t="s">
        <v>1284</v>
      </c>
      <c r="C1283" s="3" t="str">
        <f>IFERROR(__xludf.DUMMYFUNCTION("GOOGLETRANSLATE(B1283,""id"",""en"")"),"['Post', 'Pay', 'Card', 'Hallo', 'Limit', 'Cut', 'Package', 'Inet', 'Limit', 'RB', 'Bill', 'Limit', ' Additional ',' already ',' access', 'Telkomsel', '']")</f>
        <v>['Post', 'Pay', 'Card', 'Hallo', 'Limit', 'Cut', 'Package', 'Inet', 'Limit', 'RB', 'Bill', 'Limit', ' Additional ',' already ',' access', 'Telkomsel', '']</v>
      </c>
      <c r="D1283" s="3">
        <v>2.0</v>
      </c>
    </row>
    <row r="1284" ht="15.75" customHeight="1">
      <c r="A1284" s="1">
        <v>1282.0</v>
      </c>
      <c r="B1284" s="3" t="s">
        <v>1285</v>
      </c>
      <c r="C1284" s="3" t="str">
        <f>IFERROR(__xludf.DUMMYFUNCTION("GOOGLETRANSLATE(B1284,""id"",""en"")"),"['Severe' 'application', 'difficult', 'really', 'log', 'Mending', 'Delete', 'Application', 'Consumer', 'Blood', 'Price', 'Increased', ' service']")</f>
        <v>['Severe' 'application', 'difficult', 'really', 'log', 'Mending', 'Delete', 'Application', 'Consumer', 'Blood', 'Price', 'Increased', ' service']</v>
      </c>
      <c r="D1284" s="3">
        <v>1.0</v>
      </c>
    </row>
    <row r="1285" ht="15.75" customHeight="1">
      <c r="A1285" s="1">
        <v>1283.0</v>
      </c>
      <c r="B1285" s="3" t="s">
        <v>1286</v>
      </c>
      <c r="C1285" s="3" t="str">
        <f>IFERROR(__xludf.DUMMYFUNCTION("GOOGLETRANSLATE(B1285,""id"",""en"")"),"['Main', 'Game', 'Open', 'Application', 'Open', 'Application', 'Telkomsel', 'Message', 'Connection', 'Stable', 'Hadehhhh', 'hilarious',' ']")</f>
        <v>['Main', 'Game', 'Open', 'Application', 'Open', 'Application', 'Telkomsel', 'Message', 'Connection', 'Stable', 'Hadehhhh', 'hilarious',' ']</v>
      </c>
      <c r="D1285" s="3">
        <v>3.0</v>
      </c>
    </row>
    <row r="1286" ht="15.75" customHeight="1">
      <c r="A1286" s="1">
        <v>1284.0</v>
      </c>
      <c r="B1286" s="3" t="s">
        <v>1287</v>
      </c>
      <c r="C1286" s="3" t="str">
        <f>IFERROR(__xludf.DUMMYFUNCTION("GOOGLETRANSLATE(B1286,""id"",""en"")"),"['', 'open', 'the application', 'surprised', 'repeated', 'times', 'wants', 'Telkomsel', 'moved', 'network', 'next door', '']")</f>
        <v>['', 'open', 'the application', 'surprised', 'repeated', 'times', 'wants', 'Telkomsel', 'moved', 'network', 'next door', '']</v>
      </c>
      <c r="D1286" s="3">
        <v>1.0</v>
      </c>
    </row>
    <row r="1287" ht="15.75" customHeight="1">
      <c r="A1287" s="1">
        <v>1285.0</v>
      </c>
      <c r="B1287" s="3" t="s">
        <v>1288</v>
      </c>
      <c r="C1287" s="3" t="str">
        <f>IFERROR(__xludf.DUMMYFUNCTION("GOOGLETRANSLATE(B1287,""id"",""en"")"),"['Kmarin', 'Login', 'buy', 'Package', 'TLP', 'all', 'connection', 'okay', 'bgs',' wifi ',' indyhome ',' or ',' telkomsel ',' open ',' flim ',' anything ',' smooth ',' login ',' tray ',' again ',' name ',' eko ',' please ',' check ',' data ' , 'Sometimes',"&amp;"' Harms', 'in', 'Purchase', 'Package', 'Telephone', 'Tetep', 'Buy', 'People', 'You replied', 'Please', 'Sorry', ' Inciety, 'Successful', 'Sis', 'Fix', 'System', '']")</f>
        <v>['Kmarin', 'Login', 'buy', 'Package', 'TLP', 'all', 'connection', 'okay', 'bgs',' wifi ',' indyhome ',' or ',' telkomsel ',' open ',' flim ',' anything ',' smooth ',' login ',' tray ',' again ',' name ',' eko ',' please ',' check ',' data ' , 'Sometimes',' Harms', 'in', 'Purchase', 'Package', 'Telephone', 'Tetep', 'Buy', 'People', 'You replied', 'Please', 'Sorry', ' Inciety, 'Successful', 'Sis', 'Fix', 'System', '']</v>
      </c>
      <c r="D1287" s="3">
        <v>1.0</v>
      </c>
    </row>
    <row r="1288" ht="15.75" customHeight="1">
      <c r="A1288" s="1">
        <v>1286.0</v>
      </c>
      <c r="B1288" s="3" t="s">
        <v>1289</v>
      </c>
      <c r="C1288" s="3" t="str">
        <f>IFERROR(__xludf.DUMMYFUNCTION("GOOGLETRANSLATE(B1288,""id"",""en"")"),"['App', 'problematic', 'many', 'times', 'uninstall', 'reset', 'install', 'problematic', 'complaint', 'repair', ""]")</f>
        <v>['App', 'problematic', 'many', 'times', 'uninstall', 'reset', 'install', 'problematic', 'complaint', 'repair', "]</v>
      </c>
      <c r="D1288" s="3">
        <v>1.0</v>
      </c>
    </row>
    <row r="1289" ht="15.75" customHeight="1">
      <c r="A1289" s="1">
        <v>1287.0</v>
      </c>
      <c r="B1289" s="3" t="s">
        <v>1290</v>
      </c>
      <c r="C1289" s="3" t="str">
        <f>IFERROR(__xludf.DUMMYFUNCTION("GOOGLETRANSLATE(B1289,""id"",""en"")"),"['Application', 'yaaa', 'bad', 'update', 'run out', 'update', 'check', 'pegahh', 'Telkomsel', 'disappointed', 'really', 'disappointed', ' Disappointed ',' Bangt ',' Please ',' Fix ',' Woeeee ']")</f>
        <v>['Application', 'yaaa', 'bad', 'update', 'run out', 'update', 'check', 'pegahh', 'Telkomsel', 'disappointed', 'really', 'disappointed', ' Disappointed ',' Bangt ',' Please ',' Fix ',' Woeeee ']</v>
      </c>
      <c r="D1289" s="3">
        <v>1.0</v>
      </c>
    </row>
    <row r="1290" ht="15.75" customHeight="1">
      <c r="A1290" s="1">
        <v>1288.0</v>
      </c>
      <c r="B1290" s="3" t="s">
        <v>1291</v>
      </c>
      <c r="C1290" s="3" t="str">
        <f>IFERROR(__xludf.DUMMYFUNCTION("GOOGLETRANSLATE(B1290,""id"",""en"")"),"['Kasi', 'Bimtang', 'Please', 'Fix', 'Enter', 'Application', 'Ngg', 'Something', 'Went', 'Wrong', 'Open', 'Application', ' Lamcar ',' failed ',' entered ',' take ',' stamp ',' min ',' please ',' fix ',' trimakasih ']")</f>
        <v>['Kasi', 'Bimtang', 'Please', 'Fix', 'Enter', 'Application', 'Ngg', 'Something', 'Went', 'Wrong', 'Open', 'Application', ' Lamcar ',' failed ',' entered ',' take ',' stamp ',' min ',' please ',' fix ',' trimakasih ']</v>
      </c>
      <c r="D1290" s="3">
        <v>5.0</v>
      </c>
    </row>
    <row r="1291" ht="15.75" customHeight="1">
      <c r="A1291" s="1">
        <v>1289.0</v>
      </c>
      <c r="B1291" s="3" t="s">
        <v>1292</v>
      </c>
      <c r="C1291" s="3" t="str">
        <f>IFERROR(__xludf.DUMMYFUNCTION("GOOGLETRANSLATE(B1291,""id"",""en"")"),"['disappointed', 'network', 'Telkomsel', 'slow', 'really', 'use', 'card', 'Telkomsel', 'network', 'Telkomsel', 'the opposite', 'open', ' Loding ',' TPI ',' Quota ',' Taken ',' Anyway ',' Disappointed ',' Really ',' Untung ',' Loss', 'Quota', 'Out', 'Open'"&amp;", 'Open' , 'UDH', 'Watch', 'Awaited', 'Loding', ""]")</f>
        <v>['disappointed', 'network', 'Telkomsel', 'slow', 'really', 'use', 'card', 'Telkomsel', 'network', 'Telkomsel', 'the opposite', 'open', ' Loding ',' TPI ',' Quota ',' Taken ',' Anyway ',' Disappointed ',' Really ',' Untung ',' Loss', 'Quota', 'Out', 'Open', 'Open' , 'UDH', 'Watch', 'Awaited', 'Loding', "]</v>
      </c>
      <c r="D1291" s="3">
        <v>1.0</v>
      </c>
    </row>
    <row r="1292" ht="15.75" customHeight="1">
      <c r="A1292" s="1">
        <v>1290.0</v>
      </c>
      <c r="B1292" s="3" t="s">
        <v>1293</v>
      </c>
      <c r="C1292" s="3" t="str">
        <f>IFERROR(__xludf.DUMMYFUNCTION("GOOGLETRANSLATE(B1292,""id"",""en"")"),"['MOVER', 'MAKE', 'APL', 'Satisfying', 'tnggal', 'January', 'Open', 'Error', 'Direct', 'Lost', 'Sousal', 'Tlg', ' Good ',' Loading ',' Thank you ', ""]")</f>
        <v>['MOVER', 'MAKE', 'APL', 'Satisfying', 'tnggal', 'January', 'Open', 'Error', 'Direct', 'Lost', 'Sousal', 'Tlg', ' Good ',' Loading ',' Thank you ', "]</v>
      </c>
      <c r="D1292" s="3">
        <v>5.0</v>
      </c>
    </row>
    <row r="1293" ht="15.75" customHeight="1">
      <c r="A1293" s="1">
        <v>1291.0</v>
      </c>
      <c r="B1293" s="3" t="s">
        <v>1294</v>
      </c>
      <c r="C1293" s="3" t="str">
        <f>IFERROR(__xludf.DUMMYFUNCTION("GOOGLETRANSLATE(B1293,""id"",""en"")"),"['network', 'chaotic', 'ping', 'jammed', 'blm', 'trline', 'card', 'hello', 'mending', 'provider', 'bnyak', 'lbh', ' stable ',' because ',' forced ',' use ',' Krtu ',' already ',' waste ',' number ']")</f>
        <v>['network', 'chaotic', 'ping', 'jammed', 'blm', 'trline', 'card', 'hello', 'mending', 'provider', 'bnyak', 'lbh', ' stable ',' because ',' forced ',' use ',' Krtu ',' already ',' waste ',' number ']</v>
      </c>
      <c r="D1293" s="3">
        <v>1.0</v>
      </c>
    </row>
    <row r="1294" ht="15.75" customHeight="1">
      <c r="A1294" s="1">
        <v>1292.0</v>
      </c>
      <c r="B1294" s="3" t="s">
        <v>1295</v>
      </c>
      <c r="C1294" s="3" t="str">
        <f>IFERROR(__xludf.DUMMYFUNCTION("GOOGLETRANSLATE(B1294,""id"",""en"")"),"['entry', 'tod', 'his writing', 'Something', 'Went', 'Wrong', 'Unstable', 'Connection', 'Network', 'Good', 'Credit', 'Sumpot', ' Application ',' bad ', ""]")</f>
        <v>['entry', 'tod', 'his writing', 'Something', 'Went', 'Wrong', 'Unstable', 'Connection', 'Network', 'Good', 'Credit', 'Sumpot', ' Application ',' bad ', "]</v>
      </c>
      <c r="D1294" s="3">
        <v>1.0</v>
      </c>
    </row>
    <row r="1295" ht="15.75" customHeight="1">
      <c r="A1295" s="1">
        <v>1293.0</v>
      </c>
      <c r="B1295" s="3" t="s">
        <v>1296</v>
      </c>
      <c r="C1295" s="3" t="str">
        <f>IFERROR(__xludf.DUMMYFUNCTION("GOOGLETRANSLATE(B1295,""id"",""en"")"),"['Telkomsel', 'already', 'bankrupt', 'signal', 'threat', 'data', 'package', 'expensive', 'signal', 'bad', 'already', 'closed', ' His business', 'Change', 'business',' sell ',' crackers', '']")</f>
        <v>['Telkomsel', 'already', 'bankrupt', 'signal', 'threat', 'data', 'package', 'expensive', 'signal', 'bad', 'already', 'closed', ' His business', 'Change', 'business',' sell ',' crackers', '']</v>
      </c>
      <c r="D1295" s="3">
        <v>1.0</v>
      </c>
    </row>
    <row r="1296" ht="15.75" customHeight="1">
      <c r="A1296" s="1">
        <v>1294.0</v>
      </c>
      <c r="B1296" s="3" t="s">
        <v>1297</v>
      </c>
      <c r="C1296" s="3" t="str">
        <f>IFERROR(__xludf.DUMMYFUNCTION("GOOGLETRANSLATE(B1296,""id"",""en"")"),"['Connect', 'network', 'signal', 'full', 'network', 'okay', 'Telkomsel', 'already', 'rich', 'strange', 'network', 'like', ' Err ',' in ',' Telkomsel ',' Difficult ',' Connect ',' Network ',' Network ',' Okay ',' Ryesel ', ""]")</f>
        <v>['Connect', 'network', 'signal', 'full', 'network', 'okay', 'Telkomsel', 'already', 'rich', 'strange', 'network', 'like', ' Err ',' in ',' Telkomsel ',' Difficult ',' Connect ',' Network ',' Network ',' Okay ',' Ryesel ', "]</v>
      </c>
      <c r="D1296" s="3">
        <v>1.0</v>
      </c>
    </row>
    <row r="1297" ht="15.75" customHeight="1">
      <c r="A1297" s="1">
        <v>1295.0</v>
      </c>
      <c r="B1297" s="3" t="s">
        <v>1298</v>
      </c>
      <c r="C1297" s="3" t="str">
        <f>IFERROR(__xludf.DUMMYFUNCTION("GOOGLETRANSLATE(B1297,""id"",""en"")"),"['application', 'poor', 'open', 'application', 'hardy', 'forgiveness',' yes', 'open', 'application', 'smpe', 'kb', 'sec', ' Crazy ',' times', '']")</f>
        <v>['application', 'poor', 'open', 'application', 'hardy', 'forgiveness',' yes', 'open', 'application', 'smpe', 'kb', 'sec', ' Crazy ',' times', '']</v>
      </c>
      <c r="D1297" s="3">
        <v>1.0</v>
      </c>
    </row>
    <row r="1298" ht="15.75" customHeight="1">
      <c r="A1298" s="1">
        <v>1296.0</v>
      </c>
      <c r="B1298" s="3" t="s">
        <v>1299</v>
      </c>
      <c r="C1298" s="3" t="str">
        <f>IFERROR(__xludf.DUMMYFUNCTION("GOOGLETRANSLATE(B1298,""id"",""en"")"),"['poor', 'Telkomsel', 'signal', 'slow', 'slow', 'slow', 'dead', 'lights',' dead ',' signal ',' right ',' check ',' package ',' quota ',' internet ',' right ',' login ',' no ',' delete ',' application ',' telkomsel ',' install ',' reset ',' login ',' no ' "&amp;", 'no', 'understand', 'application', 'Telkomsel', 'version', 'updated', 'no', 'change', 'lose', 'signal', 'signal', 'slow', ' World ',' ']")</f>
        <v>['poor', 'Telkomsel', 'signal', 'slow', 'slow', 'slow', 'dead', 'lights',' dead ',' signal ',' right ',' check ',' package ',' quota ',' internet ',' right ',' login ',' no ',' delete ',' application ',' telkomsel ',' install ',' reset ',' login ',' no ' , 'no', 'understand', 'application', 'Telkomsel', 'version', 'updated', 'no', 'change', 'lose', 'signal', 'signal', 'slow', ' World ',' ']</v>
      </c>
      <c r="D1298" s="3">
        <v>1.0</v>
      </c>
    </row>
    <row r="1299" ht="15.75" customHeight="1">
      <c r="A1299" s="1">
        <v>1297.0</v>
      </c>
      <c r="B1299" s="3" t="s">
        <v>1300</v>
      </c>
      <c r="C1299" s="3" t="str">
        <f>IFERROR(__xludf.DUMMYFUNCTION("GOOGLETRANSLATE(B1299,""id"",""en"")"),"['here', 'severe', 'Telkomsel', 'contents',' credit ',' Telkomsel ',' already ',' appears', 'connection', 'network', 'open', 'application', ' Current ',' smooth ',' YouTube ',' lag ',' lag ',' smooth ',' Jaya ',' apk ',' gini ',' doang ',' can ',' the net"&amp;"work ',' funny ' , 'Raying', 'Download', 'APK', 'Taik', 'Bad']")</f>
        <v>['here', 'severe', 'Telkomsel', 'contents',' credit ',' Telkomsel ',' already ',' appears', 'connection', 'network', 'open', 'application', ' Current ',' smooth ',' YouTube ',' lag ',' lag ',' smooth ',' Jaya ',' apk ',' gini ',' doang ',' can ',' the network ',' funny ' , 'Raying', 'Download', 'APK', 'Taik', 'Bad']</v>
      </c>
      <c r="D1299" s="3">
        <v>1.0</v>
      </c>
    </row>
    <row r="1300" ht="15.75" customHeight="1">
      <c r="A1300" s="1">
        <v>1298.0</v>
      </c>
      <c r="B1300" s="3" t="s">
        <v>1301</v>
      </c>
      <c r="C1300" s="3" t="str">
        <f>IFERROR(__xludf.DUMMYFUNCTION("GOOGLETRANSLATE(B1300,""id"",""en"")"),"['Yesterday', 'MSK', 'App', 'Telkomsel', 'Something', 'Wrong', 'TRS', 'PDHL', 'Signal', 'Bgus',' Open ',' App ',' Open ',' app ',' Telkomsel ',' pdhl ',' check ',' quota ',' forced ',' uninstall ',' trs', 'sya', 'reinstall', 'boong', 'msk' , 'pkok', 'ugly"&amp;"', 'app', 'Telkomsel']")</f>
        <v>['Yesterday', 'MSK', 'App', 'Telkomsel', 'Something', 'Wrong', 'TRS', 'PDHL', 'Signal', 'Bgus',' Open ',' App ',' Open ',' app ',' Telkomsel ',' pdhl ',' check ',' quota ',' forced ',' uninstall ',' trs', 'sya', 'reinstall', 'boong', 'msk' , 'pkok', 'ugly', 'app', 'Telkomsel']</v>
      </c>
      <c r="D1300" s="3">
        <v>1.0</v>
      </c>
    </row>
    <row r="1301" ht="15.75" customHeight="1">
      <c r="A1301" s="1">
        <v>1299.0</v>
      </c>
      <c r="B1301" s="3" t="s">
        <v>1302</v>
      </c>
      <c r="C1301" s="3" t="str">
        <f>IFERROR(__xludf.DUMMYFUNCTION("GOOGLETRANSLATE(B1301,""id"",""en"")"),"['anjirt', 'open', 'Telkomsel', 'Yesterday', 'sick', 'soul', 'Telkomsel', 'expensive', 'doang', 'poor', 'bankrupt', 'mahalin', ' Telkomsel ',' Loss', 'Closed', 'Company', 'Not bad', 'Closed', 'Times',' Telkomsel ', ""]")</f>
        <v>['anjirt', 'open', 'Telkomsel', 'Yesterday', 'sick', 'soul', 'Telkomsel', 'expensive', 'doang', 'poor', 'bankrupt', 'mahalin', ' Telkomsel ',' Loss', 'Closed', 'Company', 'Not bad', 'Closed', 'Times',' Telkomsel ', "]</v>
      </c>
      <c r="D1301" s="3">
        <v>1.0</v>
      </c>
    </row>
    <row r="1302" ht="15.75" customHeight="1">
      <c r="A1302" s="1">
        <v>1300.0</v>
      </c>
      <c r="B1302" s="3" t="s">
        <v>1303</v>
      </c>
      <c r="C1302" s="3" t="str">
        <f>IFERROR(__xludf.DUMMYFUNCTION("GOOGLETRANSLATE(B1302,""id"",""en"")"),"['Login', 'application', 'buy', 'package', 'internet', 'Telkomsel', 'severe', 'service', 'signal', 'already', 'loyal', 'no', ' Repair ',' Disappointed ']")</f>
        <v>['Login', 'application', 'buy', 'package', 'internet', 'Telkomsel', 'severe', 'service', 'signal', 'already', 'loyal', 'no', ' Repair ',' Disappointed ']</v>
      </c>
      <c r="D1302" s="3">
        <v>1.0</v>
      </c>
    </row>
    <row r="1303" ht="15.75" customHeight="1">
      <c r="A1303" s="1">
        <v>1301.0</v>
      </c>
      <c r="B1303" s="3" t="s">
        <v>1304</v>
      </c>
      <c r="C1303" s="3" t="str">
        <f>IFERROR(__xludf.DUMMYFUNCTION("GOOGLETRANSLATE(B1303,""id"",""en"")"),"['no', 'login', 'no', 'no', 'enter', 'lgi', 'no', 'respond', 'signal', 'good', 'please', 'fix', ' ']")</f>
        <v>['no', 'login', 'no', 'no', 'enter', 'lgi', 'no', 'respond', 'signal', 'good', 'please', 'fix', ' ']</v>
      </c>
      <c r="D1303" s="3">
        <v>1.0</v>
      </c>
    </row>
    <row r="1304" ht="15.75" customHeight="1">
      <c r="A1304" s="1">
        <v>1302.0</v>
      </c>
      <c r="B1304" s="3" t="s">
        <v>1305</v>
      </c>
      <c r="C1304" s="3" t="str">
        <f>IFERROR(__xludf.DUMMYFUNCTION("GOOGLETRANSLATE(B1304,""id"",""en"")"),"['Disappointed', 'check', 'kouta', 'noon', 'until', 'skrg', 'opened', 'reasons', 'interner', 'problematic', 'open', 'app']")</f>
        <v>['Disappointed', 'check', 'kouta', 'noon', 'until', 'skrg', 'opened', 'reasons', 'interner', 'problematic', 'open', 'app']</v>
      </c>
      <c r="D1304" s="3">
        <v>1.0</v>
      </c>
    </row>
    <row r="1305" ht="15.75" customHeight="1">
      <c r="A1305" s="1">
        <v>1303.0</v>
      </c>
      <c r="B1305" s="3" t="s">
        <v>1306</v>
      </c>
      <c r="C1305" s="3" t="str">
        <f>IFERROR(__xludf.DUMMYFUNCTION("GOOGLETRANSLATE(B1305,""id"",""en"")"),"['bad', 'difficult', 'log', 'like', 'log', 'out', 'not', 'used', 'connection', 'internet', 'no', 'signal', ' Full ',' quota ',' ']")</f>
        <v>['bad', 'difficult', 'log', 'like', 'log', 'out', 'not', 'used', 'connection', 'internet', 'no', 'signal', ' Full ',' quota ',' ']</v>
      </c>
      <c r="D1305" s="3">
        <v>1.0</v>
      </c>
    </row>
    <row r="1306" ht="15.75" customHeight="1">
      <c r="A1306" s="1">
        <v>1304.0</v>
      </c>
      <c r="B1306" s="3" t="s">
        <v>1307</v>
      </c>
      <c r="C1306" s="3" t="str">
        <f>IFERROR(__xludf.DUMMYFUNCTION("GOOGLETRANSLATE(B1306,""id"",""en"")"),"['entry', 'application', 'difficult', 'his writing', 'Something', 'Went', 'Wrong', 'Please', 'Try', 'Again', 'After', 'sometimes',' UDH ',' Try ',' Delete ',' Delete ',' Application ',' Restart ',' His Writing ',' Please ',' Repaired ',' Min ',' User ',' "&amp;"Loyal ',' MyTelkomsel ' , 'thank you', '']")</f>
        <v>['entry', 'application', 'difficult', 'his writing', 'Something', 'Went', 'Wrong', 'Please', 'Try', 'Again', 'After', 'sometimes',' UDH ',' Try ',' Delete ',' Delete ',' Application ',' Restart ',' His Writing ',' Please ',' Repaired ',' Min ',' User ',' Loyal ',' MyTelkomsel ' , 'thank you', '']</v>
      </c>
      <c r="D1306" s="3">
        <v>1.0</v>
      </c>
    </row>
    <row r="1307" ht="15.75" customHeight="1">
      <c r="A1307" s="1">
        <v>1305.0</v>
      </c>
      <c r="B1307" s="3" t="s">
        <v>1308</v>
      </c>
      <c r="C1307" s="3" t="str">
        <f>IFERROR(__xludf.DUMMYFUNCTION("GOOGLETRANSLATE(B1307,""id"",""en"")"),"['already', 'Telkomsel', 'opened', 'quota', 'internet', 'signal', 'Telkomsel', 'Please', 'repaired', 'thank', 'love']")</f>
        <v>['already', 'Telkomsel', 'opened', 'quota', 'internet', 'signal', 'Telkomsel', 'Please', 'repaired', 'thank', 'love']</v>
      </c>
      <c r="D1307" s="3">
        <v>2.0</v>
      </c>
    </row>
    <row r="1308" ht="15.75" customHeight="1">
      <c r="A1308" s="1">
        <v>1306.0</v>
      </c>
      <c r="B1308" s="3" t="s">
        <v>1309</v>
      </c>
      <c r="C1308" s="3" t="str">
        <f>IFERROR(__xludf.DUMMYFUNCTION("GOOGLETRANSLATE(B1308,""id"",""en"")"),"['kah', 'package', 'internet', 'expensive', 'group', 'GSM', 'Indonesia', 'network', 'stray', 'money', 'remove', 'network', ' kkkk kkkk']")</f>
        <v>['kah', 'package', 'internet', 'expensive', 'group', 'GSM', 'Indonesia', 'network', 'stray', 'money', 'remove', 'network', ' kkkk kkkk']</v>
      </c>
      <c r="D1308" s="3">
        <v>1.0</v>
      </c>
    </row>
    <row r="1309" ht="15.75" customHeight="1">
      <c r="A1309" s="1">
        <v>1307.0</v>
      </c>
      <c r="B1309" s="3" t="s">
        <v>1310</v>
      </c>
      <c r="C1309" s="3" t="str">
        <f>IFERROR(__xludf.DUMMYFUNCTION("GOOGLETRANSLATE(B1309,""id"",""en"")"),"['Application', 'Signal', 'Good', 'Package', 'Internet', 'Open', 'Telkomsel', 'Something', 'Wrong', 'Something', 'Wrong', 'SERES', ' It works', 'Extend', 'Package', 'Difficult', 'Gara', 'Gara', 'Application', 'Opened', 'Please', 'Repaired', 'Consumer', 'D"&amp;"isappointed']")</f>
        <v>['Application', 'Signal', 'Good', 'Package', 'Internet', 'Open', 'Telkomsel', 'Something', 'Wrong', 'Something', 'Wrong', 'SERES', ' It works', 'Extend', 'Package', 'Difficult', 'Gara', 'Gara', 'Application', 'Opened', 'Please', 'Repaired', 'Consumer', 'Disappointed']</v>
      </c>
      <c r="D1309" s="3">
        <v>1.0</v>
      </c>
    </row>
    <row r="1310" ht="15.75" customHeight="1">
      <c r="A1310" s="1">
        <v>1308.0</v>
      </c>
      <c r="B1310" s="3" t="s">
        <v>1311</v>
      </c>
      <c r="C1310" s="3" t="str">
        <f>IFERROR(__xludf.DUMMYFUNCTION("GOOGLETRANSLATE(B1310,""id"",""en"")"),"['Knp', 'Telkomsel', 'Loading', 'appears',' connection ',' stable ',' open ',' application ',' smooth ',' please ',' repair ',' see ',' Quota ',' difficult ',' ']")</f>
        <v>['Knp', 'Telkomsel', 'Loading', 'appears',' connection ',' stable ',' open ',' application ',' smooth ',' please ',' repair ',' see ',' Quota ',' difficult ',' ']</v>
      </c>
      <c r="D1310" s="3">
        <v>3.0</v>
      </c>
    </row>
    <row r="1311" ht="15.75" customHeight="1">
      <c r="A1311" s="1">
        <v>1309.0</v>
      </c>
      <c r="B1311" s="3" t="s">
        <v>1312</v>
      </c>
      <c r="C1311" s="3" t="str">
        <f>IFERROR(__xludf.DUMMYFUNCTION("GOOGLETRANSLATE(B1311,""id"",""en"")"),"['application', 'Telkomsel', 'opened', 'quota', 'run out', 'pairs',' package ',' open ',' the application ',' pulse ',' finished ',' sucked ',' Fill ',' Reduced ',' Fear ',' Telkomsel ',' Buy ',' Credit ',' Service ',' Good ',' Fill ',' Credit ',' Conside"&amp;"red ',' Disappointed ',' Disappointed ' , 'customer']")</f>
        <v>['application', 'Telkomsel', 'opened', 'quota', 'run out', 'pairs',' package ',' open ',' the application ',' pulse ',' finished ',' sucked ',' Fill ',' Reduced ',' Fear ',' Telkomsel ',' Buy ',' Credit ',' Service ',' Good ',' Fill ',' Credit ',' Considered ',' Disappointed ',' Disappointed ' , 'customer']</v>
      </c>
      <c r="D1311" s="3">
        <v>1.0</v>
      </c>
    </row>
    <row r="1312" ht="15.75" customHeight="1">
      <c r="A1312" s="1">
        <v>1310.0</v>
      </c>
      <c r="B1312" s="3" t="s">
        <v>1313</v>
      </c>
      <c r="C1312" s="3" t="str">
        <f>IFERROR(__xludf.DUMMYFUNCTION("GOOGLETRANSLATE(B1312,""id"",""en"")"),"['Telkomsel', 'used', 'his writing', 'unstable', 'conection', 'buy', 'package', 'application', 'update', 'update', 'opened', 'Telkomsel', ' owned ',' sister ',' used ',' disappointed ',' Telkomsel ',' trick ',' buy ',' package ',' via ',' dial ',' call ',"&amp;"' price ',' expensive ' , '']")</f>
        <v>['Telkomsel', 'used', 'his writing', 'unstable', 'conection', 'buy', 'package', 'application', 'update', 'update', 'opened', 'Telkomsel', ' owned ',' sister ',' used ',' disappointed ',' Telkomsel ',' trick ',' buy ',' package ',' via ',' dial ',' call ',' price ',' expensive ' , '']</v>
      </c>
      <c r="D1312" s="3">
        <v>2.0</v>
      </c>
    </row>
    <row r="1313" ht="15.75" customHeight="1">
      <c r="A1313" s="1">
        <v>1311.0</v>
      </c>
      <c r="B1313" s="3" t="s">
        <v>1314</v>
      </c>
      <c r="C1313" s="3" t="str">
        <f>IFERROR(__xludf.DUMMYFUNCTION("GOOGLETRANSLATE(B1313,""id"",""en"")"),"['APK', 'useful', 'actually', 'trouble', 'that's', 'open', 'trs', 'signal', 'no', 'as good', 'signal', 'slow']")</f>
        <v>['APK', 'useful', 'actually', 'trouble', 'that's', 'open', 'trs', 'signal', 'no', 'as good', 'signal', 'slow']</v>
      </c>
      <c r="D1313" s="3">
        <v>3.0</v>
      </c>
    </row>
    <row r="1314" ht="15.75" customHeight="1">
      <c r="A1314" s="1">
        <v>1312.0</v>
      </c>
      <c r="B1314" s="3" t="s">
        <v>1315</v>
      </c>
      <c r="C1314" s="3" t="str">
        <f>IFERROR(__xludf.DUMMYFUNCTION("GOOGLETRANSLATE(B1314,""id"",""en"")"),"['kyakny', 'experience', 'customer', 'signal', 'threat', 'open', 'Telkomsel', 'the application', 'update', 'open', 'jdi', 'difficult', ' Ber ',' Over ']")</f>
        <v>['kyakny', 'experience', 'customer', 'signal', 'threat', 'open', 'Telkomsel', 'the application', 'update', 'open', 'jdi', 'difficult', ' Ber ',' Over ']</v>
      </c>
      <c r="D1314" s="3">
        <v>1.0</v>
      </c>
    </row>
    <row r="1315" ht="15.75" customHeight="1">
      <c r="A1315" s="1">
        <v>1313.0</v>
      </c>
      <c r="B1315" s="3" t="s">
        <v>1316</v>
      </c>
      <c r="C1315" s="3" t="str">
        <f>IFERROR(__xludf.DUMMYFUNCTION("GOOGLETRANSLATE(B1315,""id"",""en"")"),"['App', 'Mytsel', 'Disappointed', 'Application', 'Login', 'Something', 'Went', 'Wrong', 'Please', 'Try', 'Again', 'After', ' sometime ',' already ',' umpteenth ',' time ',' poor ', ""]")</f>
        <v>['App', 'Mytsel', 'Disappointed', 'Application', 'Login', 'Something', 'Went', 'Wrong', 'Please', 'Try', 'Again', 'After', ' sometime ',' already ',' umpteenth ',' time ',' poor ', "]</v>
      </c>
      <c r="D1315" s="3">
        <v>1.0</v>
      </c>
    </row>
    <row r="1316" ht="15.75" customHeight="1">
      <c r="A1316" s="1">
        <v>1314.0</v>
      </c>
      <c r="B1316" s="3" t="s">
        <v>1317</v>
      </c>
      <c r="C1316" s="3" t="str">
        <f>IFERROR(__xludf.DUMMYFUNCTION("GOOGLETRANSLATE(B1316,""id"",""en"")"),"['app', 'use', 'smooth', 'verification', 'number', 'entered', 'app', 'uninstall', 'download', '']")</f>
        <v>['app', 'use', 'smooth', 'verification', 'number', 'entered', 'app', 'uninstall', 'download', '']</v>
      </c>
      <c r="D1316" s="3">
        <v>1.0</v>
      </c>
    </row>
    <row r="1317" ht="15.75" customHeight="1">
      <c r="A1317" s="1">
        <v>1315.0</v>
      </c>
      <c r="B1317" s="3" t="s">
        <v>1318</v>
      </c>
      <c r="C1317" s="3" t="str">
        <f>IFERROR(__xludf.DUMMYFUNCTION("GOOGLETRANSLATE(B1317,""id"",""en"")"),"['signal', 'in town', 'remote', 'signal', 'like', 'missing', 'please', 'fix', 'network', 'slow', 'open', 'MyTelkomsel', ' Eastern ',' ']")</f>
        <v>['signal', 'in town', 'remote', 'signal', 'like', 'missing', 'please', 'fix', 'network', 'slow', 'open', 'MyTelkomsel', ' Eastern ',' ']</v>
      </c>
      <c r="D1317" s="3">
        <v>1.0</v>
      </c>
    </row>
    <row r="1318" ht="15.75" customHeight="1">
      <c r="A1318" s="1">
        <v>1316.0</v>
      </c>
      <c r="B1318" s="3" t="s">
        <v>1319</v>
      </c>
      <c r="C1318" s="3" t="str">
        <f>IFERROR(__xludf.DUMMYFUNCTION("GOOGLETRANSLATE(B1318,""id"",""en"")"),"['cave', 'customers',' Telkomsel ',' bapuk ',' slow ',' Telkomsel ',' class', 'expensive', 'doang', 'buy', 'package', 'Telkomsel', ' loginnya ',' noon ',' threat ',' threat ']")</f>
        <v>['cave', 'customers',' Telkomsel ',' bapuk ',' slow ',' Telkomsel ',' class', 'expensive', 'doang', 'buy', 'package', 'Telkomsel', ' loginnya ',' noon ',' threat ',' threat ']</v>
      </c>
      <c r="D1318" s="3">
        <v>1.0</v>
      </c>
    </row>
    <row r="1319" ht="15.75" customHeight="1">
      <c r="A1319" s="1">
        <v>1317.0</v>
      </c>
      <c r="B1319" s="3" t="s">
        <v>1320</v>
      </c>
      <c r="C1319" s="3" t="str">
        <f>IFERROR(__xludf.DUMMYFUNCTION("GOOGLETRANSLATE(B1319,""id"",""en"")"),"['Try', 'Please', 'Restore', 'Signal', 'Telkomsel', 'Wear', 'Card', 'Knpa', 'Come', 'Signal', 'Error', 'Keeki', ' Slalu ',' LEG ',' Please ',' Fix ',' Telkomsel ',' Play ',' Game ',' Mobile ',' Ripuh ',' Signal ',' Kayak ',' Gini ',' then ' , 'Jangn', 'St"&amp;"ar', 'downhill', '']")</f>
        <v>['Try', 'Please', 'Restore', 'Signal', 'Telkomsel', 'Wear', 'Card', 'Knpa', 'Come', 'Signal', 'Error', 'Keeki', ' Slalu ',' LEG ',' Please ',' Fix ',' Telkomsel ',' Play ',' Game ',' Mobile ',' Ripuh ',' Signal ',' Kayak ',' Gini ',' then ' , 'Jangn', 'Star', 'downhill', '']</v>
      </c>
      <c r="D1319" s="3">
        <v>2.0</v>
      </c>
    </row>
    <row r="1320" ht="15.75" customHeight="1">
      <c r="A1320" s="1">
        <v>1318.0</v>
      </c>
      <c r="B1320" s="3" t="s">
        <v>1321</v>
      </c>
      <c r="C1320" s="3" t="str">
        <f>IFERROR(__xludf.DUMMYFUNCTION("GOOGLETRANSLATE(B1320,""id"",""en"")"),"['', 'Deh', 'Skarang', 'Mao', 'entered', 'APK', 'no', 'yeah', 'mah', 'package', 'turn', 'open', 'connection ',' bad ',' connection ',' mah ',' good ',' apk ',' kah ',' sorry ',' connection ',' stable ',' please ',' click ',' reset ', 'gtuh', 'mah', 'netwo"&amp;"rk', 'good']")</f>
        <v>['', 'Deh', 'Skarang', 'Mao', 'entered', 'APK', 'no', 'yeah', 'mah', 'package', 'turn', 'open', 'connection ',' bad ',' connection ',' mah ',' good ',' apk ',' kah ',' sorry ',' connection ',' stable ',' please ',' click ',' reset ', 'gtuh', 'mah', 'network', 'good']</v>
      </c>
      <c r="D1320" s="3">
        <v>1.0</v>
      </c>
    </row>
    <row r="1321" ht="15.75" customHeight="1">
      <c r="A1321" s="1">
        <v>1319.0</v>
      </c>
      <c r="B1321" s="3" t="s">
        <v>1322</v>
      </c>
      <c r="C1321" s="3" t="str">
        <f>IFERROR(__xludf.DUMMYFUNCTION("GOOGLETRANSLATE(B1321,""id"",""en"")"),"['bad', 'server', 'serinh', 'error', 'application', 'Telkomsel', 'complicated', 'klau', 'buy', 'package', 'internet', 'please', ' Fix ',' as fast ',' service ',' application ',' signal ',' ']")</f>
        <v>['bad', 'server', 'serinh', 'error', 'application', 'Telkomsel', 'complicated', 'klau', 'buy', 'package', 'internet', 'please', ' Fix ',' as fast ',' service ',' application ',' signal ',' ']</v>
      </c>
      <c r="D1321" s="3">
        <v>1.0</v>
      </c>
    </row>
    <row r="1322" ht="15.75" customHeight="1">
      <c r="A1322" s="1">
        <v>1320.0</v>
      </c>
      <c r="B1322" s="3" t="s">
        <v>1323</v>
      </c>
      <c r="C1322" s="3" t="str">
        <f>IFERROR(__xludf.DUMMYFUNCTION("GOOGLETRANSLATE(B1322,""id"",""en"")"),"['funny', 'ama', 'doi', 'buy', 'package', 'data', 'unlimited', 'clock', 'turn', 'package', 'data', 'abiz', ' Unlimited ',' Medsos', 'Tiktok', 'Until', 'YouTube', 'Jamet', 'Lights',' Red ',' Date ',' Abiz ',' Okay ',' Emang ',' Package ' , 'Data', 'Abiz', "&amp;"'Unlimited', 'Medsos',' Tiktok ',' Until ',' YouTube ',' Jam ',' Package ',' Data ',' Msih ',' Current ',' Udeh ',' Line ',' Pantura ',' Bintang ',' Disappointed ',' Move ',' Operator ',' Bye ', ""]")</f>
        <v>['funny', 'ama', 'doi', 'buy', 'package', 'data', 'unlimited', 'clock', 'turn', 'package', 'data', 'abiz', ' Unlimited ',' Medsos', 'Tiktok', 'Until', 'YouTube', 'Jamet', 'Lights',' Red ',' Date ',' Abiz ',' Okay ',' Emang ',' Package ' , 'Data', 'Abiz', 'Unlimited', 'Medsos',' Tiktok ',' Until ',' YouTube ',' Jam ',' Package ',' Data ',' Msih ',' Current ',' Udeh ',' Line ',' Pantura ',' Bintang ',' Disappointed ',' Move ',' Operator ',' Bye ', "]</v>
      </c>
      <c r="D1322" s="3">
        <v>1.0</v>
      </c>
    </row>
    <row r="1323" ht="15.75" customHeight="1">
      <c r="A1323" s="1">
        <v>1321.0</v>
      </c>
      <c r="B1323" s="3" t="s">
        <v>1324</v>
      </c>
      <c r="C1323" s="3" t="str">
        <f>IFERROR(__xludf.DUMMYFUNCTION("GOOGLETRANSLATE(B1323,""id"",""en"")"),"['Holla', 'Please', 'Sorry', 'user', 'Telkomsel', 'already', 'tapii', 'signal', 'Telkomsel', 'deteriorating', 'the network', 'good', ' The network is', '']")</f>
        <v>['Holla', 'Please', 'Sorry', 'user', 'Telkomsel', 'already', 'tapii', 'signal', 'Telkomsel', 'deteriorating', 'the network', 'good', ' The network is', '']</v>
      </c>
      <c r="D1323" s="3">
        <v>1.0</v>
      </c>
    </row>
    <row r="1324" ht="15.75" customHeight="1">
      <c r="A1324" s="1">
        <v>1322.0</v>
      </c>
      <c r="B1324" s="3" t="s">
        <v>1325</v>
      </c>
      <c r="C1324" s="3" t="str">
        <f>IFERROR(__xludf.DUMMYFUNCTION("GOOGLETRANSLATE(B1324,""id"",""en"")"),"['Disappointed', 'please', 'Telkomsel', 'response', 'Telkomsel', 'ugly', 'really', 'open', 'application', 'writing', 'connection', 'setabil', ' City ',' Jakarta ',' Open ',' Application ',' Telkomsel ',' Application ',' Severe ',' Update ',' Tetep ',' Ent"&amp;"er ',' Application ',' Discard ',' Discard ' , 'quota']")</f>
        <v>['Disappointed', 'please', 'Telkomsel', 'response', 'Telkomsel', 'ugly', 'really', 'open', 'application', 'writing', 'connection', 'setabil', ' City ',' Jakarta ',' Open ',' Application ',' Telkomsel ',' Application ',' Severe ',' Update ',' Tetep ',' Enter ',' Application ',' Discard ',' Discard ' , 'quota']</v>
      </c>
      <c r="D1324" s="3">
        <v>1.0</v>
      </c>
    </row>
    <row r="1325" ht="15.75" customHeight="1">
      <c r="A1325" s="1">
        <v>1323.0</v>
      </c>
      <c r="B1325" s="3" t="s">
        <v>1326</v>
      </c>
      <c r="C1325" s="3" t="str">
        <f>IFERROR(__xludf.DUMMYFUNCTION("GOOGLETRANSLATE(B1325,""id"",""en"")"),"['APK', 'Broken', 'Komething', 'Something', 'Wrong', 'Login', 'Error', 'Stay', 'Village', 'Temuroso', 'Sadan', 'Thunder', ' Regency ',' Demak ',' Java ',' poor ',' signal ',' send ',' message ',' difficult ',' game ',' ping ', ""]")</f>
        <v>['APK', 'Broken', 'Komething', 'Something', 'Wrong', 'Login', 'Error', 'Stay', 'Village', 'Temuroso', 'Sadan', 'Thunder', ' Regency ',' Demak ',' Java ',' poor ',' signal ',' send ',' message ',' difficult ',' game ',' ping ', "]</v>
      </c>
      <c r="D1325" s="3">
        <v>2.0</v>
      </c>
    </row>
    <row r="1326" ht="15.75" customHeight="1">
      <c r="A1326" s="1">
        <v>1324.0</v>
      </c>
      <c r="B1326" s="3" t="s">
        <v>1327</v>
      </c>
      <c r="C1326" s="3" t="str">
        <f>IFERROR(__xludf.DUMMYFUNCTION("GOOGLETRANSLATE(B1326,""id"",""en"")"),"['operator', 'biggest', 'indo', 'server', 'application', 'difficult', 'open', 'woy', 'gedein', 'server', 'woy', 'take', ' Fortunately ',' Doang ',' Application ',' ']")</f>
        <v>['operator', 'biggest', 'indo', 'server', 'application', 'difficult', 'open', 'woy', 'gedein', 'server', 'woy', 'take', ' Fortunately ',' Doang ',' Application ',' ']</v>
      </c>
      <c r="D1326" s="3">
        <v>1.0</v>
      </c>
    </row>
    <row r="1327" ht="15.75" customHeight="1">
      <c r="A1327" s="1">
        <v>1325.0</v>
      </c>
      <c r="B1327" s="3" t="s">
        <v>1328</v>
      </c>
      <c r="C1327" s="3" t="str">
        <f>IFERROR(__xludf.DUMMYFUNCTION("GOOGLETRANSLATE(B1327,""id"",""en"")"),"['The application', 'responsive', 'refeshed', 'continuous', 'open', 'application', 'smooth', 'log', 'out', 'please', 'fix', '']")</f>
        <v>['The application', 'responsive', 'refeshed', 'continuous', 'open', 'application', 'smooth', 'log', 'out', 'please', 'fix', '']</v>
      </c>
      <c r="D1327" s="3">
        <v>1.0</v>
      </c>
    </row>
    <row r="1328" ht="15.75" customHeight="1">
      <c r="A1328" s="1">
        <v>1326.0</v>
      </c>
      <c r="B1328" s="3" t="s">
        <v>1329</v>
      </c>
      <c r="C1328" s="3" t="str">
        <f>IFERROR(__xludf.DUMMYFUNCTION("GOOGLETRANSLATE(B1328,""id"",""en"")"),"['Disappointed', 'Weight', 'class',' BUMN ',' Rich ',' Provider ',' Severe ',' Improvement ',' Application ',' Kaga ',' Becus', 'Very', ' Abis', 'network', 'rich', 'garbage', 'honest', 'like', 'Telkomsel', 'fast', 'really', 'network', 'pulp', 'network', '"&amp;"internet' , 'Aplagi', 'application', 'error', 'how', 'compete', 'world', 'network', 'pulp', 'remove', 'promo', 'fix', 'quality', ' network ',' blame ',' consumer ',' understand ', ""]")</f>
        <v>['Disappointed', 'Weight', 'class',' BUMN ',' Rich ',' Provider ',' Severe ',' Improvement ',' Application ',' Kaga ',' Becus', 'Very', ' Abis', 'network', 'rich', 'garbage', 'honest', 'like', 'Telkomsel', 'fast', 'really', 'network', 'pulp', 'network', 'internet' , 'Aplagi', 'application', 'error', 'how', 'compete', 'world', 'network', 'pulp', 'remove', 'promo', 'fix', 'quality', ' network ',' blame ',' consumer ',' understand ', "]</v>
      </c>
      <c r="D1328" s="3">
        <v>1.0</v>
      </c>
    </row>
    <row r="1329" ht="15.75" customHeight="1">
      <c r="A1329" s="1">
        <v>1327.0</v>
      </c>
      <c r="B1329" s="3" t="s">
        <v>1330</v>
      </c>
      <c r="C1329" s="3" t="str">
        <f>IFERROR(__xludf.DUMMYFUNCTION("GOOGLETRANSLATE(B1329,""id"",""en"")"),"['repaired', 'in the section', 'startup', 'often', 'respond', 'interface', 'full', 'white', 'button', 'refresh', 'useful', 'change', ' Refresh ',' Tested ',' WiFi ',' Data ',' Deluler ',' Indosat ',' Telkom ',' Tri ',' ']")</f>
        <v>['repaired', 'in the section', 'startup', 'often', 'respond', 'interface', 'full', 'white', 'button', 'refresh', 'useful', 'change', ' Refresh ',' Tested ',' WiFi ',' Data ',' Deluler ',' Indosat ',' Telkom ',' Tri ',' ']</v>
      </c>
      <c r="D1329" s="3">
        <v>1.0</v>
      </c>
    </row>
    <row r="1330" ht="15.75" customHeight="1">
      <c r="A1330" s="1">
        <v>1328.0</v>
      </c>
      <c r="B1330" s="3" t="s">
        <v>1331</v>
      </c>
      <c r="C1330" s="3" t="str">
        <f>IFERROR(__xludf.DUMMYFUNCTION("GOOGLETRANSLATE(B1330,""id"",""en"")"),"['application', 'update', 'difficult', 'login', 'package', 'data', 'internet', 'cheap', 'buy', 'buy', 'quality', 'network', ' Poor ',' Region ',' City ',' How ',' Enter ',' Village ',' Lost ',' Signal ',' Package ',' Quota ',' Unlimited ',' Poor ',' User "&amp;"' , 'loyal', 'Telkomsel', 'try', 'card', 'output', 'Telkomsel', '']")</f>
        <v>['application', 'update', 'difficult', 'login', 'package', 'data', 'internet', 'cheap', 'buy', 'buy', 'quality', 'network', ' Poor ',' Region ',' City ',' How ',' Enter ',' Village ',' Lost ',' Signal ',' Package ',' Quota ',' Unlimited ',' Poor ',' User ' , 'loyal', 'Telkomsel', 'try', 'card', 'output', 'Telkomsel', '']</v>
      </c>
      <c r="D1330" s="3">
        <v>1.0</v>
      </c>
    </row>
    <row r="1331" ht="15.75" customHeight="1">
      <c r="A1331" s="1">
        <v>1329.0</v>
      </c>
      <c r="B1331" s="3" t="s">
        <v>1332</v>
      </c>
      <c r="C1331" s="3" t="str">
        <f>IFERROR(__xludf.DUMMYFUNCTION("GOOGLETRANSLATE(B1331,""id"",""en"")"),"['Login', 'Failed', 'Update', 'APK', 'Tetep', 'Login', 'Update', 'Tetep', ""]")</f>
        <v>['Login', 'Failed', 'Update', 'APK', 'Tetep', 'Login', 'Update', 'Tetep', "]</v>
      </c>
      <c r="D1331" s="3">
        <v>5.0</v>
      </c>
    </row>
    <row r="1332" ht="15.75" customHeight="1">
      <c r="A1332" s="1">
        <v>1330.0</v>
      </c>
      <c r="B1332" s="3" t="s">
        <v>1333</v>
      </c>
      <c r="C1332" s="3" t="str">
        <f>IFERROR(__xludf.DUMMYFUNCTION("GOOGLETRANSLATE(B1332,""id"",""en"")"),"['Open', 'App', 'Telkomsel', 'Need', 'Connection', 'Open', 'Doang', 'Quota', 'Data', 'Bnyak', 'Lemot', 'Gajelas',' Opened ',' Loading ',' UP ',' Unstable ',' Connection ',' Reduce ',' Advertising ',' Buy ',' Package ',' Data ',' Persensified ',' Thank "","&amp;" 'Love' , 'already', 'read', 'Prove', 'App', 'Telkomsell', 'Quality', 'Gaperlu', 'Reply', ""]")</f>
        <v>['Open', 'App', 'Telkomsel', 'Need', 'Connection', 'Open', 'Doang', 'Quota', 'Data', 'Bnyak', 'Lemot', 'Gajelas',' Opened ',' Loading ',' UP ',' Unstable ',' Connection ',' Reduce ',' Advertising ',' Buy ',' Package ',' Data ',' Persensified ',' Thank ", 'Love' , 'already', 'read', 'Prove', 'App', 'Telkomsell', 'Quality', 'Gaperlu', 'Reply', "]</v>
      </c>
      <c r="D1332" s="3">
        <v>1.0</v>
      </c>
    </row>
    <row r="1333" ht="15.75" customHeight="1">
      <c r="A1333" s="1">
        <v>1331.0</v>
      </c>
      <c r="B1333" s="3" t="s">
        <v>1334</v>
      </c>
      <c r="C1333" s="3" t="str">
        <f>IFERROR(__xludf.DUMMYFUNCTION("GOOGLETRANSLATE(B1333,""id"",""en"")"),"['really', 'network', 'cook', 'login', 'belik', 'package', 'bsa', 'dri', 'TDI', 'sampek', 'delete', 'truss',' Install ',' BSA ',' ']")</f>
        <v>['really', 'network', 'cook', 'login', 'belik', 'package', 'bsa', 'dri', 'TDI', 'sampek', 'delete', 'truss',' Install ',' BSA ',' ']</v>
      </c>
      <c r="D1333" s="3">
        <v>1.0</v>
      </c>
    </row>
    <row r="1334" ht="15.75" customHeight="1">
      <c r="A1334" s="1">
        <v>1332.0</v>
      </c>
      <c r="B1334" s="3" t="s">
        <v>1335</v>
      </c>
      <c r="C1334" s="3" t="str">
        <f>IFERROR(__xludf.DUMMYFUNCTION("GOOGLETRANSLATE(B1334,""id"",""en"")"),"['ugly', 'open', 'use', 'package', 'data', 'right', 'open', 'wifi', 'connection', 'good', 'reload', 'buy', ' Package ',' Data ',' that's']")</f>
        <v>['ugly', 'open', 'use', 'package', 'data', 'right', 'open', 'wifi', 'connection', 'good', 'reload', 'buy', ' Package ',' Data ',' that's']</v>
      </c>
      <c r="D1334" s="3">
        <v>3.0</v>
      </c>
    </row>
    <row r="1335" ht="15.75" customHeight="1">
      <c r="A1335" s="1">
        <v>1333.0</v>
      </c>
      <c r="B1335" s="3" t="s">
        <v>1336</v>
      </c>
      <c r="C1335" s="3" t="str">
        <f>IFERROR(__xludf.DUMMYFUNCTION("GOOGLETRANSLATE(B1335,""id"",""en"")"),"['', 'Telkomsel', 'Active', 'YHH', 'Bust', 'Paketan', 'Sihh', 'Please', 'Karpikasi', 'Kenpa', 'Telkomsel', 'Please', 'Fix ',' Accept ',' Kek ',' Gini ',' application ',' ']")</f>
        <v>['', 'Telkomsel', 'Active', 'YHH', 'Bust', 'Paketan', 'Sihh', 'Please', 'Karpikasi', 'Kenpa', 'Telkomsel', 'Please', 'Fix ',' Accept ',' Kek ',' Gini ',' application ',' ']</v>
      </c>
      <c r="D1335" s="3">
        <v>1.0</v>
      </c>
    </row>
    <row r="1336" ht="15.75" customHeight="1">
      <c r="A1336" s="1">
        <v>1334.0</v>
      </c>
      <c r="B1336" s="3" t="s">
        <v>1337</v>
      </c>
      <c r="C1336" s="3" t="str">
        <f>IFERROR(__xludf.DUMMYFUNCTION("GOOGLETRANSLATE(B1336,""id"",""en"")"),"['signal', 'stable', 'application', 'open', 'what', 'Apus',' application ',' open ',' mah ',' open ',' application ',' open ',' Application ',' Telkomsel ',' Sia ',' Download ']")</f>
        <v>['signal', 'stable', 'application', 'open', 'what', 'Apus',' application ',' open ',' mah ',' open ',' application ',' open ',' Application ',' Telkomsel ',' Sia ',' Download ']</v>
      </c>
      <c r="D1336" s="3">
        <v>1.0</v>
      </c>
    </row>
    <row r="1337" ht="15.75" customHeight="1">
      <c r="A1337" s="1">
        <v>1335.0</v>
      </c>
      <c r="B1337" s="3" t="s">
        <v>1338</v>
      </c>
      <c r="C1337" s="3" t="str">
        <f>IFERROR(__xludf.DUMMYFUNCTION("GOOGLETRANSLATE(B1337,""id"",""en"")"),"['Telkomsel', 'signal', 'good', 'really', 'access',' sosmed ',' profit ',' moved ',' card ',' direct ',' smooth ',' price ',' cheap ',' signal ',' good ',' profit ',' patient ',' already ',' price ',' expensive ',' signal ',' good ',' price ',' cheap ',' "&amp;"signal ' , 'ugly', 'reasonable', 'price', 'expensive', 'signal', 'good', 'really']")</f>
        <v>['Telkomsel', 'signal', 'good', 'really', 'access',' sosmed ',' profit ',' moved ',' card ',' direct ',' smooth ',' price ',' cheap ',' signal ',' good ',' profit ',' patient ',' already ',' price ',' expensive ',' signal ',' good ',' price ',' cheap ',' signal ' , 'ugly', 'reasonable', 'price', 'expensive', 'signal', 'good', 'really']</v>
      </c>
      <c r="D1337" s="3">
        <v>1.0</v>
      </c>
    </row>
    <row r="1338" ht="15.75" customHeight="1">
      <c r="A1338" s="1">
        <v>1336.0</v>
      </c>
      <c r="B1338" s="3" t="s">
        <v>1339</v>
      </c>
      <c r="C1338" s="3" t="str">
        <f>IFERROR(__xludf.DUMMYFUNCTION("GOOGLETRANSLATE(B1338,""id"",""en"")"),"['Network', 'Telkomsel', 'LEG', 'Ginama', 'enter', 'number', 'here', 'Telkomsel', 'list', 'confused', 'application']")</f>
        <v>['Network', 'Telkomsel', 'LEG', 'Ginama', 'enter', 'number', 'here', 'Telkomsel', 'list', 'confused', 'application']</v>
      </c>
      <c r="D1338" s="3">
        <v>1.0</v>
      </c>
    </row>
    <row r="1339" ht="15.75" customHeight="1">
      <c r="A1339" s="1">
        <v>1337.0</v>
      </c>
      <c r="B1339" s="3" t="s">
        <v>1340</v>
      </c>
      <c r="C1339" s="3" t="str">
        <f>IFERROR(__xludf.DUMMYFUNCTION("GOOGLETRANSLATE(B1339,""id"",""en"")"),"['Bad', 'please', 'fix', 'difficult', 'login', 'open', 'apk', 'must', 'dead', 'Telkomsel', 'many years',' TPI ',' satisfying ',' signal ',' honest ',' best ',' Telkomsel ',' just ',' apk ',' Telkomsel ',' bad ',' sorry ', ""]")</f>
        <v>['Bad', 'please', 'fix', 'difficult', 'login', 'open', 'apk', 'must', 'dead', 'Telkomsel', 'many years',' TPI ',' satisfying ',' signal ',' honest ',' best ',' Telkomsel ',' just ',' apk ',' Telkomsel ',' bad ',' sorry ', "]</v>
      </c>
      <c r="D1339" s="3">
        <v>3.0</v>
      </c>
    </row>
    <row r="1340" ht="15.75" customHeight="1">
      <c r="A1340" s="1">
        <v>1338.0</v>
      </c>
      <c r="B1340" s="3" t="s">
        <v>1341</v>
      </c>
      <c r="C1340" s="3" t="str">
        <f>IFERROR(__xludf.DUMMYFUNCTION("GOOGLETRANSLATE(B1340,""id"",""en"")"),"['Application', 'Disruption', 'Difficult', 'NOT', 'Signal', 'Kenceng', 'Open', 'WiFi', 'Disruption', 'Please', 'Fix', 'Application']")</f>
        <v>['Application', 'Disruption', 'Difficult', 'NOT', 'Signal', 'Kenceng', 'Open', 'WiFi', 'Disruption', 'Please', 'Fix', 'Application']</v>
      </c>
      <c r="D1340" s="3">
        <v>2.0</v>
      </c>
    </row>
    <row r="1341" ht="15.75" customHeight="1">
      <c r="A1341" s="1">
        <v>1339.0</v>
      </c>
      <c r="B1341" s="3" t="s">
        <v>1342</v>
      </c>
      <c r="C1341" s="3" t="str">
        <f>IFERROR(__xludf.DUMMYFUNCTION("GOOGLETRANSLATE(B1341,""id"",""en"")"),"['Login', 'gmn', 'checked', 'balance', 'package', 'practical', 'week', 'login', 'app', 'mimin', 'please', 'clarity']")</f>
        <v>['Login', 'gmn', 'checked', 'balance', 'package', 'practical', 'week', 'login', 'app', 'mimin', 'please', 'clarity']</v>
      </c>
      <c r="D1341" s="3">
        <v>2.0</v>
      </c>
    </row>
    <row r="1342" ht="15.75" customHeight="1">
      <c r="A1342" s="1">
        <v>1340.0</v>
      </c>
      <c r="B1342" s="3" t="s">
        <v>1343</v>
      </c>
      <c r="C1342" s="3" t="str">
        <f>IFERROR(__xludf.DUMMYFUNCTION("GOOGLETRANSLATE(B1342,""id"",""en"")"),"['Please', 'Telkomsel', 'Login', 'Application', 'Error', 'Gimanasih', 'card', 'prize', 'Gini', 'Disappointed', ""]")</f>
        <v>['Please', 'Telkomsel', 'Login', 'Application', 'Error', 'Gimanasih', 'card', 'prize', 'Gini', 'Disappointed', "]</v>
      </c>
      <c r="D1342" s="3">
        <v>1.0</v>
      </c>
    </row>
    <row r="1343" ht="15.75" customHeight="1">
      <c r="A1343" s="1">
        <v>1341.0</v>
      </c>
      <c r="B1343" s="3" t="s">
        <v>1344</v>
      </c>
      <c r="C1343" s="3" t="str">
        <f>IFERROR(__xludf.DUMMYFUNCTION("GOOGLETRANSLATE(B1343,""id"",""en"")"),"['open', 'application', 'hard', 'forgiveness',' signal ',' open ',' youtobe ',' smooth ',' ajah ',' open ',' application ',' ndak ',' Description ',' Network ',' Setabil ',' Wedeh ', ""]")</f>
        <v>['open', 'application', 'hard', 'forgiveness',' signal ',' open ',' youtobe ',' smooth ',' ajah ',' open ',' application ',' ndak ',' Description ',' Network ',' Setabil ',' Wedeh ', "]</v>
      </c>
      <c r="D1343" s="3">
        <v>1.0</v>
      </c>
    </row>
    <row r="1344" ht="15.75" customHeight="1">
      <c r="A1344" s="1">
        <v>1342.0</v>
      </c>
      <c r="B1344" s="3" t="s">
        <v>1345</v>
      </c>
      <c r="C1344" s="3" t="str">
        <f>IFERROR(__xludf.DUMMYFUNCTION("GOOGLETRANSLATE(B1344,""id"",""en"")"),"['Disappointed', 'Bangat', 'Try', 'Update', 'Key', 'Remnant', 'Credit', 'Package', 'Data', 'Out', 'Suck', 'Remnant', ' Credit ',' Kayak ',' Application ',' Axisnet ',' Loss', 'Bangat', 'Pulse', 'Use', 'Phone', 'Out', 'Suck', 'Please', 'Listen' , 'complain"&amp;"ts', 'thank', 'love']")</f>
        <v>['Disappointed', 'Bangat', 'Try', 'Update', 'Key', 'Remnant', 'Credit', 'Package', 'Data', 'Out', 'Suck', 'Remnant', ' Credit ',' Kayak ',' Application ',' Axisnet ',' Loss', 'Bangat', 'Pulse', 'Use', 'Phone', 'Out', 'Suck', 'Please', 'Listen' , 'complaints', 'thank', 'love']</v>
      </c>
      <c r="D1344" s="3">
        <v>1.0</v>
      </c>
    </row>
    <row r="1345" ht="15.75" customHeight="1">
      <c r="A1345" s="1">
        <v>1343.0</v>
      </c>
      <c r="B1345" s="3" t="s">
        <v>1346</v>
      </c>
      <c r="C1345" s="3" t="str">
        <f>IFERROR(__xludf.DUMMYFUNCTION("GOOGLETRANSLATE(B1345,""id"",""en"")"),"['application', 'no', 'already', 'download', 'delete', 'network', 'difficult', 'reason', 'wifi', 'solution', 'cave', 'buy', ' njirrrr ']")</f>
        <v>['application', 'no', 'already', 'download', 'delete', 'network', 'difficult', 'reason', 'wifi', 'solution', 'cave', 'buy', ' njirrrr ']</v>
      </c>
      <c r="D1345" s="3">
        <v>1.0</v>
      </c>
    </row>
    <row r="1346" ht="15.75" customHeight="1">
      <c r="A1346" s="1">
        <v>1344.0</v>
      </c>
      <c r="B1346" s="3" t="s">
        <v>1347</v>
      </c>
      <c r="C1346" s="3" t="str">
        <f>IFERROR(__xludf.DUMMYFUNCTION("GOOGLETRANSLATE(B1346,""id"",""en"")"),"['Download', 'Application', 'Erorx', 'Kayak', 'Schedule', 'Login', 'Signal', 'Chaos', 'Customer', 'Disappointed']")</f>
        <v>['Download', 'Application', 'Erorx', 'Kayak', 'Schedule', 'Login', 'Signal', 'Chaos', 'Customer', 'Disappointed']</v>
      </c>
      <c r="D1346" s="3">
        <v>1.0</v>
      </c>
    </row>
    <row r="1347" ht="15.75" customHeight="1">
      <c r="A1347" s="1">
        <v>1345.0</v>
      </c>
      <c r="B1347" s="3" t="s">
        <v>1348</v>
      </c>
      <c r="C1347" s="3" t="str">
        <f>IFERROR(__xludf.DUMMYFUNCTION("GOOGLETRANSLATE(B1347,""id"",""en"")"),"['topup', 'pulse', 'via', 'MyTelkomsel', 'balance', 'Linkaja', 'reduced', 'credit', 'no', 'enter', 'complain', 'clock', ' processed ',' balance ',' no ',' pulse ',' no ',' increase ',' auto ',' uninstall ',' ']")</f>
        <v>['topup', 'pulse', 'via', 'MyTelkomsel', 'balance', 'Linkaja', 'reduced', 'credit', 'no', 'enter', 'complain', 'clock', ' processed ',' balance ',' no ',' pulse ',' no ',' increase ',' auto ',' uninstall ',' ']</v>
      </c>
      <c r="D1347" s="3">
        <v>3.0</v>
      </c>
    </row>
    <row r="1348" ht="15.75" customHeight="1">
      <c r="A1348" s="1">
        <v>1346.0</v>
      </c>
      <c r="B1348" s="3" t="s">
        <v>1349</v>
      </c>
      <c r="C1348" s="3" t="str">
        <f>IFERROR(__xludf.DUMMYFUNCTION("GOOGLETRANSLATE(B1348,""id"",""en"")"),"['application', 'good', 'here', 'bad', 'enter', 'application', 'disorder', 'connection', 'repeat', 'many', 'times',' please ',' Fix ',' smooth ',' trimakasih ']")</f>
        <v>['application', 'good', 'here', 'bad', 'enter', 'application', 'disorder', 'connection', 'repeat', 'many', 'times',' please ',' Fix ',' smooth ',' trimakasih ']</v>
      </c>
      <c r="D1348" s="3">
        <v>1.0</v>
      </c>
    </row>
    <row r="1349" ht="15.75" customHeight="1">
      <c r="A1349" s="1">
        <v>1347.0</v>
      </c>
      <c r="B1349" s="3" t="s">
        <v>1350</v>
      </c>
      <c r="C1349" s="3" t="str">
        <f>IFERROR(__xludf.DUMMYFUNCTION("GOOGLETRANSLATE(B1349,""id"",""en"")"),"['rame', 'love', 'star', 'yokk', 'right', 'open', 'app', 'quota', 'sumps',' really ',' suck ',' size ',' The application ',' Gede ',' Suggestion ',' Priority ',' Comfort ',' Customer ',' Check ',' Purchase ',' Quota ',' Min ',' Reduce ',' Content ',' Prom"&amp;"otion ' , 'Application', 'special', 'promotion', '']")</f>
        <v>['rame', 'love', 'star', 'yokk', 'right', 'open', 'app', 'quota', 'sumps',' really ',' suck ',' size ',' The application ',' Gede ',' Suggestion ',' Priority ',' Comfort ',' Customer ',' Check ',' Purchase ',' Quota ',' Min ',' Reduce ',' Content ',' Promotion ' , 'Application', 'special', 'promotion', '']</v>
      </c>
      <c r="D1349" s="3">
        <v>1.0</v>
      </c>
    </row>
    <row r="1350" ht="15.75" customHeight="1">
      <c r="A1350" s="1">
        <v>1348.0</v>
      </c>
      <c r="B1350" s="3" t="s">
        <v>1351</v>
      </c>
      <c r="C1350" s="3" t="str">
        <f>IFERROR(__xludf.DUMMYFUNCTION("GOOGLETRANSLATE(B1350,""id"",""en"")"),"['application', 'error', 'network', 'like', 'missing', 'please', 'performance', 'enhanced', 'because', 'provider', 'cost', 'data', ' Cheap ',' sustainable ',' recommend ',' operator ',' next door ',' cheap ',' quality ',' lose ', ""]")</f>
        <v>['application', 'error', 'network', 'like', 'missing', 'please', 'performance', 'enhanced', 'because', 'provider', 'cost', 'data', ' Cheap ',' sustainable ',' recommend ',' operator ',' next door ',' cheap ',' quality ',' lose ', "]</v>
      </c>
      <c r="D1350" s="3">
        <v>1.0</v>
      </c>
    </row>
    <row r="1351" ht="15.75" customHeight="1">
      <c r="A1351" s="1">
        <v>1349.0</v>
      </c>
      <c r="B1351" s="3" t="s">
        <v>1352</v>
      </c>
      <c r="C1351" s="3" t="str">
        <f>IFERROR(__xludf.DUMMYFUNCTION("GOOGLETRANSLATE(B1351,""id"",""en"")"),"['', 'Telkomsel', 'Something', 'Went', 'Wrong', 'Please', 'Try', 'Again', 'After', 'sometime', 'appears',' improvement ',' system ',' Application ',' Network ',' Telkomsel ',' info ',' palanggan ',' disappointed ', ""]")</f>
        <v>['', 'Telkomsel', 'Something', 'Went', 'Wrong', 'Please', 'Try', 'Again', 'After', 'sometime', 'appears',' improvement ',' system ',' Application ',' Network ',' Telkomsel ',' info ',' palanggan ',' disappointed ', "]</v>
      </c>
      <c r="D1351" s="3">
        <v>1.0</v>
      </c>
    </row>
    <row r="1352" ht="15.75" customHeight="1">
      <c r="A1352" s="1">
        <v>1350.0</v>
      </c>
      <c r="B1352" s="3" t="s">
        <v>1353</v>
      </c>
      <c r="C1352" s="3" t="str">
        <f>IFERROR(__xludf.DUMMYFUNCTION("GOOGLETRANSLATE(B1352,""id"",""en"")"),"['MyTelkomsel', 'Difficult', 'accessed', 'Telkomsel', 'complaints',' told ',' report ',' knp ',' elu ',' ngelapor ',' min ',' hard ',' Stay ',' rating ',' down ',' drastic ',' bnyak ',' complaints']")</f>
        <v>['MyTelkomsel', 'Difficult', 'accessed', 'Telkomsel', 'complaints',' told ',' report ',' knp ',' elu ',' ngelapor ',' min ',' hard ',' Stay ',' rating ',' down ',' drastic ',' bnyak ',' complaints']</v>
      </c>
      <c r="D1352" s="3">
        <v>1.0</v>
      </c>
    </row>
    <row r="1353" ht="15.75" customHeight="1">
      <c r="A1353" s="1">
        <v>1351.0</v>
      </c>
      <c r="B1353" s="3" t="s">
        <v>1354</v>
      </c>
      <c r="C1353" s="3" t="str">
        <f>IFERROR(__xludf.DUMMYFUNCTION("GOOGLETRANSLATE(B1353,""id"",""en"")"),"['Signal', 'Bad', 'APK', 'Safe', 'Safe', 'Cman', 'APK', 'Save', 'Sngat', 'Satisfied', 'APK', 'Ujan', ' Wind ',' Login ',' Delete ',' APK ',' PlayStore ']")</f>
        <v>['Signal', 'Bad', 'APK', 'Safe', 'Safe', 'Cman', 'APK', 'Save', 'Sngat', 'Satisfied', 'APK', 'Ujan', ' Wind ',' Login ',' Delete ',' APK ',' PlayStore ']</v>
      </c>
      <c r="D1353" s="3">
        <v>1.0</v>
      </c>
    </row>
    <row r="1354" ht="15.75" customHeight="1">
      <c r="A1354" s="1">
        <v>1352.0</v>
      </c>
      <c r="B1354" s="3" t="s">
        <v>1355</v>
      </c>
      <c r="C1354" s="3" t="str">
        <f>IFERROR(__xludf.DUMMYFUNCTION("GOOGLETRANSLATE(B1354,""id"",""en"")"),"['Network', 'ugly', 'really', 'severe', 'according to', 'price', 'price', 'expensive', 'network', 'ugly', 'Shars',' customers', ' Faithful ',' Direct ',' Fix ',' Kalaw ',' Sousal ',' ugly ',' NOT ',' DIEMIN ']")</f>
        <v>['Network', 'ugly', 'really', 'severe', 'according to', 'price', 'price', 'expensive', 'network', 'ugly', 'Shars',' customers', ' Faithful ',' Direct ',' Fix ',' Kalaw ',' Sousal ',' ugly ',' NOT ',' DIEMIN ']</v>
      </c>
      <c r="D1354" s="3">
        <v>1.0</v>
      </c>
    </row>
    <row r="1355" ht="15.75" customHeight="1">
      <c r="A1355" s="1">
        <v>1353.0</v>
      </c>
      <c r="B1355" s="3" t="s">
        <v>1356</v>
      </c>
      <c r="C1355" s="3" t="str">
        <f>IFERROR(__xludf.DUMMYFUNCTION("GOOGLETRANSLATE(B1355,""id"",""en"")"),"['Application', 'Telkomsel', 'Login', 'Please', 'Help', 'Login', 'Appear', 'Something', 'Went', 'Wrong', 'Please', 'Try', ' Again ',' After ',' sometimes']")</f>
        <v>['Application', 'Telkomsel', 'Login', 'Please', 'Help', 'Login', 'Appear', 'Something', 'Went', 'Wrong', 'Please', 'Try', ' Again ',' After ',' sometimes']</v>
      </c>
      <c r="D1355" s="3">
        <v>2.0</v>
      </c>
    </row>
    <row r="1356" ht="15.75" customHeight="1">
      <c r="A1356" s="1">
        <v>1354.0</v>
      </c>
      <c r="B1356" s="3" t="s">
        <v>1357</v>
      </c>
      <c r="C1356" s="3" t="str">
        <f>IFERROR(__xludf.DUMMYFUNCTION("GOOGLETRANSLATE(B1356,""id"",""en"")"),"['', 'fast', 'signal', 'sometimes',' difficult ',' error ',' slow ',' open ',' application ',' error ',' open ',' direct ',' application ',' Damaged ',' The application ',' according to ',' ']")</f>
        <v>['', 'fast', 'signal', 'sometimes',' difficult ',' error ',' slow ',' open ',' application ',' error ',' open ',' direct ',' application ',' Damaged ',' The application ',' according to ',' ']</v>
      </c>
      <c r="D1356" s="3">
        <v>3.0</v>
      </c>
    </row>
    <row r="1357" ht="15.75" customHeight="1">
      <c r="A1357" s="1">
        <v>1355.0</v>
      </c>
      <c r="B1357" s="3" t="s">
        <v>1358</v>
      </c>
      <c r="C1357" s="3" t="str">
        <f>IFERROR(__xludf.DUMMYFUNCTION("GOOGLETRANSLATE(B1357,""id"",""en"")"),"['told', 'update', 'terooosss',' connection ',' stable ',' mulu ',' slow ',' application ',' error ',' karuan ',' what ',' updated ',' Application ',' Nantarnya ',' ']")</f>
        <v>['told', 'update', 'terooosss',' connection ',' stable ',' mulu ',' slow ',' application ',' error ',' karuan ',' what ',' updated ',' Application ',' Nantarnya ',' ']</v>
      </c>
      <c r="D1357" s="3">
        <v>1.0</v>
      </c>
    </row>
    <row r="1358" ht="15.75" customHeight="1">
      <c r="A1358" s="1">
        <v>1356.0</v>
      </c>
      <c r="B1358" s="3" t="s">
        <v>1359</v>
      </c>
      <c r="C1358" s="3" t="str">
        <f>IFERROR(__xludf.DUMMYFUNCTION("GOOGLETRANSLATE(B1358,""id"",""en"")"),"['Network', 'bad', 'world', 'quota', 'expensive', 'network', 'service', 'bad', 'pulses',' lost ',' use ',' update ',' enter', '']")</f>
        <v>['Network', 'bad', 'world', 'quota', 'expensive', 'network', 'service', 'bad', 'pulses',' lost ',' use ',' update ',' enter', '']</v>
      </c>
      <c r="D1358" s="3">
        <v>1.0</v>
      </c>
    </row>
    <row r="1359" ht="15.75" customHeight="1">
      <c r="A1359" s="1">
        <v>1357.0</v>
      </c>
      <c r="B1359" s="3" t="s">
        <v>1360</v>
      </c>
      <c r="C1359" s="3" t="str">
        <f>IFERROR(__xludf.DUMMYFUNCTION("GOOGLETRANSLATE(B1359,""id"",""en"")"),"['Sorry', 'love', 'network', 'Telkomsel', 'erratically', 'Telkomsel', 'put forward', 'quality', 'signal', 'apalgi', 'Telkomsel', 'use', ' Please, 'Notice', 'trimkasih']")</f>
        <v>['Sorry', 'love', 'network', 'Telkomsel', 'erratically', 'Telkomsel', 'put forward', 'quality', 'signal', 'apalgi', 'Telkomsel', 'use', ' Please, 'Notice', 'trimkasih']</v>
      </c>
      <c r="D1359" s="3">
        <v>2.0</v>
      </c>
    </row>
    <row r="1360" ht="15.75" customHeight="1">
      <c r="A1360" s="1">
        <v>1358.0</v>
      </c>
      <c r="B1360" s="3" t="s">
        <v>1361</v>
      </c>
      <c r="C1360" s="3" t="str">
        <f>IFERROR(__xludf.DUMMYFUNCTION("GOOGLETRANSLATE(B1360,""id"",""en"")"),"['Team', 'Telkom', 'Application', 'MyTelkomsel', 'Error', 'Something', 'Went', 'Wrong', 'blah', 'blah', 'blah', 'Anyway', ' Posts', 'Something', 'Wrong', 'Remnants',' Kouta ',' Pulse ',' Terbimah ',' Love ']")</f>
        <v>['Team', 'Telkom', 'Application', 'MyTelkomsel', 'Error', 'Something', 'Went', 'Wrong', 'blah', 'blah', 'blah', 'Anyway', ' Posts', 'Something', 'Wrong', 'Remnants',' Kouta ',' Pulse ',' Terbimah ',' Love ']</v>
      </c>
      <c r="D1360" s="3">
        <v>1.0</v>
      </c>
    </row>
    <row r="1361" ht="15.75" customHeight="1">
      <c r="A1361" s="1">
        <v>1359.0</v>
      </c>
      <c r="B1361" s="3" t="s">
        <v>1362</v>
      </c>
      <c r="C1361" s="3" t="str">
        <f>IFERROR(__xludf.DUMMYFUNCTION("GOOGLETRANSLATE(B1361,""id"",""en"")"),"['Sorry', 'Update', 'Application', 'Biaa', 'Opened', 'White', 'Applikasih', 'Try', 'Open', 'Restart', 'Open', 'The application', ' ']")</f>
        <v>['Sorry', 'Update', 'Application', 'Biaa', 'Opened', 'White', 'Applikasih', 'Try', 'Open', 'Restart', 'Open', 'The application', ' ']</v>
      </c>
      <c r="D1361" s="3">
        <v>2.0</v>
      </c>
    </row>
    <row r="1362" ht="15.75" customHeight="1">
      <c r="A1362" s="1">
        <v>1360.0</v>
      </c>
      <c r="B1362" s="3" t="s">
        <v>1363</v>
      </c>
      <c r="C1362" s="3" t="str">
        <f>IFERROR(__xludf.DUMMYFUNCTION("GOOGLETRANSLATE(B1362,""id"",""en"")"),"['Login', 'Telkomsel', 'Download', 'Notification', 'Something', 'Went', 'Wrong', 'Please', 'Try', 'Again', 'After', 'sometime', ' ']")</f>
        <v>['Login', 'Telkomsel', 'Download', 'Notification', 'Something', 'Went', 'Wrong', 'Please', 'Try', 'Again', 'After', 'sometime', ' ']</v>
      </c>
      <c r="D1362" s="3">
        <v>3.0</v>
      </c>
    </row>
    <row r="1363" ht="15.75" customHeight="1">
      <c r="A1363" s="1">
        <v>1361.0</v>
      </c>
      <c r="B1363" s="3" t="s">
        <v>1364</v>
      </c>
      <c r="C1363" s="3" t="str">
        <f>IFERROR(__xludf.DUMMYFUNCTION("GOOGLETRANSLATE(B1363,""id"",""en"")"),"['How', 'Telkomsel', 'opened', 'connection', 'Mulu', 'warning', 'browsing', 'Lohhh', 'buy', 'pulse', 'alternating', 'buy', ' quota ',' main ',' right ',' open ',' Telkomsel ',' connection ',' daily ',' check ',' already ',' stamp ',' tomorrow ',' right ',"&amp;"' see ' , 'Daily', 'check']")</f>
        <v>['How', 'Telkomsel', 'opened', 'connection', 'Mulu', 'warning', 'browsing', 'Lohhh', 'buy', 'pulse', 'alternating', 'buy', ' quota ',' main ',' right ',' open ',' Telkomsel ',' connection ',' daily ',' check ',' already ',' stamp ',' tomorrow ',' right ',' see ' , 'Daily', 'check']</v>
      </c>
      <c r="D1363" s="3">
        <v>1.0</v>
      </c>
    </row>
    <row r="1364" ht="15.75" customHeight="1">
      <c r="A1364" s="1">
        <v>1362.0</v>
      </c>
      <c r="B1364" s="3" t="s">
        <v>1365</v>
      </c>
      <c r="C1364" s="3" t="str">
        <f>IFERROR(__xludf.DUMMYFUNCTION("GOOGLETRANSLATE(B1364,""id"",""en"")"),"['Sinyal', 'fast', 'area', 'jakarta', 'east', 'Satisfied', 'really', 'tanyak', 'application', 'Telkomsel', 'login', 'number', ' solution', '']")</f>
        <v>['Sinyal', 'fast', 'area', 'jakarta', 'east', 'Satisfied', 'really', 'tanyak', 'application', 'Telkomsel', 'login', 'number', ' solution', '']</v>
      </c>
      <c r="D1364" s="3">
        <v>5.0</v>
      </c>
    </row>
    <row r="1365" ht="15.75" customHeight="1">
      <c r="A1365" s="1">
        <v>1363.0</v>
      </c>
      <c r="B1365" s="3" t="s">
        <v>1366</v>
      </c>
      <c r="C1365" s="3" t="str">
        <f>IFERROR(__xludf.DUMMYFUNCTION("GOOGLETRANSLATE(B1365,""id"",""en"")"),"['Habits', 'Kouta', 'Abis', 'right', 'open', 'application', 'error', 'how', 'until', 'open', 'already', 'update']")</f>
        <v>['Habits', 'Kouta', 'Abis', 'right', 'open', 'application', 'error', 'how', 'until', 'open', 'already', 'update']</v>
      </c>
      <c r="D1365" s="3">
        <v>2.0</v>
      </c>
    </row>
    <row r="1366" ht="15.75" customHeight="1">
      <c r="A1366" s="1">
        <v>1364.0</v>
      </c>
      <c r="B1366" s="3" t="s">
        <v>1367</v>
      </c>
      <c r="C1366" s="3" t="str">
        <f>IFERROR(__xludf.DUMMYFUNCTION("GOOGLETRANSLATE(B1366,""id"",""en"")"),"['Kirain', 'Log', 'Grgr', 'Belom', 'Update', 'Latest', 'Taunya', 'Danta', 'Danta', 'The application', 'already', 'update', ' TTEP ',' Log ',' Down ',' Gini ',' Tea ',' Telkomsel ',' ']")</f>
        <v>['Kirain', 'Log', 'Grgr', 'Belom', 'Update', 'Latest', 'Taunya', 'Danta', 'Danta', 'The application', 'already', 'update', ' TTEP ',' Log ',' Down ',' Gini ',' Tea ',' Telkomsel ',' ']</v>
      </c>
      <c r="D1366" s="3">
        <v>1.0</v>
      </c>
    </row>
    <row r="1367" ht="15.75" customHeight="1">
      <c r="A1367" s="1">
        <v>1365.0</v>
      </c>
      <c r="B1367" s="3" t="s">
        <v>1368</v>
      </c>
      <c r="C1367" s="3" t="str">
        <f>IFERROR(__xludf.DUMMYFUNCTION("GOOGLETRANSLATE(B1367,""id"",""en"")"),"['Morning', 'no', 'opened', 'the application', 'already', 'uninstall', 'download', 'right', 'enter', 'confirm', 'call', 'no', ' Enter ',' Loading ',' Loading ',' Doang ',' No ',' Road ',' Road ',' Please ',' Repaired ',' Stone ',' Times', 'Disappointed', "&amp;"'Application' ]")</f>
        <v>['Morning', 'no', 'opened', 'the application', 'already', 'uninstall', 'download', 'right', 'enter', 'confirm', 'call', 'no', ' Enter ',' Loading ',' Loading ',' Doang ',' No ',' Road ',' Road ',' Please ',' Repaired ',' Stone ',' Times', 'Disappointed', 'Application' ]</v>
      </c>
      <c r="D1367" s="3">
        <v>2.0</v>
      </c>
    </row>
    <row r="1368" ht="15.75" customHeight="1">
      <c r="A1368" s="1">
        <v>1366.0</v>
      </c>
      <c r="B1368" s="3" t="s">
        <v>1369</v>
      </c>
      <c r="C1368" s="3" t="str">
        <f>IFERROR(__xludf.DUMMYFUNCTION("GOOGLETRANSLATE(B1368,""id"",""en"")"),"['bang', 'already', 'check', 'Daily', 'Telkomsel', 'Stamp', 'quota', 'ugly', 'menu', 'daily', 'check', 'missing', ' already ',' many ',' patient ',' daily ',' check ',' gtu ',' repeated ',' cheater ',' bang ',' ']")</f>
        <v>['bang', 'already', 'check', 'Daily', 'Telkomsel', 'Stamp', 'quota', 'ugly', 'menu', 'daily', 'check', 'missing', ' already ',' many ',' patient ',' daily ',' check ',' gtu ',' repeated ',' cheater ',' bang ',' ']</v>
      </c>
      <c r="D1368" s="3">
        <v>1.0</v>
      </c>
    </row>
    <row r="1369" ht="15.75" customHeight="1">
      <c r="A1369" s="1">
        <v>1367.0</v>
      </c>
      <c r="B1369" s="3" t="s">
        <v>1370</v>
      </c>
      <c r="C1369" s="3" t="str">
        <f>IFERROR(__xludf.DUMMYFUNCTION("GOOGLETRANSLATE(B1369,""id"",""en"")"),"['Threat', 'signal', 'Open', 'Game', 'Signal', 'Stable', 'Open', 'APK', 'Telkomsel', 'Doang', 'Expensive', 'TPI', ' Internet ',' threat ',' poor ',' disappointed ',' bet ',' moved ',' package ',' cheap ',' network ',' stable ']")</f>
        <v>['Threat', 'signal', 'Open', 'Game', 'Signal', 'Stable', 'Open', 'APK', 'Telkomsel', 'Doang', 'Expensive', 'TPI', ' Internet ',' threat ',' poor ',' disappointed ',' bet ',' moved ',' package ',' cheap ',' network ',' stable ']</v>
      </c>
      <c r="D1369" s="3">
        <v>1.0</v>
      </c>
    </row>
    <row r="1370" ht="15.75" customHeight="1">
      <c r="A1370" s="1">
        <v>1368.0</v>
      </c>
      <c r="B1370" s="3" t="s">
        <v>1371</v>
      </c>
      <c r="C1370" s="3" t="str">
        <f>IFERROR(__xludf.DUMMYFUNCTION("GOOGLETRANSLATE(B1370,""id"",""en"")"),"['Network', 'Good', 'Open', 'My APK', 'Delete', 'Data', 'My APK', 'Login', 'Buy', 'Package', 'Gamemax', 'Jga', ' Help ',' enlightenment ',' ']")</f>
        <v>['Network', 'Good', 'Open', 'My APK', 'Delete', 'Data', 'My APK', 'Login', 'Buy', 'Package', 'Gamemax', 'Jga', ' Help ',' enlightenment ',' ']</v>
      </c>
      <c r="D1370" s="3">
        <v>4.0</v>
      </c>
    </row>
    <row r="1371" ht="15.75" customHeight="1">
      <c r="A1371" s="1">
        <v>1369.0</v>
      </c>
      <c r="B1371" s="3" t="s">
        <v>1372</v>
      </c>
      <c r="C1371" s="3" t="str">
        <f>IFERROR(__xludf.DUMMYFUNCTION("GOOGLETRANSLATE(B1371,""id"",""en"")"),"['enter', 'Telkomsel', 'delete', 'Telkomsel', 'ugly', 'SKR', 'user', 'loyal', 'Telkomsel', 'use', 'card', 'Hello', ' Simpati ',' Disappointed ',' ']")</f>
        <v>['enter', 'Telkomsel', 'delete', 'Telkomsel', 'ugly', 'SKR', 'user', 'loyal', 'Telkomsel', 'use', 'card', 'Hello', ' Simpati ',' Disappointed ',' ']</v>
      </c>
      <c r="D1371" s="3">
        <v>1.0</v>
      </c>
    </row>
    <row r="1372" ht="15.75" customHeight="1">
      <c r="A1372" s="1">
        <v>1370.0</v>
      </c>
      <c r="B1372" s="3" t="s">
        <v>1373</v>
      </c>
      <c r="C1372" s="3" t="str">
        <f>IFERROR(__xludf.DUMMYFUNCTION("GOOGLETRANSLATE(B1372,""id"",""en"")"),"['bad', 'opened', 'Telkomsel', 'Try', 'application', 'browser', 'Someting', 'Wrong', 'how', 'Telkomsel', 'disappointing', 'use', ' Telkomsel ',' Severe ']")</f>
        <v>['bad', 'opened', 'Telkomsel', 'Try', 'application', 'browser', 'Someting', 'Wrong', 'how', 'Telkomsel', 'disappointing', 'use', ' Telkomsel ',' Severe ']</v>
      </c>
      <c r="D1372" s="3">
        <v>1.0</v>
      </c>
    </row>
    <row r="1373" ht="15.75" customHeight="1">
      <c r="A1373" s="1">
        <v>1371.0</v>
      </c>
      <c r="B1373" s="3" t="s">
        <v>1374</v>
      </c>
      <c r="C1373" s="3" t="str">
        <f>IFERROR(__xludf.DUMMYFUNCTION("GOOGLETRANSLATE(B1373,""id"",""en"")"),"['Open', 'MyTelkomsel', 'Uninstall', 'Install', 'reset', 'Open', 'Daily', 'Try', 'Yesterday', 'Open', 'Morning', 'Day', ' Delete ',' Install ',' reset ',' ']")</f>
        <v>['Open', 'MyTelkomsel', 'Uninstall', 'Install', 'reset', 'Open', 'Daily', 'Try', 'Yesterday', 'Open', 'Morning', 'Day', ' Delete ',' Install ',' reset ',' ']</v>
      </c>
      <c r="D1373" s="3">
        <v>1.0</v>
      </c>
    </row>
    <row r="1374" ht="15.75" customHeight="1">
      <c r="A1374" s="1">
        <v>1372.0</v>
      </c>
      <c r="B1374" s="3" t="s">
        <v>1375</v>
      </c>
      <c r="C1374" s="3" t="str">
        <f>IFERROR(__xludf.DUMMYFUNCTION("GOOGLETRANSLATE(B1374,""id"",""en"")"),"['', 'Edit', 'Log', 'Information', 'Something', 'Went', 'Wrong', 'Please', 'Try', 'Again', 'After', 'sometime', 'Mulu ',' net ',' use ',' please ',' fix ',' ']")</f>
        <v>['', 'Edit', 'Log', 'Information', 'Something', 'Went', 'Wrong', 'Please', 'Try', 'Again', 'After', 'sometime', 'Mulu ',' net ',' use ',' please ',' fix ',' ']</v>
      </c>
      <c r="D1374" s="3">
        <v>3.0</v>
      </c>
    </row>
    <row r="1375" ht="15.75" customHeight="1">
      <c r="A1375" s="1">
        <v>1373.0</v>
      </c>
      <c r="B1375" s="3" t="s">
        <v>1376</v>
      </c>
      <c r="C1375" s="3" t="str">
        <f>IFERROR(__xludf.DUMMYFUNCTION("GOOGLETRANSLATE(B1375,""id"",""en"")"),"['access',' application ',' Eroor ',' Mulu ',' update ',' heavy ',' kayak ',' just ',' change ',' wallpaper ',' update ',' quota ',' Under ',' GB ',' Access', 'Application', 'Come', 'Enhanced', 'Application', 'Kayak', 'Operator', 'Next to', 'Minimal', 'Op"&amp;"erator', 'Company' , 'brother', 'his sister', 'cook', '']")</f>
        <v>['access',' application ',' Eroor ',' Mulu ',' update ',' heavy ',' kayak ',' just ',' change ',' wallpaper ',' update ',' quota ',' Under ',' GB ',' Access', 'Application', 'Come', 'Enhanced', 'Application', 'Kayak', 'Operator', 'Next to', 'Minimal', 'Operator', 'Company' , 'brother', 'his sister', 'cook', '']</v>
      </c>
      <c r="D1375" s="3">
        <v>1.0</v>
      </c>
    </row>
    <row r="1376" ht="15.75" customHeight="1">
      <c r="A1376" s="1">
        <v>1374.0</v>
      </c>
      <c r="B1376" s="3" t="s">
        <v>1377</v>
      </c>
      <c r="C1376" s="3" t="str">
        <f>IFERROR(__xludf.DUMMYFUNCTION("GOOGLETRANSLATE(B1376,""id"",""en"")"),"['Signalnyal', 'ugly', 'difficult', 'internet', 'replace', 'post', 'pay', 'kirain', 'smooth', 'ajj', 'kayak', 'sympathy', ' disappointed ',' sickening ',' change ',' card ',' internet ',' kayak ',' gini ',' pay ',' buy ',' quota ',' card ', ""]")</f>
        <v>['Signalnyal', 'ugly', 'difficult', 'internet', 'replace', 'post', 'pay', 'kirain', 'smooth', 'ajj', 'kayak', 'sympathy', ' disappointed ',' sickening ',' change ',' card ',' internet ',' kayak ',' gini ',' pay ',' buy ',' quota ',' card ', "]</v>
      </c>
      <c r="D1376" s="3">
        <v>5.0</v>
      </c>
    </row>
    <row r="1377" ht="15.75" customHeight="1">
      <c r="A1377" s="1">
        <v>1375.0</v>
      </c>
      <c r="B1377" s="3" t="s">
        <v>1378</v>
      </c>
      <c r="C1377" s="3" t="str">
        <f>IFERROR(__xludf.DUMMYFUNCTION("GOOGLETRANSLATE(B1377,""id"",""en"")"),"['check', 'quota', 'provider', 'broad', 'reality', 'review', 'response', 'karna', 'provider', '']")</f>
        <v>['check', 'quota', 'provider', 'broad', 'reality', 'review', 'response', 'karna', 'provider', '']</v>
      </c>
      <c r="D1377" s="3">
        <v>1.0</v>
      </c>
    </row>
    <row r="1378" ht="15.75" customHeight="1">
      <c r="A1378" s="1">
        <v>1376.0</v>
      </c>
      <c r="B1378" s="3" t="s">
        <v>1379</v>
      </c>
      <c r="C1378" s="3" t="str">
        <f>IFERROR(__xludf.DUMMYFUNCTION("GOOGLETRANSLATE(B1378,""id"",""en"")"),"['Damn', 'weve', 'already', 'use', 'Telkomsel', 'Gini', 'Login', 'Login', 'Report', 'Kagak', 'Connect', 'Complete', ' very disappointed', '']")</f>
        <v>['Damn', 'weve', 'already', 'use', 'Telkomsel', 'Gini', 'Login', 'Login', 'Report', 'Kagak', 'Connect', 'Complete', ' very disappointed', '']</v>
      </c>
      <c r="D1378" s="3">
        <v>1.0</v>
      </c>
    </row>
    <row r="1379" ht="15.75" customHeight="1">
      <c r="A1379" s="1">
        <v>1377.0</v>
      </c>
      <c r="B1379" s="3" t="s">
        <v>1380</v>
      </c>
      <c r="C1379" s="3" t="str">
        <f>IFERROR(__xludf.DUMMYFUNCTION("GOOGLETRANSLATE(B1379,""id"",""en"")"),"['Open', 'Telkomsel', 'appears',' connection ',' stable ',' refresh ',' network ',' smooth ',' Jaya ',' open ',' application ',' okay ',' ']")</f>
        <v>['Open', 'Telkomsel', 'appears',' connection ',' stable ',' refresh ',' network ',' smooth ',' Jaya ',' open ',' application ',' okay ',' ']</v>
      </c>
      <c r="D1379" s="3">
        <v>2.0</v>
      </c>
    </row>
    <row r="1380" ht="15.75" customHeight="1">
      <c r="A1380" s="1">
        <v>1378.0</v>
      </c>
      <c r="B1380" s="3" t="s">
        <v>1381</v>
      </c>
      <c r="C1380" s="3" t="str">
        <f>IFERROR(__xludf.DUMMYFUNCTION("GOOGLETRANSLATE(B1380,""id"",""en"")"),"['Disappointed', 'APK', 'Errr', 'Login', 'restart', 'already', 'force', 'Close', 'already', 'Install', 'reset', 'already', ' Login ',' Parrahhhhhhhh ',' please ',' repaired ']")</f>
        <v>['Disappointed', 'APK', 'Errr', 'Login', 'restart', 'already', 'force', 'Close', 'already', 'Install', 'reset', 'already', ' Login ',' Parrahhhhhhhh ',' please ',' repaired ']</v>
      </c>
      <c r="D1380" s="3">
        <v>3.0</v>
      </c>
    </row>
    <row r="1381" ht="15.75" customHeight="1">
      <c r="A1381" s="1">
        <v>1379.0</v>
      </c>
      <c r="B1381" s="3" t="s">
        <v>1382</v>
      </c>
      <c r="C1381" s="3" t="str">
        <f>IFERROR(__xludf.DUMMYFUNCTION("GOOGLETRANSLATE(B1381,""id"",""en"")"),"['Reduce', 'Star', 'Disappointed', 'Very', 'Telkomsel', 'Application', 'Slow', 'Feed', 'Please', 'Simplified', 'Look "",' Check ',' Credit ',' quota ',' shopping ',' quota ',' feed ']")</f>
        <v>['Reduce', 'Star', 'Disappointed', 'Very', 'Telkomsel', 'Application', 'Slow', 'Feed', 'Please', 'Simplified', 'Look ",' Check ',' Credit ',' quota ',' shopping ',' quota ',' feed ']</v>
      </c>
      <c r="D1381" s="3">
        <v>1.0</v>
      </c>
    </row>
    <row r="1382" ht="15.75" customHeight="1">
      <c r="A1382" s="1">
        <v>1380.0</v>
      </c>
      <c r="B1382" s="3" t="s">
        <v>1383</v>
      </c>
      <c r="C1382" s="3" t="str">
        <f>IFERROR(__xludf.DUMMYFUNCTION("GOOGLETRANSLATE(B1382,""id"",""en"")"),"['signal', 'bad', 'Severe', 'Disappointed', 'Disappointed', 'Change', 'Move', 'Mode', 'Manual', 'Automatic', 'Telkomsel', 'Severe', ' ']")</f>
        <v>['signal', 'bad', 'Severe', 'Disappointed', 'Disappointed', 'Change', 'Move', 'Mode', 'Manual', 'Automatic', 'Telkomsel', 'Severe', ' ']</v>
      </c>
      <c r="D1382" s="3">
        <v>1.0</v>
      </c>
    </row>
    <row r="1383" ht="15.75" customHeight="1">
      <c r="A1383" s="1">
        <v>1381.0</v>
      </c>
      <c r="B1383" s="3" t="s">
        <v>1384</v>
      </c>
      <c r="C1383" s="3" t="str">
        <f>IFERROR(__xludf.DUMMYFUNCTION("GOOGLETRANSLATE(B1383,""id"",""en"")"),"['smenjak', 'noon', 'update', 'knp', 'enter', 'go', 'please', 'fix', 'love', 'star', 'dlu', 'krna', ' Disappointed ',' UDH ',' Enter ',' Love ',' Bintang ', ""]")</f>
        <v>['smenjak', 'noon', 'update', 'knp', 'enter', 'go', 'please', 'fix', 'love', 'star', 'dlu', 'krna', ' Disappointed ',' UDH ',' Enter ',' Love ',' Bintang ', "]</v>
      </c>
      <c r="D1383" s="3">
        <v>1.0</v>
      </c>
    </row>
    <row r="1384" ht="15.75" customHeight="1">
      <c r="A1384" s="1">
        <v>1382.0</v>
      </c>
      <c r="B1384" s="3" t="s">
        <v>1385</v>
      </c>
      <c r="C1384" s="3" t="str">
        <f>IFERROR(__xludf.DUMMYFUNCTION("GOOGLETRANSLATE(B1384,""id"",""en"")"),"['Numpang', 'Doank', 'Stop by', 'complain', 'knapa', 'Login', 'APP', 'MyTlkomsel', 'right', 'App', 'press',' button ',' Home ',' missing ',' App ',' screen ',' ']")</f>
        <v>['Numpang', 'Doank', 'Stop by', 'complain', 'knapa', 'Login', 'APP', 'MyTlkomsel', 'right', 'App', 'press',' button ',' Home ',' missing ',' App ',' screen ',' ']</v>
      </c>
      <c r="D1384" s="3">
        <v>1.0</v>
      </c>
    </row>
    <row r="1385" ht="15.75" customHeight="1">
      <c r="A1385" s="1">
        <v>1383.0</v>
      </c>
      <c r="B1385" s="3" t="s">
        <v>1386</v>
      </c>
      <c r="C1385" s="3" t="str">
        <f>IFERROR(__xludf.DUMMYFUNCTION("GOOGLETRANSLATE(B1385,""id"",""en"")"),"['Ribet', 'really', 'Login', 'already', 'Uninstall', 'Install', 'Enter', 'Cobal', 'Try', 'TrySsss', 'Telkomsel', ""]")</f>
        <v>['Ribet', 'really', 'Login', 'already', 'Uninstall', 'Install', 'Enter', 'Cobal', 'Try', 'TrySsss', 'Telkomsel', "]</v>
      </c>
      <c r="D1385" s="3">
        <v>1.0</v>
      </c>
    </row>
    <row r="1386" ht="15.75" customHeight="1">
      <c r="A1386" s="1">
        <v>1384.0</v>
      </c>
      <c r="B1386" s="3" t="s">
        <v>1387</v>
      </c>
      <c r="C1386" s="3" t="str">
        <f>IFERROR(__xludf.DUMMYFUNCTION("GOOGLETRANSLATE(B1386,""id"",""en"")"),"['Developer', 'Internet', 'just', 'right', 'entered', 'person', 'quota', 'something', 'Wrong', 'try', 'Again', 'sometime', ' That's', 'Mulu', 'tired']")</f>
        <v>['Developer', 'Internet', 'just', 'right', 'entered', 'person', 'quota', 'something', 'Wrong', 'try', 'Again', 'sometime', ' That's', 'Mulu', 'tired']</v>
      </c>
      <c r="D1386" s="3">
        <v>1.0</v>
      </c>
    </row>
    <row r="1387" ht="15.75" customHeight="1">
      <c r="A1387" s="1">
        <v>1385.0</v>
      </c>
      <c r="B1387" s="3" t="s">
        <v>1388</v>
      </c>
      <c r="C1387" s="3" t="str">
        <f>IFERROR(__xludf.DUMMYFUNCTION("GOOGLETRANSLATE(B1387,""id"",""en"")"),"['Login', 'app', 'difficult', 'repeat', 'times',' sampe ',' bete ',' wifi ',' data ',' cell ',' please ',' repair ',' ']")</f>
        <v>['Login', 'app', 'difficult', 'repeat', 'times',' sampe ',' bete ',' wifi ',' data ',' cell ',' please ',' repair ',' ']</v>
      </c>
      <c r="D1387" s="3">
        <v>2.0</v>
      </c>
    </row>
    <row r="1388" ht="15.75" customHeight="1">
      <c r="A1388" s="1">
        <v>1386.0</v>
      </c>
      <c r="B1388" s="3" t="s">
        <v>1389</v>
      </c>
      <c r="C1388" s="3" t="str">
        <f>IFERROR(__xludf.DUMMYFUNCTION("GOOGLETRANSLATE(B1388,""id"",""en"")"),"['complain', 'signal', 'ugly', 'package', 'expensive', 'emang', 'that's',' package ',' removed ',' signal ',' quality ',' repair ',' Yesterday ',' enter ',' cell ',' ']")</f>
        <v>['complain', 'signal', 'ugly', 'package', 'expensive', 'emang', 'that's',' package ',' removed ',' signal ',' quality ',' repair ',' Yesterday ',' enter ',' cell ',' ']</v>
      </c>
      <c r="D1388" s="3">
        <v>1.0</v>
      </c>
    </row>
    <row r="1389" ht="15.75" customHeight="1">
      <c r="A1389" s="1">
        <v>1387.0</v>
      </c>
      <c r="B1389" s="3" t="s">
        <v>1390</v>
      </c>
      <c r="C1389" s="3" t="str">
        <f>IFERROR(__xludf.DUMMYFUNCTION("GOOGLETRANSLATE(B1389,""id"",""en"")"),"['Application', 'TELKOMSEL', 'Telkomsel', 'poor', 'application', 'garbage', 'class',' Telkomsel ',' heart ',' heart ',' suasib ',' Nokia ',' The majority ',' coment ',' negative ']")</f>
        <v>['Application', 'TELKOMSEL', 'Telkomsel', 'poor', 'application', 'garbage', 'class',' Telkomsel ',' heart ',' heart ',' suasib ',' Nokia ',' The majority ',' coment ',' negative ']</v>
      </c>
      <c r="D1389" s="3">
        <v>1.0</v>
      </c>
    </row>
    <row r="1390" ht="15.75" customHeight="1">
      <c r="A1390" s="1">
        <v>1388.0</v>
      </c>
      <c r="B1390" s="3" t="s">
        <v>1391</v>
      </c>
      <c r="C1390" s="3" t="str">
        <f>IFERROR(__xludf.DUMMYFUNCTION("GOOGLETRANSLATE(B1390,""id"",""en"")"),"['application', 'login', 'difficult', 'something', 'was',' wrong ',' already ',' fill ',' right ',' tetep ',' writing ',' kayak ',' So ',' The network ',' Bad ',' Trossss', 'Maen', 'Game', 'Nga', 'lag', 'Sampe', 'motionkkk']")</f>
        <v>['application', 'login', 'difficult', 'something', 'was',' wrong ',' already ',' fill ',' right ',' tetep ',' writing ',' kayak ',' So ',' The network ',' Bad ',' Trossss', 'Maen', 'Game', 'Nga', 'lag', 'Sampe', 'motionkkk']</v>
      </c>
      <c r="D1390" s="3">
        <v>2.0</v>
      </c>
    </row>
    <row r="1391" ht="15.75" customHeight="1">
      <c r="A1391" s="1">
        <v>1389.0</v>
      </c>
      <c r="B1391" s="3" t="s">
        <v>1392</v>
      </c>
      <c r="C1391" s="3" t="str">
        <f>IFERROR(__xludf.DUMMYFUNCTION("GOOGLETRANSLATE(B1391,""id"",""en"")"),"['Here', 'Application', 'Use', 'Internet', 'Tsel', 'Open', 'Application', 'Telkomsel', 'Sampek', 'Erar', 'Error', 'Mulu', ' Check ',' quota ',' sampek ',' Walah ',' ']")</f>
        <v>['Here', 'Application', 'Use', 'Internet', 'Tsel', 'Open', 'Application', 'Telkomsel', 'Sampek', 'Erar', 'Error', 'Mulu', ' Check ',' quota ',' sampek ',' Walah ',' ']</v>
      </c>
      <c r="D1391" s="3">
        <v>3.0</v>
      </c>
    </row>
    <row r="1392" ht="15.75" customHeight="1">
      <c r="A1392" s="1">
        <v>1390.0</v>
      </c>
      <c r="B1392" s="3" t="s">
        <v>1393</v>
      </c>
      <c r="C1392" s="3" t="str">
        <f>IFERROR(__xludf.DUMMYFUNCTION("GOOGLETRANSLATE(B1392,""id"",""en"")"),"['THN', 'Telkomsel', 'times',' Disappointed ',' Telkomsel ',' kmrn ',' network ',' slow ',' really ',' upload ',' document ',' slow ',' Beheading ',' Telkomsel ',' Please ',' repaired ']")</f>
        <v>['THN', 'Telkomsel', 'times',' Disappointed ',' Telkomsel ',' kmrn ',' network ',' slow ',' really ',' upload ',' document ',' slow ',' Beheading ',' Telkomsel ',' Please ',' repaired ']</v>
      </c>
      <c r="D1392" s="3">
        <v>4.0</v>
      </c>
    </row>
    <row r="1393" ht="15.75" customHeight="1">
      <c r="A1393" s="1">
        <v>1391.0</v>
      </c>
      <c r="B1393" s="3" t="s">
        <v>1394</v>
      </c>
      <c r="C1393" s="3" t="str">
        <f>IFERROR(__xludf.DUMMYFUNCTION("GOOGLETRANSLATE(B1393,""id"",""en"")"),"['Telkomsel', 'users', 'Disappointed', 'No "",' Change ',' Kerjalah ',' Seriously ',' Fix ',' Network ',' Already ',' User ',' Move ',' Next to ',' Gara ',' Network ',' No "", 'Change']")</f>
        <v>['Telkomsel', 'users', 'Disappointed', 'No ",' Change ',' Kerjalah ',' Seriously ',' Fix ',' Network ',' Already ',' User ',' Move ',' Next to ',' Gara ',' Network ',' No ", 'Change']</v>
      </c>
      <c r="D1393" s="3">
        <v>1.0</v>
      </c>
    </row>
    <row r="1394" ht="15.75" customHeight="1">
      <c r="A1394" s="1">
        <v>1392.0</v>
      </c>
      <c r="B1394" s="3" t="s">
        <v>1395</v>
      </c>
      <c r="C1394" s="3" t="str">
        <f>IFERROR(__xludf.DUMMYFUNCTION("GOOGLETRANSLATE(B1394,""id"",""en"")"),"['After', 'Logout', 'Login', 'APL', 'How', 'Check', 'quotes',' Try ',' Use ',' APL ',' Dialcall ',' Please ',' Sorry ',' Lower ',' Star ',' Network ',' Often ',' Troubled ']")</f>
        <v>['After', 'Logout', 'Login', 'APL', 'How', 'Check', 'quotes',' Try ',' Use ',' APL ',' Dialcall ',' Please ',' Sorry ',' Lower ',' Star ',' Network ',' Often ',' Troubled ']</v>
      </c>
      <c r="D1394" s="3">
        <v>2.0</v>
      </c>
    </row>
    <row r="1395" ht="15.75" customHeight="1">
      <c r="A1395" s="1">
        <v>1393.0</v>
      </c>
      <c r="B1395" s="3" t="s">
        <v>1396</v>
      </c>
      <c r="C1395" s="3" t="str">
        <f>IFERROR(__xludf.DUMMYFUNCTION("GOOGLETRANSLATE(B1395,""id"",""en"")"),"['Sorry', 'gave', 'star', 'no', 'entered', 'again', 'Something', 'Went', 'Wrong', 'combo', 'Sakti', 'Rb', ' GB ',' Changed ',' Please ',' Included ',' above ']")</f>
        <v>['Sorry', 'gave', 'star', 'no', 'entered', 'again', 'Something', 'Went', 'Wrong', 'combo', 'Sakti', 'Rb', ' GB ',' Changed ',' Please ',' Included ',' above ']</v>
      </c>
      <c r="D1395" s="3">
        <v>1.0</v>
      </c>
    </row>
    <row r="1396" ht="15.75" customHeight="1">
      <c r="A1396" s="1">
        <v>1394.0</v>
      </c>
      <c r="B1396" s="3" t="s">
        <v>1397</v>
      </c>
      <c r="C1396" s="3" t="str">
        <f>IFERROR(__xludf.DUMMYFUNCTION("GOOGLETRANSLATE(B1396,""id"",""en"")"),"['Feature', 'Good', 'opened', 'use', 'wifi', 'loading', 'Try', 'use', 'data', 'cellular', 'fast', 'loading', ' Speed ​​',' connection ',' until ',' KB ',' Litu ',' sucked ',' quota ',' what ',' fill ',' reset ',' quota ',' quota ',' run out ' , 'use', 'wi"&amp;"fi', 'try', '']")</f>
        <v>['Feature', 'Good', 'opened', 'use', 'wifi', 'loading', 'Try', 'use', 'data', 'cellular', 'fast', 'loading', ' Speed ​​',' connection ',' until ',' KB ',' Litu ',' sucked ',' quota ',' what ',' fill ',' reset ',' quota ',' quota ',' run out ' , 'use', 'wifi', 'try', '']</v>
      </c>
      <c r="D1396" s="3">
        <v>2.0</v>
      </c>
    </row>
    <row r="1397" ht="15.75" customHeight="1">
      <c r="A1397" s="1">
        <v>1395.0</v>
      </c>
      <c r="B1397" s="3" t="s">
        <v>1398</v>
      </c>
      <c r="C1397" s="3" t="str">
        <f>IFERROR(__xludf.DUMMYFUNCTION("GOOGLETRANSLATE(B1397,""id"",""en"")"),"['', 'ugly', 'login', 'ISA', 'server', 'application', 'down', 'that's',' love ',' notification ',' sosmed ',' demand ',' demand ',' Bener ',' expensive ',' slow ']")</f>
        <v>['', 'ugly', 'login', 'ISA', 'server', 'application', 'down', 'that's',' love ',' notification ',' sosmed ',' demand ',' demand ',' Bener ',' expensive ',' slow ']</v>
      </c>
      <c r="D1397" s="3">
        <v>1.0</v>
      </c>
    </row>
    <row r="1398" ht="15.75" customHeight="1">
      <c r="A1398" s="1">
        <v>1396.0</v>
      </c>
      <c r="B1398" s="3" t="s">
        <v>1399</v>
      </c>
      <c r="C1398" s="3" t="str">
        <f>IFERROR(__xludf.DUMMYFUNCTION("GOOGLETRANSLATE(B1398,""id"",""en"")"),"['application', 'heavy', 'really', 'cellphone', 'already', 'so', 'sometimes',' likes', 'error', 'mulu', 'different', 'really', ' Application ',' Provider ',' Next to ',' Light ',' Reliable ',' ']")</f>
        <v>['application', 'heavy', 'really', 'cellphone', 'already', 'so', 'sometimes',' likes', 'error', 'mulu', 'different', 'really', ' Application ',' Provider ',' Next to ',' Light ',' Reliable ',' ']</v>
      </c>
      <c r="D1398" s="3">
        <v>1.0</v>
      </c>
    </row>
    <row r="1399" ht="15.75" customHeight="1">
      <c r="A1399" s="1">
        <v>1397.0</v>
      </c>
      <c r="B1399" s="3" t="s">
        <v>1400</v>
      </c>
      <c r="C1399" s="3" t="str">
        <f>IFERROR(__xludf.DUMMYFUNCTION("GOOGLETRANSLATE(B1399,""id"",""en"")"),"['Telkomsel', 'signal', 'internet', 'missing', 'meeting', 'use', 'Teams',' Ujug ',' disconnect ',' friend ',' in various', 'area', ' Experiencing ',' Telkomsel ',' Different ',' Forced ',' Switch ',' Card ',' App ',' Log ',' Use ',' Signal ',' Telkomsel '"&amp;",' Enter ',' Use ' , 'signal', 'card', 'enter', 'enter', 'wonder', 'please', 'repair', 'move', ""]")</f>
        <v>['Telkomsel', 'signal', 'internet', 'missing', 'meeting', 'use', 'Teams',' Ujug ',' disconnect ',' friend ',' in various', 'area', ' Experiencing ',' Telkomsel ',' Different ',' Forced ',' Switch ',' Card ',' App ',' Log ',' Use ',' Signal ',' Telkomsel ',' Enter ',' Use ' , 'signal', 'card', 'enter', 'enter', 'wonder', 'please', 'repair', 'move', "]</v>
      </c>
      <c r="D1399" s="3">
        <v>1.0</v>
      </c>
    </row>
    <row r="1400" ht="15.75" customHeight="1">
      <c r="A1400" s="1">
        <v>1398.0</v>
      </c>
      <c r="B1400" s="3" t="s">
        <v>1401</v>
      </c>
      <c r="C1400" s="3" t="str">
        <f>IFERROR(__xludf.DUMMYFUNCTION("GOOGLETRANSLATE(B1400,""id"",""en"")"),"['Maksutnya', 'already', 'Diuninstall', 'Install', 'Tetep', 'response', 'Something', 'Wrent', 'Hehhhh', 'Maxutnya', 'What', 'signal', ' Error ',' maxut ',' What ',' already ',' expensive ',' fix ',' change ',' card ']")</f>
        <v>['Maksutnya', 'already', 'Diuninstall', 'Install', 'Tetep', 'response', 'Something', 'Wrent', 'Hehhhh', 'Maxutnya', 'What', 'signal', ' Error ',' maxut ',' What ',' already ',' expensive ',' fix ',' change ',' card ']</v>
      </c>
      <c r="D1400" s="3">
        <v>1.0</v>
      </c>
    </row>
    <row r="1401" ht="15.75" customHeight="1">
      <c r="A1401" s="1">
        <v>1399.0</v>
      </c>
      <c r="B1401" s="3" t="s">
        <v>1402</v>
      </c>
      <c r="C1401" s="3" t="str">
        <f>IFERROR(__xludf.DUMMYFUNCTION("GOOGLETRANSLATE(B1401,""id"",""en"")"),"['Disappointed', 'really', 'login', 'login', 'enter', 'input', 'number', 'Telkomsel', 'login', 'reset', 'severe', 'login', ' ']")</f>
        <v>['Disappointed', 'really', 'login', 'login', 'enter', 'input', 'number', 'Telkomsel', 'login', 'reset', 'severe', 'login', ' ']</v>
      </c>
      <c r="D1401" s="3">
        <v>3.0</v>
      </c>
    </row>
    <row r="1402" ht="15.75" customHeight="1">
      <c r="A1402" s="1">
        <v>1400.0</v>
      </c>
      <c r="B1402" s="3" t="s">
        <v>1403</v>
      </c>
      <c r="C1402" s="3" t="str">
        <f>IFERROR(__xludf.DUMMYFUNCTION("GOOGLETRANSLATE(B1402,""id"",""en"")"),"['Change', 'Application', 'Disability', 'Quality', 'Application', 'Telkomsel', 'Heavy', 'Application', 'Disabled', 'Lying', 'Claim', 'Gift', ' Check ',' quality ',' ']")</f>
        <v>['Change', 'Application', 'Disability', 'Quality', 'Application', 'Telkomsel', 'Heavy', 'Application', 'Disabled', 'Lying', 'Claim', 'Gift', ' Check ',' quality ',' ']</v>
      </c>
      <c r="D1402" s="3">
        <v>1.0</v>
      </c>
    </row>
    <row r="1403" ht="15.75" customHeight="1">
      <c r="A1403" s="1">
        <v>1401.0</v>
      </c>
      <c r="B1403" s="3" t="s">
        <v>1404</v>
      </c>
      <c r="C1403" s="3" t="str">
        <f>IFERROR(__xludf.DUMMYFUNCTION("GOOGLETRANSLATE(B1403,""id"",""en"")"),"['', 'Network', 'Telkomsel', 'Open', 'Application', 'Telkomsel', 'App', 'Network', 'stable', 'as a result', 'Login', 'application', 'Honest ',' solution ',' standard ',' kaaaammmmpprrreeeeettttt ']")</f>
        <v>['', 'Network', 'Telkomsel', 'Open', 'Application', 'Telkomsel', 'App', 'Network', 'stable', 'as a result', 'Login', 'application', 'Honest ',' solution ',' standard ',' kaaaammmmpprrreeeeettttt ']</v>
      </c>
      <c r="D1403" s="3">
        <v>1.0</v>
      </c>
    </row>
    <row r="1404" ht="15.75" customHeight="1">
      <c r="A1404" s="1">
        <v>1402.0</v>
      </c>
      <c r="B1404" s="3" t="s">
        <v>1405</v>
      </c>
      <c r="C1404" s="3" t="str">
        <f>IFERROR(__xludf.DUMMYFUNCTION("GOOGLETRANSLATE(B1404,""id"",""en"")"),"['Impression', 'Application', 'Telkomsel', 'Network', 'Best', 'Diindo', 'Disappointing', 'Difficult', 'Login', 'Buy', 'Paketan', 'Sexous',' Credit ',' Reduced ',' Open ',' Application ',' Telkomsel ',' Decide ',' Change ',' Provider ']")</f>
        <v>['Impression', 'Application', 'Telkomsel', 'Network', 'Best', 'Diindo', 'Disappointing', 'Difficult', 'Login', 'Buy', 'Paketan', 'Sexous',' Credit ',' Reduced ',' Open ',' Application ',' Telkomsel ',' Decide ',' Change ',' Provider ']</v>
      </c>
      <c r="D1404" s="3">
        <v>1.0</v>
      </c>
    </row>
    <row r="1405" ht="15.75" customHeight="1">
      <c r="A1405" s="1">
        <v>1403.0</v>
      </c>
      <c r="B1405" s="3" t="s">
        <v>1406</v>
      </c>
      <c r="C1405" s="3" t="str">
        <f>IFERROR(__xludf.DUMMYFUNCTION("GOOGLETRANSLATE(B1405,""id"",""en"")"),"['signal', 'ugly', 'really', 'card', 'output', 'telkomsel', 'only', 'loop', 'gada', 'good', 'signal', 'city', ' Ampe ',' outskirts', 'signal', 'ugly', 'already', 'dalem', 'building', 'severe', 'really', 'reasons',' telkom ',' good ',' ugly ' , 'really', '"&amp;"signal', 'quota', 'as a result', 'ngandalin', 'wifi', '']")</f>
        <v>['signal', 'ugly', 'really', 'card', 'output', 'telkomsel', 'only', 'loop', 'gada', 'good', 'signal', 'city', ' Ampe ',' outskirts', 'signal', 'ugly', 'already', 'dalem', 'building', 'severe', 'really', 'reasons',' telkom ',' good ',' ugly ' , 'really', 'signal', 'quota', 'as a result', 'ngandalin', 'wifi', '']</v>
      </c>
      <c r="D1405" s="3">
        <v>1.0</v>
      </c>
    </row>
    <row r="1406" ht="15.75" customHeight="1">
      <c r="A1406" s="1">
        <v>1404.0</v>
      </c>
      <c r="B1406" s="3" t="s">
        <v>1407</v>
      </c>
      <c r="C1406" s="3" t="str">
        <f>IFERROR(__xludf.DUMMYFUNCTION("GOOGLETRANSLATE(B1406,""id"",""en"")"),"['The application', 'no', 'really', 'difficult', 'login', 'loading', 'really', 'classified', 'heavy', 'application', 'light', 'Please', ' Sorry ',' honest ',' Telkomsel ',' application ',' provider ',' next door ',' Telkomsel ',' signal ',' ugly ',' stay "&amp;"',' village ',' pelted ',' search ' , 'signal', 'home', 'yes',' signal ',' army ',' ceiling ',' tile ',' home ',' price ',' expensive ',' quality ',' comparable ',' ']")</f>
        <v>['The application', 'no', 'really', 'difficult', 'login', 'loading', 'really', 'classified', 'heavy', 'application', 'light', 'Please', ' Sorry ',' honest ',' Telkomsel ',' application ',' provider ',' next door ',' Telkomsel ',' signal ',' ugly ',' stay ',' village ',' pelted ',' search ' , 'signal', 'home', 'yes',' signal ',' army ',' ceiling ',' tile ',' home ',' price ',' expensive ',' quality ',' comparable ',' ']</v>
      </c>
      <c r="D1406" s="3">
        <v>1.0</v>
      </c>
    </row>
    <row r="1407" ht="15.75" customHeight="1">
      <c r="A1407" s="1">
        <v>1405.0</v>
      </c>
      <c r="B1407" s="3" t="s">
        <v>1408</v>
      </c>
      <c r="C1407" s="3" t="str">
        <f>IFERROR(__xludf.DUMMYFUNCTION("GOOGLETRANSLATE(B1407,""id"",""en"")"),"['Activate', 'Package', 'Internet', 'Regular', 'Clock', 'GB', 'Please', 'Explanation', 'Telkomsel', 'Thank you', ""]")</f>
        <v>['Activate', 'Package', 'Internet', 'Regular', 'Clock', 'GB', 'Please', 'Explanation', 'Telkomsel', 'Thank you', "]</v>
      </c>
      <c r="D1407" s="3">
        <v>3.0</v>
      </c>
    </row>
    <row r="1408" ht="15.75" customHeight="1">
      <c r="A1408" s="1">
        <v>1406.0</v>
      </c>
      <c r="B1408" s="3" t="s">
        <v>1409</v>
      </c>
      <c r="C1408" s="3" t="str">
        <f>IFERROR(__xludf.DUMMYFUNCTION("GOOGLETRANSLATE(B1408,""id"",""en"")"),"['open', 'buy', 'package', 'night', 'package', 'combo', 'problem', 'telkomsel', 'ngaco', 'krg', 'try', 'profider', ' already ',' replace ',' card ',' Lok ',' gini ',' then ',' Telkomsel ']")</f>
        <v>['open', 'buy', 'package', 'night', 'package', 'combo', 'problem', 'telkomsel', 'ngaco', 'krg', 'try', 'profider', ' already ',' replace ',' card ',' Lok ',' gini ',' then ',' Telkomsel ']</v>
      </c>
      <c r="D1408" s="3">
        <v>2.0</v>
      </c>
    </row>
    <row r="1409" ht="15.75" customHeight="1">
      <c r="A1409" s="1">
        <v>1407.0</v>
      </c>
      <c r="B1409" s="3" t="s">
        <v>1410</v>
      </c>
      <c r="C1409" s="3" t="str">
        <f>IFERROR(__xludf.DUMMYFUNCTION("GOOGLETRANSLATE(B1409,""id"",""en"")"),"['Telkomsel', 'Signal', 'Full', 'Open', 'Telkomsel', 'Maen', 'Game', 'Stable', 'Disappointed']")</f>
        <v>['Telkomsel', 'Signal', 'Full', 'Open', 'Telkomsel', 'Maen', 'Game', 'Stable', 'Disappointed']</v>
      </c>
      <c r="D1409" s="3">
        <v>1.0</v>
      </c>
    </row>
    <row r="1410" ht="15.75" customHeight="1">
      <c r="A1410" s="1">
        <v>1408.0</v>
      </c>
      <c r="B1410" s="3" t="s">
        <v>1411</v>
      </c>
      <c r="C1410" s="3" t="str">
        <f>IFERROR(__xludf.DUMMYFUNCTION("GOOGLETRANSLATE(B1410,""id"",""en"")"),"['Semakiin', 'bad', 'disappointing', 'UDH', 'subscription', 'Huh', 'Sinya', 'Error', 'Ngam', 'Login', 'App', 'Telkomsel', ' mah ',' list ',' emotions', 'emotion', 'turn', 'list', 'already', 'chopped', 'package', 'ngak', 'entered', 'meyeblada', ""]")</f>
        <v>['Semakiin', 'bad', 'disappointing', 'UDH', 'subscription', 'Huh', 'Sinya', 'Error', 'Ngam', 'Login', 'App', 'Telkomsel', ' mah ',' list ',' emotions', 'emotion', 'turn', 'list', 'already', 'chopped', 'package', 'ngak', 'entered', 'meyeblada', "]</v>
      </c>
      <c r="D1410" s="3">
        <v>1.0</v>
      </c>
    </row>
    <row r="1411" ht="15.75" customHeight="1">
      <c r="A1411" s="1">
        <v>1409.0</v>
      </c>
      <c r="B1411" s="3" t="s">
        <v>1412</v>
      </c>
      <c r="C1411" s="3" t="str">
        <f>IFERROR(__xludf.DUMMYFUNCTION("GOOGLETRANSLATE(B1411,""id"",""en"")"),"['Honest', 'Sya', 'users',' Telkomsel ',' times', 'Sya', 'SGT', 'Disappointed', 'Constraints',' Signal ',' Good ',' Please ',' Fix ',' The network ']")</f>
        <v>['Honest', 'Sya', 'users',' Telkomsel ',' times', 'Sya', 'SGT', 'Disappointed', 'Constraints',' Signal ',' Good ',' Please ',' Fix ',' The network ']</v>
      </c>
      <c r="D1411" s="3">
        <v>1.0</v>
      </c>
    </row>
    <row r="1412" ht="15.75" customHeight="1">
      <c r="A1412" s="1">
        <v>1410.0</v>
      </c>
      <c r="B1412" s="3" t="s">
        <v>1413</v>
      </c>
      <c r="C1412" s="3" t="str">
        <f>IFERROR(__xludf.DUMMYFUNCTION("GOOGLETRANSLATE(B1412,""id"",""en"")"),"['package', 'run out', 'right', 'buy', 'ehh', 'application', 'error', 'connection', 'bad', 'on' on 'already', 'wifi', ' Home ',' Personal ',' Help ',' Telkomsel ',' ']")</f>
        <v>['package', 'run out', 'right', 'buy', 'ehh', 'application', 'error', 'connection', 'bad', 'on' on 'already', 'wifi', ' Home ',' Personal ',' Help ',' Telkomsel ',' ']</v>
      </c>
      <c r="D1412" s="3">
        <v>2.0</v>
      </c>
    </row>
    <row r="1413" ht="15.75" customHeight="1">
      <c r="A1413" s="1">
        <v>1411.0</v>
      </c>
      <c r="B1413" s="3" t="s">
        <v>1414</v>
      </c>
      <c r="C1413" s="3" t="str">
        <f>IFERROR(__xludf.DUMMYFUNCTION("GOOGLETRANSLATE(B1413,""id"",""en"")"),"['Help', 'purchase', 'package', 'data', 'internet', 'made easier', 'application', 'price', 'package', 'quota', 'price', 'compete', ' Providers', 'Thank you', '']")</f>
        <v>['Help', 'purchase', 'package', 'data', 'internet', 'made easier', 'application', 'price', 'package', 'quota', 'price', 'compete', ' Providers', 'Thank you', '']</v>
      </c>
      <c r="D1413" s="3">
        <v>5.0</v>
      </c>
    </row>
    <row r="1414" ht="15.75" customHeight="1">
      <c r="A1414" s="1">
        <v>1412.0</v>
      </c>
      <c r="B1414" s="3" t="s">
        <v>1415</v>
      </c>
      <c r="C1414" s="3" t="str">
        <f>IFERROR(__xludf.DUMMYFUNCTION("GOOGLETRANSLATE(B1414,""id"",""en"")"),"['Sorry', 'Reduce', 'Signal', 'Good', 'Tetep', 'Gakbs',' Open ',' Please ',' Respond ',' Fix ',' Kt ',' Ter ',' ',' Indonesia ',' complaints', 'Consumers',' responded ',' Sekewalah ',' ']")</f>
        <v>['Sorry', 'Reduce', 'Signal', 'Good', 'Tetep', 'Gakbs',' Open ',' Please ',' Respond ',' Fix ',' Kt ',' Ter ',' ',' Indonesia ',' complaints', 'Consumers',' responded ',' Sekewalah ',' ']</v>
      </c>
      <c r="D1414" s="3">
        <v>1.0</v>
      </c>
    </row>
    <row r="1415" ht="15.75" customHeight="1">
      <c r="A1415" s="1">
        <v>1413.0</v>
      </c>
      <c r="B1415" s="3" t="s">
        <v>1416</v>
      </c>
      <c r="C1415" s="3" t="str">
        <f>IFERROR(__xludf.DUMMYFUNCTION("GOOGLETRANSLATE(B1415,""id"",""en"")"),"['Network', 'decreases',' HPDI ',' work ',' Hard ',' Hot ',' Karna ',' Village ',' City ',' Tabanan ',' Denpasar ',' Bener ',' Disappointed ',' Price ',' Not bad ',' Competitors', 'Comfort', 'Consumers',' Prhright ',' Please ',' fix ',' trimakasi ']")</f>
        <v>['Network', 'decreases',' HPDI ',' work ',' Hard ',' Hot ',' Karna ',' Village ',' City ',' Tabanan ',' Denpasar ',' Bener ',' Disappointed ',' Price ',' Not bad ',' Competitors', 'Comfort', 'Consumers',' Prhright ',' Please ',' fix ',' trimakasi ']</v>
      </c>
      <c r="D1415" s="3">
        <v>1.0</v>
      </c>
    </row>
    <row r="1416" ht="15.75" customHeight="1">
      <c r="A1416" s="1">
        <v>1414.0</v>
      </c>
      <c r="B1416" s="3" t="s">
        <v>1417</v>
      </c>
      <c r="C1416" s="3" t="str">
        <f>IFERROR(__xludf.DUMMYFUNCTION("GOOGLETRANSLATE(B1416,""id"",""en"")"),"['Login', 'failed', 'Mulu', 'already', 'check', 'failed', 'entry', 'Aduhhh', 'how', 'Telkomsel', 'here', 'strange', ' ']")</f>
        <v>['Login', 'failed', 'Mulu', 'already', 'check', 'failed', 'entry', 'Aduhhh', 'how', 'Telkomsel', 'here', 'strange', ' ']</v>
      </c>
      <c r="D1416" s="3">
        <v>1.0</v>
      </c>
    </row>
    <row r="1417" ht="15.75" customHeight="1">
      <c r="A1417" s="1">
        <v>1415.0</v>
      </c>
      <c r="B1417" s="3" t="s">
        <v>1418</v>
      </c>
      <c r="C1417" s="3" t="str">
        <f>IFERROR(__xludf.DUMMYFUNCTION("GOOGLETRANSLATE(B1417,""id"",""en"")"),"['quota', 'run out', 'pulse', 'left', 'directly', 'Ludes',' split ',' second ',' a minute ',' mainly ',' directly ',' Ludes', ' features', 'pulses',' safe ',' mending ',' buy ',' quota ',' pay ',' pakek ',' payment ',' online ',' basically ', ""]")</f>
        <v>['quota', 'run out', 'pulse', 'left', 'directly', 'Ludes',' split ',' second ',' a minute ',' mainly ',' directly ',' Ludes', ' features', 'pulses',' safe ',' mending ',' buy ',' quota ',' pay ',' pakek ',' payment ',' online ',' basically ', "]</v>
      </c>
      <c r="D1417" s="3">
        <v>1.0</v>
      </c>
    </row>
    <row r="1418" ht="15.75" customHeight="1">
      <c r="A1418" s="1">
        <v>1416.0</v>
      </c>
      <c r="B1418" s="3" t="s">
        <v>1419</v>
      </c>
      <c r="C1418" s="3" t="str">
        <f>IFERROR(__xludf.DUMMYFUNCTION("GOOGLETRANSLATE(B1418,""id"",""en"")"),"['operator', 'telecommunications',' biggest ',' Indonesia ',' reality ',' network ',' signal ',' slow ',' ping ',' stable ',' used ',' nge ',' Game ',' auto ',' ping ',' red ',' ms', 'garbage', 'application', 'tsel', 'tdak', 'open', 'price', 'package', 'd"&amp;"ata' , 'expensive', 'situ', 'serious', 'operator', 'biggest', 'plate', 'red', 'shy', 'in']")</f>
        <v>['operator', 'telecommunications',' biggest ',' Indonesia ',' reality ',' network ',' signal ',' slow ',' ping ',' stable ',' used ',' nge ',' Game ',' auto ',' ping ',' red ',' ms', 'garbage', 'application', 'tsel', 'tdak', 'open', 'price', 'package', 'data' , 'expensive', 'situ', 'serious', 'operator', 'biggest', 'plate', 'red', 'shy', 'in']</v>
      </c>
      <c r="D1418" s="3">
        <v>1.0</v>
      </c>
    </row>
    <row r="1419" ht="15.75" customHeight="1">
      <c r="A1419" s="1">
        <v>1417.0</v>
      </c>
      <c r="B1419" s="3" t="s">
        <v>1420</v>
      </c>
      <c r="C1419" s="3" t="str">
        <f>IFERROR(__xludf.DUMMYFUNCTION("GOOGLETRANSLATE(B1419,""id"",""en"")"),"['application', 'ugly', 'really', 'sometimes',' open ',' already ',' wait ',' tetep ',' signal ',' good ',' pulse ',' ilang ',' Confirm ',' Sometimes', 'Network', 'Down', 'Cave', 'Change', 'Operator', 'Main', 'Rich', 'Gin', ""]")</f>
        <v>['application', 'ugly', 'really', 'sometimes',' open ',' already ',' wait ',' tetep ',' signal ',' good ',' pulse ',' ilang ',' Confirm ',' Sometimes', 'Network', 'Down', 'Cave', 'Change', 'Operator', 'Main', 'Rich', 'Gin', "]</v>
      </c>
      <c r="D1419" s="3">
        <v>1.0</v>
      </c>
    </row>
    <row r="1420" ht="15.75" customHeight="1">
      <c r="A1420" s="1">
        <v>1418.0</v>
      </c>
      <c r="B1420" s="3" t="s">
        <v>1421</v>
      </c>
      <c r="C1420" s="3" t="str">
        <f>IFERROR(__xludf.DUMMYFUNCTION("GOOGLETRANSLATE(B1420,""id"",""en"")"),"['Hello', 'Telkomsel', 'Application', 'Telkomsel', 'Troubled', 'Continuous',' Login ',' Knapa ',' Please ',' Explanation ',' Already ',' User ',' Telkomsel ']")</f>
        <v>['Hello', 'Telkomsel', 'Application', 'Telkomsel', 'Troubled', 'Continuous',' Login ',' Knapa ',' Please ',' Explanation ',' Already ',' User ',' Telkomsel ']</v>
      </c>
      <c r="D1420" s="3">
        <v>2.0</v>
      </c>
    </row>
    <row r="1421" ht="15.75" customHeight="1">
      <c r="A1421" s="1">
        <v>1419.0</v>
      </c>
      <c r="B1421" s="3" t="s">
        <v>1422</v>
      </c>
      <c r="C1421" s="3" t="str">
        <f>IFERROR(__xludf.DUMMYFUNCTION("GOOGLETRANSLATE(B1421,""id"",""en"")"),"['umpteent', 'time', 'Install', 'Uninstall', 'application', 'confused', 'times',' enter ',' account ',' enter ',' try ',' use ',' SMS ',' Accept ',' SMS ',' Signal ',' Weakening ',' Please ',' Repaired ',' Cust ',' Comfortable ',' Thanks']")</f>
        <v>['umpteent', 'time', 'Install', 'Uninstall', 'application', 'confused', 'times',' enter ',' account ',' enter ',' try ',' use ',' SMS ',' Accept ',' SMS ',' Signal ',' Weakening ',' Please ',' Repaired ',' Cust ',' Comfortable ',' Thanks']</v>
      </c>
      <c r="D1421" s="3">
        <v>3.0</v>
      </c>
    </row>
    <row r="1422" ht="15.75" customHeight="1">
      <c r="A1422" s="1">
        <v>1420.0</v>
      </c>
      <c r="B1422" s="3" t="s">
        <v>1423</v>
      </c>
      <c r="C1422" s="3" t="str">
        <f>IFERROR(__xludf.DUMMYFUNCTION("GOOGLETRANSLATE(B1422,""id"",""en"")"),"['version', 'Understand', 'purpose', 'purpose', 'application', 'updated', 'at the same time', 'application', 'loading', 'no and' open ',' normal ',' ']")</f>
        <v>['version', 'Understand', 'purpose', 'purpose', 'application', 'updated', 'at the same time', 'application', 'loading', 'no and' open ',' normal ',' ']</v>
      </c>
      <c r="D1422" s="3">
        <v>1.0</v>
      </c>
    </row>
    <row r="1423" ht="15.75" customHeight="1">
      <c r="A1423" s="1">
        <v>1421.0</v>
      </c>
      <c r="B1423" s="3" t="s">
        <v>1424</v>
      </c>
      <c r="C1423" s="3" t="str">
        <f>IFERROR(__xludf.DUMMYFUNCTION("GOOGLETRANSLATE(B1423,""id"",""en"")"),"['Login', 'application', 'already', 'enter', 'number', 'failed', 'verification', 'already', 'delete', 'application', 'already', 'install', ' Tetep ',' already ',' Install ',' Disconnect ',' Application ',' Time ',' Tetep ']")</f>
        <v>['Login', 'application', 'already', 'enter', 'number', 'failed', 'verification', 'already', 'delete', 'application', 'already', 'install', ' Tetep ',' already ',' Install ',' Disconnect ',' Application ',' Time ',' Tetep ']</v>
      </c>
      <c r="D1423" s="3">
        <v>2.0</v>
      </c>
    </row>
    <row r="1424" ht="15.75" customHeight="1">
      <c r="A1424" s="1">
        <v>1422.0</v>
      </c>
      <c r="B1424" s="3" t="s">
        <v>1425</v>
      </c>
      <c r="C1424" s="3" t="str">
        <f>IFERROR(__xludf.DUMMYFUNCTION("GOOGLETRANSLATE(B1424,""id"",""en"")"),"['Wey', 'Lapet', 'Nidak', 'Enter', 'App', 'Telkomsel', 'already', 'Uinstall', 'Nidak', 'signal', 'good', 'intention', ' Ndak ',' App ',' ']")</f>
        <v>['Wey', 'Lapet', 'Nidak', 'Enter', 'App', 'Telkomsel', 'already', 'Uinstall', 'Nidak', 'signal', 'good', 'intention', ' Ndak ',' App ',' ']</v>
      </c>
      <c r="D1424" s="3">
        <v>2.0</v>
      </c>
    </row>
    <row r="1425" ht="15.75" customHeight="1">
      <c r="A1425" s="1">
        <v>1423.0</v>
      </c>
      <c r="B1425" s="3" t="s">
        <v>1426</v>
      </c>
      <c r="C1425" s="3" t="str">
        <f>IFERROR(__xludf.DUMMYFUNCTION("GOOGLETRANSLATE(B1425,""id"",""en"")"),"['disappointing', 'open', 'application', 'appears',' connection ',' internet ',' stable ',' play ',' game ',' smooth ',' confused ',' check ',' Quota ',' what ',' ']")</f>
        <v>['disappointing', 'open', 'application', 'appears',' connection ',' internet ',' stable ',' play ',' game ',' smooth ',' confused ',' check ',' Quota ',' what ',' ']</v>
      </c>
      <c r="D1425" s="3">
        <v>1.0</v>
      </c>
    </row>
    <row r="1426" ht="15.75" customHeight="1">
      <c r="A1426" s="1">
        <v>1424.0</v>
      </c>
      <c r="B1426" s="3" t="s">
        <v>1427</v>
      </c>
      <c r="C1426" s="3" t="str">
        <f>IFERROR(__xludf.DUMMYFUNCTION("GOOGLETRANSLATE(B1426,""id"",""en"")"),"['Disappointed', 'Application', 'Karna', 'Process',' Application ',' Lemot ',' Error ',' Update ',' Jam ',' Already ',' Kek ',' Gini ',' Fix ',' Please ',' Accelerate ',' Process', 'Gausah', 'Muter', 'Muter']")</f>
        <v>['Disappointed', 'Application', 'Karna', 'Process',' Application ',' Lemot ',' Error ',' Update ',' Jam ',' Already ',' Kek ',' Gini ',' Fix ',' Please ',' Accelerate ',' Process', 'Gausah', 'Muter', 'Muter']</v>
      </c>
      <c r="D1426" s="3">
        <v>1.0</v>
      </c>
    </row>
    <row r="1427" ht="15.75" customHeight="1">
      <c r="A1427" s="1">
        <v>1425.0</v>
      </c>
      <c r="B1427" s="3" t="s">
        <v>1428</v>
      </c>
      <c r="C1427" s="3" t="str">
        <f>IFERROR(__xludf.DUMMYFUNCTION("GOOGLETRANSLATE(B1427,""id"",""en"")"),"['my', 'edit', 'Telkomsel', 'acting', 'network', 'slow', 'buy', 'package', 'expensive', 'expensive', 'internet', 'connection', ' run out ',' the application ',' error ',' entered ',' Something ',' Went ',' Wrong ',' please ',' try ',' Again ',' later ',' "&amp;"Anyway ',' Sight ' , 'Bet', 'waste', 'waste', 'money', '']")</f>
        <v>['my', 'edit', 'Telkomsel', 'acting', 'network', 'slow', 'buy', 'package', 'expensive', 'expensive', 'internet', 'connection', ' run out ',' the application ',' error ',' entered ',' Something ',' Went ',' Wrong ',' please ',' try ',' Again ',' later ',' Anyway ',' Sight ' , 'Bet', 'waste', 'waste', 'money', '']</v>
      </c>
      <c r="D1427" s="3">
        <v>1.0</v>
      </c>
    </row>
    <row r="1428" ht="15.75" customHeight="1">
      <c r="A1428" s="1">
        <v>1426.0</v>
      </c>
      <c r="B1428" s="3" t="s">
        <v>1429</v>
      </c>
      <c r="C1428" s="3" t="str">
        <f>IFERROR(__xludf.DUMMYFUNCTION("GOOGLETRANSLATE(B1428,""id"",""en"")"),"['', 'Telkomsel', 'Application', 'Seasonal', 'Sometimes',' Current ',' Sometimes', 'Lola', 'Rich', 'Products',' Damaged ',' That's', 'Signal ',' Telkomsel ',' stable ',' right ',' rain ',' famous', 'card', 'highclass',' skrg ',' mah ',' udh ',' innocent '"&amp;",' kek ', 'Bgini', 'highclass', 'please', 'fix', '']")</f>
        <v>['', 'Telkomsel', 'Application', 'Seasonal', 'Sometimes',' Current ',' Sometimes', 'Lola', 'Rich', 'Products',' Damaged ',' That's', 'Signal ',' Telkomsel ',' stable ',' right ',' rain ',' famous', 'card', 'highclass',' skrg ',' mah ',' udh ',' innocent ',' kek ', 'Bgini', 'highclass', 'please', 'fix', '']</v>
      </c>
      <c r="D1428" s="3">
        <v>1.0</v>
      </c>
    </row>
    <row r="1429" ht="15.75" customHeight="1">
      <c r="A1429" s="1">
        <v>1427.0</v>
      </c>
      <c r="B1429" s="3" t="s">
        <v>1430</v>
      </c>
      <c r="C1429" s="3" t="str">
        <f>IFERROR(__xludf.DUMMYFUNCTION("GOOGLETRANSLATE(B1429,""id"",""en"")"),"['ugly', 'really', 'application', 'registration', 'data', 'network', 'smooth', 'information', 'network', 'problem', 'try', 'APL', ' NDA ',' buy ',' package ',' OMG ',' Astafiruloh ',' APL ',' people ',' rich ',' kah ',' Papua ',' tormented ',' buy ',' dat"&amp;"a ' , 'expensive', 'buy', 'package', 'Indosat', 'Smartfren', 'Etc.', 'Telkomsel', 'Removed', 'Astafiruloh', 'Where', 'justice', ""]")</f>
        <v>['ugly', 'really', 'application', 'registration', 'data', 'network', 'smooth', 'information', 'network', 'problem', 'try', 'APL', ' NDA ',' buy ',' package ',' OMG ',' Astafiruloh ',' APL ',' people ',' rich ',' kah ',' Papua ',' tormented ',' buy ',' data ' , 'expensive', 'buy', 'package', 'Indosat', 'Smartfren', 'Etc.', 'Telkomsel', 'Removed', 'Astafiruloh', 'Where', 'justice', "]</v>
      </c>
      <c r="D1429" s="3">
        <v>1.0</v>
      </c>
    </row>
    <row r="1430" ht="15.75" customHeight="1">
      <c r="A1430" s="1">
        <v>1428.0</v>
      </c>
      <c r="B1430" s="3" t="s">
        <v>1431</v>
      </c>
      <c r="C1430" s="3" t="str">
        <f>IFERROR(__xludf.DUMMYFUNCTION("GOOGLETRANSLATE(B1430,""id"",""en"")"),"['Try', 'Again', 'try', 'Again', 'Mulu', 'Applikaai', 'already', 'updet', 'TPI', 'try', 'agan', 'signal', ' Game ',' YouTube ',' smooth ',' TPI ',' Open ',' Telkomsel ',' Try ',' Again ',' Damaged ',' Times', 'Alikasa', 'Min', ""]")</f>
        <v>['Try', 'Again', 'try', 'Again', 'Mulu', 'Applikaai', 'already', 'updet', 'TPI', 'try', 'agan', 'signal', ' Game ',' YouTube ',' smooth ',' TPI ',' Open ',' Telkomsel ',' Try ',' Again ',' Damaged ',' Times', 'Alikasa', 'Min', "]</v>
      </c>
      <c r="D1430" s="3">
        <v>1.0</v>
      </c>
    </row>
    <row r="1431" ht="15.75" customHeight="1">
      <c r="A1431" s="1">
        <v>1429.0</v>
      </c>
      <c r="B1431" s="3" t="s">
        <v>1432</v>
      </c>
      <c r="C1431" s="3" t="str">
        <f>IFERROR(__xludf.DUMMYFUNCTION("GOOGLETRANSLATE(B1431,""id"",""en"")"),"['What's',' Send ',' Gift ',' Telkom ',' Pay ',' Shopeepay ',' Balance ',' Cut ',' Pulses', 'Enter', 'process',' alternating ',' Have ',' Hold ',' Doin ',' Skrg ',' Enter ',' Pulse ',' Ribet ',' Telkomsel ',' Miss']")</f>
        <v>['What's',' Send ',' Gift ',' Telkom ',' Pay ',' Shopeepay ',' Balance ',' Cut ',' Pulses', 'Enter', 'process',' alternating ',' Have ',' Hold ',' Doin ',' Skrg ',' Enter ',' Pulse ',' Ribet ',' Telkomsel ',' Miss']</v>
      </c>
      <c r="D1431" s="3">
        <v>3.0</v>
      </c>
    </row>
    <row r="1432" ht="15.75" customHeight="1">
      <c r="A1432" s="1">
        <v>1430.0</v>
      </c>
      <c r="B1432" s="3" t="s">
        <v>1433</v>
      </c>
      <c r="C1432" s="3" t="str">
        <f>IFERROR(__xludf.DUMMYFUNCTION("GOOGLETRANSLATE(B1432,""id"",""en"")"),"['hope', 'Telkomsel', 'breadth', 'user', 'exchanging', 'point', 'form', 'anything', 'exchange', 'point', 'balance', 'link', ' Hopefully ',' Telkomsel ',' forward ',' What's', 'Points',' Exchange ',' exposed ',' limit ',' limit ',' so ',' thank you ']")</f>
        <v>['hope', 'Telkomsel', 'breadth', 'user', 'exchanging', 'point', 'form', 'anything', 'exchange', 'point', 'balance', 'link', ' Hopefully ',' Telkomsel ',' forward ',' What's', 'Points',' Exchange ',' exposed ',' limit ',' limit ',' so ',' thank you ']</v>
      </c>
      <c r="D1432" s="3">
        <v>2.0</v>
      </c>
    </row>
    <row r="1433" ht="15.75" customHeight="1">
      <c r="A1433" s="1">
        <v>1431.0</v>
      </c>
      <c r="B1433" s="3" t="s">
        <v>1434</v>
      </c>
      <c r="C1433" s="3" t="str">
        <f>IFERROR(__xludf.DUMMYFUNCTION("GOOGLETRANSLATE(B1433,""id"",""en"")"),"['sgt', 'unfortunate', 'owner', 'customer', 'biggest', 'service', 'user', 'package', 'internet', 'telephone', 'expired', 'sms',' Expired ',' SMS ',' Many ',' Times', 'Silly', 'Credit', 'Didup', 'PDHAL', 'Package', 'Theft', 'HRS', 'HRS', 'Package' , 'Stop'"&amp;", 'stated', 'finish', '']")</f>
        <v>['sgt', 'unfortunate', 'owner', 'customer', 'biggest', 'service', 'user', 'package', 'internet', 'telephone', 'expired', 'sms',' Expired ',' SMS ',' Many ',' Times', 'Silly', 'Credit', 'Didup', 'PDHAL', 'Package', 'Theft', 'HRS', 'HRS', 'Package' , 'Stop', 'stated', 'finish', '']</v>
      </c>
      <c r="D1433" s="3">
        <v>1.0</v>
      </c>
    </row>
    <row r="1434" ht="15.75" customHeight="1">
      <c r="A1434" s="1">
        <v>1432.0</v>
      </c>
      <c r="B1434" s="3" t="s">
        <v>1435</v>
      </c>
      <c r="C1434" s="3" t="str">
        <f>IFERROR(__xludf.DUMMYFUNCTION("GOOGLETRANSLATE(B1434,""id"",""en"")"),"['Disappointed', 'really', 'Where', 'Card', 'Telkomsel', 'Forgot', 'Put', 'Where', 'Report', 'card', 'already', 'past', ' grace ',' card ',' sekli ',' sms ',' automatic ',' extend ',' active ',' ndk ',' then 'diverted', 'prepaid', 'because', 'beautiful' ,"&amp;" 'time', '']")</f>
        <v>['Disappointed', 'really', 'Where', 'Card', 'Telkomsel', 'Forgot', 'Put', 'Where', 'Report', 'card', 'already', 'past', ' grace ',' card ',' sekli ',' sms ',' automatic ',' extend ',' active ',' ndk ',' then 'diverted', 'prepaid', 'because', 'beautiful' , 'time', '']</v>
      </c>
      <c r="D1434" s="3">
        <v>2.0</v>
      </c>
    </row>
    <row r="1435" ht="15.75" customHeight="1">
      <c r="A1435" s="1">
        <v>1433.0</v>
      </c>
      <c r="B1435" s="3" t="s">
        <v>1436</v>
      </c>
      <c r="C1435" s="3" t="str">
        <f>IFERROR(__xludf.DUMMYFUNCTION("GOOGLETRANSLATE(B1435,""id"",""en"")"),"['check', 'quota', 'heavy', 'really', 'loading', 'application', 'light', 'right', 'open', 'sometimes',' likes', 'logout', ' The apps', 'fit', 'enter', 'login', 'reset', 'verification', 'reset', 'check', 'leftover', 'data', 'tap', 'appears',' crooked ' , '"&amp;"connection', 'stable', 'application', 'run', 'smooth', 'network', 'already', 'that's',' right ',' diclose ',' error ',' page ',' main ',' apps', 'already', 'update']")</f>
        <v>['check', 'quota', 'heavy', 'really', 'loading', 'application', 'light', 'right', 'open', 'sometimes',' likes', 'logout', ' The apps', 'fit', 'enter', 'login', 'reset', 'verification', 'reset', 'check', 'leftover', 'data', 'tap', 'appears',' crooked ' , 'connection', 'stable', 'application', 'run', 'smooth', 'network', 'already', 'that's',' right ',' diclose ',' error ',' page ',' main ',' apps', 'already', 'update']</v>
      </c>
      <c r="D1435" s="3">
        <v>2.0</v>
      </c>
    </row>
    <row r="1436" ht="15.75" customHeight="1">
      <c r="A1436" s="1">
        <v>1434.0</v>
      </c>
      <c r="B1436" s="3" t="s">
        <v>1437</v>
      </c>
      <c r="C1436" s="3" t="str">
        <f>IFERROR(__xludf.DUMMYFUNCTION("GOOGLETRANSLATE(B1436,""id"",""en"")"),"['Telkomsel', 'Yesterday', 'Open', 'Caskek', 'Kouta', 'Data', 'Credit', 'Appk', 'Telkomsel', 'already', 'APDED', 'Play', ' Stor ',' Please ',' help ']")</f>
        <v>['Telkomsel', 'Yesterday', 'Open', 'Caskek', 'Kouta', 'Data', 'Credit', 'Appk', 'Telkomsel', 'already', 'APDED', 'Play', ' Stor ',' Please ',' help ']</v>
      </c>
      <c r="D1436" s="3">
        <v>1.0</v>
      </c>
    </row>
    <row r="1437" ht="15.75" customHeight="1">
      <c r="A1437" s="1">
        <v>1435.0</v>
      </c>
      <c r="B1437" s="3" t="s">
        <v>1438</v>
      </c>
      <c r="C1437" s="3" t="str">
        <f>IFERROR(__xludf.DUMMYFUNCTION("GOOGLETRANSLATE(B1437,""id"",""en"")"),"['No', 'JLS', 'Update', 'Hard', 'Login', 'UDH', 'Network', 'Connection', 'Stable', 'Walah', 'Fix', 'Package', ' GB ',' Cook ',' Connection ',' Stable ',' Jhancok ']")</f>
        <v>['No', 'JLS', 'Update', 'Hard', 'Login', 'UDH', 'Network', 'Connection', 'Stable', 'Walah', 'Fix', 'Package', ' GB ',' Cook ',' Connection ',' Stable ',' Jhancok ']</v>
      </c>
      <c r="D1437" s="3">
        <v>2.0</v>
      </c>
    </row>
    <row r="1438" ht="15.75" customHeight="1">
      <c r="A1438" s="1">
        <v>1436.0</v>
      </c>
      <c r="B1438" s="3" t="s">
        <v>1439</v>
      </c>
      <c r="C1438" s="3" t="str">
        <f>IFERROR(__xludf.DUMMYFUNCTION("GOOGLETRANSLATE(B1438,""id"",""en"")"),"['Enter', 'Error', 'Males',' APK ',' Make it easier ',' MLH ',' CONSLET ',' Brain ',' Fix ',' Sampe ',' Bsk ',' Change ',' Operators', 'laen', 'point', '']")</f>
        <v>['Enter', 'Error', 'Males',' APK ',' Make it easier ',' MLH ',' CONSLET ',' Brain ',' Fix ',' Sampe ',' Bsk ',' Change ',' Operators', 'laen', 'point', '']</v>
      </c>
      <c r="D1438" s="3">
        <v>5.0</v>
      </c>
    </row>
    <row r="1439" ht="15.75" customHeight="1">
      <c r="A1439" s="1">
        <v>1437.0</v>
      </c>
      <c r="B1439" s="3" t="s">
        <v>1440</v>
      </c>
      <c r="C1439" s="3" t="str">
        <f>IFERROR(__xludf.DUMMYFUNCTION("GOOGLETRANSLATE(B1439,""id"",""en"")"),"['Network', 'bad', 'disulawedi', 'southeast', 'kuita', 'expensive', 'complement', 'package', 'emergency', 'active', 'activated', 'danger', ' Telkomsel ',' steal ',' pulse ',' customer ']")</f>
        <v>['Network', 'bad', 'disulawedi', 'southeast', 'kuita', 'expensive', 'complement', 'package', 'emergency', 'active', 'activated', 'danger', ' Telkomsel ',' steal ',' pulse ',' customer ']</v>
      </c>
      <c r="D1439" s="3">
        <v>1.0</v>
      </c>
    </row>
    <row r="1440" ht="15.75" customHeight="1">
      <c r="A1440" s="1">
        <v>1438.0</v>
      </c>
      <c r="B1440" s="3" t="s">
        <v>1441</v>
      </c>
      <c r="C1440" s="3" t="str">
        <f>IFERROR(__xludf.DUMMYFUNCTION("GOOGLETRANSLATE(B1440,""id"",""en"")"),"['', 'really', 'apk', 'quota', 'signal', 'kenceng', 'apk', 'update', 'said', 'network', 'hope', 'repair', 'kek ',' Gini ',' JDI ',' Comfortable ',' PKE ',' MyTelkomsel ']")</f>
        <v>['', 'really', 'apk', 'quota', 'signal', 'kenceng', 'apk', 'update', 'said', 'network', 'hope', 'repair', 'kek ',' Gini ',' JDI ',' Comfortable ',' PKE ',' MyTelkomsel ']</v>
      </c>
      <c r="D1440" s="3">
        <v>1.0</v>
      </c>
    </row>
    <row r="1441" ht="15.75" customHeight="1">
      <c r="A1441" s="1">
        <v>1439.0</v>
      </c>
      <c r="B1441" s="3" t="s">
        <v>1442</v>
      </c>
      <c r="C1441" s="3" t="str">
        <f>IFERROR(__xludf.DUMMYFUNCTION("GOOGLETRANSLATE(B1441,""id"",""en"")"),"['iOS', 'Android', 'Abis',' Update ',' Dipake ',' Login ',' Company ',' Cellular ',' Biggest ',' Indonesia ',' Claim ',' Application ',' Alakadaman ',' Hayolah ',' Telkomsel ', ""]")</f>
        <v>['iOS', 'Android', 'Abis',' Update ',' Dipake ',' Login ',' Company ',' Cellular ',' Biggest ',' Indonesia ',' Claim ',' Application ',' Alakadaman ',' Hayolah ',' Telkomsel ', "]</v>
      </c>
      <c r="D1441" s="3">
        <v>1.0</v>
      </c>
    </row>
    <row r="1442" ht="15.75" customHeight="1">
      <c r="A1442" s="1">
        <v>1440.0</v>
      </c>
      <c r="B1442" s="3" t="s">
        <v>1443</v>
      </c>
      <c r="C1442" s="3" t="str">
        <f>IFERROR(__xludf.DUMMYFUNCTION("GOOGLETRANSLATE(B1442,""id"",""en"")"),"['Good', 'update', 'application', 'ugly', 'tbah', 'good', 'entry', 'words',' something ',' bry ',' try ',' again ',' emang ',' what ',' wrong ',' update ',' udh ',' pulse ',' trs', 'what', 'wrong', 'just', 'disappointed', 'application', 'please' , 'repair"&amp;"ed', '']")</f>
        <v>['Good', 'update', 'application', 'ugly', 'tbah', 'good', 'entry', 'words',' something ',' bry ',' try ',' again ',' emang ',' what ',' wrong ',' update ',' udh ',' pulse ',' trs', 'what', 'wrong', 'just', 'disappointed', 'application', 'please' , 'repaired', '']</v>
      </c>
      <c r="D1442" s="3">
        <v>1.0</v>
      </c>
    </row>
    <row r="1443" ht="15.75" customHeight="1">
      <c r="A1443" s="1">
        <v>1441.0</v>
      </c>
      <c r="B1443" s="3" t="s">
        <v>1444</v>
      </c>
      <c r="C1443" s="3" t="str">
        <f>IFERROR(__xludf.DUMMYFUNCTION("GOOGLETRANSLATE(B1443,""id"",""en"")"),"['Disappointed', 'really', 'Telkomsel', 'open', 'network', 'good', 'obstacle', 'told', 'try', 'disappointed', 'really', 'Please', ' Fix ',' Thank "", 'Love',""]")</f>
        <v>['Disappointed', 'really', 'Telkomsel', 'open', 'network', 'good', 'obstacle', 'told', 'try', 'disappointed', 'really', 'Please', ' Fix ',' Thank ", 'Love',"]</v>
      </c>
      <c r="D1443" s="3">
        <v>1.0</v>
      </c>
    </row>
    <row r="1444" ht="15.75" customHeight="1">
      <c r="A1444" s="1">
        <v>1442.0</v>
      </c>
      <c r="B1444" s="3" t="s">
        <v>1445</v>
      </c>
      <c r="C1444" s="3" t="str">
        <f>IFERROR(__xludf.DUMMYFUNCTION("GOOGLETRANSLATE(B1444,""id"",""en"")"),"['Application', 'Telkomsel', 'Error', 'Caskek', 'Status',' Credit ',' Data ',' Package ',' Internet ',' Error ',' Signal ',' Difficult ',' Center ',' City ',' Tasik ',' Reduce ',' Star ',' Repair ',' Customer ',' Customer ',' Loyal ',' Telkomsel ',' Consi"&amp;"der ',' Switch ', ""]")</f>
        <v>['Application', 'Telkomsel', 'Error', 'Caskek', 'Status',' Credit ',' Data ',' Package ',' Internet ',' Error ',' Signal ',' Difficult ',' Center ',' City ',' Tasik ',' Reduce ',' Star ',' Repair ',' Customer ',' Customer ',' Loyal ',' Telkomsel ',' Consider ',' Switch ', "]</v>
      </c>
      <c r="D1444" s="3">
        <v>2.0</v>
      </c>
    </row>
    <row r="1445" ht="15.75" customHeight="1">
      <c r="A1445" s="1">
        <v>1443.0</v>
      </c>
      <c r="B1445" s="3" t="s">
        <v>1446</v>
      </c>
      <c r="C1445" s="3" t="str">
        <f>IFERROR(__xludf.DUMMYFUNCTION("GOOGLETRANSLATE(B1445,""id"",""en"")"),"['min', 'login', 'login', 'card', 'move', 'effort', 'login', 'failed', 'application', 'Telkomsel', 'download', 'reset', ' please ',' response ',' min ',' disappointed ',' thank ',' love ']")</f>
        <v>['min', 'login', 'login', 'card', 'move', 'effort', 'login', 'failed', 'application', 'Telkomsel', 'download', 'reset', ' please ',' response ',' min ',' disappointed ',' thank ',' love ']</v>
      </c>
      <c r="D1445" s="3">
        <v>1.0</v>
      </c>
    </row>
    <row r="1446" ht="15.75" customHeight="1">
      <c r="A1446" s="1">
        <v>1444.0</v>
      </c>
      <c r="B1446" s="3" t="s">
        <v>1447</v>
      </c>
      <c r="C1446" s="3" t="str">
        <f>IFERROR(__xludf.DUMMYFUNCTION("GOOGLETRANSLATE(B1446,""id"",""en"")"),"['Bloon', 'really', 'sihih', 'use', 'mytelkomsel', 'check', 'package', 'data', 'login', 'user', 'turn', 'enter', ' Registered ',' Nyesel ',' Use ',' MyTelkomsel ',' Fix ',' ']")</f>
        <v>['Bloon', 'really', 'sihih', 'use', 'mytelkomsel', 'check', 'package', 'data', 'login', 'user', 'turn', 'enter', ' Registered ',' Nyesel ',' Use ',' MyTelkomsel ',' Fix ',' ']</v>
      </c>
      <c r="D1446" s="3">
        <v>1.0</v>
      </c>
    </row>
    <row r="1447" ht="15.75" customHeight="1">
      <c r="A1447" s="1">
        <v>1445.0</v>
      </c>
      <c r="B1447" s="3" t="s">
        <v>1448</v>
      </c>
      <c r="C1447" s="3" t="str">
        <f>IFERROR(__xludf.DUMMYFUNCTION("GOOGLETRANSLATE(B1447,""id"",""en"")"),"['uses',' many years', 'signal', 'bad', 'Rasanyamau', 'moved', 'subscription', 'already', 'week', 'signal', 'severe', 'fix', ' Sunday ',' signal ',' bad ',' move ',' subscription ']")</f>
        <v>['uses',' many years', 'signal', 'bad', 'Rasanyamau', 'moved', 'subscription', 'already', 'week', 'signal', 'severe', 'fix', ' Sunday ',' signal ',' bad ',' move ',' subscription ']</v>
      </c>
      <c r="D1447" s="3">
        <v>1.0</v>
      </c>
    </row>
    <row r="1448" ht="15.75" customHeight="1">
      <c r="A1448" s="1">
        <v>1446.0</v>
      </c>
      <c r="B1448" s="3" t="s">
        <v>1449</v>
      </c>
      <c r="C1448" s="3" t="str">
        <f>IFERROR(__xludf.DUMMYFUNCTION("GOOGLETRANSLATE(B1448,""id"",""en"")"),"['enter', 'application', 'loading', 'teruuuuuusss',' writing ',' connection ',' stable ',' internet ',' wifi ',' smooth ',' application ',' deleted ',' Login ',' reset ',' error ',' disappointed ',' use ',' application ',' Mending ',' Indosat ']")</f>
        <v>['enter', 'application', 'loading', 'teruuuuuusss',' writing ',' connection ',' stable ',' internet ',' wifi ',' smooth ',' application ',' deleted ',' Login ',' reset ',' error ',' disappointed ',' use ',' application ',' Mending ',' Indosat ']</v>
      </c>
      <c r="D1448" s="3">
        <v>1.0</v>
      </c>
    </row>
    <row r="1449" ht="15.75" customHeight="1">
      <c r="A1449" s="1">
        <v>1447.0</v>
      </c>
      <c r="B1449" s="3" t="s">
        <v>1450</v>
      </c>
      <c r="C1449" s="3" t="str">
        <f>IFERROR(__xludf.DUMMYFUNCTION("GOOGLETRANSLATE(B1449,""id"",""en"")"),"['Sorry', 'down', 'rating', 'enter', 'the application', 'enter', 'Notif', 'Something', 'Wrong', 'entered', 'update', 'connection', ' Okay ',' Try ',' entry ',' wifi ',' quota ',' data ',' tetep ',' enter ',' already ',' try ',' unistal ',' pairs', 'tetep'"&amp;" , 'enter', 'please', 'solution', 'as soon as possible,' developer ',' ']")</f>
        <v>['Sorry', 'down', 'rating', 'enter', 'the application', 'enter', 'Notif', 'Something', 'Wrong', 'entered', 'update', 'connection', ' Okay ',' Try ',' entry ',' wifi ',' quota ',' data ',' tetep ',' enter ',' already ',' try ',' unistal ',' pairs', 'tetep' , 'enter', 'please', 'solution', 'as soon as possible,' developer ',' ']</v>
      </c>
      <c r="D1449" s="3">
        <v>2.0</v>
      </c>
    </row>
    <row r="1450" ht="15.75" customHeight="1">
      <c r="A1450" s="1">
        <v>1448.0</v>
      </c>
      <c r="B1450" s="3" t="s">
        <v>1451</v>
      </c>
      <c r="C1450" s="3" t="str">
        <f>IFERROR(__xludf.DUMMYFUNCTION("GOOGLETRANSLATE(B1450,""id"",""en"")"),"['original', 'company', 'Negri', 'quality', 'open', 'app', 'ugly', 'try', 'use', 'wifi', 'impact', 'company', ' Most ',' corrupted ',' good ',' destroyed ',' deserved ',' business', 'quality', 'goods',' good ', ""]")</f>
        <v>['original', 'company', 'Negri', 'quality', 'open', 'app', 'ugly', 'try', 'use', 'wifi', 'impact', 'company', ' Most ',' corrupted ',' good ',' destroyed ',' deserved ',' business', 'quality', 'goods',' good ', "]</v>
      </c>
      <c r="D1450" s="3">
        <v>1.0</v>
      </c>
    </row>
    <row r="1451" ht="15.75" customHeight="1">
      <c r="A1451" s="1">
        <v>1449.0</v>
      </c>
      <c r="B1451" s="3" t="s">
        <v>1452</v>
      </c>
      <c r="C1451" s="3" t="str">
        <f>IFERROR(__xludf.DUMMYFUNCTION("GOOGLETRANSLATE(B1451,""id"",""en"")"),"['application', 'signal', 'signal', 'application', 'just', 'update', 'opened', 'tetep', 'white', 'doank', 'intention', 'application', ' Delete ',' Application ',' Ngeapain ',' Application ']")</f>
        <v>['application', 'signal', 'signal', 'application', 'just', 'update', 'opened', 'tetep', 'white', 'doank', 'intention', 'application', ' Delete ',' Application ',' Ngeapain ',' Application ']</v>
      </c>
      <c r="D1451" s="3">
        <v>1.0</v>
      </c>
    </row>
    <row r="1452" ht="15.75" customHeight="1">
      <c r="A1452" s="1">
        <v>1450.0</v>
      </c>
      <c r="B1452" s="3" t="s">
        <v>1453</v>
      </c>
      <c r="C1452" s="3" t="str">
        <f>IFERROR(__xludf.DUMMYFUNCTION("GOOGLETRANSLATE(B1452,""id"",""en"")"),"['knp', 'tiyap', 'open', 'app', 'Telkomsel', 'difficult', 'really', 'ganguan', 'kah', 'pdhl', 'tyap', 'package', ' Slalu ',' Take ',' Rb ',' per month ']")</f>
        <v>['knp', 'tiyap', 'open', 'app', 'Telkomsel', 'difficult', 'really', 'ganguan', 'kah', 'pdhl', 'tyap', 'package', ' Slalu ',' Take ',' Rb ',' per month ']</v>
      </c>
      <c r="D1452" s="3">
        <v>1.0</v>
      </c>
    </row>
    <row r="1453" ht="15.75" customHeight="1">
      <c r="A1453" s="1">
        <v>1451.0</v>
      </c>
      <c r="B1453" s="3" t="s">
        <v>1454</v>
      </c>
      <c r="C1453" s="3" t="str">
        <f>IFERROR(__xludf.DUMMYFUNCTION("GOOGLETRANSLATE(B1453,""id"",""en"")"),"['card', 'signal', 'direct', 'ugly', 'buy', 'card', 'good', 'ugly', 'bored', 'replace', 'card', 'please', ' The solution is 'disappointing', 'consumer', '']")</f>
        <v>['card', 'signal', 'direct', 'ugly', 'buy', 'card', 'good', 'ugly', 'bored', 'replace', 'card', 'please', ' The solution is 'disappointing', 'consumer', '']</v>
      </c>
      <c r="D1453" s="3">
        <v>2.0</v>
      </c>
    </row>
    <row r="1454" ht="15.75" customHeight="1">
      <c r="A1454" s="1">
        <v>1452.0</v>
      </c>
      <c r="B1454" s="3" t="s">
        <v>1455</v>
      </c>
      <c r="C1454" s="3" t="str">
        <f>IFERROR(__xludf.DUMMYFUNCTION("GOOGLETRANSLATE(B1454,""id"",""en"")"),"['package', 'internet', 'expensive', 'cave', 'customers',' loyal ',' telkomsel ',' already ',' yrs', 'here', 'expensive', 'njing', ' package ',' internet ',' expensive ',' down ',' down ',' replace ',' card ',' indosat ',' package ',' cheap ',' cheap ',' "&amp;"emang ',' signal ' , 'gapapa', 'expensive']")</f>
        <v>['package', 'internet', 'expensive', 'cave', 'customers',' loyal ',' telkomsel ',' already ',' yrs', 'here', 'expensive', 'njing', ' package ',' internet ',' expensive ',' down ',' down ',' replace ',' card ',' indosat ',' package ',' cheap ',' cheap ',' emang ',' signal ' , 'gapapa', 'expensive']</v>
      </c>
      <c r="D1454" s="3">
        <v>1.0</v>
      </c>
    </row>
    <row r="1455" ht="15.75" customHeight="1">
      <c r="A1455" s="1">
        <v>1453.0</v>
      </c>
      <c r="B1455" s="3" t="s">
        <v>1456</v>
      </c>
      <c r="C1455" s="3" t="str">
        <f>IFERROR(__xludf.DUMMYFUNCTION("GOOGLETRANSLATE(B1455,""id"",""en"")"),"['Telkomsel', 'trobble', 'already', 'expensive', 'trobel', 'customized', 'quality', 'price', 'comparing', 'inverted', 'severe', 'response', ' Improvements', 'so', 'complain', ""]")</f>
        <v>['Telkomsel', 'trobble', 'already', 'expensive', 'trobel', 'customized', 'quality', 'price', 'comparing', 'inverted', 'severe', 'response', ' Improvements', 'so', 'complain', "]</v>
      </c>
      <c r="D1455" s="3">
        <v>1.0</v>
      </c>
    </row>
    <row r="1456" ht="15.75" customHeight="1">
      <c r="A1456" s="1">
        <v>1454.0</v>
      </c>
      <c r="B1456" s="3" t="s">
        <v>1457</v>
      </c>
      <c r="C1456" s="3" t="str">
        <f>IFERROR(__xludf.DUMMYFUNCTION("GOOGLETRANSLATE(B1456,""id"",""en"")"),"['Gosh', 'Telkomsel', 'expensive', 'signal', 'slow', 'signal', 'person', 'plupok', 'tower', 'behind', 'home', 'APN', ' Udh ',' replaced ',' network ',' ama ',' rich ',' plobal ',' please ',' donk ',' level ',' kayak ',' because ',' gara ',' hacked ' , 'Pe"&amp;"ople', 'Located', 'Located', 'Sousal', 'Dibanggang', 'Move', '']")</f>
        <v>['Gosh', 'Telkomsel', 'expensive', 'signal', 'slow', 'signal', 'person', 'plupok', 'tower', 'behind', 'home', 'APN', ' Udh ',' replaced ',' network ',' ama ',' rich ',' plobal ',' please ',' donk ',' level ',' kayak ',' because ',' gara ',' hacked ' , 'People', 'Located', 'Located', 'Sousal', 'Dibanggang', 'Move', '']</v>
      </c>
      <c r="D1456" s="3">
        <v>1.0</v>
      </c>
    </row>
    <row r="1457" ht="15.75" customHeight="1">
      <c r="A1457" s="1">
        <v>1455.0</v>
      </c>
      <c r="B1457" s="3" t="s">
        <v>1458</v>
      </c>
      <c r="C1457" s="3" t="str">
        <f>IFERROR(__xludf.DUMMYFUNCTION("GOOGLETRANSLATE(B1457,""id"",""en"")"),"['Log', 'Saha', 'Something', 'Wrong', 'annoying', 'because', 'buy', 'quota', 'check', 'quota', ""]")</f>
        <v>['Log', 'Saha', 'Something', 'Wrong', 'annoying', 'because', 'buy', 'quota', 'check', 'quota', "]</v>
      </c>
      <c r="D1457" s="3">
        <v>2.0</v>
      </c>
    </row>
    <row r="1458" ht="15.75" customHeight="1">
      <c r="A1458" s="1">
        <v>1456.0</v>
      </c>
      <c r="B1458" s="3" t="s">
        <v>1459</v>
      </c>
      <c r="C1458" s="3" t="str">
        <f>IFERROR(__xludf.DUMMYFUNCTION("GOOGLETRANSLATE(B1458,""id"",""en"")"),"['Hello', 'MyTelkomsel', 'getting', 'Covid', 'Kah', 'network', 'Telkom', 'slow', 'Open', 'Application', 'Stuck', 'Loading', ' Simple ',' complicated ',' promo ',' kaga ',' smooth ',' please ',' repair ',' as soon as possible ',' thank you ', ""]")</f>
        <v>['Hello', 'MyTelkomsel', 'getting', 'Covid', 'Kah', 'network', 'Telkom', 'slow', 'Open', 'Application', 'Stuck', 'Loading', ' Simple ',' complicated ',' promo ',' kaga ',' smooth ',' please ',' repair ',' as soon as possible ',' thank you ', "]</v>
      </c>
      <c r="D1458" s="3">
        <v>1.0</v>
      </c>
    </row>
    <row r="1459" ht="15.75" customHeight="1">
      <c r="A1459" s="1">
        <v>1457.0</v>
      </c>
      <c r="B1459" s="3" t="s">
        <v>1460</v>
      </c>
      <c r="C1459" s="3" t="str">
        <f>IFERROR(__xludf.DUMMYFUNCTION("GOOGLETRANSLATE(B1459,""id"",""en"")"),"['Difficult', 'Open', 'Application', 'Signal', 'Down', 'Nge', 'Loading', 'Application', 'Open', 'Application', 'Current', 'Application', ' Telkomsel ',' Routine ',' Update ',' Please ',' Fix ',' Difficult ',' Check ',' Quota ',' Credit ',' Open ',' Loadin"&amp;"g ',' Loading ']")</f>
        <v>['Difficult', 'Open', 'Application', 'Signal', 'Down', 'Nge', 'Loading', 'Application', 'Open', 'Application', 'Current', 'Application', ' Telkomsel ',' Routine ',' Update ',' Please ',' Fix ',' Difficult ',' Check ',' Quota ',' Credit ',' Open ',' Loading ',' Loading ']</v>
      </c>
      <c r="D1459" s="3">
        <v>3.0</v>
      </c>
    </row>
    <row r="1460" ht="15.75" customHeight="1">
      <c r="A1460" s="1">
        <v>1458.0</v>
      </c>
      <c r="B1460" s="3" t="s">
        <v>1461</v>
      </c>
      <c r="C1460" s="3" t="str">
        <f>IFERROR(__xludf.DUMMYFUNCTION("GOOGLETRANSLATE(B1460,""id"",""en"")"),"['Application', 'Open', 'Network', 'Error', 'Please', 'Fix', 'User', 'Hallo', 'Control', 'Use', 'Costs',' Tel ',' quota', '']")</f>
        <v>['Application', 'Open', 'Network', 'Error', 'Please', 'Fix', 'User', 'Hallo', 'Control', 'Use', 'Costs',' Tel ',' quota', '']</v>
      </c>
      <c r="D1460" s="3">
        <v>4.0</v>
      </c>
    </row>
    <row r="1461" ht="15.75" customHeight="1">
      <c r="A1461" s="1">
        <v>1459.0</v>
      </c>
      <c r="B1461" s="3" t="s">
        <v>1462</v>
      </c>
      <c r="C1461" s="3" t="str">
        <f>IFERROR(__xludf.DUMMYFUNCTION("GOOGLETRANSLATE(B1461,""id"",""en"")"),"['Login', 'Nda', 'Sihh', 'already', 'use', 'APK', 'enter', 'right', 'enter', 'please', 'solution', 'help', ' ']")</f>
        <v>['Login', 'Nda', 'Sihh', 'already', 'use', 'APK', 'enter', 'right', 'enter', 'please', 'solution', 'help', ' ']</v>
      </c>
      <c r="D1461" s="3">
        <v>1.0</v>
      </c>
    </row>
    <row r="1462" ht="15.75" customHeight="1">
      <c r="A1462" s="1">
        <v>1460.0</v>
      </c>
      <c r="B1462" s="3" t="s">
        <v>1463</v>
      </c>
      <c r="C1462" s="3" t="str">
        <f>IFERROR(__xludf.DUMMYFUNCTION("GOOGLETRANSLATE(B1462,""id"",""en"")"),"['application', 'Telkomsel', 'bought', 'package', 'internet', 'try', 'try', 'logout', 'login', ""]")</f>
        <v>['application', 'Telkomsel', 'bought', 'package', 'internet', 'try', 'try', 'logout', 'login', "]</v>
      </c>
      <c r="D1462" s="3">
        <v>2.0</v>
      </c>
    </row>
    <row r="1463" ht="15.75" customHeight="1">
      <c r="A1463" s="1">
        <v>1461.0</v>
      </c>
      <c r="B1463" s="3" t="s">
        <v>1464</v>
      </c>
      <c r="C1463" s="3" t="str">
        <f>IFERROR(__xludf.DUMMYFUNCTION("GOOGLETRANSLATE(B1463,""id"",""en"")"),"['The application', 'koq', 'difficult', 'access',' strange ',' check ',' package ',' quota ',' there ',' written ',' GB ',' knp ',' Direct ',' out ',' usage ',' normal ',' open ',' application ',' Applikas', 'access',' lazy ',' confirm ',' laah ',' disapp"&amp;"ointed ',' Telkomsel ' , 'Koq', '']")</f>
        <v>['The application', 'koq', 'difficult', 'access',' strange ',' check ',' package ',' quota ',' there ',' written ',' GB ',' knp ',' Direct ',' out ',' usage ',' normal ',' open ',' application ',' Applikas', 'access',' lazy ',' confirm ',' laah ',' disappointed ',' Telkomsel ' , 'Koq', '']</v>
      </c>
      <c r="D1463" s="3">
        <v>1.0</v>
      </c>
    </row>
    <row r="1464" ht="15.75" customHeight="1">
      <c r="A1464" s="1">
        <v>1462.0</v>
      </c>
      <c r="B1464" s="3" t="s">
        <v>1465</v>
      </c>
      <c r="C1464" s="3" t="str">
        <f>IFERROR(__xludf.DUMMYFUNCTION("GOOGLETRANSLATE(B1464,""id"",""en"")"),"['increases', 'application', 'MyTelkomsel', 'comment', 'bad', 'Bener', 'application', 'MyTelkomsel', 'idiot', 'severe', ""]")</f>
        <v>['increases', 'application', 'MyTelkomsel', 'comment', 'bad', 'Bener', 'application', 'MyTelkomsel', 'idiot', 'severe', "]</v>
      </c>
      <c r="D1464" s="3">
        <v>1.0</v>
      </c>
    </row>
    <row r="1465" ht="15.75" customHeight="1">
      <c r="A1465" s="1">
        <v>1463.0</v>
      </c>
      <c r="B1465" s="3" t="s">
        <v>1466</v>
      </c>
      <c r="C1465" s="3" t="str">
        <f>IFERROR(__xludf.DUMMYFUNCTION("GOOGLETRANSLATE(B1465,""id"",""en"")"),"['application', 'opened', 'please', 'accelerated', 'improvement', 'system', 'contents',' package ',' there ',' price ',' enter ',' sense ',' Director ',' astra ']")</f>
        <v>['application', 'opened', 'please', 'accelerated', 'improvement', 'system', 'contents',' package ',' there ',' price ',' enter ',' sense ',' Director ',' astra ']</v>
      </c>
      <c r="D1465" s="3">
        <v>1.0</v>
      </c>
    </row>
    <row r="1466" ht="15.75" customHeight="1">
      <c r="A1466" s="1">
        <v>1464.0</v>
      </c>
      <c r="B1466" s="3" t="s">
        <v>1467</v>
      </c>
      <c r="C1466" s="3" t="str">
        <f>IFERROR(__xludf.DUMMYFUNCTION("GOOGLETRANSLATE(B1466,""id"",""en"")"),"['Come', 'Katro', 'Application', 'Logout', 'Turn', 'Login', 'Error', 'Verification', 'SMS', 'Sometimes', 'detek', ""]")</f>
        <v>['Come', 'Katro', 'Application', 'Logout', 'Turn', 'Login', 'Error', 'Verification', 'SMS', 'Sometimes', 'detek', "]</v>
      </c>
      <c r="D1466" s="3">
        <v>1.0</v>
      </c>
    </row>
    <row r="1467" ht="15.75" customHeight="1">
      <c r="A1467" s="1">
        <v>1465.0</v>
      </c>
      <c r="B1467" s="3" t="s">
        <v>1468</v>
      </c>
      <c r="C1467" s="3" t="str">
        <f>IFERROR(__xludf.DUMMYFUNCTION("GOOGLETRANSLATE(B1467,""id"",""en"")"),"['Tsel', 'Provider', 'proud', 'because', 'speed', 'since' Korona ',' Tsel ',' slow ',' here ',' severe ',' signal ',' Check ',' quota ',' APS ',' Telkomsel ',' gabisa ',' already ',' rich ',' that's ',' because 'because his signal', 'weak', 'understand', "&amp;"'rich' , 'That's', 'Gini', 'model', 'Males', 'Provider', 'Cengkareng', 'Jakbar', ""]")</f>
        <v>['Tsel', 'Provider', 'proud', 'because', 'speed', 'since' Korona ',' Tsel ',' slow ',' here ',' severe ',' signal ',' Check ',' quota ',' APS ',' Telkomsel ',' gabisa ',' already ',' rich ',' that's ',' because 'because his signal', 'weak', 'understand', 'rich' , 'That's', 'Gini', 'model', 'Males', 'Provider', 'Cengkareng', 'Jakbar', "]</v>
      </c>
      <c r="D1467" s="3">
        <v>2.0</v>
      </c>
    </row>
    <row r="1468" ht="15.75" customHeight="1">
      <c r="A1468" s="1">
        <v>1466.0</v>
      </c>
      <c r="B1468" s="3" t="s">
        <v>1469</v>
      </c>
      <c r="C1468" s="3" t="str">
        <f>IFERROR(__xludf.DUMMYFUNCTION("GOOGLETRANSLATE(B1468,""id"",""en"")"),"['enter', 'number', 'already', 'right', 'number', 'already', 'delete', 'application', 'Telkomsel', 'already', 'emang']")</f>
        <v>['enter', 'number', 'already', 'right', 'number', 'already', 'delete', 'application', 'Telkomsel', 'already', 'emang']</v>
      </c>
      <c r="D1468" s="3">
        <v>1.0</v>
      </c>
    </row>
    <row r="1469" ht="15.75" customHeight="1">
      <c r="A1469" s="1">
        <v>1467.0</v>
      </c>
      <c r="B1469" s="3" t="s">
        <v>1470</v>
      </c>
      <c r="C1469" s="3" t="str">
        <f>IFERROR(__xludf.DUMMYFUNCTION("GOOGLETRANSLATE(B1469,""id"",""en"")"),"['please', 'application', 'heavy', 'really', 'already', 'rich', 'pub', 'person', 'change', 'error', 'application', 'read', ' Review ',' complain ',' replace ',' person ',' ']")</f>
        <v>['please', 'application', 'heavy', 'really', 'already', 'rich', 'pub', 'person', 'change', 'error', 'application', 'read', ' Review ',' complain ',' replace ',' person ',' ']</v>
      </c>
      <c r="D1469" s="3">
        <v>1.0</v>
      </c>
    </row>
    <row r="1470" ht="15.75" customHeight="1">
      <c r="A1470" s="1">
        <v>1468.0</v>
      </c>
      <c r="B1470" s="3" t="s">
        <v>1471</v>
      </c>
      <c r="C1470" s="3" t="str">
        <f>IFERROR(__xludf.DUMMYFUNCTION("GOOGLETRANSLATE(B1470,""id"",""en"")"),"['Dear', 'Developer', 'APK', 'Open', 'Application', 'someting', 'Went', 'Wrong', 'please', 'try', 'agan', 'later', ' Speed ​​',' road ',' kbps', 'apk', 'update', 'newest', 'so', 'wish', 'bangse', 'emang']")</f>
        <v>['Dear', 'Developer', 'APK', 'Open', 'Application', 'someting', 'Went', 'Wrong', 'please', 'try', 'agan', 'later', ' Speed ​​',' road ',' kbps', 'apk', 'update', 'newest', 'so', 'wish', 'bangse', 'emang']</v>
      </c>
      <c r="D1470" s="3">
        <v>2.0</v>
      </c>
    </row>
    <row r="1471" ht="15.75" customHeight="1">
      <c r="A1471" s="1">
        <v>1469.0</v>
      </c>
      <c r="B1471" s="3" t="s">
        <v>1472</v>
      </c>
      <c r="C1471" s="3" t="str">
        <f>IFERROR(__xludf.DUMMYFUNCTION("GOOGLETRANSLATE(B1471,""id"",""en"")"),"['Unistal', 'six', 'times',' Download ',' Delete ',' Download ',' APK ',' opened ',' gymna ',' NgeCheck ',' leftover ',' quota ',' buy ',' package ',' emang ',' download ',' apk ',' data ',' really ']")</f>
        <v>['Unistal', 'six', 'times',' Download ',' Delete ',' Download ',' APK ',' opened ',' gymna ',' NgeCheck ',' leftover ',' quota ',' buy ',' package ',' emang ',' download ',' apk ',' data ',' really ']</v>
      </c>
      <c r="D1471" s="3">
        <v>1.0</v>
      </c>
    </row>
    <row r="1472" ht="15.75" customHeight="1">
      <c r="A1472" s="1">
        <v>1470.0</v>
      </c>
      <c r="B1472" s="3" t="s">
        <v>1473</v>
      </c>
      <c r="C1472" s="3" t="str">
        <f>IFERROR(__xludf.DUMMYFUNCTION("GOOGLETRANSLATE(B1472,""id"",""en"")"),"['sympathy', 'signal', 'Anjim', 'Anjim', 'really', 'ugly', 'forgiveness',' please ',' report ',' complaint ',' visits', 'fix', ' signal ',' rich ',' gini ',' right ',' fire ',' tempo ',' signal ',' mah ',' complaints', 'Ancurrrr', '']")</f>
        <v>['sympathy', 'signal', 'Anjim', 'Anjim', 'really', 'ugly', 'forgiveness',' please ',' report ',' complaint ',' visits', 'fix', ' signal ',' rich ',' gini ',' right ',' fire ',' tempo ',' signal ',' mah ',' complaints', 'Ancurrrr', '']</v>
      </c>
      <c r="D1472" s="3">
        <v>2.0</v>
      </c>
    </row>
    <row r="1473" ht="15.75" customHeight="1">
      <c r="A1473" s="1">
        <v>1471.0</v>
      </c>
      <c r="B1473" s="3" t="s">
        <v>1474</v>
      </c>
      <c r="C1473" s="3" t="str">
        <f>IFERROR(__xludf.DUMMYFUNCTION("GOOGLETRANSLATE(B1473,""id"",""en"")"),"['Permission', 'complaints',' Telkomsel ',' Please ',' Login ',' Account ',' Wear ',' Application ',' Cook ',' Try ',' Login ',' System ',' Busy ',' continuous', 'Thank you', 'Attention']")</f>
        <v>['Permission', 'complaints',' Telkomsel ',' Please ',' Login ',' Account ',' Wear ',' Application ',' Cook ',' Try ',' Login ',' System ',' Busy ',' continuous', 'Thank you', 'Attention']</v>
      </c>
      <c r="D1473" s="3">
        <v>5.0</v>
      </c>
    </row>
    <row r="1474" ht="15.75" customHeight="1">
      <c r="A1474" s="1">
        <v>1472.0</v>
      </c>
      <c r="B1474" s="3" t="s">
        <v>1475</v>
      </c>
      <c r="C1474" s="3" t="str">
        <f>IFERROR(__xludf.DUMMYFUNCTION("GOOGLETRANSLATE(B1474,""id"",""en"")"),"['Min', 'buy', 'package', 'combo', 'Sakti', 'ngak', 'notif', 'disorder', 'signal', 'etc.', 'buy', 'package', ' Try ',' repeat ',' times', 'Try', 'Package', 'OMG', '']")</f>
        <v>['Min', 'buy', 'package', 'combo', 'Sakti', 'ngak', 'notif', 'disorder', 'signal', 'etc.', 'buy', 'package', ' Try ',' repeat ',' times', 'Try', 'Package', 'OMG', '']</v>
      </c>
      <c r="D1474" s="3">
        <v>4.0</v>
      </c>
    </row>
    <row r="1475" ht="15.75" customHeight="1">
      <c r="A1475" s="1">
        <v>1473.0</v>
      </c>
      <c r="B1475" s="3" t="s">
        <v>1476</v>
      </c>
      <c r="C1475" s="3" t="str">
        <f>IFERROR(__xludf.DUMMYFUNCTION("GOOGLETRANSLATE(B1475,""id"",""en"")"),"['operator', 'signal', 'ugly', 'then', 'disappointed', 'udh', 'quota', 'expensive', 'download', 'application', 'buy', 'quota', ' Disappointed ',' really ',' buy ',' pulse ',' cut ',' ']")</f>
        <v>['operator', 'signal', 'ugly', 'then', 'disappointed', 'udh', 'quota', 'expensive', 'download', 'application', 'buy', 'quota', ' Disappointed ',' really ',' buy ',' pulse ',' cut ',' ']</v>
      </c>
      <c r="D1475" s="3">
        <v>1.0</v>
      </c>
    </row>
    <row r="1476" ht="15.75" customHeight="1">
      <c r="A1476" s="1">
        <v>1474.0</v>
      </c>
      <c r="B1476" s="3" t="s">
        <v>1477</v>
      </c>
      <c r="C1476" s="3" t="str">
        <f>IFERROR(__xludf.DUMMYFUNCTION("GOOGLETRANSLATE(B1476,""id"",""en"")"),"['bln', 'buy', 'package', 'unlimited', 'quota', 'main', 'run out', 'open', 'application', 'wesing', 'user', 'application', ' disappointed', '']")</f>
        <v>['bln', 'buy', 'package', 'unlimited', 'quota', 'main', 'run out', 'open', 'application', 'wesing', 'user', 'application', ' disappointed', '']</v>
      </c>
      <c r="D1476" s="3">
        <v>2.0</v>
      </c>
    </row>
    <row r="1477" ht="15.75" customHeight="1">
      <c r="A1477" s="1">
        <v>1475.0</v>
      </c>
      <c r="B1477" s="3" t="s">
        <v>1478</v>
      </c>
      <c r="C1477" s="3" t="str">
        <f>IFERROR(__xludf.DUMMYFUNCTION("GOOGLETRANSLATE(B1477,""id"",""en"")"),"['Log', 'number', 'Sya', 'buy', 'card', 'mean', 'meek', 'package', 'APP', 'MyTelkomsel', 'Ajah', 'disappointed', ' really ',' Telkomsel ',' squatting ',' money ',' person ',' then ',' gontain ',' replace ',' card ',' then ',' update ',' log ', ""]")</f>
        <v>['Log', 'number', 'Sya', 'buy', 'card', 'mean', 'meek', 'package', 'APP', 'MyTelkomsel', 'Ajah', 'disappointed', ' really ',' Telkomsel ',' squatting ',' money ',' person ',' then ',' gontain ',' replace ',' card ',' then ',' update ',' log ', "]</v>
      </c>
      <c r="D1477" s="3">
        <v>2.0</v>
      </c>
    </row>
    <row r="1478" ht="15.75" customHeight="1">
      <c r="A1478" s="1">
        <v>1476.0</v>
      </c>
      <c r="B1478" s="3" t="s">
        <v>1479</v>
      </c>
      <c r="C1478" s="3" t="str">
        <f>IFERROR(__xludf.DUMMYFUNCTION("GOOGLETRANSLATE(B1478,""id"",""en"")"),"['Beta', 'already', 'full', 'mean', 'I', 'open', 'Telkomsel', 'knpa', 'please', 'Telkomsel', 'Please', 'open', ' Telkomsel ',' Lagipas ',' Open ',' appears ',' Something ',' Wrong ',' I've, 'Delete', 'Install', 'Telkomsel', 'Ehh', 'right', 'open' , 'Login"&amp;"', 'then', 'I', 'Read', 'Playstore', 'Posts',' Telkomsel ',' Posts', 'Program', 'Beta', 'Full', 'Please', ' mksudnya ',' program ',' beta ',' full ',' abis', 'make', 'application', 'telkomsel', 'please']")</f>
        <v>['Beta', 'already', 'full', 'mean', 'I', 'open', 'Telkomsel', 'knpa', 'please', 'Telkomsel', 'Please', 'open', ' Telkomsel ',' Lagipas ',' Open ',' appears ',' Something ',' Wrong ',' I've, 'Delete', 'Install', 'Telkomsel', 'Ehh', 'right', 'open' , 'Login', 'then', 'I', 'Read', 'Playstore', 'Posts',' Telkomsel ',' Posts', 'Program', 'Beta', 'Full', 'Please', ' mksudnya ',' program ',' beta ',' full ',' abis', 'make', 'application', 'telkomsel', 'please']</v>
      </c>
      <c r="D1478" s="3">
        <v>3.0</v>
      </c>
    </row>
    <row r="1479" ht="15.75" customHeight="1">
      <c r="A1479" s="1">
        <v>1477.0</v>
      </c>
      <c r="B1479" s="3" t="s">
        <v>1480</v>
      </c>
      <c r="C1479" s="3" t="str">
        <f>IFERROR(__xludf.DUMMYFUNCTION("GOOGLETRANSLATE(B1479,""id"",""en"")"),"['BLI', 'Package', 'Telkomsel', 'Open', 'Telkomsel', 'Slalu', 'Network', 'Delete', 'then', 'Download', 'Tetep', 'Data', ' After ',' pulses', 'UDH', 'FIQUIE', 'Afraid', 'Credit', 'Suck', 'Please', 'Enlightenment', 'Kaka']")</f>
        <v>['BLI', 'Package', 'Telkomsel', 'Open', 'Telkomsel', 'Slalu', 'Network', 'Delete', 'then', 'Download', 'Tetep', 'Data', ' After ',' pulses', 'UDH', 'FIQUIE', 'Afraid', 'Credit', 'Suck', 'Please', 'Enlightenment', 'Kaka']</v>
      </c>
      <c r="D1479" s="3">
        <v>1.0</v>
      </c>
    </row>
    <row r="1480" ht="15.75" customHeight="1">
      <c r="A1480" s="1">
        <v>1478.0</v>
      </c>
      <c r="B1480" s="3" t="s">
        <v>1481</v>
      </c>
      <c r="C1480" s="3" t="str">
        <f>IFERROR(__xludf.DUMMYFUNCTION("GOOGLETRANSLATE(B1480,""id"",""en"")"),"['Love', 'Bintang', 'because', 'org', 'TELKOM', 'KNP', 'Error', 'Mulu', 'right', 'open', 'application', ' Something ',' Wet ',' Wrong ',' What's', 'Signal', 'Current', 'Try', 'Aware', 'Live', 'Dataaa', ""]")</f>
        <v>['Love', 'Bintang', 'because', 'org', 'TELKOM', 'KNP', 'Error', 'Mulu', 'right', 'open', 'application', ' Something ',' Wet ',' Wrong ',' What's', 'Signal', 'Current', 'Try', 'Aware', 'Live', 'Dataaa', "]</v>
      </c>
      <c r="D1480" s="3">
        <v>5.0</v>
      </c>
    </row>
    <row r="1481" ht="15.75" customHeight="1">
      <c r="A1481" s="1">
        <v>1479.0</v>
      </c>
      <c r="B1481" s="3" t="s">
        <v>1482</v>
      </c>
      <c r="C1481" s="3" t="str">
        <f>IFERROR(__xludf.DUMMYFUNCTION("GOOGLETRANSLATE(B1481,""id"",""en"")"),"['Out', 'updated', 'error', 'opened', 'network', 'slow', 'severe', 'rain', 'a little', 'dead', 'lights',' slow ',' Direct ',' network ',' edge ',' already ',' price ',' package ',' expensive ',' quality ',' network ',' dilapidated ',' mending ',' move ','"&amp;" operator ' , 'Next to', 'Gini', '']")</f>
        <v>['Out', 'updated', 'error', 'opened', 'network', 'slow', 'severe', 'rain', 'a little', 'dead', 'lights',' slow ',' Direct ',' network ',' edge ',' already ',' price ',' package ',' expensive ',' quality ',' network ',' dilapidated ',' mending ',' move ',' operator ' , 'Next to', 'Gini', '']</v>
      </c>
      <c r="D1481" s="3">
        <v>1.0</v>
      </c>
    </row>
    <row r="1482" ht="15.75" customHeight="1">
      <c r="A1482" s="1">
        <v>1480.0</v>
      </c>
      <c r="B1482" s="3" t="s">
        <v>1483</v>
      </c>
      <c r="C1482" s="3" t="str">
        <f>IFERROR(__xludf.DUMMYFUNCTION("GOOGLETRANSLATE(B1482,""id"",""en"")"),"['Kirain', 'Doang', 'Felt', 'Sousal', 'Ancur', 'User', 'Different', 'Promo', 'Different', 'Price', 'Utamain', 'User', ' forget it', '']")</f>
        <v>['Kirain', 'Doang', 'Felt', 'Sousal', 'Ancur', 'User', 'Different', 'Promo', 'Different', 'Price', 'Utamain', 'User', ' forget it', '']</v>
      </c>
      <c r="D1482" s="3">
        <v>1.0</v>
      </c>
    </row>
    <row r="1483" ht="15.75" customHeight="1">
      <c r="A1483" s="1">
        <v>1481.0</v>
      </c>
      <c r="B1483" s="3" t="s">
        <v>1484</v>
      </c>
      <c r="C1483" s="3" t="str">
        <f>IFERROR(__xludf.DUMMYFUNCTION("GOOGLETRANSLATE(B1483,""id"",""en"")"),"['Application', 'slow', 'internet', 'slow', 'that's', 'leftover', 'package', 'unlimited', 'gabisa', 'accessed', 'severe', 'soak']")</f>
        <v>['Application', 'slow', 'internet', 'slow', 'that's', 'leftover', 'package', 'unlimited', 'gabisa', 'accessed', 'severe', 'soak']</v>
      </c>
      <c r="D1483" s="3">
        <v>1.0</v>
      </c>
    </row>
    <row r="1484" ht="15.75" customHeight="1">
      <c r="A1484" s="1">
        <v>1482.0</v>
      </c>
      <c r="B1484" s="3" t="s">
        <v>1485</v>
      </c>
      <c r="C1484" s="3" t="str">
        <f>IFERROR(__xludf.DUMMYFUNCTION("GOOGLETRANSLATE(B1484,""id"",""en"")"),"['Points',' Sekrang ',' Stay ',' Blank ',' Ntah ',' Where ',' Tick ',' Angry ',' Ketonain ',' Move ',' Indihome ',' Region ',' Affordable ',' Indihome ',' Telkomsel ',' expensive ',' yes', 'quality', 'network', '']")</f>
        <v>['Points',' Sekrang ',' Stay ',' Blank ',' Ntah ',' Where ',' Tick ',' Angry ',' Ketonain ',' Move ',' Indihome ',' Region ',' Affordable ',' Indihome ',' Telkomsel ',' expensive ',' yes', 'quality', 'network', '']</v>
      </c>
      <c r="D1484" s="3">
        <v>1.0</v>
      </c>
    </row>
    <row r="1485" ht="15.75" customHeight="1">
      <c r="A1485" s="1">
        <v>1483.0</v>
      </c>
      <c r="B1485" s="3" t="s">
        <v>1486</v>
      </c>
      <c r="C1485" s="3" t="str">
        <f>IFERROR(__xludf.DUMMYFUNCTION("GOOGLETRANSLATE(B1485,""id"",""en"")"),"['knpa', 'dri', 'kmrn', 'pairs',' package ',' Disney ',' Hostar ',' disorder ',' system ',' mao ',' until ',' disorder ',' system ',' try ',' pairs', 'package', 'tlg', 'fast', 'fix', 'employee']")</f>
        <v>['knpa', 'dri', 'kmrn', 'pairs',' package ',' Disney ',' Hostar ',' disorder ',' system ',' mao ',' until ',' disorder ',' system ',' try ',' pairs', 'package', 'tlg', 'fast', 'fix', 'employee']</v>
      </c>
      <c r="D1485" s="3">
        <v>1.0</v>
      </c>
    </row>
    <row r="1486" ht="15.75" customHeight="1">
      <c r="A1486" s="1">
        <v>1484.0</v>
      </c>
      <c r="B1486" s="3" t="s">
        <v>1487</v>
      </c>
      <c r="C1486" s="3" t="str">
        <f>IFERROR(__xludf.DUMMYFUNCTION("GOOGLETRANSLATE(B1486,""id"",""en"")"),"['Application', 'Asked', 'Connection', 'Stable', 'Refresh', 'Many', 'Times',' Cook ',' Plus', 'Jga', 'That's',' wifi ',' Speed ​​',' Mbps', 'gjg', 'mending', 'version', 'use', 'gaming', 'already', 'slow', 'fix', 'user', 'move', 'provider' , 'adjacent']")</f>
        <v>['Application', 'Asked', 'Connection', 'Stable', 'Refresh', 'Many', 'Times',' Cook ',' Plus', 'Jga', 'That's',' wifi ',' Speed ​​',' Mbps', 'gjg', 'mending', 'version', 'use', 'gaming', 'already', 'slow', 'fix', 'user', 'move', 'provider' , 'adjacent']</v>
      </c>
      <c r="D1486" s="3">
        <v>1.0</v>
      </c>
    </row>
    <row r="1487" ht="15.75" customHeight="1">
      <c r="A1487" s="1">
        <v>1485.0</v>
      </c>
      <c r="B1487" s="3" t="s">
        <v>1488</v>
      </c>
      <c r="C1487" s="3" t="str">
        <f>IFERROR(__xludf.DUMMYFUNCTION("GOOGLETRANSLATE(B1487,""id"",""en"")"),"['error', 'buy', 'Telkomsel', 'Error', 'Review', 'APK', 'Good', 'Please', 'Applicator', 'Response', 'Fix', 'Kenda', ' ']")</f>
        <v>['error', 'buy', 'Telkomsel', 'Error', 'Review', 'APK', 'Good', 'Please', 'Applicator', 'Response', 'Fix', 'Kenda', ' ']</v>
      </c>
      <c r="D1487" s="3">
        <v>2.0</v>
      </c>
    </row>
    <row r="1488" ht="15.75" customHeight="1">
      <c r="A1488" s="1">
        <v>1486.0</v>
      </c>
      <c r="B1488" s="3" t="s">
        <v>1489</v>
      </c>
      <c r="C1488" s="3" t="str">
        <f>IFERROR(__xludf.DUMMYFUNCTION("GOOGLETRANSLATE(B1488,""id"",""en"")"),"['operator', 'Telkomsel', 'please', 'fix', 'deh', 'open', 'telkomsel', 'writing', 'unstable', 'connection', 'click', 'refresh', ' already ',' refresh ',' signal ',' smooth ',' why ',' please ',' fix ',' Again ', ""]")</f>
        <v>['operator', 'Telkomsel', 'please', 'fix', 'deh', 'open', 'telkomsel', 'writing', 'unstable', 'connection', 'click', 'refresh', ' already ',' refresh ',' signal ',' smooth ',' why ',' please ',' fix ',' Again ', "]</v>
      </c>
      <c r="D1488" s="3">
        <v>1.0</v>
      </c>
    </row>
    <row r="1489" ht="15.75" customHeight="1">
      <c r="A1489" s="1">
        <v>1487.0</v>
      </c>
      <c r="B1489" s="3" t="s">
        <v>1490</v>
      </c>
      <c r="C1489" s="3" t="str">
        <f>IFERROR(__xludf.DUMMYFUNCTION("GOOGLETRANSLATE(B1489,""id"",""en"")"),"['finger', 'sore', 'enter', 'told', 'closed', 'application', 'the application', 'slow', 'response', 'man', 'money', 'uda', ' Enter ',' Linkaja ',' Signal ',' Current ',' Difficult ',' Enter ',' Application ',' Please ',' Fix ',' Thank ', ""]")</f>
        <v>['finger', 'sore', 'enter', 'told', 'closed', 'application', 'the application', 'slow', 'response', 'man', 'money', 'uda', ' Enter ',' Linkaja ',' Signal ',' Current ',' Difficult ',' Enter ',' Application ',' Please ',' Fix ',' Thank ', "]</v>
      </c>
      <c r="D1489" s="3">
        <v>2.0</v>
      </c>
    </row>
    <row r="1490" ht="15.75" customHeight="1">
      <c r="A1490" s="1">
        <v>1488.0</v>
      </c>
      <c r="B1490" s="3" t="s">
        <v>1491</v>
      </c>
      <c r="C1490" s="3" t="str">
        <f>IFERROR(__xludf.DUMMYFUNCTION("GOOGLETRANSLATE(B1490,""id"",""en"")"),"['application', 'Telkomsel', 'Fair', 'at the same time', 'bonus',' chek ',' daily ',' opened ',' error ',' weigh ',' waste ',' data ',' Uninstall ',' The application ',' OK ',' DISTER ',' Case ',' Fair ',' Litu ', ""]")</f>
        <v>['application', 'Telkomsel', 'Fair', 'at the same time', 'bonus',' chek ',' daily ',' opened ',' error ',' weigh ',' waste ',' data ',' Uninstall ',' The application ',' OK ',' DISTER ',' Case ',' Fair ',' Litu ', "]</v>
      </c>
      <c r="D1490" s="3">
        <v>1.0</v>
      </c>
    </row>
    <row r="1491" ht="15.75" customHeight="1">
      <c r="A1491" s="1">
        <v>1489.0</v>
      </c>
      <c r="B1491" s="3" t="s">
        <v>1492</v>
      </c>
      <c r="C1491" s="3" t="str">
        <f>IFERROR(__xludf.DUMMYFUNCTION("GOOGLETRANSLATE(B1491,""id"",""en"")"),"['Telkomsel', 'error', 'kah', 'times', 'buy', 'package', 'balance', 'bnyak', 'buy', 'package', '']")</f>
        <v>['Telkomsel', 'error', 'kah', 'times', 'buy', 'package', 'balance', 'bnyak', 'buy', 'package', '']</v>
      </c>
      <c r="D1491" s="3">
        <v>2.0</v>
      </c>
    </row>
    <row r="1492" ht="15.75" customHeight="1">
      <c r="A1492" s="1">
        <v>1490.0</v>
      </c>
      <c r="B1492" s="3" t="s">
        <v>1493</v>
      </c>
      <c r="C1492" s="3" t="str">
        <f>IFERROR(__xludf.DUMMYFUNCTION("GOOGLETRANSLATE(B1492,""id"",""en"")"),"['Error', 'Telkomsel', 'Sampe', 'Cleanin', 'Data', 'Application', 'Uninstall', 'Install', 'TTP', 'Error', 'Transaction', 'Difficult', ' Ribet ',' Error ', ""]")</f>
        <v>['Error', 'Telkomsel', 'Sampe', 'Cleanin', 'Data', 'Application', 'Uninstall', 'Install', 'TTP', 'Error', 'Transaction', 'Difficult', ' Ribet ',' Error ', "]</v>
      </c>
      <c r="D1492" s="3">
        <v>1.0</v>
      </c>
    </row>
    <row r="1493" ht="15.75" customHeight="1">
      <c r="A1493" s="1">
        <v>1491.0</v>
      </c>
      <c r="B1493" s="3" t="s">
        <v>1494</v>
      </c>
      <c r="C1493" s="3" t="str">
        <f>IFERROR(__xludf.DUMMYFUNCTION("GOOGLETRANSLATE(B1493,""id"",""en"")"),"['Difficult', 'enter', 'account', 'Telkomsel', 'already', 'enter', 'always',' written ',' something ',' wrong ',' bbrpa ',' times', ' Install ',' reset ',' TTP ',' Telkomsel ',' Easy ',' Buy ',' Package ',' Data ',' Ribet ',' Telkomsel ']")</f>
        <v>['Difficult', 'enter', 'account', 'Telkomsel', 'already', 'enter', 'always',' written ',' something ',' wrong ',' bbrpa ',' times', ' Install ',' reset ',' TTP ',' Telkomsel ',' Easy ',' Buy ',' Package ',' Data ',' Ribet ',' Telkomsel ']</v>
      </c>
      <c r="D1493" s="3">
        <v>2.0</v>
      </c>
    </row>
    <row r="1494" ht="15.75" customHeight="1">
      <c r="A1494" s="1">
        <v>1492.0</v>
      </c>
      <c r="B1494" s="3" t="s">
        <v>1495</v>
      </c>
      <c r="C1494" s="3" t="str">
        <f>IFERROR(__xludf.DUMMYFUNCTION("GOOGLETRANSLATE(B1494,""id"",""en"")"),"['Fitting', 'Open', 'Application', 'Credit', 'Cutting', 'Credit', 'Buy', 'Paketan', 'Combo', 'Sakti', 'Ascension', 'Notification', ' Update ',' Application ',' PAS ',' Data ',' Life ',' Waiting ',' APK ',' Problematic ',' Drain ',' Data ',' APK ',' Update"&amp;" ',' Huuu ' ]")</f>
        <v>['Fitting', 'Open', 'Application', 'Credit', 'Cutting', 'Credit', 'Buy', 'Paketan', 'Combo', 'Sakti', 'Ascension', 'Notification', ' Update ',' Application ',' PAS ',' Data ',' Life ',' Waiting ',' APK ',' Problematic ',' Drain ',' Data ',' APK ',' Update ',' Huuu ' ]</v>
      </c>
      <c r="D1494" s="3">
        <v>2.0</v>
      </c>
    </row>
    <row r="1495" ht="15.75" customHeight="1">
      <c r="A1495" s="1">
        <v>1493.0</v>
      </c>
      <c r="B1495" s="3" t="s">
        <v>1496</v>
      </c>
      <c r="C1495" s="3" t="str">
        <f>IFERROR(__xludf.DUMMYFUNCTION("GOOGLETRANSLATE(B1495,""id"",""en"")"),"['Open', 'Telkomsel', 'Error', 'then', 'Dri', 'Kmarin', 'improvement', 'GMANA', 'check', 'quota', 'difficult', 'buy', ' package ',' difficult ',' please ',' fix ']")</f>
        <v>['Open', 'Telkomsel', 'Error', 'then', 'Dri', 'Kmarin', 'improvement', 'GMANA', 'check', 'quota', 'difficult', 'buy', ' package ',' difficult ',' please ',' fix ']</v>
      </c>
      <c r="D1495" s="3">
        <v>1.0</v>
      </c>
    </row>
    <row r="1496" ht="15.75" customHeight="1">
      <c r="A1496" s="1">
        <v>1494.0</v>
      </c>
      <c r="B1496" s="3" t="s">
        <v>1497</v>
      </c>
      <c r="C1496" s="3" t="str">
        <f>IFERROR(__xludf.DUMMYFUNCTION("GOOGLETRANSLATE(B1496,""id"",""en"")"),"['Application', 'Telkomsel', 'Login', 'Update', 'Version', 'Latest', 'Login', 'Disruption', 'Connection', 'Internet', 'Please', 'Repaired', ' Application ',' Telkomsel ']")</f>
        <v>['Application', 'Telkomsel', 'Login', 'Update', 'Version', 'Latest', 'Login', 'Disruption', 'Connection', 'Internet', 'Please', 'Repaired', ' Application ',' Telkomsel ']</v>
      </c>
      <c r="D1496" s="3">
        <v>1.0</v>
      </c>
    </row>
    <row r="1497" ht="15.75" customHeight="1">
      <c r="A1497" s="1">
        <v>1495.0</v>
      </c>
      <c r="B1497" s="3" t="s">
        <v>1498</v>
      </c>
      <c r="C1497" s="3" t="str">
        <f>IFERROR(__xludf.DUMMYFUNCTION("GOOGLETRANSLATE(B1497,""id"",""en"")"),"['Move', 'Install', 'APK', 'MyTelkomsel', 'Login', 'already', 'Bener', 'Signal', 'Safe', 'APK', 'Latest', 'Gabisa', ' Login ',' his writing ',' somthing ',' whent ',' mulu ', ""]")</f>
        <v>['Move', 'Install', 'APK', 'MyTelkomsel', 'Login', 'already', 'Bener', 'Signal', 'Safe', 'APK', 'Latest', 'Gabisa', ' Login ',' his writing ',' somthing ',' whent ',' mulu ', "]</v>
      </c>
      <c r="D1497" s="3">
        <v>1.0</v>
      </c>
    </row>
    <row r="1498" ht="15.75" customHeight="1">
      <c r="A1498" s="1">
        <v>1496.0</v>
      </c>
      <c r="B1498" s="3" t="s">
        <v>1499</v>
      </c>
      <c r="C1498" s="3" t="str">
        <f>IFERROR(__xludf.DUMMYFUNCTION("GOOGLETRANSLATE(B1498,""id"",""en"")"),"['network', 'Telkomsel', 'bad', 'package', 'expensive', 'network', 'bad', 'network', 'plus',' network ',' bad ',' buy ',' package ',' replace ',' smartfren ',' network ',' stable ',' package ',' cheap ',' home ',' stunned ',' fortunte ',' so ',' pingin ',"&amp;"' fortuneness' , 'Buntung', 'Entar', ""]")</f>
        <v>['network', 'Telkomsel', 'bad', 'package', 'expensive', 'network', 'bad', 'network', 'plus',' network ',' bad ',' buy ',' package ',' replace ',' smartfren ',' network ',' stable ',' package ',' cheap ',' home ',' stunned ',' fortunte ',' so ',' pingin ',' fortuneness' , 'Buntung', 'Entar', "]</v>
      </c>
      <c r="D1498" s="3">
        <v>1.0</v>
      </c>
    </row>
    <row r="1499" ht="15.75" customHeight="1">
      <c r="A1499" s="1">
        <v>1497.0</v>
      </c>
      <c r="B1499" s="3" t="s">
        <v>1500</v>
      </c>
      <c r="C1499" s="3" t="str">
        <f>IFERROR(__xludf.DUMMYFUNCTION("GOOGLETRANSLATE(B1499,""id"",""en"")"),"['Disappointed', 'just', 'Update', 'APK', 'MyTelkomsel', 'Enter', 'already', 'Uninstall', 'Install', 'enter', 'APK', 'GIMA', ' Disappointed ',' Bener ',' ']")</f>
        <v>['Disappointed', 'just', 'Update', 'APK', 'MyTelkomsel', 'Enter', 'already', 'Uninstall', 'Install', 'enter', 'APK', 'GIMA', ' Disappointed ',' Bener ',' ']</v>
      </c>
      <c r="D1499" s="3">
        <v>1.0</v>
      </c>
    </row>
    <row r="1500" ht="15.75" customHeight="1">
      <c r="A1500" s="1">
        <v>1498.0</v>
      </c>
      <c r="B1500" s="3" t="s">
        <v>1501</v>
      </c>
      <c r="C1500" s="3" t="str">
        <f>IFERROR(__xludf.DUMMYFUNCTION("GOOGLETRANSLATE(B1500,""id"",""en"")"),"['Please', 'fix', 'level', 'sometimes',' network ',' good ',' difficult ',' enter ',' bkan ',' difficult ',' emang ',' entry ',' APK ',' Promo ',' Mnyahah ',' Select ',' Love ',' Org ',' jealous', 'price', 'package', 'skrang', 'please', 'jngkert', 'like' "&amp;", 'continued']")</f>
        <v>['Please', 'fix', 'level', 'sometimes',' network ',' good ',' difficult ',' enter ',' bkan ',' difficult ',' emang ',' entry ',' APK ',' Promo ',' Mnyahah ',' Select ',' Love ',' Org ',' jealous', 'price', 'package', 'skrang', 'please', 'jngkert', 'like' , 'continued']</v>
      </c>
      <c r="D1500" s="3">
        <v>2.0</v>
      </c>
    </row>
    <row r="1501" ht="15.75" customHeight="1">
      <c r="A1501" s="1">
        <v>1499.0</v>
      </c>
      <c r="B1501" s="3" t="s">
        <v>1502</v>
      </c>
      <c r="C1501" s="3" t="str">
        <f>IFERROR(__xludf.DUMMYFUNCTION("GOOGLETRANSLATE(B1501,""id"",""en"")"),"['updated', 'ugly', 'buy', 'credit', 'buy', 'package', 'pulse', 'run out', 'stay', 'one thousand', 'stop', 'subscribe', ' Telkomsel ']")</f>
        <v>['updated', 'ugly', 'buy', 'credit', 'buy', 'package', 'pulse', 'run out', 'stay', 'one thousand', 'stop', 'subscribe', ' Telkomsel ']</v>
      </c>
      <c r="D1501" s="3">
        <v>1.0</v>
      </c>
    </row>
    <row r="1502" ht="15.75" customHeight="1">
      <c r="A1502" s="1">
        <v>1500.0</v>
      </c>
      <c r="B1502" s="3" t="s">
        <v>1503</v>
      </c>
      <c r="C1502" s="3" t="str">
        <f>IFERROR(__xludf.DUMMYFUNCTION("GOOGLETRANSLATE(B1502,""id"",""en"")"),"['Excuse', 'Minn', 'intention', 'sya', 'pakek', 'telkom', 'tissue', 'tasty', 'fast', 'area', 'the application', 'yaampunnn', ' Ngeselin ',' Severe ',' Open ',' Application ',' Something ',' Something ',' Wrong ',' Please ',' Check ',' Later ',' Cuman ',' "&amp;"Liat ',' Package ' , 'Stay', 'difficult', 'pakek', 'application', 'application', 'updated', 'ugly', 'minn', 'please', 'repaired', 'the application', 'Alhamdulillah', ' Sya ',' already ',' Pakek ',' Telkomsel ',' annoyed ',' the application ',' difficult '"&amp;",' entry ', ""]")</f>
        <v>['Excuse', 'Minn', 'intention', 'sya', 'pakek', 'telkom', 'tissue', 'tasty', 'fast', 'area', 'the application', 'yaampunnn', ' Ngeselin ',' Severe ',' Open ',' Application ',' Something ',' Something ',' Wrong ',' Please ',' Check ',' Later ',' Cuman ',' Liat ',' Package ' , 'Stay', 'difficult', 'pakek', 'application', 'application', 'updated', 'ugly', 'minn', 'please', 'repaired', 'the application', 'Alhamdulillah', ' Sya ',' already ',' Pakek ',' Telkomsel ',' annoyed ',' the application ',' difficult ',' entry ', "]</v>
      </c>
      <c r="D1502" s="3">
        <v>1.0</v>
      </c>
    </row>
    <row r="1503" ht="15.75" customHeight="1">
      <c r="A1503" s="1">
        <v>1501.0</v>
      </c>
      <c r="B1503" s="3" t="s">
        <v>1504</v>
      </c>
      <c r="C1503" s="3" t="str">
        <f>IFERROR(__xludf.DUMMYFUNCTION("GOOGLETRANSLATE(B1503,""id"",""en"")"),"['app', 'useful', 'really', 'buy', 'data', 'combo', 'magic', 'save', 'really', 'error', 'gabisa', 'enter', ' already ',' contents', 'credit', 'intention', 'buy', 'package', 'data', 'gabisa', 'enter', 'taulah']")</f>
        <v>['app', 'useful', 'really', 'buy', 'data', 'combo', 'magic', 'save', 'really', 'error', 'gabisa', 'enter', ' already ',' contents', 'credit', 'intention', 'buy', 'package', 'data', 'gabisa', 'enter', 'taulah']</v>
      </c>
      <c r="D1503" s="3">
        <v>2.0</v>
      </c>
    </row>
    <row r="1504" ht="15.75" customHeight="1">
      <c r="A1504" s="1">
        <v>1502.0</v>
      </c>
      <c r="B1504" s="3" t="s">
        <v>1505</v>
      </c>
      <c r="C1504" s="3" t="str">
        <f>IFERROR(__xludf.DUMMYFUNCTION("GOOGLETRANSLATE(B1504,""id"",""en"")"),"['buy', 'additional', 'quota', 'application', 'Telkomsel', 'disorder', 'customer', 'card', 'hello', 'signal', 'kenceng', 'universe', ' Raya ',' disappointed ',' skali ']")</f>
        <v>['buy', 'additional', 'quota', 'application', 'Telkomsel', 'disorder', 'customer', 'card', 'hello', 'signal', 'kenceng', 'universe', ' Raya ',' disappointed ',' skali ']</v>
      </c>
      <c r="D1504" s="3">
        <v>1.0</v>
      </c>
    </row>
    <row r="1505" ht="15.75" customHeight="1">
      <c r="A1505" s="1">
        <v>1503.0</v>
      </c>
      <c r="B1505" s="3" t="s">
        <v>1506</v>
      </c>
      <c r="C1505" s="3" t="str">
        <f>IFERROR(__xludf.DUMMYFUNCTION("GOOGLETRANSLATE(B1505,""id"",""en"")"),"['Speed', 'internet', 'stable', 'like', 'suggestion', 'price', 'package', 'internet', 'Dinaikin', 'speed', 'internet', 'stable', ' price ',' package ',' internet ',' cheap ',' TPI ',' speed ',' stable ',' ']")</f>
        <v>['Speed', 'internet', 'stable', 'like', 'suggestion', 'price', 'package', 'internet', 'Dinaikin', 'speed', 'internet', 'stable', ' price ',' package ',' internet ',' cheap ',' TPI ',' speed ',' stable ',' ']</v>
      </c>
      <c r="D1505" s="3">
        <v>1.0</v>
      </c>
    </row>
    <row r="1506" ht="15.75" customHeight="1">
      <c r="A1506" s="1">
        <v>1504.0</v>
      </c>
      <c r="B1506" s="3" t="s">
        <v>1507</v>
      </c>
      <c r="C1506" s="3" t="str">
        <f>IFERROR(__xludf.DUMMYFUNCTION("GOOGLETRANSLATE(B1506,""id"",""en"")"),"['', 'network', 'experience', 'constraints',' error ',' check ',' pulse ',' quota ',' mobile ',' banking ',' application ',' connection ',' Telkomsel ',' experience ',' error ',' please ',' fix ',' error ']")</f>
        <v>['', 'network', 'experience', 'constraints',' error ',' check ',' pulse ',' quota ',' mobile ',' banking ',' application ',' connection ',' Telkomsel ',' experience ',' error ',' please ',' fix ',' error ']</v>
      </c>
      <c r="D1506" s="3">
        <v>1.0</v>
      </c>
    </row>
    <row r="1507" ht="15.75" customHeight="1">
      <c r="A1507" s="1">
        <v>1505.0</v>
      </c>
      <c r="B1507" s="3" t="s">
        <v>1508</v>
      </c>
      <c r="C1507" s="3" t="str">
        <f>IFERROR(__xludf.DUMMYFUNCTION("GOOGLETRANSLATE(B1507,""id"",""en"")"),"['Open', 'App', 'Tsel', 'Try', 'Periodic', 'Failed', 'Clock', 'Normal', 'Current', 'Leuce', 'Number', 'Mounted', ' Credit ',' Sumpot ',' told ',' Hub ',' Bot ',' ']")</f>
        <v>['Open', 'App', 'Tsel', 'Try', 'Periodic', 'Failed', 'Clock', 'Normal', 'Current', 'Leuce', 'Number', 'Mounted', ' Credit ',' Sumpot ',' told ',' Hub ',' Bot ',' ']</v>
      </c>
      <c r="D1507" s="3">
        <v>4.0</v>
      </c>
    </row>
    <row r="1508" ht="15.75" customHeight="1">
      <c r="A1508" s="1">
        <v>1506.0</v>
      </c>
      <c r="B1508" s="3" t="s">
        <v>1509</v>
      </c>
      <c r="C1508" s="3" t="str">
        <f>IFERROR(__xludf.DUMMYFUNCTION("GOOGLETRANSLATE(B1508,""id"",""en"")"),"['morning', 'buy', 'quota', 'internet', 'mytelkomsel', 'information', 'system', 'error', 'occured', 'my queue', 'uda', 'stay', ' MB ',' Plan ',' go ',' home ',' sick ',' no ',' quota ',' abis', 'road', 'gmn', 'pesen', 'ojol', 'hmm' , 'skg', 'logout', 'myt"&amp;"elkomsel', 'login', 'uda', 'waduuuhh', ""]")</f>
        <v>['morning', 'buy', 'quota', 'internet', 'mytelkomsel', 'information', 'system', 'error', 'occured', 'my queue', 'uda', 'stay', ' MB ',' Plan ',' go ',' home ',' sick ',' no ',' quota ',' abis', 'road', 'gmn', 'pesen', 'ojol', 'hmm' , 'skg', 'logout', 'mytelkomsel', 'login', 'uda', 'waduuuhh', "]</v>
      </c>
      <c r="D1508" s="3">
        <v>1.0</v>
      </c>
    </row>
    <row r="1509" ht="15.75" customHeight="1">
      <c r="A1509" s="1">
        <v>1507.0</v>
      </c>
      <c r="B1509" s="3" t="s">
        <v>1510</v>
      </c>
      <c r="C1509" s="3" t="str">
        <f>IFERROR(__xludf.DUMMYFUNCTION("GOOGLETRANSLATE(B1509,""id"",""en"")"),"['Singal', 'digit', 'digit', 'open', 'youtube', 'support', 'game', 'gini', 'activity', 'difficult', 'plis',' respond ',' ']")</f>
        <v>['Singal', 'digit', 'digit', 'open', 'youtube', 'support', 'game', 'gini', 'activity', 'difficult', 'plis',' respond ',' ']</v>
      </c>
      <c r="D1509" s="3">
        <v>1.0</v>
      </c>
    </row>
    <row r="1510" ht="15.75" customHeight="1">
      <c r="A1510" s="1">
        <v>1508.0</v>
      </c>
      <c r="B1510" s="3" t="s">
        <v>1511</v>
      </c>
      <c r="C1510" s="3" t="str">
        <f>IFERROR(__xludf.DUMMYFUNCTION("GOOGLETRANSLATE(B1510,""id"",""en"")"),"['', 'understand', 'oath', 'contents',' pulse ',' quota ',' unlimited ',' direct ',' deh ',' buy ',' pulse ',' buy ',' quota ',' unlimited ',' ehh ',' pulse ',' entry ',' quota ',' unlimited ',' missing ',' where ',' really ',' gituloh ',' right ',' promo"&amp;" ', 'quota', 'cheap', 'ilang', 'right', 'buy', 'open', 'my apk', 'writing', 'error', 'network', 'try', 'disappointed', 'bet ']")</f>
        <v>['', 'understand', 'oath', 'contents',' pulse ',' quota ',' unlimited ',' direct ',' deh ',' buy ',' pulse ',' buy ',' quota ',' unlimited ',' ehh ',' pulse ',' entry ',' quota ',' unlimited ',' missing ',' where ',' really ',' gituloh ',' right ',' promo ', 'quota', 'cheap', 'ilang', 'right', 'buy', 'open', 'my apk', 'writing', 'error', 'network', 'try', 'disappointed', 'bet ']</v>
      </c>
      <c r="D1510" s="3">
        <v>1.0</v>
      </c>
    </row>
    <row r="1511" ht="15.75" customHeight="1">
      <c r="A1511" s="1">
        <v>1509.0</v>
      </c>
      <c r="B1511" s="3" t="s">
        <v>1512</v>
      </c>
      <c r="C1511" s="3" t="str">
        <f>IFERROR(__xludf.DUMMYFUNCTION("GOOGLETRANSLATE(B1511,""id"",""en"")"),"['Difficult', 'really', 'Login', 'UDH', 'Yesterday', 'Credit', 'No', 'Enter', 'right', 'Shopping', 'Telkomsel', 'Disappointed', ' Really ',' network ',' good ',' login ',' difficult ',' ']")</f>
        <v>['Difficult', 'really', 'Login', 'UDH', 'Yesterday', 'Credit', 'No', 'Enter', 'right', 'Shopping', 'Telkomsel', 'Disappointed', ' Really ',' network ',' good ',' login ',' difficult ',' ']</v>
      </c>
      <c r="D1511" s="3">
        <v>1.0</v>
      </c>
    </row>
    <row r="1512" ht="15.75" customHeight="1">
      <c r="A1512" s="1">
        <v>1510.0</v>
      </c>
      <c r="B1512" s="3" t="s">
        <v>1513</v>
      </c>
      <c r="C1512" s="3" t="str">
        <f>IFERROR(__xludf.DUMMYFUNCTION("GOOGLETRANSLATE(B1512,""id"",""en"")"),"['network', 'Telkomsel', 'disruption', 'log', 'application', 'buy', 'quota', 'disorder', 'pay', 'expensive', 'forced', 'moved', ' network ',' disappointed ',' please ',' repaired ',' ']")</f>
        <v>['network', 'Telkomsel', 'disruption', 'log', 'application', 'buy', 'quota', 'disorder', 'pay', 'expensive', 'forced', 'moved', ' network ',' disappointed ',' please ',' repaired ',' ']</v>
      </c>
      <c r="D1512" s="3">
        <v>3.0</v>
      </c>
    </row>
    <row r="1513" ht="15.75" customHeight="1">
      <c r="A1513" s="1">
        <v>1511.0</v>
      </c>
      <c r="B1513" s="3" t="s">
        <v>1514</v>
      </c>
      <c r="C1513" s="3" t="str">
        <f>IFERROR(__xludf.DUMMYFUNCTION("GOOGLETRANSLATE(B1513,""id"",""en"")"),"['Haduuuh', 'Telokomsel', 'open', 'already', 'restart', 'mulu', 'already', 'network', 'Telkomsel', 'sometimes',' missing ',' disappointed ',' Telkomsel ',' ']")</f>
        <v>['Haduuuh', 'Telokomsel', 'open', 'already', 'restart', 'mulu', 'already', 'network', 'Telkomsel', 'sometimes',' missing ',' disappointed ',' Telkomsel ',' ']</v>
      </c>
      <c r="D1513" s="3">
        <v>1.0</v>
      </c>
    </row>
    <row r="1514" ht="15.75" customHeight="1">
      <c r="A1514" s="1">
        <v>1512.0</v>
      </c>
      <c r="B1514" s="3" t="s">
        <v>1515</v>
      </c>
      <c r="C1514" s="3" t="str">
        <f>IFERROR(__xludf.DUMMYFUNCTION("GOOGLETRANSLATE(B1514,""id"",""en"")"),"['min', 'Telkomsel', 'Mea', 'buy', 'package', 'min', 'reading', 'try', 'check', 'connection', 'network', 'network', ' Full ',' Package ',' GMNA ',' Min ',' already ',' internet ',' min ',' knpaa ',' yaa ',' Kali ',' lohh ',' disappointed ',' buy ' , 'pack"&amp;"age', '']")</f>
        <v>['min', 'Telkomsel', 'Mea', 'buy', 'package', 'min', 'reading', 'try', 'check', 'connection', 'network', 'network', ' Full ',' Package ',' GMNA ',' Min ',' already ',' internet ',' min ',' knpaa ',' yaa ',' Kali ',' lohh ',' disappointed ',' buy ' , 'package', '']</v>
      </c>
      <c r="D1514" s="3">
        <v>1.0</v>
      </c>
    </row>
    <row r="1515" ht="15.75" customHeight="1">
      <c r="A1515" s="1">
        <v>1513.0</v>
      </c>
      <c r="B1515" s="3" t="s">
        <v>1516</v>
      </c>
      <c r="C1515" s="3" t="str">
        <f>IFERROR(__xludf.DUMMYFUNCTION("GOOGLETRANSLATE(B1515,""id"",""en"")"),"['Benerin', 'Signal', 'Easy', 'Tower', 'Life', 'Betting', 'Maap', 'Uncomfortable', 'Telkomsel', 'Lost', 'Provider', 'Telkomsel', ' LEGE ',' Provider ',' smooth ',' Handya ',' spin ',' patient ',' user ']")</f>
        <v>['Benerin', 'Signal', 'Easy', 'Tower', 'Life', 'Betting', 'Maap', 'Uncomfortable', 'Telkomsel', 'Lost', 'Provider', 'Telkomsel', ' LEGE ',' Provider ',' smooth ',' Handya ',' spin ',' patient ',' user ']</v>
      </c>
      <c r="D1515" s="3">
        <v>3.0</v>
      </c>
    </row>
    <row r="1516" ht="15.75" customHeight="1">
      <c r="A1516" s="1">
        <v>1514.0</v>
      </c>
      <c r="B1516" s="3" t="s">
        <v>1517</v>
      </c>
      <c r="C1516" s="3" t="str">
        <f>IFERROR(__xludf.DUMMYFUNCTION("GOOGLETRANSLATE(B1516,""id"",""en"")"),"['Package', 'Unlimited', 'ICT', 'Tok', 'MaxStream', 'Etc.', 'Nggk', 'Manchester', 'Just', 'How', 'Unlimited', 'Available', ' maxstream ',' try ',' watch ',' Disney ',' hotsar ',' nggk ',' what ']")</f>
        <v>['Package', 'Unlimited', 'ICT', 'Tok', 'MaxStream', 'Etc.', 'Nggk', 'Manchester', 'Just', 'How', 'Unlimited', 'Available', ' maxstream ',' try ',' watch ',' Disney ',' hotsar ',' nggk ',' what ']</v>
      </c>
      <c r="D1516" s="3">
        <v>1.0</v>
      </c>
    </row>
    <row r="1517" ht="15.75" customHeight="1">
      <c r="A1517" s="1">
        <v>1515.0</v>
      </c>
      <c r="B1517" s="3" t="s">
        <v>1518</v>
      </c>
      <c r="C1517" s="3" t="str">
        <f>IFERROR(__xludf.DUMMYFUNCTION("GOOGLETRANSLATE(B1517,""id"",""en"")"),"['At the beginning', 'good', 'uda', 'Haru', 'gabisa', 'dipake', 'uninstall', 'install', 'ttep', 'gabisa', 'strange', 'pdhl', ' The rest of ',' pulse ',' trs', 'contents',' pulse ',' gapake ',' application ',' msti ',' uda ',' auto ',' APK ']")</f>
        <v>['At the beginning', 'good', 'uda', 'Haru', 'gabisa', 'dipake', 'uninstall', 'install', 'ttep', 'gabisa', 'strange', 'pdhl', ' The rest of ',' pulse ',' trs', 'contents',' pulse ',' gapake ',' application ',' msti ',' uda ',' auto ',' APK ']</v>
      </c>
      <c r="D1517" s="3">
        <v>2.0</v>
      </c>
    </row>
    <row r="1518" ht="15.75" customHeight="1">
      <c r="A1518" s="1">
        <v>1516.0</v>
      </c>
      <c r="B1518" s="3" t="s">
        <v>1519</v>
      </c>
      <c r="C1518" s="3" t="str">
        <f>IFERROR(__xludf.DUMMYFUNCTION("GOOGLETRANSLATE(B1518,""id"",""en"")"),"['application', 'unfaedah', 'users',' Telkomsel ',' application ',' opened ',' error ',' exchange ',' point ',' balance ',' link ',' exchanged ',' Vouchers', 'shopping', 'garbage', 'direct', 'php']")</f>
        <v>['application', 'unfaedah', 'users',' Telkomsel ',' application ',' opened ',' error ',' exchange ',' point ',' balance ',' link ',' exchanged ',' Vouchers', 'shopping', 'garbage', 'direct', 'php']</v>
      </c>
      <c r="D1518" s="3">
        <v>1.0</v>
      </c>
    </row>
    <row r="1519" ht="15.75" customHeight="1">
      <c r="A1519" s="1">
        <v>1517.0</v>
      </c>
      <c r="B1519" s="3" t="s">
        <v>1520</v>
      </c>
      <c r="C1519" s="3" t="str">
        <f>IFERROR(__xludf.DUMMYFUNCTION("GOOGLETRANSLATE(B1519,""id"",""en"")"),"['boss',' signal ',' Telkomsel ',' ugly ',' village ',' remote ',' fees', 'package', 'expensive', 'provider', 'wear', 'services',' Provider ',' Provider ',' Open ',' Telkomsel ',' Signal ',' already ',' boss', 'already', 'restart', 'repeat', 'result']")</f>
        <v>['boss',' signal ',' Telkomsel ',' ugly ',' village ',' remote ',' fees', 'package', 'expensive', 'provider', 'wear', 'services',' Provider ',' Provider ',' Open ',' Telkomsel ',' Signal ',' already ',' boss', 'already', 'restart', 'repeat', 'result']</v>
      </c>
      <c r="D1519" s="3">
        <v>1.0</v>
      </c>
    </row>
    <row r="1520" ht="15.75" customHeight="1">
      <c r="A1520" s="1">
        <v>1518.0</v>
      </c>
      <c r="B1520" s="3" t="s">
        <v>1521</v>
      </c>
      <c r="C1520" s="3" t="str">
        <f>IFERROR(__xludf.DUMMYFUNCTION("GOOGLETRANSLATE(B1520,""id"",""en"")"),"['', 'Telkomsel', 'proud of', 'users',' Telkomsel ',' proud ',' village ',' eager ',' network ',' strange ',' City ',' severe ',' please ',' Improvement ',' because ',' Designing ',' Telkomsel ',' Indo ',' Please ',' Drop ',' Reting ',' Karna ',' Disappoi"&amp;"nted ',' ']")</f>
        <v>['', 'Telkomsel', 'proud of', 'users',' Telkomsel ',' proud ',' village ',' eager ',' network ',' strange ',' City ',' severe ',' please ',' Improvement ',' because ',' Designing ',' Telkomsel ',' Indo ',' Please ',' Drop ',' Reting ',' Karna ',' Disappointed ',' ']</v>
      </c>
      <c r="D1520" s="3">
        <v>1.0</v>
      </c>
    </row>
    <row r="1521" ht="15.75" customHeight="1">
      <c r="A1521" s="1">
        <v>1519.0</v>
      </c>
      <c r="B1521" s="3" t="s">
        <v>1522</v>
      </c>
      <c r="C1521" s="3" t="str">
        <f>IFERROR(__xludf.DUMMYFUNCTION("GOOGLETRANSLATE(B1521,""id"",""en"")"),"['Login', 'difficult', 'network', 'rare', 'stable', 'play', 'game', 'please', 'fix', 'hurry', 'pairs',' game ',' era ',' esport ',' stabilized ',' network ',' thank ',' love ', ""]")</f>
        <v>['Login', 'difficult', 'network', 'rare', 'stable', 'play', 'game', 'please', 'fix', 'hurry', 'pairs',' game ',' era ',' esport ',' stabilized ',' network ',' thank ',' love ', "]</v>
      </c>
      <c r="D1521" s="3">
        <v>1.0</v>
      </c>
    </row>
    <row r="1522" ht="15.75" customHeight="1">
      <c r="A1522" s="1">
        <v>1520.0</v>
      </c>
      <c r="B1522" s="3" t="s">
        <v>1523</v>
      </c>
      <c r="C1522" s="3" t="str">
        <f>IFERROR(__xludf.DUMMYFUNCTION("GOOGLETRANSLATE(B1522,""id"",""en"")"),"['Signal', 'bad', 'application', 'Telkomsel', 'opened', 'moved', 'postpaid', 'AFA', 'priority', 'signal', 'bad', ""]")</f>
        <v>['Signal', 'bad', 'application', 'Telkomsel', 'opened', 'moved', 'postpaid', 'AFA', 'priority', 'signal', 'bad', "]</v>
      </c>
      <c r="D1522" s="3">
        <v>1.0</v>
      </c>
    </row>
    <row r="1523" ht="15.75" customHeight="1">
      <c r="A1523" s="1">
        <v>1521.0</v>
      </c>
      <c r="B1523" s="3" t="s">
        <v>1524</v>
      </c>
      <c r="C1523" s="3" t="str">
        <f>IFERROR(__xludf.DUMMYFUNCTION("GOOGLETRANSLATE(B1523,""id"",""en"")"),"['Upgrade', 'Log', 'Application', 'Many', 'times',' Install ',' reset ',' application ',' please ',' fix ',' buy ',' package ',' Application ',' Thank ',' You ']")</f>
        <v>['Upgrade', 'Log', 'Application', 'Many', 'times',' Install ',' reset ',' application ',' please ',' fix ',' buy ',' package ',' Application ',' Thank ',' You ']</v>
      </c>
      <c r="D1523" s="3">
        <v>1.0</v>
      </c>
    </row>
    <row r="1524" ht="15.75" customHeight="1">
      <c r="A1524" s="1">
        <v>1522.0</v>
      </c>
      <c r="B1524" s="3" t="s">
        <v>1525</v>
      </c>
      <c r="C1524" s="3" t="str">
        <f>IFERROR(__xludf.DUMMYFUNCTION("GOOGLETRANSLATE(B1524,""id"",""en"")"),"['crazy', 'poor', 'application', 'right', 'open', 'application', 'appear', 'said', 'network', 'stable', 'wifi', 'network', ' good ',' check ',' fast ',' telephone ',' appeal ',' application ',' ngepain ',' application ',' ']")</f>
        <v>['crazy', 'poor', 'application', 'right', 'open', 'application', 'appear', 'said', 'network', 'stable', 'wifi', 'network', ' good ',' check ',' fast ',' telephone ',' appeal ',' application ',' ngepain ',' application ',' ']</v>
      </c>
      <c r="D1524" s="3">
        <v>1.0</v>
      </c>
    </row>
    <row r="1525" ht="15.75" customHeight="1">
      <c r="A1525" s="1">
        <v>1523.0</v>
      </c>
      <c r="B1525" s="3" t="s">
        <v>1526</v>
      </c>
      <c r="C1525" s="3" t="str">
        <f>IFERROR(__xludf.DUMMYFUNCTION("GOOGLETRANSLATE(B1525,""id"",""en"")"),"['Weh', 'napa', 'apps',' buy ',' package ',' yes', 'sklu', 'buy', 'cmn', 'megabit', 'sec', 'skrg', ' Worse ',' bsa ',' download ',' oath ',' tilep ',' money ',' country ',' gmna ',' package ',' contents', 'expensive', 'all']")</f>
        <v>['Weh', 'napa', 'apps',' buy ',' package ',' yes', 'sklu', 'buy', 'cmn', 'megabit', 'sec', 'skrg', ' Worse ',' bsa ',' download ',' oath ',' tilep ',' money ',' country ',' gmna ',' package ',' contents', 'expensive', 'all']</v>
      </c>
      <c r="D1525" s="3">
        <v>1.0</v>
      </c>
    </row>
    <row r="1526" ht="15.75" customHeight="1">
      <c r="A1526" s="1">
        <v>1524.0</v>
      </c>
      <c r="B1526" s="3" t="s">
        <v>1527</v>
      </c>
      <c r="C1526" s="3" t="str">
        <f>IFERROR(__xludf.DUMMYFUNCTION("GOOGLETRANSLATE(B1526,""id"",""en"")"),"['Application', 'BURIK', 'situ', 'company', 'rich', 'application', 'Gini', 'Becus',' Error ',' Error ',' Delete ',' Install ',' SABDA ',' This is 'Something', 'Went', 'Wrong', 'Please', 'Try', 'Again', 'After', 'Sometime', 'Use', 'Ginian', 'Monkey' , '']")</f>
        <v>['Application', 'BURIK', 'situ', 'company', 'rich', 'application', 'Gini', 'Becus',' Error ',' Error ',' Delete ',' Install ',' SABDA ',' This is 'Something', 'Went', 'Wrong', 'Please', 'Try', 'Again', 'After', 'Sometime', 'Use', 'Ginian', 'Monkey' , '']</v>
      </c>
      <c r="D1526" s="3">
        <v>1.0</v>
      </c>
    </row>
    <row r="1527" ht="15.75" customHeight="1">
      <c r="A1527" s="1">
        <v>1525.0</v>
      </c>
      <c r="B1527" s="3" t="s">
        <v>1528</v>
      </c>
      <c r="C1527" s="3" t="str">
        <f>IFERROR(__xludf.DUMMYFUNCTION("GOOGLETRANSLATE(B1527,""id"",""en"")"),"['The application', 'checked', 'leftover', 'quota', 'interner', 'Wait', 'minutes',' finished ',' TPI ',' open ',' Google ',' discord ',' Game ',' yes', 'sample', 'Cut', 'Credit', 'I', 'FAILUR', 'Check', 'Internet', 'Wonder']")</f>
        <v>['The application', 'checked', 'leftover', 'quota', 'interner', 'Wait', 'minutes',' finished ',' TPI ',' open ',' Google ',' discord ',' Game ',' yes', 'sample', 'Cut', 'Credit', 'I', 'FAILUR', 'Check', 'Internet', 'Wonder']</v>
      </c>
      <c r="D1527" s="3">
        <v>1.0</v>
      </c>
    </row>
    <row r="1528" ht="15.75" customHeight="1">
      <c r="A1528" s="1">
        <v>1526.0</v>
      </c>
      <c r="B1528" s="3" t="s">
        <v>1529</v>
      </c>
      <c r="C1528" s="3" t="str">
        <f>IFERROR(__xludf.DUMMYFUNCTION("GOOGLETRANSLATE(B1528,""id"",""en"")"),"['times',' entry ',' obstacles', 'signal', 'network', 'stable', 'youtube', 'smooth', 'login', 'mytsel', 'already', 'updated', ' Emotions', 'Ngebug', 'What', 'Min', ""]")</f>
        <v>['times',' entry ',' obstacles', 'signal', 'network', 'stable', 'youtube', 'smooth', 'login', 'mytsel', 'already', 'updated', ' Emotions', 'Ngebug', 'What', 'Min', "]</v>
      </c>
      <c r="D1528" s="3">
        <v>1.0</v>
      </c>
    </row>
    <row r="1529" ht="15.75" customHeight="1">
      <c r="A1529" s="1">
        <v>1527.0</v>
      </c>
      <c r="B1529" s="3" t="s">
        <v>1530</v>
      </c>
      <c r="C1529" s="3" t="str">
        <f>IFERROR(__xludf.DUMMYFUNCTION("GOOGLETRANSLATE(B1529,""id"",""en"")"),"['buy', 'Package', 'Application', 'Login', 'Something', 'Went', 'Wrong', 'Please', 'Assisted']")</f>
        <v>['buy', 'Package', 'Application', 'Login', 'Something', 'Went', 'Wrong', 'Please', 'Assisted']</v>
      </c>
      <c r="D1529" s="3">
        <v>1.0</v>
      </c>
    </row>
    <row r="1530" ht="15.75" customHeight="1">
      <c r="A1530" s="1">
        <v>1528.0</v>
      </c>
      <c r="B1530" s="3" t="s">
        <v>1531</v>
      </c>
      <c r="C1530" s="3" t="str">
        <f>IFERROR(__xludf.DUMMYFUNCTION("GOOGLETRANSLATE(B1530,""id"",""en"")"),"['Bener', 'sympathy', 'user', 'sympathy', 'until', 'change', 'number', 'still', 'choose', 'sympathy', 'now', 'chaotic', ' Enter ',' MyTelkomsel ',' buy ',' package ',' spend ',' pulse ',' rb ',' doang ',' enter ',' kaga ',' disappointed ']")</f>
        <v>['Bener', 'sympathy', 'user', 'sympathy', 'until', 'change', 'number', 'still', 'choose', 'sympathy', 'now', 'chaotic', ' Enter ',' MyTelkomsel ',' buy ',' package ',' spend ',' pulse ',' rb ',' doang ',' enter ',' kaga ',' disappointed ']</v>
      </c>
      <c r="D1530" s="3">
        <v>1.0</v>
      </c>
    </row>
    <row r="1531" ht="15.75" customHeight="1">
      <c r="A1531" s="1">
        <v>1529.0</v>
      </c>
      <c r="B1531" s="3" t="s">
        <v>1532</v>
      </c>
      <c r="C1531" s="3" t="str">
        <f>IFERROR(__xludf.DUMMYFUNCTION("GOOGLETRANSLATE(B1531,""id"",""en"")"),"['APK', 'rotten', 'NMR', 'login', 'already', 'network', 'down', 'detrimental', 'quality', 'change', 'price', 'exorbitant', ' Telkomsel ',' old ',' developed ',' detrimental ',' people ', ""]")</f>
        <v>['APK', 'rotten', 'NMR', 'login', 'already', 'network', 'down', 'detrimental', 'quality', 'change', 'price', 'exorbitant', ' Telkomsel ',' old ',' developed ',' detrimental ',' people ', "]</v>
      </c>
      <c r="D1531" s="3">
        <v>1.0</v>
      </c>
    </row>
    <row r="1532" ht="15.75" customHeight="1">
      <c r="A1532" s="1">
        <v>1530.0</v>
      </c>
      <c r="B1532" s="3" t="s">
        <v>1533</v>
      </c>
      <c r="C1532" s="3" t="str">
        <f>IFERROR(__xludf.DUMMYFUNCTION("GOOGLETRANSLATE(B1532,""id"",""en"")"),"['Something', 'Wrong', 'Please', 'Try', 'Again', 'After', 'Sometimes',' Hape ',' Rotten ',' App ',' Telkomsel ',' Rotten ',' Move ',' cellphone ',' Login ',' App ',' Nnti ',' Complen ',' Say "", 'Disorders', 'Kah', 'Bambank',""]")</f>
        <v>['Something', 'Wrong', 'Please', 'Try', 'Again', 'After', 'Sometimes',' Hape ',' Rotten ',' App ',' Telkomsel ',' Rotten ',' Move ',' cellphone ',' Login ',' App ',' Nnti ',' Complen ',' Say ", 'Disorders', 'Kah', 'Bambank',"]</v>
      </c>
      <c r="D1532" s="3">
        <v>1.0</v>
      </c>
    </row>
    <row r="1533" ht="15.75" customHeight="1">
      <c r="A1533" s="1">
        <v>1531.0</v>
      </c>
      <c r="B1533" s="3" t="s">
        <v>1534</v>
      </c>
      <c r="C1533" s="3" t="str">
        <f>IFERROR(__xludf.DUMMYFUNCTION("GOOGLETRANSLATE(B1533,""id"",""en"")"),"['Severe', 'Telkomsel', 'Yesterday', 'buy', 'quota', 'Try', 'uninstall', 'then', 'install', 'reset', 'right', 'enter', ' Severe ',' signal ',' good ',' repay ',' customer ',' annoyed ',' ']")</f>
        <v>['Severe', 'Telkomsel', 'Yesterday', 'buy', 'quota', 'Try', 'uninstall', 'then', 'install', 'reset', 'right', 'enter', ' Severe ',' signal ',' good ',' repay ',' customer ',' annoyed ',' ']</v>
      </c>
      <c r="D1533" s="3">
        <v>1.0</v>
      </c>
    </row>
    <row r="1534" ht="15.75" customHeight="1">
      <c r="A1534" s="1">
        <v>1532.0</v>
      </c>
      <c r="B1534" s="3" t="s">
        <v>1535</v>
      </c>
      <c r="C1534" s="3" t="str">
        <f>IFERROR(__xludf.DUMMYFUNCTION("GOOGLETRANSLATE(B1534,""id"",""en"")"),"['Come', 'App', 'SERES', 'DEH', 'LOGIN', 'NEED', 'KARU', 'FAILURE', 'PLIS', 'FINISINED', 'Make it easier', 'Emotion', ' Users', '']")</f>
        <v>['Come', 'App', 'SERES', 'DEH', 'LOGIN', 'NEED', 'KARU', 'FAILURE', 'PLIS', 'FINISINED', 'Make it easier', 'Emotion', ' Users', '']</v>
      </c>
      <c r="D1534" s="3">
        <v>1.0</v>
      </c>
    </row>
    <row r="1535" ht="15.75" customHeight="1">
      <c r="A1535" s="1">
        <v>1533.0</v>
      </c>
      <c r="B1535" s="3" t="s">
        <v>1536</v>
      </c>
      <c r="C1535" s="3" t="str">
        <f>IFERROR(__xludf.DUMMYFUNCTION("GOOGLETRANSLATE(B1535,""id"",""en"")"),"['Application', 'Login', 'Application', 'Fear', 'Loss',' Direct ',' Have ',' User ',' Buy ',' Package ',' Give ',' Price ',' Cheap ',' MyTelkomsel ',' Open ',' Come on ',' Install ',' ']")</f>
        <v>['Application', 'Login', 'Application', 'Fear', 'Loss',' Direct ',' Have ',' User ',' Buy ',' Package ',' Give ',' Price ',' Cheap ',' MyTelkomsel ',' Open ',' Come on ',' Install ',' ']</v>
      </c>
      <c r="D1535" s="3">
        <v>1.0</v>
      </c>
    </row>
    <row r="1536" ht="15.75" customHeight="1">
      <c r="A1536" s="1">
        <v>1534.0</v>
      </c>
      <c r="B1536" s="3" t="s">
        <v>1537</v>
      </c>
      <c r="C1536" s="3" t="str">
        <f>IFERROR(__xludf.DUMMYFUNCTION("GOOGLETRANSLATE(B1536,""id"",""en"")"),"['Telkomsel', 'Open', 'Tease', 'The Network', 'Open', 'APK', 'Current', 'Please', 'What', ""]")</f>
        <v>['Telkomsel', 'Open', 'Tease', 'The Network', 'Open', 'APK', 'Current', 'Please', 'What', "]</v>
      </c>
      <c r="D1536" s="3">
        <v>1.0</v>
      </c>
    </row>
    <row r="1537" ht="15.75" customHeight="1">
      <c r="A1537" s="1">
        <v>1535.0</v>
      </c>
      <c r="B1537" s="3" t="s">
        <v>1538</v>
      </c>
      <c r="C1537" s="3" t="str">
        <f>IFERROR(__xludf.DUMMYFUNCTION("GOOGLETRANSLATE(B1537,""id"",""en"")"),"['koq', 'difficult', 'sihih', 'open', 'thisii', 'apps',' update ',' already ',' open ',' quota ',' data ',' already ',' Try ',' wifi ',' already ',' his writing ',' connection ',' stable ',' gimanaa ',' sihih ',' Telkomsel ',' ']")</f>
        <v>['koq', 'difficult', 'sihih', 'open', 'thisii', 'apps',' update ',' already ',' open ',' quota ',' data ',' already ',' Try ',' wifi ',' already ',' his writing ',' connection ',' stable ',' gimanaa ',' sihih ',' Telkomsel ',' ']</v>
      </c>
      <c r="D1537" s="3">
        <v>1.0</v>
      </c>
    </row>
    <row r="1538" ht="15.75" customHeight="1">
      <c r="A1538" s="1">
        <v>1536.0</v>
      </c>
      <c r="B1538" s="3" t="s">
        <v>1539</v>
      </c>
      <c r="C1538" s="3" t="str">
        <f>IFERROR(__xludf.DUMMYFUNCTION("GOOGLETRANSLATE(B1538,""id"",""en"")"),"['Please', 'repaired', 'already', 'quota', 'wifi', 'open', 'my apk', 'his writing', 'connection', 'error', 'signal', 'smooth', ' really ',' try ',' youtube ',' can ',' how ',' tomorrow ',' school ',' ']")</f>
        <v>['Please', 'repaired', 'already', 'quota', 'wifi', 'open', 'my apk', 'his writing', 'connection', 'error', 'signal', 'smooth', ' really ',' try ',' youtube ',' can ',' how ',' tomorrow ',' school ',' ']</v>
      </c>
      <c r="D1538" s="3">
        <v>2.0</v>
      </c>
    </row>
    <row r="1539" ht="15.75" customHeight="1">
      <c r="A1539" s="1">
        <v>1537.0</v>
      </c>
      <c r="B1539" s="3" t="s">
        <v>1540</v>
      </c>
      <c r="C1539" s="3" t="str">
        <f>IFERROR(__xludf.DUMMYFUNCTION("GOOGLETRANSLATE(B1539,""id"",""en"")"),"['Telkomsel', 'Dear', 'Application', 'No', 'Open', 'Yesterday', 'Current', 'Current', 'Network', 'Like', 'ugly', 'Please', ' Listen ',' complained ',' Kisah ',' users', 'Telkomsel', 'Fix', 'Damaged', 'Telkomsel', 'User', 'Satisfied']")</f>
        <v>['Telkomsel', 'Dear', 'Application', 'No', 'Open', 'Yesterday', 'Current', 'Current', 'Network', 'Like', 'ugly', 'Please', ' Listen ',' complained ',' Kisah ',' users', 'Telkomsel', 'Fix', 'Damaged', 'Telkomsel', 'User', 'Satisfied']</v>
      </c>
      <c r="D1539" s="3">
        <v>1.0</v>
      </c>
    </row>
    <row r="1540" ht="15.75" customHeight="1">
      <c r="A1540" s="1">
        <v>1538.0</v>
      </c>
      <c r="B1540" s="3" t="s">
        <v>1541</v>
      </c>
      <c r="C1540" s="3" t="str">
        <f>IFERROR(__xludf.DUMMYFUNCTION("GOOGLETRANSLATE(B1540,""id"",""en"")"),"['Application', 'Login', 'Pop', 'Something', 'Went', 'Wrong', 'Please', 'Try', 'Again', 'After', 'sometime', 'already', ' mAh ',' network ',' rotten ',' plus', 'the application', 'Bl', 'please', 'service', 'minunin', 'stunned', 'gini', 'customer', 'kapok'"&amp;" , 'Bl', '']")</f>
        <v>['Application', 'Login', 'Pop', 'Something', 'Went', 'Wrong', 'Please', 'Try', 'Again', 'After', 'sometime', 'already', ' mAh ',' network ',' rotten ',' plus', 'the application', 'Bl', 'please', 'service', 'minunin', 'stunned', 'gini', 'customer', 'kapok' , 'Bl', '']</v>
      </c>
      <c r="D1540" s="3">
        <v>1.0</v>
      </c>
    </row>
    <row r="1541" ht="15.75" customHeight="1">
      <c r="A1541" s="1">
        <v>1539.0</v>
      </c>
      <c r="B1541" s="3" t="s">
        <v>1542</v>
      </c>
      <c r="C1541" s="3" t="str">
        <f>IFERROR(__xludf.DUMMYFUNCTION("GOOGLETRANSLATE(B1541,""id"",""en"")"),"['Disappointed', 'Login', 'Error', 'Check', 'Package', 'Embed', 'Embed', 'Rich', 'Relk', 'Defelled', 'Disappointed', 'Area', ' Maluku ',' North ',' operator ',' Telkomsel ',' and that ',' network ',' rare ',' good ',' play ',' game ',' smooth ']")</f>
        <v>['Disappointed', 'Login', 'Error', 'Check', 'Package', 'Embed', 'Embed', 'Rich', 'Relk', 'Defelled', 'Disappointed', 'Area', ' Maluku ',' North ',' operator ',' Telkomsel ',' and that ',' network ',' rare ',' good ',' play ',' game ',' smooth ']</v>
      </c>
      <c r="D1541" s="3">
        <v>1.0</v>
      </c>
    </row>
    <row r="1542" ht="15.75" customHeight="1">
      <c r="A1542" s="1">
        <v>1540.0</v>
      </c>
      <c r="B1542" s="3" t="s">
        <v>1543</v>
      </c>
      <c r="C1542" s="3" t="str">
        <f>IFERROR(__xludf.DUMMYFUNCTION("GOOGLETRANSLATE(B1542,""id"",""en"")"),"['Disappointed', 'application', 'MyTelkomsel', 'loaded', 'reset', 'signal', 'good', 'daily', 'check', ""]")</f>
        <v>['Disappointed', 'application', 'MyTelkomsel', 'loaded', 'reset', 'signal', 'good', 'daily', 'check', "]</v>
      </c>
      <c r="D1542" s="3">
        <v>1.0</v>
      </c>
    </row>
    <row r="1543" ht="15.75" customHeight="1">
      <c r="A1543" s="1">
        <v>1541.0</v>
      </c>
      <c r="B1543" s="3" t="s">
        <v>1544</v>
      </c>
      <c r="C1543" s="3" t="str">
        <f>IFERROR(__xludf.DUMMYFUNCTION("GOOGLETRANSLATE(B1543,""id"",""en"")"),"['entry', 'then', 'list', 'use', 'klu', 'dwonload', 'application', 'telkomsel', 'pulse', 'rb', 'already', 'dwonload', ' Enter ',' pulse ',' disappointed ']")</f>
        <v>['entry', 'then', 'list', 'use', 'klu', 'dwonload', 'application', 'telkomsel', 'pulse', 'rb', 'already', 'dwonload', ' Enter ',' pulse ',' disappointed ']</v>
      </c>
      <c r="D1543" s="3">
        <v>1.0</v>
      </c>
    </row>
    <row r="1544" ht="15.75" customHeight="1">
      <c r="A1544" s="1">
        <v>1542.0</v>
      </c>
      <c r="B1544" s="3" t="s">
        <v>1545</v>
      </c>
      <c r="C1544" s="3" t="str">
        <f>IFERROR(__xludf.DUMMYFUNCTION("GOOGLETRANSLATE(B1544,""id"",""en"")"),"['application', 'MyTelkomsel', 'Loading', 'Page', 'Home', 'Try', 'Install', 'reset', 'Login', 'Open', 'Application', 'MyTelkomsel', ' Speed ​​',' internet ',' MB ',' MyTelkomsel ',' Activate ',' Please ',' The Info ',' ']")</f>
        <v>['application', 'MyTelkomsel', 'Loading', 'Page', 'Home', 'Try', 'Install', 'reset', 'Login', 'Open', 'Application', 'MyTelkomsel', ' Speed ​​',' internet ',' MB ',' MyTelkomsel ',' Activate ',' Please ',' The Info ',' ']</v>
      </c>
      <c r="D1544" s="3">
        <v>3.0</v>
      </c>
    </row>
    <row r="1545" ht="15.75" customHeight="1">
      <c r="A1545" s="1">
        <v>1543.0</v>
      </c>
      <c r="B1545" s="3" t="s">
        <v>1546</v>
      </c>
      <c r="C1545" s="3" t="str">
        <f>IFERROR(__xludf.DUMMYFUNCTION("GOOGLETRANSLATE(B1545,""id"",""en"")"),"['Ouch', 'Login', 'Like', 'Something', 'Something', 'Wrong', 'Wrong', 'Please', 'Try', 'Again', 'After', 'Sometime', ' already ',' rich ',' that's', 'wait', 'try', 'aduhhhh']")</f>
        <v>['Ouch', 'Login', 'Like', 'Something', 'Something', 'Wrong', 'Wrong', 'Please', 'Try', 'Again', 'After', 'Sometime', ' already ',' rich ',' that's', 'wait', 'try', 'aduhhhh']</v>
      </c>
      <c r="D1545" s="3">
        <v>1.0</v>
      </c>
    </row>
    <row r="1546" ht="15.75" customHeight="1">
      <c r="A1546" s="1">
        <v>1544.0</v>
      </c>
      <c r="B1546" s="3" t="s">
        <v>1547</v>
      </c>
      <c r="C1546" s="3" t="str">
        <f>IFERROR(__xludf.DUMMYFUNCTION("GOOGLETRANSLATE(B1546,""id"",""en"")"),"['application', 'no', 'function', 'delete', 'application', 'error', 'strange', 'provider', 'well-known', 'service', 'user', 'free', ' Lho ',' Severe ',' Change ',' Axiata ']")</f>
        <v>['application', 'no', 'function', 'delete', 'application', 'error', 'strange', 'provider', 'well-known', 'service', 'user', 'free', ' Lho ',' Severe ',' Change ',' Axiata ']</v>
      </c>
      <c r="D1546" s="3">
        <v>1.0</v>
      </c>
    </row>
    <row r="1547" ht="15.75" customHeight="1">
      <c r="A1547" s="1">
        <v>1545.0</v>
      </c>
      <c r="B1547" s="3" t="s">
        <v>1548</v>
      </c>
      <c r="C1547" s="3" t="str">
        <f>IFERROR(__xludf.DUMMYFUNCTION("GOOGLETRANSLATE(B1547,""id"",""en"")"),"['buy', 'pulse', 'top', 'failed', 'already', 'connects',' account ',' google ',' game ',' pdahal ',' pulse ',' price ',' Vouchers', 'pulse', 'please', 'solution', 'love', 'pulse', 'price', 'voucher', 'writing', 'emng', 'buy', 'quota', 'doang' , 'pulse', '"&amp;"']")</f>
        <v>['buy', 'pulse', 'top', 'failed', 'already', 'connects',' account ',' google ',' game ',' pdahal ',' pulse ',' price ',' Vouchers', 'pulse', 'please', 'solution', 'love', 'pulse', 'price', 'voucher', 'writing', 'emng', 'buy', 'quota', 'doang' , 'pulse', '']</v>
      </c>
      <c r="D1547" s="3">
        <v>3.0</v>
      </c>
    </row>
    <row r="1548" ht="15.75" customHeight="1">
      <c r="A1548" s="1">
        <v>1546.0</v>
      </c>
      <c r="B1548" s="3" t="s">
        <v>1549</v>
      </c>
      <c r="C1548" s="3" t="str">
        <f>IFERROR(__xludf.DUMMYFUNCTION("GOOGLETRANSLATE(B1548,""id"",""en"")"),"['apk', 'trlkomsel', 'open', 'login', 'enter', 'dri', 'yesterday', 'please', 'try', 'repaired', 'update', 'enter', ' ']")</f>
        <v>['apk', 'trlkomsel', 'open', 'login', 'enter', 'dri', 'yesterday', 'please', 'try', 'repaired', 'update', 'enter', ' ']</v>
      </c>
      <c r="D1548" s="3">
        <v>3.0</v>
      </c>
    </row>
    <row r="1549" ht="15.75" customHeight="1">
      <c r="A1549" s="1">
        <v>1547.0</v>
      </c>
      <c r="B1549" s="3" t="s">
        <v>1550</v>
      </c>
      <c r="C1549" s="3" t="str">
        <f>IFERROR(__xludf.DUMMYFUNCTION("GOOGLETRANSLATE(B1549,""id"",""en"")"),"['DRI', 'Date', 'January', 'error', 'just', 'application', 'check', 'ntar', 'turn', 'already', 'notification', 'sorry', ' Check ',' missed ',' strange ',' gini ',' open ',' application ',' smooth ',' knpa ',' telkomsel ',' notif ',' network ',' stable ', "&amp;"""]")</f>
        <v>['DRI', 'Date', 'January', 'error', 'just', 'application', 'check', 'ntar', 'turn', 'already', 'notification', 'sorry', ' Check ',' missed ',' strange ',' gini ',' open ',' application ',' smooth ',' knpa ',' telkomsel ',' notif ',' network ',' stable ', "]</v>
      </c>
      <c r="D1549" s="3">
        <v>3.0</v>
      </c>
    </row>
    <row r="1550" ht="15.75" customHeight="1">
      <c r="A1550" s="1">
        <v>1548.0</v>
      </c>
      <c r="B1550" s="3" t="s">
        <v>1551</v>
      </c>
      <c r="C1550" s="3" t="str">
        <f>IFERROR(__xludf.DUMMYFUNCTION("GOOGLETRANSLATE(B1550,""id"",""en"")"),"['What', 'haha', 'already', 'Try', 'Uninstall', 'Install', 'Tetep', 'Enter', 'Apliation', 'Yaa', 'Heague', 'Bener', ' Something ',' Wrong ',' Something ',' Wrong ',' Deh ']")</f>
        <v>['What', 'haha', 'already', 'Try', 'Uninstall', 'Install', 'Tetep', 'Enter', 'Apliation', 'Yaa', 'Heague', 'Bener', ' Something ',' Wrong ',' Something ',' Wrong ',' Deh ']</v>
      </c>
      <c r="D1550" s="3">
        <v>2.0</v>
      </c>
    </row>
    <row r="1551" ht="15.75" customHeight="1">
      <c r="A1551" s="1">
        <v>1549.0</v>
      </c>
      <c r="B1551" s="3" t="s">
        <v>1552</v>
      </c>
      <c r="C1551" s="3" t="str">
        <f>IFERROR(__xludf.DUMMYFUNCTION("GOOGLETRANSLATE(B1551,""id"",""en"")"),"['Disappointed', 'offered', 'told', 'Change', 'card', 'Hello', 'Prepaid', 'Login', 'Dimy', 'Telkomsel', 'Please', 'repaired', ' Update ',' branch ']")</f>
        <v>['Disappointed', 'offered', 'told', 'Change', 'card', 'Hello', 'Prepaid', 'Login', 'Dimy', 'Telkomsel', 'Please', 'repaired', ' Update ',' branch ']</v>
      </c>
      <c r="D1551" s="3">
        <v>1.0</v>
      </c>
    </row>
    <row r="1552" ht="15.75" customHeight="1">
      <c r="A1552" s="1">
        <v>1550.0</v>
      </c>
      <c r="B1552" s="3" t="s">
        <v>1553</v>
      </c>
      <c r="C1552" s="3" t="str">
        <f>IFERROR(__xludf.DUMMYFUNCTION("GOOGLETRANSLATE(B1552,""id"",""en"")"),"['The network', 'the application', 'enter', 'network', 'slow', 'gratitude', 'enter', 'all day', 'wait', 'essence', 'network', 'application', ' network ',' destroyed ',' network ',' move ',' network ',' ']")</f>
        <v>['The network', 'the application', 'enter', 'network', 'slow', 'gratitude', 'enter', 'all day', 'wait', 'essence', 'network', 'application', ' network ',' destroyed ',' network ',' move ',' network ',' ']</v>
      </c>
      <c r="D1552" s="3">
        <v>1.0</v>
      </c>
    </row>
    <row r="1553" ht="15.75" customHeight="1">
      <c r="A1553" s="1">
        <v>1551.0</v>
      </c>
      <c r="B1553" s="3" t="s">
        <v>1554</v>
      </c>
      <c r="C1553" s="3" t="str">
        <f>IFERROR(__xludf.DUMMYFUNCTION("GOOGLETRANSLATE(B1553,""id"",""en"")"),"['The application', 'Sometimes',' sometimes', 'open', 'right', 'enter', 'then', 'times',' send ',' Link ',' enter ',' enter ',' Chek ',' then ',' right ',' take ',' bonus', 'quota', 'error', 'then', 'writing', 'enter', 'application', ""]")</f>
        <v>['The application', 'Sometimes',' sometimes', 'open', 'right', 'enter', 'then', 'times',' send ',' Link ',' enter ',' enter ',' Chek ',' then ',' right ',' take ',' bonus', 'quota', 'error', 'then', 'writing', 'enter', 'application', "]</v>
      </c>
      <c r="D1553" s="3">
        <v>1.0</v>
      </c>
    </row>
    <row r="1554" ht="15.75" customHeight="1">
      <c r="A1554" s="1">
        <v>1552.0</v>
      </c>
      <c r="B1554" s="3" t="s">
        <v>1555</v>
      </c>
      <c r="C1554" s="3" t="str">
        <f>IFERROR(__xludf.DUMMYFUNCTION("GOOGLETRANSLATE(B1554,""id"",""en"")"),"['Application', 'buy', 'package', 'difficult', 'Try', 'Delete', 'then' download ',' login ',' writing ',' Something ',' Went ',' Wrong ',' Please ',' Try ',' Againt ',' After ',' Sometime ',' UDH ',' Try ',' Brapa ',' Times', 'APK', 'Taiii', ""]")</f>
        <v>['Application', 'buy', 'package', 'difficult', 'Try', 'Delete', 'then' download ',' login ',' writing ',' Something ',' Went ',' Wrong ',' Please ',' Try ',' Againt ',' After ',' Sometime ',' UDH ',' Try ',' Brapa ',' Times', 'APK', 'Taiii', "]</v>
      </c>
      <c r="D1554" s="3">
        <v>1.0</v>
      </c>
    </row>
    <row r="1555" ht="15.75" customHeight="1">
      <c r="A1555" s="1">
        <v>1553.0</v>
      </c>
      <c r="B1555" s="3" t="s">
        <v>1556</v>
      </c>
      <c r="C1555" s="3" t="str">
        <f>IFERROR(__xludf.DUMMYFUNCTION("GOOGLETRANSLATE(B1555,""id"",""en"")"),"['Disappointed', 'Enter', 'Karna', 'Network', 'Canal', 'Error', 'Buy', 'Credit', 'Buy', 'Paketan', 'Disney', 'Please', ' repair']")</f>
        <v>['Disappointed', 'Enter', 'Karna', 'Network', 'Canal', 'Error', 'Buy', 'Credit', 'Buy', 'Paketan', 'Disney', 'Please', ' repair']</v>
      </c>
      <c r="D1555" s="3">
        <v>2.0</v>
      </c>
    </row>
    <row r="1556" ht="15.75" customHeight="1">
      <c r="A1556" s="1">
        <v>1554.0</v>
      </c>
      <c r="B1556" s="3" t="s">
        <v>1557</v>
      </c>
      <c r="C1556" s="3" t="str">
        <f>IFERROR(__xludf.DUMMYFUNCTION("GOOGLETRANSLATE(B1556,""id"",""en"")"),"['Login', 'Please', 'Check', 'Your', 'Connection', 'Mulu', 'Test', 'Application', 'Current', 'Streaming', 'Current', 'Please', ' repair']")</f>
        <v>['Login', 'Please', 'Check', 'Your', 'Connection', 'Mulu', 'Test', 'Application', 'Current', 'Streaming', 'Current', 'Please', ' repair']</v>
      </c>
      <c r="D1556" s="3">
        <v>2.0</v>
      </c>
    </row>
    <row r="1557" ht="15.75" customHeight="1">
      <c r="A1557" s="1">
        <v>1555.0</v>
      </c>
      <c r="B1557" s="3" t="s">
        <v>1558</v>
      </c>
      <c r="C1557" s="3" t="str">
        <f>IFERROR(__xludf.DUMMYFUNCTION("GOOGLETRANSLATE(B1557,""id"",""en"")"),"['The application', 'like', 'Close', 'Disappointed', 'Signal', 'already', 'Bertaon', 'Taon', 'Signal', 'Telkomsel', 'Knp', 'chaotic', ' ']")</f>
        <v>['The application', 'like', 'Close', 'Disappointed', 'Signal', 'already', 'Bertaon', 'Taon', 'Signal', 'Telkomsel', 'Knp', 'chaotic', ' ']</v>
      </c>
      <c r="D1557" s="3">
        <v>1.0</v>
      </c>
    </row>
    <row r="1558" ht="15.75" customHeight="1">
      <c r="A1558" s="1">
        <v>1556.0</v>
      </c>
      <c r="B1558" s="3" t="s">
        <v>1559</v>
      </c>
      <c r="C1558" s="3" t="str">
        <f>IFERROR(__xludf.DUMMYFUNCTION("GOOGLETRANSLATE(B1558,""id"",""en"")"),"['Application', 'Open', 'Application', 'Posts',' Connection ',' Stable ',' Please ',' Try ',' Network ',' Good ',' Used ',' YouTube ',' Current ',' update ',' Please ',' repair ',' pls', 'kayak', 'gini']")</f>
        <v>['Application', 'Open', 'Application', 'Posts',' Connection ',' Stable ',' Please ',' Try ',' Network ',' Good ',' Used ',' YouTube ',' Current ',' update ',' Please ',' repair ',' pls', 'kayak', 'gini']</v>
      </c>
      <c r="D1558" s="3">
        <v>2.0</v>
      </c>
    </row>
    <row r="1559" ht="15.75" customHeight="1">
      <c r="A1559" s="1">
        <v>1557.0</v>
      </c>
      <c r="B1559" s="3" t="s">
        <v>1560</v>
      </c>
      <c r="C1559" s="3" t="str">
        <f>IFERROR(__xludf.DUMMYFUNCTION("GOOGLETRANSLATE(B1559,""id"",""en"")"),"['entry', 'application', 'Telkomsel', 'Uninstall', 'Install', 'reset', 'update', 'enter', 'use', 'number', 'telephone', 'disappointing', ' ']")</f>
        <v>['entry', 'application', 'Telkomsel', 'Uninstall', 'Install', 'reset', 'update', 'enter', 'use', 'number', 'telephone', 'disappointing', ' ']</v>
      </c>
      <c r="D1559" s="3">
        <v>1.0</v>
      </c>
    </row>
    <row r="1560" ht="15.75" customHeight="1">
      <c r="A1560" s="1">
        <v>1558.0</v>
      </c>
      <c r="B1560" s="3" t="s">
        <v>1561</v>
      </c>
      <c r="C1560" s="3" t="str">
        <f>IFERROR(__xludf.DUMMYFUNCTION("GOOGLETRANSLATE(B1560,""id"",""en"")"),"['Disappointed', 'Peforma', 'SMS', 'Hotoffer', 'Credit', 'Filled', 'Package', 'Purchased', 'Information', 'Explain', 'Customer', 'Price', ' expensive ',' service ', ""]")</f>
        <v>['Disappointed', 'Peforma', 'SMS', 'Hotoffer', 'Credit', 'Filled', 'Package', 'Purchased', 'Information', 'Explain', 'Customer', 'Price', ' expensive ',' service ', "]</v>
      </c>
      <c r="D1560" s="3">
        <v>1.0</v>
      </c>
    </row>
    <row r="1561" ht="15.75" customHeight="1">
      <c r="A1561" s="1">
        <v>1559.0</v>
      </c>
      <c r="B1561" s="3" t="s">
        <v>1562</v>
      </c>
      <c r="C1561" s="3" t="str">
        <f>IFERROR(__xludf.DUMMYFUNCTION("GOOGLETRANSLATE(B1561,""id"",""en"")"),"['Fix', 'application', 'login', 'network', 'ugly', 'woo', 'network', 'telkomsel', 'already', 'good', 'login', 'company', ' Until ',' slow ',' Gini ',' handling ',' Adehch ',' disappointed ',' heavy ', ""]")</f>
        <v>['Fix', 'application', 'login', 'network', 'ugly', 'woo', 'network', 'telkomsel', 'already', 'good', 'login', 'company', ' Until ',' slow ',' Gini ',' handling ',' Adehch ',' disappointed ',' heavy ', "]</v>
      </c>
      <c r="D1561" s="3">
        <v>1.0</v>
      </c>
    </row>
    <row r="1562" ht="15.75" customHeight="1">
      <c r="A1562" s="1">
        <v>1560.0</v>
      </c>
      <c r="B1562" s="3" t="s">
        <v>1563</v>
      </c>
      <c r="C1562" s="3" t="str">
        <f>IFERROR(__xludf.DUMMYFUNCTION("GOOGLETRANSLATE(B1562,""id"",""en"")"),"['signal', 'bad', 'sometimes',' sometimes', 'ilang', 'lho', 'sleep', 'disappointed', 'really', 'already', 'expensive', 'network', ' disappointed ',' really ',' Telkomsel ',' app ',' open ',' pdhal ',' signal ',' full ', ""]")</f>
        <v>['signal', 'bad', 'sometimes',' sometimes', 'ilang', 'lho', 'sleep', 'disappointed', 'really', 'already', 'expensive', 'network', ' disappointed ',' really ',' Telkomsel ',' app ',' open ',' pdhal ',' signal ',' full ', "]</v>
      </c>
      <c r="D1562" s="3">
        <v>1.0</v>
      </c>
    </row>
    <row r="1563" ht="15.75" customHeight="1">
      <c r="A1563" s="1">
        <v>1561.0</v>
      </c>
      <c r="B1563" s="3" t="s">
        <v>1564</v>
      </c>
      <c r="C1563" s="3" t="str">
        <f>IFERROR(__xludf.DUMMYFUNCTION("GOOGLETRANSLATE(B1563,""id"",""en"")"),"['Disappointed', 'Telkomsel', 'Ngeluarin', 'Application', 'Support', 'Network', 'Severe', 'Severe', 'Severe', 'Signs',' Telkomsel ',' Customer ',' Disappointed ',' loss', 'Customer', 'fix', '']")</f>
        <v>['Disappointed', 'Telkomsel', 'Ngeluarin', 'Application', 'Support', 'Network', 'Severe', 'Severe', 'Severe', 'Signs',' Telkomsel ',' Customer ',' Disappointed ',' loss', 'Customer', 'fix', '']</v>
      </c>
      <c r="D1563" s="3">
        <v>1.0</v>
      </c>
    </row>
    <row r="1564" ht="15.75" customHeight="1">
      <c r="A1564" s="1">
        <v>1562.0</v>
      </c>
      <c r="B1564" s="3" t="s">
        <v>1565</v>
      </c>
      <c r="C1564" s="3" t="str">
        <f>IFERROR(__xludf.DUMMYFUNCTION("GOOGLETRANSLATE(B1564,""id"",""en"")"),"['just', 'buy', 'package', 'data', 'application', 'mytelkomsel', 'error', 'beg', 'repaired', 'what', 'problem', 'user', ' telkomsel ',' times', 'buy', 'thank', 'love', 'his attention', 'hope', 'ngk', 'error']")</f>
        <v>['just', 'buy', 'package', 'data', 'application', 'mytelkomsel', 'error', 'beg', 'repaired', 'what', 'problem', 'user', ' telkomsel ',' times', 'buy', 'thank', 'love', 'his attention', 'hope', 'ngk', 'error']</v>
      </c>
      <c r="D1564" s="3">
        <v>2.0</v>
      </c>
    </row>
    <row r="1565" ht="15.75" customHeight="1">
      <c r="A1565" s="1">
        <v>1563.0</v>
      </c>
      <c r="B1565" s="3" t="s">
        <v>1566</v>
      </c>
      <c r="C1565" s="3" t="str">
        <f>IFERROR(__xludf.DUMMYFUNCTION("GOOGLETRANSLATE(B1565,""id"",""en"")"),"['', 'forgiveness', 'times', 'Application', 'Telkomsel', 'disorder', 'ngeta', 'what' do ',' error ',' install ',' reset ',' ckckck ',' already ',' ']")</f>
        <v>['', 'forgiveness', 'times', 'Application', 'Telkomsel', 'disorder', 'ngeta', 'what' do ',' error ',' install ',' reset ',' ckckck ',' already ',' ']</v>
      </c>
      <c r="D1565" s="3">
        <v>1.0</v>
      </c>
    </row>
    <row r="1566" ht="15.75" customHeight="1">
      <c r="A1566" s="1">
        <v>1564.0</v>
      </c>
      <c r="B1566" s="3" t="s">
        <v>1567</v>
      </c>
      <c r="C1566" s="3" t="str">
        <f>IFERROR(__xludf.DUMMYFUNCTION("GOOGLETRANSLATE(B1566,""id"",""en"")"),"['The application', 'opened', 'already', 'contents',' pulse ',' sain ',' buy ',' package ',' customized ',' price ',' quality ',' service ',' expensive ',' emg ',' good ',' already ',' expensive ',' slow ',' error ',' beg ',' repair ']")</f>
        <v>['The application', 'opened', 'already', 'contents',' pulse ',' sain ',' buy ',' package ',' customized ',' price ',' quality ',' service ',' expensive ',' emg ',' good ',' already ',' expensive ',' slow ',' error ',' beg ',' repair ']</v>
      </c>
      <c r="D1566" s="3">
        <v>1.0</v>
      </c>
    </row>
    <row r="1567" ht="15.75" customHeight="1">
      <c r="A1567" s="1">
        <v>1565.0</v>
      </c>
      <c r="B1567" s="3" t="s">
        <v>1568</v>
      </c>
      <c r="C1567" s="3" t="str">
        <f>IFERROR(__xludf.DUMMYFUNCTION("GOOGLETRANSLATE(B1567,""id"",""en"")"),"['out', 'renewal', 'login', 'sich', 'poor', 'package', 'run out', 'fast', 'repaired', 'uninstall', 'download', 'Laya', ' Gini ',' Mending ',' Move ',' Operator ',' Cellular ']")</f>
        <v>['out', 'renewal', 'login', 'sich', 'poor', 'package', 'run out', 'fast', 'repaired', 'uninstall', 'download', 'Laya', ' Gini ',' Mending ',' Move ',' Operator ',' Cellular ']</v>
      </c>
      <c r="D1567" s="3">
        <v>1.0</v>
      </c>
    </row>
    <row r="1568" ht="15.75" customHeight="1">
      <c r="A1568" s="1">
        <v>1566.0</v>
      </c>
      <c r="B1568" s="3" t="s">
        <v>1569</v>
      </c>
      <c r="C1568" s="3" t="str">
        <f>IFERROR(__xludf.DUMMYFUNCTION("GOOGLETRANSLATE(B1568,""id"",""en"")"),"['disappointed', 'network', 'slow', 'UFH', 'expensive', 'slow', 'PERRH', 'rich', 'gini', 'times',' disappointed ',' Telkomsel ',' Makasiih ',' yaa ',' waste ',' card ',' change ',' friend ',' UDH ',' replace ',' UDH ',' Telkomsel ',' Telkomsel ',' buurruu"&amp;"kkk ', ""]")</f>
        <v>['disappointed', 'network', 'slow', 'UFH', 'expensive', 'slow', 'PERRH', 'rich', 'gini', 'times',' disappointed ',' Telkomsel ',' Makasiih ',' yaa ',' waste ',' card ',' change ',' friend ',' UDH ',' replace ',' UDH ',' Telkomsel ',' Telkomsel ',' buurruukkk ', "]</v>
      </c>
      <c r="D1568" s="3">
        <v>1.0</v>
      </c>
    </row>
    <row r="1569" ht="15.75" customHeight="1">
      <c r="A1569" s="1">
        <v>1567.0</v>
      </c>
      <c r="B1569" s="3" t="s">
        <v>1570</v>
      </c>
      <c r="C1569" s="3" t="str">
        <f>IFERROR(__xludf.DUMMYFUNCTION("GOOGLETRANSLATE(B1569,""id"",""en"")"),"['Application', 'Telkomsel', 'Dipake', 'TBTB', 'Logout', 'Login', 'Failed', 'Internet', 'Package', 'Internet', 'Signal', 'Current', ' Login ',' Application ',' FAILUR ',' How ',' Donk ',' ']")</f>
        <v>['Application', 'Telkomsel', 'Dipake', 'TBTB', 'Logout', 'Login', 'Failed', 'Internet', 'Package', 'Internet', 'Signal', 'Current', ' Login ',' Application ',' FAILUR ',' How ',' Donk ',' ']</v>
      </c>
      <c r="D1569" s="3">
        <v>2.0</v>
      </c>
    </row>
    <row r="1570" ht="15.75" customHeight="1">
      <c r="A1570" s="1">
        <v>1568.0</v>
      </c>
      <c r="B1570" s="3" t="s">
        <v>1571</v>
      </c>
      <c r="C1570" s="3" t="str">
        <f>IFERROR(__xludf.DUMMYFUNCTION("GOOGLETRANSLATE(B1570,""id"",""en"")"),"['Kelogout', 'right', 'login', 'reset', 'Something', 'Went', 'Wrong', 'Try', 'Try', 'told', 'Login', ' Ntar ',' already ',' a day ',' Uninstall ',' uninstall ',' reset ',' Tetep ',' That's', 'Wonder', 'Already', 'Package', 'Different', 'Minutes' , 'Doang'"&amp;", '']")</f>
        <v>['Kelogout', 'right', 'login', 'reset', 'Something', 'Went', 'Wrong', 'Try', 'Try', 'told', 'Login', ' Ntar ',' already ',' a day ',' Uninstall ',' uninstall ',' reset ',' Tetep ',' That's', 'Wonder', 'Already', 'Package', 'Different', 'Minutes' , 'Doang', '']</v>
      </c>
      <c r="D1570" s="3">
        <v>1.0</v>
      </c>
    </row>
    <row r="1571" ht="15.75" customHeight="1">
      <c r="A1571" s="1">
        <v>1569.0</v>
      </c>
      <c r="B1571" s="3" t="s">
        <v>1572</v>
      </c>
      <c r="C1571" s="3" t="str">
        <f>IFERROR(__xludf.DUMMYFUNCTION("GOOGLETRANSLATE(B1571,""id"",""en"")"),"['Login', 'enter', 'application', 'already', 'uninstall', 'install', 'tetep', 'login']")</f>
        <v>['Login', 'enter', 'application', 'already', 'uninstall', 'install', 'tetep', 'login']</v>
      </c>
      <c r="D1571" s="3">
        <v>1.0</v>
      </c>
    </row>
    <row r="1572" ht="15.75" customHeight="1">
      <c r="A1572" s="1">
        <v>1570.0</v>
      </c>
      <c r="B1572" s="3" t="s">
        <v>1573</v>
      </c>
      <c r="C1572" s="3" t="str">
        <f>IFERROR(__xludf.DUMMYFUNCTION("GOOGLETRANSLATE(B1572,""id"",""en"")"),"['Adlh', 'Customer', 'Telkomsel', 'Not bad', 'Network', 'Telkomsel', 'Knp', 'Ancur', 'Signal', 'Knp', 'Internet', 'Leet', ' Telkomsel ',' Throw ',' Sono ',' Please ',' Fix ',' Network ']")</f>
        <v>['Adlh', 'Customer', 'Telkomsel', 'Not bad', 'Network', 'Telkomsel', 'Knp', 'Ancur', 'Signal', 'Knp', 'Internet', 'Leet', ' Telkomsel ',' Throw ',' Sono ',' Please ',' Fix ',' Network ']</v>
      </c>
      <c r="D1572" s="3">
        <v>1.0</v>
      </c>
    </row>
    <row r="1573" ht="15.75" customHeight="1">
      <c r="A1573" s="1">
        <v>1571.0</v>
      </c>
      <c r="B1573" s="3" t="s">
        <v>1574</v>
      </c>
      <c r="C1573" s="3" t="str">
        <f>IFERROR(__xludf.DUMMYFUNCTION("GOOGLETRANSLATE(B1573,""id"",""en"")"),"['Application', 'Error', 'Freeze', 'Slalu', 'Disconect', 'Data', 'Full', 'Please', 'Developer', 'Fix', 'Bug', 'Device', ' Oppo ',' ']")</f>
        <v>['Application', 'Error', 'Freeze', 'Slalu', 'Disconect', 'Data', 'Full', 'Please', 'Developer', 'Fix', 'Bug', 'Device', ' Oppo ',' ']</v>
      </c>
      <c r="D1573" s="3">
        <v>2.0</v>
      </c>
    </row>
    <row r="1574" ht="15.75" customHeight="1">
      <c r="A1574" s="1">
        <v>1572.0</v>
      </c>
      <c r="B1574" s="3" t="s">
        <v>1575</v>
      </c>
      <c r="C1574" s="3" t="str">
        <f>IFERROR(__xludf.DUMMYFUNCTION("GOOGLETRANSLATE(B1574,""id"",""en"")"),"['Signal', 'bad', 'stable', 'really', 'getting', 'Ujan', 'down', 'hit', 'wind', 'down', 'good', 'win', ' expensive ',' quota ',' quota ',' trap ',' report ',' admin ',' Telkomsel ',' hear ',' beaving ',' empty ',' replace ',' smarfren ']")</f>
        <v>['Signal', 'bad', 'stable', 'really', 'getting', 'Ujan', 'down', 'hit', 'wind', 'down', 'good', 'win', ' expensive ',' quota ',' quota ',' trap ',' report ',' admin ',' Telkomsel ',' hear ',' beaving ',' empty ',' replace ',' smarfren ']</v>
      </c>
      <c r="D1574" s="3">
        <v>1.0</v>
      </c>
    </row>
    <row r="1575" ht="15.75" customHeight="1">
      <c r="A1575" s="1">
        <v>1573.0</v>
      </c>
      <c r="B1575" s="3" t="s">
        <v>1576</v>
      </c>
      <c r="C1575" s="3" t="str">
        <f>IFERROR(__xludf.DUMMYFUNCTION("GOOGLETRANSLATE(B1575,""id"",""en"")"),"['signal', 'missing', 'embossed', 'reported', 'siverononic', 'reply', 'bot', 'mulu', 'checked', 'cs',' change ',' disappointing ',' Class', 'Telkomsel', 'repair', '']")</f>
        <v>['signal', 'missing', 'embossed', 'reported', 'siverononic', 'reply', 'bot', 'mulu', 'checked', 'cs',' change ',' disappointing ',' Class', 'Telkomsel', 'repair', '']</v>
      </c>
      <c r="D1575" s="3">
        <v>1.0</v>
      </c>
    </row>
    <row r="1576" ht="15.75" customHeight="1">
      <c r="A1576" s="1">
        <v>1574.0</v>
      </c>
      <c r="B1576" s="3" t="s">
        <v>1577</v>
      </c>
      <c r="C1576" s="3" t="str">
        <f>IFERROR(__xludf.DUMMYFUNCTION("GOOGLETRANSLATE(B1576,""id"",""en"")"),"['Fix', 'System', 'Buy', 'Package', 'Certified', 'Sorry', 'Disruption', 'System', 'Improvement', 'Slow', 'Morning', 'Need', ' package ',' purposes', 'work']")</f>
        <v>['Fix', 'System', 'Buy', 'Package', 'Certified', 'Sorry', 'Disruption', 'System', 'Improvement', 'Slow', 'Morning', 'Need', ' package ',' purposes', 'work']</v>
      </c>
      <c r="D1576" s="3">
        <v>1.0</v>
      </c>
    </row>
    <row r="1577" ht="15.75" customHeight="1">
      <c r="A1577" s="1">
        <v>1575.0</v>
      </c>
      <c r="B1577" s="3" t="s">
        <v>1578</v>
      </c>
      <c r="C1577" s="3" t="str">
        <f>IFERROR(__xludf.DUMMYFUNCTION("GOOGLETRANSLATE(B1577,""id"",""en"")"),"['Login', 'input', 'number', 'enter', 'application', 'please', 'response', 'disappointed', 'really', 'dahh']")</f>
        <v>['Login', 'input', 'number', 'enter', 'application', 'please', 'response', 'disappointed', 'really', 'dahh']</v>
      </c>
      <c r="D1577" s="3">
        <v>1.0</v>
      </c>
    </row>
    <row r="1578" ht="15.75" customHeight="1">
      <c r="A1578" s="1">
        <v>1576.0</v>
      </c>
      <c r="B1578" s="3" t="s">
        <v>1579</v>
      </c>
      <c r="C1578" s="3" t="str">
        <f>IFERROR(__xludf.DUMMYFUNCTION("GOOGLETRANSLATE(B1578,""id"",""en"")"),"['voucher', 'Telkomsel', 'buy', 'entered', 'card', 'active', 'Try', 'contact', 'Telkomsel', 'Waiting', 'Litten', 'TLPN', ' Dipotus', 'how', '']")</f>
        <v>['voucher', 'Telkomsel', 'buy', 'entered', 'card', 'active', 'Try', 'contact', 'Telkomsel', 'Waiting', 'Litten', 'TLPN', ' Dipotus', 'how', '']</v>
      </c>
      <c r="D1578" s="3">
        <v>3.0</v>
      </c>
    </row>
    <row r="1579" ht="15.75" customHeight="1">
      <c r="A1579" s="1">
        <v>1577.0</v>
      </c>
      <c r="B1579" s="3" t="s">
        <v>1580</v>
      </c>
      <c r="C1579" s="3" t="str">
        <f>IFERROR(__xludf.DUMMYFUNCTION("GOOGLETRANSLATE(B1579,""id"",""en"")"),"['application', 'error', 'just', 'update', 'noticed', 'updated', 'Bener', 'error', 'provider', ""]")</f>
        <v>['application', 'error', 'just', 'update', 'noticed', 'updated', 'Bener', 'error', 'provider', "]</v>
      </c>
      <c r="D1579" s="3">
        <v>1.0</v>
      </c>
    </row>
    <row r="1580" ht="15.75" customHeight="1">
      <c r="A1580" s="1">
        <v>1578.0</v>
      </c>
      <c r="B1580" s="3" t="s">
        <v>1581</v>
      </c>
      <c r="C1580" s="3" t="str">
        <f>IFERROR(__xludf.DUMMYFUNCTION("GOOGLETRANSLATE(B1580,""id"",""en"")"),"['Hey', 'eat', 'salary', 'blind', 'your application', 'no', 'open', 'verification', 'number', 'login', 'customer', 'Telkomsel', ' disappointed', '']")</f>
        <v>['Hey', 'eat', 'salary', 'blind', 'your application', 'no', 'open', 'verification', 'number', 'login', 'customer', 'Telkomsel', ' disappointed', '']</v>
      </c>
      <c r="D1580" s="3">
        <v>1.0</v>
      </c>
    </row>
    <row r="1581" ht="15.75" customHeight="1">
      <c r="A1581" s="1">
        <v>1579.0</v>
      </c>
      <c r="B1581" s="3" t="s">
        <v>1582</v>
      </c>
      <c r="C1581" s="3" t="str">
        <f>IFERROR(__xludf.DUMMYFUNCTION("GOOGLETRANSLATE(B1581,""id"",""en"")"),"['Syyak', 'Lemot', 'Ngembin', 'Card', 'Tri', 'APK', 'MyTelkomsel', 'Error', 'Repair', 'Untun', 'Region', 'Metro', ' Lampung ',' Woy ',' City ',' Pormo ',' Package ',' Cheap ',' Jga ',' Signal ',' Lemot ', ""]")</f>
        <v>['Syyak', 'Lemot', 'Ngembin', 'Card', 'Tri', 'APK', 'MyTelkomsel', 'Error', 'Repair', 'Untun', 'Region', 'Metro', ' Lampung ',' Woy ',' City ',' Pormo ',' Package ',' Cheap ',' Jga ',' Signal ',' Lemot ', "]</v>
      </c>
      <c r="D1581" s="3">
        <v>1.0</v>
      </c>
    </row>
    <row r="1582" ht="15.75" customHeight="1">
      <c r="A1582" s="1">
        <v>1580.0</v>
      </c>
      <c r="B1582" s="3" t="s">
        <v>1583</v>
      </c>
      <c r="C1582" s="3" t="str">
        <f>IFERROR(__xludf.DUMMYFUNCTION("GOOGLETRANSLATE(B1582,""id"",""en"")"),"['Severe', 'repairs',' open ',' application ',' internet ',' smooth ',' Jaya ',' application ',' sorry ',' disorder ',' system ',' check ',' Connection ',' repeat ',' transaction ',' ']")</f>
        <v>['Severe', 'repairs',' open ',' application ',' internet ',' smooth ',' Jaya ',' application ',' sorry ',' disorder ',' system ',' check ',' Connection ',' repeat ',' transaction ',' ']</v>
      </c>
      <c r="D1582" s="3">
        <v>1.0</v>
      </c>
    </row>
    <row r="1583" ht="15.75" customHeight="1">
      <c r="A1583" s="1">
        <v>1581.0</v>
      </c>
      <c r="B1583" s="3" t="s">
        <v>1584</v>
      </c>
      <c r="C1583" s="3" t="str">
        <f>IFERROR(__xludf.DUMMYFUNCTION("GOOGLETRANSLATE(B1583,""id"",""en"")"),"['App', 'open', 'quota', 'road', 'heavy', 'open', 'emotion', 'plan', 'buy', 'quota', 'fill', 'pulse', ' buy ',' quota ',' right ',' buy ',' quota ',' pulse ',' told ',' use ',' mode ',' payment ',' anjim ',' sia ',' pulse ' , 'Jim', '']")</f>
        <v>['App', 'open', 'quota', 'road', 'heavy', 'open', 'emotion', 'plan', 'buy', 'quota', 'fill', 'pulse', ' buy ',' quota ',' right ',' buy ',' quota ',' pulse ',' told ',' use ',' mode ',' payment ',' anjim ',' sia ',' pulse ' , 'Jim', '']</v>
      </c>
      <c r="D1583" s="3">
        <v>1.0</v>
      </c>
    </row>
    <row r="1584" ht="15.75" customHeight="1">
      <c r="A1584" s="1">
        <v>1582.0</v>
      </c>
      <c r="B1584" s="3" t="s">
        <v>1585</v>
      </c>
      <c r="C1584" s="3" t="str">
        <f>IFERROR(__xludf.DUMMYFUNCTION("GOOGLETRANSLATE(B1584,""id"",""en"")"),"['disappointing', 'enter', 'Telkomsel', 'difficult', 'buy', 'package', 'according to', 'price', 'printed', 'notification', 'sms', 'Telkomsel']")</f>
        <v>['disappointing', 'enter', 'Telkomsel', 'difficult', 'buy', 'package', 'according to', 'price', 'printed', 'notification', 'sms', 'Telkomsel']</v>
      </c>
      <c r="D1584" s="3">
        <v>1.0</v>
      </c>
    </row>
    <row r="1585" ht="15.75" customHeight="1">
      <c r="A1585" s="1">
        <v>1583.0</v>
      </c>
      <c r="B1585" s="3" t="s">
        <v>1586</v>
      </c>
      <c r="C1585" s="3" t="str">
        <f>IFERROR(__xludf.DUMMYFUNCTION("GOOGLETRANSLATE(B1585,""id"",""en"")"),"['rank', 'platinum', 'profit', 'boong', 'severe', 'expensive', 'choice', 'package', 'features',' omg ',' unlimited ',' udh ',' ']")</f>
        <v>['rank', 'platinum', 'profit', 'boong', 'severe', 'expensive', 'choice', 'package', 'features',' omg ',' unlimited ',' udh ',' ']</v>
      </c>
      <c r="D1585" s="3">
        <v>2.0</v>
      </c>
    </row>
    <row r="1586" ht="15.75" customHeight="1">
      <c r="A1586" s="1">
        <v>1584.0</v>
      </c>
      <c r="B1586" s="3" t="s">
        <v>1587</v>
      </c>
      <c r="C1586" s="3" t="str">
        <f>IFERROR(__xludf.DUMMYFUNCTION("GOOGLETRANSLATE(B1586,""id"",""en"")"),"['disappointedaaaaaa', 'forgiveness', 'application', 'slow', 'ram', 'GB', 'promo', 'gave', 'menu', 'hot', 'offer', 'according to' Notified ',' SMS ',' ']")</f>
        <v>['disappointedaaaaaa', 'forgiveness', 'application', 'slow', 'ram', 'GB', 'promo', 'gave', 'menu', 'hot', 'offer', 'according to' Notified ',' SMS ',' ']</v>
      </c>
      <c r="D1586" s="3">
        <v>1.0</v>
      </c>
    </row>
    <row r="1587" ht="15.75" customHeight="1">
      <c r="A1587" s="1">
        <v>1585.0</v>
      </c>
      <c r="B1587" s="3" t="s">
        <v>1588</v>
      </c>
      <c r="C1587" s="3" t="str">
        <f>IFERROR(__xludf.DUMMYFUNCTION("GOOGLETRANSLATE(B1587,""id"",""en"")"),"['why', 'enter', 'account', 'difficult', 'pket', 'data', 'difficult', 'enter', 'account', 'please', 'fix', 'customer', ' Disappointed ',' account ',' anjink ']")</f>
        <v>['why', 'enter', 'account', 'difficult', 'pket', 'data', 'difficult', 'enter', 'account', 'please', 'fix', 'customer', ' Disappointed ',' account ',' anjink ']</v>
      </c>
      <c r="D1587" s="3">
        <v>2.0</v>
      </c>
    </row>
    <row r="1588" ht="15.75" customHeight="1">
      <c r="A1588" s="1">
        <v>1586.0</v>
      </c>
      <c r="B1588" s="3" t="s">
        <v>1589</v>
      </c>
      <c r="C1588" s="3" t="str">
        <f>IFERROR(__xludf.DUMMYFUNCTION("GOOGLETRANSLATE(B1588,""id"",""en"")"),"['Lack', 'Loading', 'Mulu', 'Application', 'Light', 'Eat', 'Quota', 'Open', 'Page', 'Heavy', 'Close', 'Automatic', ' Walk ',' background ',' ']")</f>
        <v>['Lack', 'Loading', 'Mulu', 'Application', 'Light', 'Eat', 'Quota', 'Open', 'Page', 'Heavy', 'Close', 'Automatic', ' Walk ',' background ',' ']</v>
      </c>
      <c r="D1588" s="3">
        <v>1.0</v>
      </c>
    </row>
    <row r="1589" ht="15.75" customHeight="1">
      <c r="A1589" s="1">
        <v>1587.0</v>
      </c>
      <c r="B1589" s="3" t="s">
        <v>1590</v>
      </c>
      <c r="C1589" s="3" t="str">
        <f>IFERROR(__xludf.DUMMYFUNCTION("GOOGLETRANSLATE(B1589,""id"",""en"")"),"['application', 'use', 'open', 'connection', 'internet', 'stable', 'download', 'speed', 'internet', 'MB', 'Severe', 'Telkomsel', ' Please, 'Fix', 'Application', 'Telkomsel', 'Min']")</f>
        <v>['application', 'use', 'open', 'connection', 'internet', 'stable', 'download', 'speed', 'internet', 'MB', 'Severe', 'Telkomsel', ' Please, 'Fix', 'Application', 'Telkomsel', 'Min']</v>
      </c>
      <c r="D1589" s="3">
        <v>3.0</v>
      </c>
    </row>
    <row r="1590" ht="15.75" customHeight="1">
      <c r="A1590" s="1">
        <v>1588.0</v>
      </c>
      <c r="B1590" s="3" t="s">
        <v>1591</v>
      </c>
      <c r="C1590" s="3" t="str">
        <f>IFERROR(__xludf.DUMMYFUNCTION("GOOGLETRANSLATE(B1590,""id"",""en"")"),"['open', 'application', 'data', 'Loading', 'Kbps',' Loading ',' joking ',' application ',' network ',' system ',' dilapidated ',' customer ',' Telkomsel ',' promo ',' package ',' cheap ',' expensive ',' expensive ',' expensive ',' where ',' package ',' em"&amp;"ergency ',' where ',' system ',' point ' , 'Point', 'Point', 'exchanged', 'anything', 'exchanged', 'lottery']")</f>
        <v>['open', 'application', 'data', 'Loading', 'Kbps',' Loading ',' joking ',' application ',' network ',' system ',' dilapidated ',' customer ',' Telkomsel ',' promo ',' package ',' cheap ',' expensive ',' expensive ',' expensive ',' where ',' package ',' emergency ',' where ',' system ',' point ' , 'Point', 'Point', 'exchanged', 'anything', 'exchanged', 'lottery']</v>
      </c>
      <c r="D1590" s="3">
        <v>1.0</v>
      </c>
    </row>
    <row r="1591" ht="15.75" customHeight="1">
      <c r="A1591" s="1">
        <v>1589.0</v>
      </c>
      <c r="B1591" s="3" t="s">
        <v>1592</v>
      </c>
      <c r="C1591" s="3" t="str">
        <f>IFERROR(__xludf.DUMMYFUNCTION("GOOGLETRANSLATE(B1591,""id"",""en"")"),"['apk', 'update', 'log', 'number', 'registered', 'change', 'try', 'log', 'dngn', 'log', 'fate', 'point', ' How ',' Update ',' users', 'Telkomsel', 'TPI', 'Log', 'Application', 'Telkomsel', 'Difficult', 'Alias',' Mending ',' Update ',' Simple ' , 'Facilita"&amp;"tes', ""]")</f>
        <v>['apk', 'update', 'log', 'number', 'registered', 'change', 'try', 'log', 'dngn', 'log', 'fate', 'point', ' How ',' Update ',' users', 'Telkomsel', 'TPI', 'Log', 'Application', 'Telkomsel', 'Difficult', 'Alias',' Mending ',' Update ',' Simple ' , 'Facilitates', "]</v>
      </c>
      <c r="D1591" s="3">
        <v>2.0</v>
      </c>
    </row>
    <row r="1592" ht="15.75" customHeight="1">
      <c r="A1592" s="1">
        <v>1590.0</v>
      </c>
      <c r="B1592" s="3" t="s">
        <v>1593</v>
      </c>
      <c r="C1592" s="3" t="str">
        <f>IFERROR(__xludf.DUMMYFUNCTION("GOOGLETRANSLATE(B1592,""id"",""en"")"),"['Hi', 'Telkomsel', 'Kartu', 'Pray', 'Story', 'Enter', 'Telkomsel', 'Disorders',' Please ',' Love ',' Bullies', 'Road', ' Enter ',' please ',' get rid of ',' bullies', 'face', 'please', 'contact', 'face', 'bully', 'okay', ""]")</f>
        <v>['Hi', 'Telkomsel', 'Kartu', 'Pray', 'Story', 'Enter', 'Telkomsel', 'Disorders',' Please ',' Love ',' Bullies', 'Road', ' Enter ',' please ',' get rid of ',' bullies', 'face', 'please', 'contact', 'face', 'bully', 'okay', "]</v>
      </c>
      <c r="D1592" s="3">
        <v>4.0</v>
      </c>
    </row>
    <row r="1593" ht="15.75" customHeight="1">
      <c r="A1593" s="1">
        <v>1591.0</v>
      </c>
      <c r="B1593" s="3" t="s">
        <v>1594</v>
      </c>
      <c r="C1593" s="3" t="str">
        <f>IFERROR(__xludf.DUMMYFUNCTION("GOOGLETRANSLATE(B1593,""id"",""en"")"),"['disappointed', 'subscription', 'package', 'Dinaikin', 'price', 'crazy', 'expensive', 'mending', 'signal', 'fast', 'down', 'game', ' lag ',' ping ',' down ',' lost ',' competitors', 'Indosat', 'package', 'cheap', 'stable', 'disappointed', 'customers',' T"&amp;"elkomsel ',' disappointed ' , 'Switch', '']")</f>
        <v>['disappointed', 'subscription', 'package', 'Dinaikin', 'price', 'crazy', 'expensive', 'mending', 'signal', 'fast', 'down', 'game', ' lag ',' ping ',' down ',' lost ',' competitors', 'Indosat', 'package', 'cheap', 'stable', 'disappointed', 'customers',' Telkomsel ',' disappointed ' , 'Switch', '']</v>
      </c>
      <c r="D1593" s="3">
        <v>1.0</v>
      </c>
    </row>
    <row r="1594" ht="15.75" customHeight="1">
      <c r="A1594" s="1">
        <v>1592.0</v>
      </c>
      <c r="B1594" s="3" t="s">
        <v>1595</v>
      </c>
      <c r="C1594" s="3" t="str">
        <f>IFERROR(__xludf.DUMMYFUNCTION("GOOGLETRANSLATE(B1594,""id"",""en"")"),"['buy', 'quota', 'failed', 'The reason', 'signal', 'UDH', 'Try', 'Uninstall', 'Install', 'right', 'enter', 'Telkomsel', ' Alesan ',' signal ',' watch ',' YouTube ',' smooth ',' hilarious', 'application', 'entry', 'application', 'ugly', 'already', 'like', "&amp;"'enter' , 'Deep', 'Web', 'bother']")</f>
        <v>['buy', 'quota', 'failed', 'The reason', 'signal', 'UDH', 'Try', 'Uninstall', 'Install', 'right', 'enter', 'Telkomsel', ' Alesan ',' signal ',' watch ',' YouTube ',' smooth ',' hilarious', 'application', 'entry', 'application', 'ugly', 'already', 'like', 'enter' , 'Deep', 'Web', 'bother']</v>
      </c>
      <c r="D1594" s="3">
        <v>1.0</v>
      </c>
    </row>
    <row r="1595" ht="15.75" customHeight="1">
      <c r="A1595" s="1">
        <v>1593.0</v>
      </c>
      <c r="B1595" s="3" t="s">
        <v>1596</v>
      </c>
      <c r="C1595" s="3" t="str">
        <f>IFERROR(__xludf.DUMMYFUNCTION("GOOGLETRANSLATE(B1595,""id"",""en"")"),"['checked', 'quota', 'difficult', 'on' on ',' application ',' already ',' until ',' version ',' enter ',' connection ',' bad ',' aolikasi ',' others', 'smooth', 'open', 'the application']")</f>
        <v>['checked', 'quota', 'difficult', 'on' on ',' application ',' already ',' until ',' version ',' enter ',' connection ',' bad ',' aolikasi ',' others', 'smooth', 'open', 'the application']</v>
      </c>
      <c r="D1595" s="3">
        <v>1.0</v>
      </c>
    </row>
    <row r="1596" ht="15.75" customHeight="1">
      <c r="A1596" s="1">
        <v>1594.0</v>
      </c>
      <c r="B1596" s="3" t="s">
        <v>1597</v>
      </c>
      <c r="C1596" s="3" t="str">
        <f>IFERROR(__xludf.DUMMYFUNCTION("GOOGLETRANSLATE(B1596,""id"",""en"")"),"['Please', 'Help', 'Kanapa', 'Register', 'Application', 'Telkomsel', 'right', 'already', 'enter', 'call', 'click', 'Langkukan', ' Failed ',' Try ']")</f>
        <v>['Please', 'Help', 'Kanapa', 'Register', 'Application', 'Telkomsel', 'right', 'already', 'enter', 'call', 'click', 'Langkukan', ' Failed ',' Try ']</v>
      </c>
      <c r="D1596" s="3">
        <v>1.0</v>
      </c>
    </row>
    <row r="1597" ht="15.75" customHeight="1">
      <c r="A1597" s="1">
        <v>1595.0</v>
      </c>
      <c r="B1597" s="3" t="s">
        <v>1598</v>
      </c>
      <c r="C1597" s="3" t="str">
        <f>IFERROR(__xludf.DUMMYFUNCTION("GOOGLETRANSLATE(B1597,""id"",""en"")"),"['Severe', 'Telkomsel', 'network', 'uda', 'stable', 'slow', 'forgiveness',' login ',' application ',' difficult ',' uda ',' wifi ',' "", 'times', 'entry', 'disappointed', 'boss',""]")</f>
        <v>['Severe', 'Telkomsel', 'network', 'uda', 'stable', 'slow', 'forgiveness',' login ',' application ',' difficult ',' uda ',' wifi ',' ", 'times', 'entry', 'disappointed', 'boss',"]</v>
      </c>
      <c r="D1597" s="3">
        <v>1.0</v>
      </c>
    </row>
    <row r="1598" ht="15.75" customHeight="1">
      <c r="A1598" s="1">
        <v>1596.0</v>
      </c>
      <c r="B1598" s="3" t="s">
        <v>1599</v>
      </c>
      <c r="C1598" s="3" t="str">
        <f>IFERROR(__xludf.DUMMYFUNCTION("GOOGLETRANSLATE(B1598,""id"",""en"")"),"['The application', 'good', 'ter', 'log', 'out', 'account', 'log', 'repeat', 'times',' try ',' profit ',' application ',' interesting ',' unfortunately ',' development ',' application ',' bad ',' ']")</f>
        <v>['The application', 'good', 'ter', 'log', 'out', 'account', 'log', 'repeat', 'times',' try ',' profit ',' application ',' interesting ',' unfortunately ',' development ',' application ',' bad ',' ']</v>
      </c>
      <c r="D1598" s="3">
        <v>2.0</v>
      </c>
    </row>
    <row r="1599" ht="15.75" customHeight="1">
      <c r="A1599" s="1">
        <v>1597.0</v>
      </c>
      <c r="B1599" s="3" t="s">
        <v>1600</v>
      </c>
      <c r="C1599" s="3" t="str">
        <f>IFERROR(__xludf.DUMMYFUNCTION("GOOGLETRANSLATE(B1599,""id"",""en"")"),"['package', 'wasteful', 'expensive', 'difficult', 'login', 'application', 'Telkomsel', 'data', 'application', 'according to', 'printed', 'GB', ' DPT ',' SMS ',' Quota ',' Out ',' Telkomsel ',' ']")</f>
        <v>['package', 'wasteful', 'expensive', 'difficult', 'login', 'application', 'Telkomsel', 'data', 'application', 'according to', 'printed', 'GB', ' DPT ',' SMS ',' Quota ',' Out ',' Telkomsel ',' ']</v>
      </c>
      <c r="D1599" s="3">
        <v>1.0</v>
      </c>
    </row>
    <row r="1600" ht="15.75" customHeight="1">
      <c r="A1600" s="1">
        <v>1598.0</v>
      </c>
      <c r="B1600" s="3" t="s">
        <v>1601</v>
      </c>
      <c r="C1600" s="3" t="str">
        <f>IFERROR(__xludf.DUMMYFUNCTION("GOOGLETRANSLATE(B1600,""id"",""en"")"),"['contents',' package ',' date ',' active ',' date ',' story ',' follow ',' date ',' contents', 'package', 'open', 'apk', ' no', '']")</f>
        <v>['contents',' package ',' date ',' active ',' date ',' story ',' follow ',' date ',' contents', 'package', 'open', 'apk', ' no', '']</v>
      </c>
      <c r="D1600" s="3">
        <v>1.0</v>
      </c>
    </row>
    <row r="1601" ht="15.75" customHeight="1">
      <c r="A1601" s="1">
        <v>1599.0</v>
      </c>
      <c r="B1601" s="3" t="s">
        <v>1602</v>
      </c>
      <c r="C1601" s="3" t="str">
        <f>IFERROR(__xludf.DUMMYFUNCTION("GOOGLETRANSLATE(B1601,""id"",""en"")"),"['right', 'update', 'application', 'right', 'enter', 'Wait', 'Wait', 'enter', 'please', 'respond', 'yahh']")</f>
        <v>['right', 'update', 'application', 'right', 'enter', 'Wait', 'Wait', 'enter', 'please', 'respond', 'yahh']</v>
      </c>
      <c r="D1601" s="3">
        <v>2.0</v>
      </c>
    </row>
    <row r="1602" ht="15.75" customHeight="1">
      <c r="A1602" s="1">
        <v>1600.0</v>
      </c>
      <c r="B1602" s="3" t="s">
        <v>1603</v>
      </c>
      <c r="C1602" s="3" t="str">
        <f>IFERROR(__xludf.DUMMYFUNCTION("GOOGLETRANSLATE(B1602,""id"",""en"")"),"['disappointing', 'account', 'sya', 'kluar', 'login', 'reset', 'card', 'problematic', 'the applications',' error ',' card ',' use ',' Telfon ',' Internet ',' Errr ',' Please ',' Fix ',' Hadehhh ',' ']")</f>
        <v>['disappointing', 'account', 'sya', 'kluar', 'login', 'reset', 'card', 'problematic', 'the applications',' error ',' card ',' use ',' Telfon ',' Internet ',' Errr ',' Please ',' Fix ',' Hadehhh ',' ']</v>
      </c>
      <c r="D1602" s="3">
        <v>1.0</v>
      </c>
    </row>
    <row r="1603" ht="15.75" customHeight="1">
      <c r="A1603" s="1">
        <v>1601.0</v>
      </c>
      <c r="B1603" s="3" t="s">
        <v>1604</v>
      </c>
      <c r="C1603" s="3" t="str">
        <f>IFERROR(__xludf.DUMMYFUNCTION("GOOGLETRANSLATE(B1603,""id"",""en"")"),"['Something', 'Went', 'Wrong', 'Mulu', 'his writing', 'Buy', 'Package', 'Data', 'Season', 'Network', 'Already', 'Refresh', ' Hopefully ',' fast ',' improved ',' love ',' star ']")</f>
        <v>['Something', 'Went', 'Wrong', 'Mulu', 'his writing', 'Buy', 'Package', 'Data', 'Season', 'Network', 'Already', 'Refresh', ' Hopefully ',' fast ',' improved ',' love ',' star ']</v>
      </c>
      <c r="D1603" s="3">
        <v>3.0</v>
      </c>
    </row>
    <row r="1604" ht="15.75" customHeight="1">
      <c r="A1604" s="1">
        <v>1602.0</v>
      </c>
      <c r="B1604" s="3" t="s">
        <v>1605</v>
      </c>
      <c r="C1604" s="3" t="str">
        <f>IFERROR(__xludf.DUMMYFUNCTION("GOOGLETRANSLATE(B1604,""id"",""en"")"),"['knpa', 'dri', 'sya', 'list', 'package', 'nda', 'translucent', 'system', 'error', 'mulu', 'knpa', 'plis',' Because ',' Morning ',' Sya ',' list ',' ']")</f>
        <v>['knpa', 'dri', 'sya', 'list', 'package', 'nda', 'translucent', 'system', 'error', 'mulu', 'knpa', 'plis',' Because ',' Morning ',' Sya ',' list ',' ']</v>
      </c>
      <c r="D1604" s="3">
        <v>1.0</v>
      </c>
    </row>
    <row r="1605" ht="15.75" customHeight="1">
      <c r="A1605" s="1">
        <v>1603.0</v>
      </c>
      <c r="B1605" s="3" t="s">
        <v>1606</v>
      </c>
      <c r="C1605" s="3" t="str">
        <f>IFERROR(__xludf.DUMMYFUNCTION("GOOGLETRANSLATE(B1605,""id"",""en"")"),"['min', 'helped', 'network', 'Telkomsel', 'Tibatiba', 'network', 'signal', 'lost', 'disorder', 'causing', 'network', 'disconnected', ' Status', 'Network', 'Cross',' Please ',' Help ',' Yaa ',' Thank you ']")</f>
        <v>['min', 'helped', 'network', 'Telkomsel', 'Tibatiba', 'network', 'signal', 'lost', 'disorder', 'causing', 'network', 'disconnected', ' Status', 'Network', 'Cross',' Please ',' Help ',' Yaa ',' Thank you ']</v>
      </c>
      <c r="D1605" s="3">
        <v>3.0</v>
      </c>
    </row>
    <row r="1606" ht="15.75" customHeight="1">
      <c r="A1606" s="1">
        <v>1604.0</v>
      </c>
      <c r="B1606" s="3" t="s">
        <v>1607</v>
      </c>
      <c r="C1606" s="3" t="str">
        <f>IFERROR(__xludf.DUMMYFUNCTION("GOOGLETRANSLATE(B1606,""id"",""en"")"),"['Please', 'Knp', 'enter', 'buy', 'quota', 'network', 'smooth', 'Nge', 'lag', 'Telkomsel', 'please', 'fix', ' error ',' please ',' Telkomsel ',' reverse ',' network ',' thank you ']")</f>
        <v>['Please', 'Knp', 'enter', 'buy', 'quota', 'network', 'smooth', 'Nge', 'lag', 'Telkomsel', 'please', 'fix', ' error ',' please ',' Telkomsel ',' reverse ',' network ',' thank you ']</v>
      </c>
      <c r="D1606" s="3">
        <v>3.0</v>
      </c>
    </row>
    <row r="1607" ht="15.75" customHeight="1">
      <c r="A1607" s="1">
        <v>1605.0</v>
      </c>
      <c r="B1607" s="3" t="s">
        <v>1608</v>
      </c>
      <c r="C1607" s="3" t="str">
        <f>IFERROR(__xludf.DUMMYFUNCTION("GOOGLETRANSLATE(B1607,""id"",""en"")"),"['Ngerti', 'Telkomsel', 'bad', 'service', 'open', 'application', 'use', 'wifi', 'service', 'wrong', 'company', 'operator', ' The biggest ',' Indonesia ',' disappointing ',' ']")</f>
        <v>['Ngerti', 'Telkomsel', 'bad', 'service', 'open', 'application', 'use', 'wifi', 'service', 'wrong', 'company', 'operator', ' The biggest ',' Indonesia ',' disappointing ',' ']</v>
      </c>
      <c r="D1607" s="3">
        <v>1.0</v>
      </c>
    </row>
    <row r="1608" ht="15.75" customHeight="1">
      <c r="A1608" s="1">
        <v>1606.0</v>
      </c>
      <c r="B1608" s="3" t="s">
        <v>1609</v>
      </c>
      <c r="C1608" s="3" t="str">
        <f>IFERROR(__xludf.DUMMYFUNCTION("GOOGLETRANSLATE(B1608,""id"",""en"")"),"['', 'Telkomsel', 'Severe', 'list', 'enter', 'no', 'list', 'entry', 'detrimental', 'economical', 'Try', 'accelerated', 'flexible ',' powerful ',' competitiveness', 'economical', 'klu', 'cool', 'problematic', 'kayak', 'gini', 'advanced', ""]")</f>
        <v>['', 'Telkomsel', 'Severe', 'list', 'enter', 'no', 'list', 'entry', 'detrimental', 'economical', 'Try', 'accelerated', 'flexible ',' powerful ',' competitiveness', 'economical', 'klu', 'cool', 'problematic', 'kayak', 'gini', 'advanced', "]</v>
      </c>
      <c r="D1608" s="3">
        <v>1.0</v>
      </c>
    </row>
    <row r="1609" ht="15.75" customHeight="1">
      <c r="A1609" s="1">
        <v>1607.0</v>
      </c>
      <c r="B1609" s="3" t="s">
        <v>1610</v>
      </c>
      <c r="C1609" s="3" t="str">
        <f>IFERROR(__xludf.DUMMYFUNCTION("GOOGLETRANSLATE(B1609,""id"",""en"")"),"['Thank you', 'Telkomsel', 'fix', 'application', 'blessings',' buy ',' quota ',' unlimited ',' YouTube ',' watch ',' competition ',' MLBB ',' »"" Contingen ',' Indonesia ',' RRQ ',' Hoshi ',' Alter ',' Ego ',' Vivarrq ']")</f>
        <v>['Thank you', 'Telkomsel', 'fix', 'application', 'blessings',' buy ',' quota ',' unlimited ',' YouTube ',' watch ',' competition ',' MLBB ',' »" Contingen ',' Indonesia ',' RRQ ',' Hoshi ',' Alter ',' Ego ',' Vivarrq ']</v>
      </c>
      <c r="D1609" s="3">
        <v>5.0</v>
      </c>
    </row>
    <row r="1610" ht="15.75" customHeight="1">
      <c r="A1610" s="1">
        <v>1608.0</v>
      </c>
      <c r="B1610" s="3" t="s">
        <v>1611</v>
      </c>
      <c r="C1610" s="3" t="str">
        <f>IFERROR(__xludf.DUMMYFUNCTION("GOOGLETRANSLATE(B1610,""id"",""en"")"),"['', 'God', 'application', 'difficult', 'really', 'open', 'ampe', 'alternating', 'uninstall', 'say it', 'connection', 'stable', 'open ',' App ',' smooth ',' try ',' deh ',' lined ',' ']")</f>
        <v>['', 'God', 'application', 'difficult', 'really', 'open', 'ampe', 'alternating', 'uninstall', 'say it', 'connection', 'stable', 'open ',' App ',' smooth ',' try ',' deh ',' lined ',' ']</v>
      </c>
      <c r="D1610" s="3">
        <v>3.0</v>
      </c>
    </row>
    <row r="1611" ht="15.75" customHeight="1">
      <c r="A1611" s="1">
        <v>1609.0</v>
      </c>
      <c r="B1611" s="3" t="s">
        <v>1612</v>
      </c>
      <c r="C1611" s="3" t="str">
        <f>IFERROR(__xludf.DUMMYFUNCTION("GOOGLETRANSLATE(B1611,""id"",""en"")"),"['Open', 'tsel', 'error', 'info', 'tlg', 'repaired', 'already', 'expensive', 'signal', 'slow', 'service', 'brooo']")</f>
        <v>['Open', 'tsel', 'error', 'info', 'tlg', 'repaired', 'already', 'expensive', 'signal', 'slow', 'service', 'brooo']</v>
      </c>
      <c r="D1611" s="3">
        <v>1.0</v>
      </c>
    </row>
    <row r="1612" ht="15.75" customHeight="1">
      <c r="A1612" s="1">
        <v>1610.0</v>
      </c>
      <c r="B1612" s="3" t="s">
        <v>1613</v>
      </c>
      <c r="C1612" s="3" t="str">
        <f>IFERROR(__xludf.DUMMYFUNCTION("GOOGLETRANSLATE(B1612,""id"",""en"")"),"['Leave', 'Telkomsel', 'signal', 'application', 'ugly', 'Open', 'Applikas',' Check ',' Kouta ',' Something ',' Wrong ',' purpose ',' UDH ',' Disband ',' Provider ',' Telmkomsel ',' Good ',' Card ',' Signal ',' Stable ',' Delicious', 'Rich', 'Telkomsel', '"&amp;"Main', 'Game' , 'yellow', 'network', 'mean', 'threat', 'udh', 'mah', 'package', 'expensive', 'ugly', 'fact', ""]")</f>
        <v>['Leave', 'Telkomsel', 'signal', 'application', 'ugly', 'Open', 'Applikas',' Check ',' Kouta ',' Something ',' Wrong ',' purpose ',' UDH ',' Disband ',' Provider ',' Telmkomsel ',' Good ',' Card ',' Signal ',' Stable ',' Delicious', 'Rich', 'Telkomsel', 'Main', 'Game' , 'yellow', 'network', 'mean', 'threat', 'udh', 'mah', 'package', 'expensive', 'ugly', 'fact', "]</v>
      </c>
      <c r="D1612" s="3">
        <v>1.0</v>
      </c>
    </row>
    <row r="1613" ht="15.75" customHeight="1">
      <c r="A1613" s="1">
        <v>1611.0</v>
      </c>
      <c r="B1613" s="3" t="s">
        <v>1614</v>
      </c>
      <c r="C1613" s="3" t="str">
        <f>IFERROR(__xludf.DUMMYFUNCTION("GOOGLETRANSLATE(B1613,""id"",""en"")"),"['times', 'login', 'Telkomsel', 'Error', 'report', 'number', 'input', 'number', 'input']")</f>
        <v>['times', 'login', 'Telkomsel', 'Error', 'report', 'number', 'input', 'number', 'input']</v>
      </c>
      <c r="D1613" s="3">
        <v>1.0</v>
      </c>
    </row>
    <row r="1614" ht="15.75" customHeight="1">
      <c r="A1614" s="1">
        <v>1612.0</v>
      </c>
      <c r="B1614" s="3" t="s">
        <v>1615</v>
      </c>
      <c r="C1614" s="3" t="str">
        <f>IFERROR(__xludf.DUMMYFUNCTION("GOOGLETRANSLATE(B1614,""id"",""en"")"),"['Disappointed', 'Telkomsel', 'skrg', 'watch', 'Yutub', 'streaming', 'smooth', 'sometimes',' likes', 'lag', 'play', 'game', ' online ',' MLBB ',' Bentar ',' lag ',' comfortable ',' signal ',' Telkomsel ',' skrg ',' disappointing ',' signal ',' change ',' "&amp;"signal ',' strong ' , 'Fix', 'comment']")</f>
        <v>['Disappointed', 'Telkomsel', 'skrg', 'watch', 'Yutub', 'streaming', 'smooth', 'sometimes',' likes', 'lag', 'play', 'game', ' online ',' MLBB ',' Bentar ',' lag ',' comfortable ',' signal ',' Telkomsel ',' skrg ',' disappointing ',' signal ',' change ',' signal ',' strong ' , 'Fix', 'comment']</v>
      </c>
      <c r="D1614" s="3">
        <v>2.0</v>
      </c>
    </row>
    <row r="1615" ht="15.75" customHeight="1">
      <c r="A1615" s="1">
        <v>1613.0</v>
      </c>
      <c r="B1615" s="3" t="s">
        <v>1616</v>
      </c>
      <c r="C1615" s="3" t="str">
        <f>IFERROR(__xludf.DUMMYFUNCTION("GOOGLETRANSLATE(B1615,""id"",""en"")"),"['Review', 'Login', 'Application', 'Telkomsel', 'Please', 'Repeat', 'Repeated', 'Times', 'Login', 'Login']")</f>
        <v>['Review', 'Login', 'Application', 'Telkomsel', 'Please', 'Repeat', 'Repeated', 'Times', 'Login', 'Login']</v>
      </c>
      <c r="D1615" s="3">
        <v>1.0</v>
      </c>
    </row>
    <row r="1616" ht="15.75" customHeight="1">
      <c r="A1616" s="1">
        <v>1614.0</v>
      </c>
      <c r="B1616" s="3" t="s">
        <v>1617</v>
      </c>
      <c r="C1616" s="3" t="str">
        <f>IFERROR(__xludf.DUMMYFUNCTION("GOOGLETRANSLATE(B1616,""id"",""en"")"),"['Enter', 'Nmor', 'Application', 'Yagg', 'Beres',' Try ',' Udh ',' Try ',' BSA ',' Skrang ',' Please ',' Bntuan ',' Sis']")</f>
        <v>['Enter', 'Nmor', 'Application', 'Yagg', 'Beres',' Try ',' Udh ',' Try ',' BSA ',' Skrang ',' Please ',' Bntuan ',' Sis']</v>
      </c>
      <c r="D1616" s="3">
        <v>2.0</v>
      </c>
    </row>
    <row r="1617" ht="15.75" customHeight="1">
      <c r="A1617" s="1">
        <v>1615.0</v>
      </c>
      <c r="B1617" s="3" t="s">
        <v>1618</v>
      </c>
      <c r="C1617" s="3" t="str">
        <f>IFERROR(__xludf.DUMMYFUNCTION("GOOGLETRANSLATE(B1617,""id"",""en"")"),"['use', 'skrg', 'error', 'open', 'deleted', 'download', 'reset', 'enter', 'the application', 'chaotic', ""]")</f>
        <v>['use', 'skrg', 'error', 'open', 'deleted', 'download', 'reset', 'enter', 'the application', 'chaotic', "]</v>
      </c>
      <c r="D1617" s="3">
        <v>1.0</v>
      </c>
    </row>
    <row r="1618" ht="15.75" customHeight="1">
      <c r="A1618" s="1">
        <v>1616.0</v>
      </c>
      <c r="B1618" s="3" t="s">
        <v>1619</v>
      </c>
      <c r="C1618" s="3" t="str">
        <f>IFERROR(__xludf.DUMMYFUNCTION("GOOGLETRANSLATE(B1618,""id"",""en"")"),"['Disappointed', 'Login', 'Credit', 'Sumpot', 'Package', 'Open', 'Pas', 'Log', 'Network', 'strange']")</f>
        <v>['Disappointed', 'Login', 'Credit', 'Sumpot', 'Package', 'Open', 'Pas', 'Log', 'Network', 'strange']</v>
      </c>
      <c r="D1618" s="3">
        <v>1.0</v>
      </c>
    </row>
    <row r="1619" ht="15.75" customHeight="1">
      <c r="A1619" s="1">
        <v>1617.0</v>
      </c>
      <c r="B1619" s="3" t="s">
        <v>1620</v>
      </c>
      <c r="C1619" s="3" t="str">
        <f>IFERROR(__xludf.DUMMYFUNCTION("GOOGLETRANSLATE(B1619,""id"",""en"")"),"['fill', 'pulse', 'cepek', 'then', 'buy', 'combo', 'GB', 'then', 'the rest', 'rb', 'here', 'no', ' Used ',' Ntar ',' leftover ',' balance ',' noooolll ',' curious', 'reduced', 'how', 'lack', 'figure', 'full', 'full', 'silver' , 'Direct', 'RB', 'Kemano', '"&amp;"Nian', 'Peginyo', 'balance']")</f>
        <v>['fill', 'pulse', 'cepek', 'then', 'buy', 'combo', 'GB', 'then', 'the rest', 'rb', 'here', 'no', ' Used ',' Ntar ',' leftover ',' balance ',' noooolll ',' curious', 'reduced', 'how', 'lack', 'figure', 'full', 'full', 'silver' , 'Direct', 'RB', 'Kemano', 'Nian', 'Peginyo', 'balance']</v>
      </c>
      <c r="D1619" s="3">
        <v>1.0</v>
      </c>
    </row>
    <row r="1620" ht="15.75" customHeight="1">
      <c r="A1620" s="1">
        <v>1618.0</v>
      </c>
      <c r="B1620" s="3" t="s">
        <v>1621</v>
      </c>
      <c r="C1620" s="3" t="str">
        <f>IFERROR(__xludf.DUMMYFUNCTION("GOOGLETRANSLATE(B1620,""id"",""en"")"),"['Open', 'Application', 'Telkomsel', 'Must', 'Kayak', 'Error', 'That's',' Already ',' Buy ',' Package ',' Data ',' Must ',' Enter ',' application ',' Telkomsel ',' please ',' Sis']")</f>
        <v>['Open', 'Application', 'Telkomsel', 'Must', 'Kayak', 'Error', 'That's',' Already ',' Buy ',' Package ',' Data ',' Must ',' Enter ',' application ',' Telkomsel ',' please ',' Sis']</v>
      </c>
      <c r="D1620" s="3">
        <v>1.0</v>
      </c>
    </row>
    <row r="1621" ht="15.75" customHeight="1">
      <c r="A1621" s="1">
        <v>1619.0</v>
      </c>
      <c r="B1621" s="3" t="s">
        <v>1622</v>
      </c>
      <c r="C1621" s="3" t="str">
        <f>IFERROR(__xludf.DUMMYFUNCTION("GOOGLETRANSLATE(B1621,""id"",""en"")"),"['Telkomsel', 'no', 'comfortable', 'expensive', 'network', 'comfortable', 'connection', 'always',' setabill ',' already ',' konci ',' network ',' No ',' Change ',' Kasi ',' Star ',' Read ',' Already ',' It's', 'Pakek', 'Telkomsel', 'Disappointed', 'Connec"&amp;"tion', 'Setabil', 'Expensive' , '']")</f>
        <v>['Telkomsel', 'no', 'comfortable', 'expensive', 'network', 'comfortable', 'connection', 'always',' setabill ',' already ',' konci ',' network ',' No ',' Change ',' Kasi ',' Star ',' Read ',' Already ',' It's', 'Pakek', 'Telkomsel', 'Disappointed', 'Connection', 'Setabil', 'Expensive' , '']</v>
      </c>
      <c r="D1621" s="3">
        <v>5.0</v>
      </c>
    </row>
    <row r="1622" ht="15.75" customHeight="1">
      <c r="A1622" s="1">
        <v>1620.0</v>
      </c>
      <c r="B1622" s="3" t="s">
        <v>1623</v>
      </c>
      <c r="C1622" s="3" t="str">
        <f>IFERROR(__xludf.DUMMYFUNCTION("GOOGLETRANSLATE(B1622,""id"",""en"")"),"['network', 'slow', 'application', 'Telkomsel', 'opened', 'Telkomsel', 'backward', 'provider', 'comment', 'org', 'reply', 'bot', ' Admin ']")</f>
        <v>['network', 'slow', 'application', 'Telkomsel', 'opened', 'Telkomsel', 'backward', 'provider', 'comment', 'org', 'reply', 'bot', ' Admin ']</v>
      </c>
      <c r="D1622" s="3">
        <v>1.0</v>
      </c>
    </row>
    <row r="1623" ht="15.75" customHeight="1">
      <c r="A1623" s="1">
        <v>1621.0</v>
      </c>
      <c r="B1623" s="3" t="s">
        <v>1624</v>
      </c>
      <c r="C1623" s="3" t="str">
        <f>IFERROR(__xludf.DUMMYFUNCTION("GOOGLETRANSLATE(B1623,""id"",""en"")"),"['opened', 'the application', 'try', 'network', 'good', 'update', 'already', 'clean', 'cache', 'cellphone', 'already', 'already', ' Opened ']")</f>
        <v>['opened', 'the application', 'try', 'network', 'good', 'update', 'already', 'clean', 'cache', 'cellphone', 'already', 'already', ' Opened ']</v>
      </c>
      <c r="D1623" s="3">
        <v>1.0</v>
      </c>
    </row>
    <row r="1624" ht="15.75" customHeight="1">
      <c r="A1624" s="1">
        <v>1622.0</v>
      </c>
      <c r="B1624" s="3" t="s">
        <v>1625</v>
      </c>
      <c r="C1624" s="3" t="str">
        <f>IFERROR(__xludf.DUMMYFUNCTION("GOOGLETRANSLATE(B1624,""id"",""en"")"),"['Hank', 'Application', 'Need', 'really', 'Sorry', 'Sis', 'blah', 'blah', 'blah', 'blah', 'it's up to', 'until' Hank ']")</f>
        <v>['Hank', 'Application', 'Need', 'really', 'Sorry', 'Sis', 'blah', 'blah', 'blah', 'blah', 'it's up to', 'until' Hank ']</v>
      </c>
      <c r="D1624" s="3">
        <v>1.0</v>
      </c>
    </row>
    <row r="1625" ht="15.75" customHeight="1">
      <c r="A1625" s="1">
        <v>1623.0</v>
      </c>
      <c r="B1625" s="3" t="s">
        <v>1626</v>
      </c>
      <c r="C1625" s="3" t="str">
        <f>IFERROR(__xludf.DUMMYFUNCTION("GOOGLETRANSLATE(B1625,""id"",""en"")"),"['package', 'expensive', 'signal', 'ugly', 'telkom', 'good', 'signal', 'sometimes',' buy ',' package ',' quota ',' fail ',' Enter ',' App ',' Telkom ',' Sometimes', 'Please', 'Fix', 'Gini', 'Mending', 'Move', 'Card']")</f>
        <v>['package', 'expensive', 'signal', 'ugly', 'telkom', 'good', 'signal', 'sometimes',' buy ',' package ',' quota ',' fail ',' Enter ',' App ',' Telkom ',' Sometimes', 'Please', 'Fix', 'Gini', 'Mending', 'Move', 'Card']</v>
      </c>
      <c r="D1625" s="3">
        <v>1.0</v>
      </c>
    </row>
    <row r="1626" ht="15.75" customHeight="1">
      <c r="A1626" s="1">
        <v>1624.0</v>
      </c>
      <c r="B1626" s="3" t="s">
        <v>1627</v>
      </c>
      <c r="C1626" s="3" t="str">
        <f>IFERROR(__xludf.DUMMYFUNCTION("GOOGLETRANSLATE(B1626,""id"",""en"")"),"['Good', 'practical', 'easy', 'buy', 'quota', 'etc.', 'cmn', 'sllu', 'problematic', 'network', 'internet', 'open', ' App ',' Tsel ',' Network ',' Kuotaa ',' Bagus', 'Network', 'Good', 'Kebuka', 'Please', 'Improvement', 'Thank', 'Love']")</f>
        <v>['Good', 'practical', 'easy', 'buy', 'quota', 'etc.', 'cmn', 'sllu', 'problematic', 'network', 'internet', 'open', ' App ',' Tsel ',' Network ',' Kuotaa ',' Bagus', 'Network', 'Good', 'Kebuka', 'Please', 'Improvement', 'Thank', 'Love']</v>
      </c>
      <c r="D1626" s="3">
        <v>3.0</v>
      </c>
    </row>
    <row r="1627" ht="15.75" customHeight="1">
      <c r="A1627" s="1">
        <v>1625.0</v>
      </c>
      <c r="B1627" s="3" t="s">
        <v>1628</v>
      </c>
      <c r="C1627" s="3" t="str">
        <f>IFERROR(__xludf.DUMMYFUNCTION("GOOGLETRANSLATE(B1627,""id"",""en"")"),"['signal', 'difficult', 'slow', 'open', 'Telkomsel', 'difficult', 'forgiveness', 'please', 'fix', 'Telkomsel', 'as difficult']")</f>
        <v>['signal', 'difficult', 'slow', 'open', 'Telkomsel', 'difficult', 'forgiveness', 'please', 'fix', 'Telkomsel', 'as difficult']</v>
      </c>
      <c r="D1627" s="3">
        <v>3.0</v>
      </c>
    </row>
    <row r="1628" ht="15.75" customHeight="1">
      <c r="A1628" s="1">
        <v>1626.0</v>
      </c>
      <c r="B1628" s="3" t="s">
        <v>1629</v>
      </c>
      <c r="C1628" s="3" t="str">
        <f>IFERROR(__xludf.DUMMYFUNCTION("GOOGLETRANSLATE(B1628,""id"",""en"")"),"['', 'error', 'gimama', 'min', 'smlm', 'entered', 'application', 'reload', 'mulu', 'data', 'cellular', 'wifi', 'error ',' Have ',' Reload ',' Mulu ',' Min ',' Mengutan ',' Send ',' Email ',' Email ']")</f>
        <v>['', 'error', 'gimama', 'min', 'smlm', 'entered', 'application', 'reload', 'mulu', 'data', 'cellular', 'wifi', 'error ',' Have ',' Reload ',' Mulu ',' Min ',' Mengutan ',' Send ',' Email ',' Email ']</v>
      </c>
      <c r="D1628" s="3">
        <v>1.0</v>
      </c>
    </row>
    <row r="1629" ht="15.75" customHeight="1">
      <c r="A1629" s="1">
        <v>1627.0</v>
      </c>
      <c r="B1629" s="3" t="s">
        <v>1630</v>
      </c>
      <c r="C1629" s="3" t="str">
        <f>IFERROR(__xludf.DUMMYFUNCTION("GOOGLETRANSLATE(B1629,""id"",""en"")"),"['Haduuhh', 'Telkomsel', 'skrng', 'knp', 'yaakk', 'network', 'smkin', 'smkin', 'buriq', 'apk', 'telkomsel', 'add', ' bother ',' update ',' add ',' good ',' broken ',' have ',' dahlaaahh ',' disappointed ',' sii ',' please ',' yaa ',' Telkomsel ',' Jan ' ,"&amp;" 'Disappointed', 'Nii', 'Makasiiii', ""]")</f>
        <v>['Haduuhh', 'Telkomsel', 'skrng', 'knp', 'yaakk', 'network', 'smkin', 'smkin', 'buriq', 'apk', 'telkomsel', 'add', ' bother ',' update ',' add ',' good ',' broken ',' have ',' dahlaaahh ',' disappointed ',' sii ',' please ',' yaa ',' Telkomsel ',' Jan ' , 'Disappointed', 'Nii', 'Makasiiii', "]</v>
      </c>
      <c r="D1629" s="3">
        <v>2.0</v>
      </c>
    </row>
    <row r="1630" ht="15.75" customHeight="1">
      <c r="A1630" s="1">
        <v>1628.0</v>
      </c>
      <c r="B1630" s="3" t="s">
        <v>1631</v>
      </c>
      <c r="C1630" s="3" t="str">
        <f>IFERROR(__xludf.DUMMYFUNCTION("GOOGLETRANSLATE(B1630,""id"",""en"")"),"['The network', 'slow', 'package', 'expensive', 'buy', 'package', 'as', 'times', 'GB', 'GB', 'for' bonus ',' Package ',' cheap ']")</f>
        <v>['The network', 'slow', 'package', 'expensive', 'buy', 'package', 'as', 'times', 'GB', 'GB', 'for' bonus ',' Package ',' cheap ']</v>
      </c>
      <c r="D1630" s="3">
        <v>1.0</v>
      </c>
    </row>
    <row r="1631" ht="15.75" customHeight="1">
      <c r="A1631" s="1">
        <v>1629.0</v>
      </c>
      <c r="B1631" s="3" t="s">
        <v>1632</v>
      </c>
      <c r="C1631" s="3" t="str">
        <f>IFERROR(__xludf.DUMMYFUNCTION("GOOGLETRANSLATE(B1631,""id"",""en"")"),"['The application', 'opened', 'Something', 'Wrong', 'Try', 'Try', 'Connection', 'Internet', 'Daily', 'Check', 'Opened', 'Deliberate', ' It seems like ',' with you ',' Telkomsel ',' ']")</f>
        <v>['The application', 'opened', 'Something', 'Wrong', 'Try', 'Try', 'Connection', 'Internet', 'Daily', 'Check', 'Opened', 'Deliberate', ' It seems like ',' with you ',' Telkomsel ',' ']</v>
      </c>
      <c r="D1631" s="3">
        <v>5.0</v>
      </c>
    </row>
    <row r="1632" ht="15.75" customHeight="1">
      <c r="A1632" s="1">
        <v>1630.0</v>
      </c>
      <c r="B1632" s="3" t="s">
        <v>1633</v>
      </c>
      <c r="C1632" s="3" t="str">
        <f>IFERROR(__xludf.DUMMYFUNCTION("GOOGLETRANSLATE(B1632,""id"",""en"")"),"['kagak', 'entry', 'Telkomsel', 'morning', 'unstable', 'connection', 'quota', 'signal', 'already', 'restart', 'alternating', 'already', ' Mofe ',' Airplane ',' alternating ',' Hadehh ']")</f>
        <v>['kagak', 'entry', 'Telkomsel', 'morning', 'unstable', 'connection', 'quota', 'signal', 'already', 'restart', 'alternating', 'already', ' Mofe ',' Airplane ',' alternating ',' Hadehh ']</v>
      </c>
      <c r="D1632" s="3">
        <v>4.0</v>
      </c>
    </row>
    <row r="1633" ht="15.75" customHeight="1">
      <c r="A1633" s="1">
        <v>1631.0</v>
      </c>
      <c r="B1633" s="3" t="s">
        <v>1634</v>
      </c>
      <c r="C1633" s="3" t="str">
        <f>IFERROR(__xludf.DUMMYFUNCTION("GOOGLETRANSLATE(B1633,""id"",""en"")"),"['SAGAT', 'Disappointed', 'Customer', 'Telkosel', 'UDH', 'BER', 'Internet', 'Stable', 'Main', 'Game', 'Gelag', 'Sousal', ' stable ',' jakarta ',' village ',' application ',' Telkomsel ',' error ',' open ',' emang ',' bio ',' signal ',' care ',' love ',' p"&amp;"romo ' , 'Doang', '']")</f>
        <v>['SAGAT', 'Disappointed', 'Customer', 'Telkosel', 'UDH', 'BER', 'Internet', 'Stable', 'Main', 'Game', 'Gelag', 'Sousal', ' stable ',' jakarta ',' village ',' application ',' Telkomsel ',' error ',' open ',' emang ',' bio ',' signal ',' care ',' love ',' promo ' , 'Doang', '']</v>
      </c>
      <c r="D1633" s="3">
        <v>1.0</v>
      </c>
    </row>
    <row r="1634" ht="15.75" customHeight="1">
      <c r="A1634" s="1">
        <v>1632.0</v>
      </c>
      <c r="B1634" s="3" t="s">
        <v>1635</v>
      </c>
      <c r="C1634" s="3" t="str">
        <f>IFERROR(__xludf.DUMMYFUNCTION("GOOGLETRANSLATE(B1634,""id"",""en"")"),"['Times',' Telkomsel ',' results', 'disappointing', 'network', 'slow', 'detrimental', 'karna', 'card', 'motorcycle taxi', 'inline', 'rejection', ' automatically ',' because '' network ',' Stabill ',' Telkomsel ',' please ',' fix ',' network ',' ']")</f>
        <v>['Times',' Telkomsel ',' results', 'disappointing', 'network', 'slow', 'detrimental', 'karna', 'card', 'motorcycle taxi', 'inline', 'rejection', ' automatically ',' because '' network ',' Stabill ',' Telkomsel ',' please ',' fix ',' network ',' ']</v>
      </c>
      <c r="D1634" s="3">
        <v>1.0</v>
      </c>
    </row>
    <row r="1635" ht="15.75" customHeight="1">
      <c r="A1635" s="1">
        <v>1633.0</v>
      </c>
      <c r="B1635" s="3" t="s">
        <v>1636</v>
      </c>
      <c r="C1635" s="3" t="str">
        <f>IFERROR(__xludf.DUMMYFUNCTION("GOOGLETRANSLATE(B1635,""id"",""en"")"),"['trobble', 'bro', 'Telkomsel', 'application', 'Telkomsel', 'open', 'gan', 'bran', 'please', 'fix', 'sorry', 'cut', ' Bintang ',' Gan ',' ']")</f>
        <v>['trobble', 'bro', 'Telkomsel', 'application', 'Telkomsel', 'open', 'gan', 'bran', 'please', 'fix', 'sorry', 'cut', ' Bintang ',' Gan ',' ']</v>
      </c>
      <c r="D1635" s="3">
        <v>2.0</v>
      </c>
    </row>
    <row r="1636" ht="15.75" customHeight="1">
      <c r="A1636" s="1">
        <v>1634.0</v>
      </c>
      <c r="B1636" s="3" t="s">
        <v>1637</v>
      </c>
      <c r="C1636" s="3" t="str">
        <f>IFERROR(__xludf.DUMMYFUNCTION("GOOGLETRANSLATE(B1636,""id"",""en"")"),"['application', 'good', 'buy', 'enter', 'complaints',' signal ',' sometimes', 'download', 'sometimes',' translucent ',' Mbps', 'sometimes',' kbps']")</f>
        <v>['application', 'good', 'buy', 'enter', 'complaints',' signal ',' sometimes', 'download', 'sometimes',' translucent ',' Mbps', 'sometimes',' kbps']</v>
      </c>
      <c r="D1636" s="3">
        <v>4.0</v>
      </c>
    </row>
    <row r="1637" ht="15.75" customHeight="1">
      <c r="A1637" s="1">
        <v>1635.0</v>
      </c>
      <c r="B1637" s="3" t="s">
        <v>1638</v>
      </c>
      <c r="C1637" s="3" t="str">
        <f>IFERROR(__xludf.DUMMYFUNCTION("GOOGLETRANSLATE(B1637,""id"",""en"")"),"['What', 'min', 'login', 'already', 'update', 'yesterday', 'already', 'login', 'edit', 'star', 'ayuk', 'love', ' The solution is', 'Min', 'Betewe', 'already', 'Try', 'Min', 'Didua', 'TTP', 'Login', '']")</f>
        <v>['What', 'min', 'login', 'already', 'update', 'yesterday', 'already', 'login', 'edit', 'star', 'ayuk', 'love', ' The solution is', 'Min', 'Betewe', 'already', 'Try', 'Min', 'Didua', 'TTP', 'Login', '']</v>
      </c>
      <c r="D1637" s="3">
        <v>1.0</v>
      </c>
    </row>
    <row r="1638" ht="15.75" customHeight="1">
      <c r="A1638" s="1">
        <v>1636.0</v>
      </c>
      <c r="B1638" s="3" t="s">
        <v>1639</v>
      </c>
      <c r="C1638" s="3" t="str">
        <f>IFERROR(__xludf.DUMMYFUNCTION("GOOGLETRANSLATE(B1638,""id"",""en"")"),"['The application', 'yesterday', 'open', 'open', 'connection', 'internet', 'stable', 'connection', 'internet', 'good', 'quota', 'open', ' Please ',' check ',' quota ',' buy ',' package ',' internet ',' difficult ',' ']")</f>
        <v>['The application', 'yesterday', 'open', 'open', 'connection', 'internet', 'stable', 'connection', 'internet', 'good', 'quota', 'open', ' Please ',' check ',' quota ',' buy ',' package ',' internet ',' difficult ',' ']</v>
      </c>
      <c r="D1638" s="3">
        <v>3.0</v>
      </c>
    </row>
    <row r="1639" ht="15.75" customHeight="1">
      <c r="A1639" s="1">
        <v>1637.0</v>
      </c>
      <c r="B1639" s="3" t="s">
        <v>1640</v>
      </c>
      <c r="C1639" s="3" t="str">
        <f>IFERROR(__xludf.DUMMYFUNCTION("GOOGLETRANSLATE(B1639,""id"",""en"")"),"['', 'network', 'stable', 'application', 'open', 'application', 'Facebook', 'intagram', 'youtube', 'smooth', 'smooth', ""]")</f>
        <v>['', 'network', 'stable', 'application', 'open', 'application', 'Facebook', 'intagram', 'youtube', 'smooth', 'smooth', "]</v>
      </c>
      <c r="D1639" s="3">
        <v>1.0</v>
      </c>
    </row>
    <row r="1640" ht="15.75" customHeight="1">
      <c r="A1640" s="1">
        <v>1638.0</v>
      </c>
      <c r="B1640" s="3" t="s">
        <v>1641</v>
      </c>
      <c r="C1640" s="3" t="str">
        <f>IFERROR(__xludf.DUMMYFUNCTION("GOOGLETRANSLATE(B1640,""id"",""en"")"),"['Suggestion', 'Telkomsel', 'Key', 'Credit', 'Cutting', 'Kompel', 'Loss', 'Credit', 'Sia', 'Sia', 'Thank', 'Love']")</f>
        <v>['Suggestion', 'Telkomsel', 'Key', 'Credit', 'Cutting', 'Kompel', 'Loss', 'Credit', 'Sia', 'Sia', 'Thank', 'Love']</v>
      </c>
      <c r="D1640" s="3">
        <v>5.0</v>
      </c>
    </row>
    <row r="1641" ht="15.75" customHeight="1">
      <c r="A1641" s="1">
        <v>1639.0</v>
      </c>
      <c r="B1641" s="3" t="s">
        <v>1642</v>
      </c>
      <c r="C1641" s="3" t="str">
        <f>IFERROR(__xludf.DUMMYFUNCTION("GOOGLETRANSLATE(B1641,""id"",""en"")"),"['Application', 'Severe', 'slow', 'Error', 'buy', 'quota', 'difficult', 'entry', 'then', 'signal', 'weak', 'Sya', ' Hello ',' sympathy ',' family ',' home ',' sympathy ',' buy ',' modem ',' orbit ',' forgiveness', 'please', 'Attention', ""]")</f>
        <v>['Application', 'Severe', 'slow', 'Error', 'buy', 'quota', 'difficult', 'entry', 'then', 'signal', 'weak', 'Sya', ' Hello ',' sympathy ',' family ',' home ',' sympathy ',' buy ',' modem ',' orbit ',' forgiveness', 'please', 'Attention', "]</v>
      </c>
      <c r="D1641" s="3">
        <v>1.0</v>
      </c>
    </row>
    <row r="1642" ht="15.75" customHeight="1">
      <c r="A1642" s="1">
        <v>1640.0</v>
      </c>
      <c r="B1642" s="3" t="s">
        <v>1643</v>
      </c>
      <c r="C1642" s="3" t="str">
        <f>IFERROR(__xludf.DUMMYFUNCTION("GOOGLETRANSLATE(B1642,""id"",""en"")"),"['Restart', 'Reinstall', 'MyTelkomseljya', 'Application', 'Display', 'Application', 'Something', 'Something', 'Wrong', 'Already', 'Signal', 'Stable', ' Plus', 'application', 'labile', 'star', 'according to', 'costs',' issued ',' according to ',' Exportati"&amp;"on ',' Costumer ',' harmed ', ""]")</f>
        <v>['Restart', 'Reinstall', 'MyTelkomseljya', 'Application', 'Display', 'Application', 'Something', 'Something', 'Wrong', 'Already', 'Signal', 'Stable', ' Plus', 'application', 'labile', 'star', 'according to', 'costs',' issued ',' according to ',' Exportation ',' Costumer ',' harmed ', "]</v>
      </c>
      <c r="D1642" s="3">
        <v>1.0</v>
      </c>
    </row>
    <row r="1643" ht="15.75" customHeight="1">
      <c r="A1643" s="1">
        <v>1641.0</v>
      </c>
      <c r="B1643" s="3" t="s">
        <v>1644</v>
      </c>
      <c r="C1643" s="3" t="str">
        <f>IFERROR(__xludf.DUMMYFUNCTION("GOOGLETRANSLATE(B1643,""id"",""en"")"),"['Please', 'Application', 'Update', 'Leet', 'Opened', 'Real', 'Very', 'The Application', 'Use', 'Times',' annoyed ',' please ',' response', '']")</f>
        <v>['Please', 'Application', 'Update', 'Leet', 'Opened', 'Real', 'Very', 'The Application', 'Use', 'Times',' annoyed ',' please ',' response', '']</v>
      </c>
      <c r="D1643" s="3">
        <v>5.0</v>
      </c>
    </row>
    <row r="1644" ht="15.75" customHeight="1">
      <c r="A1644" s="1">
        <v>1642.0</v>
      </c>
      <c r="B1644" s="3" t="s">
        <v>1645</v>
      </c>
      <c r="C1644" s="3" t="str">
        <f>IFERROR(__xludf.DUMMYFUNCTION("GOOGLETRANSLATE(B1644,""id"",""en"")"),"['Disappointed', 'Application', 'Error', 'Network', 'Internet', 'Function', 'Application', 'Application', 'Telkomsel', 'No', 'Connected', 'Internet', ' Data ',' internet ',' use ',' card ',' Telkomsel ',' please ',' fix ',' application ']")</f>
        <v>['Disappointed', 'Application', 'Error', 'Network', 'Internet', 'Function', 'Application', 'Application', 'Telkomsel', 'No', 'Connected', 'Internet', ' Data ',' internet ',' use ',' card ',' Telkomsel ',' please ',' fix ',' application ']</v>
      </c>
      <c r="D1644" s="3">
        <v>3.0</v>
      </c>
    </row>
    <row r="1645" ht="15.75" customHeight="1">
      <c r="A1645" s="1">
        <v>1643.0</v>
      </c>
      <c r="B1645" s="3" t="s">
        <v>1646</v>
      </c>
      <c r="C1645" s="3" t="str">
        <f>IFERROR(__xludf.DUMMYFUNCTION("GOOGLETRANSLATE(B1645,""id"",""en"")"),"['already', 'use', 'application', 'Telkomsel', 'cheap', 'story', 'org', 'can', 'unlimited', 'cheap', 'please', 'operator', ' package ',' cheap ',' feel ',' package ',' cheap ',' kayak ',' look for ',' money ',' salary ',' right ',' pay ',' quota ',' per m"&amp;"onth ' , 'hundreds', 'thousand', 'and then', 'Please', 'Definition']")</f>
        <v>['already', 'use', 'application', 'Telkomsel', 'cheap', 'story', 'org', 'can', 'unlimited', 'cheap', 'please', 'operator', ' package ',' cheap ',' feel ',' package ',' cheap ',' kayak ',' look for ',' money ',' salary ',' right ',' pay ',' quota ',' per month ' , 'hundreds', 'thousand', 'and then', 'Please', 'Definition']</v>
      </c>
      <c r="D1645" s="3">
        <v>2.0</v>
      </c>
    </row>
    <row r="1646" ht="15.75" customHeight="1">
      <c r="A1646" s="1">
        <v>1644.0</v>
      </c>
      <c r="B1646" s="3" t="s">
        <v>1647</v>
      </c>
      <c r="C1646" s="3" t="str">
        <f>IFERROR(__xludf.DUMMYFUNCTION("GOOGLETRANSLATE(B1646,""id"",""en"")"),"['app', 'Telkomsel', 'difficult', 'accessed', 'open', 'slow', 'error', 'enter', 'app', 'difficult', 'contents',' pulses', ' Sucked ',' Maketkan ',' Data ',' App ',' Please ',' Repaired ',' ']")</f>
        <v>['app', 'Telkomsel', 'difficult', 'accessed', 'open', 'slow', 'error', 'enter', 'app', 'difficult', 'contents',' pulses', ' Sucked ',' Maketkan ',' Data ',' App ',' Please ',' Repaired ',' ']</v>
      </c>
      <c r="D1646" s="3">
        <v>1.0</v>
      </c>
    </row>
    <row r="1647" ht="15.75" customHeight="1">
      <c r="A1647" s="1">
        <v>1645.0</v>
      </c>
      <c r="B1647" s="3" t="s">
        <v>1648</v>
      </c>
      <c r="C1647" s="3" t="str">
        <f>IFERROR(__xludf.DUMMYFUNCTION("GOOGLETRANSLATE(B1647,""id"",""en"")"),"['Asalamualaikum', 'Nanya', 'Login', 'Telkomsel', 'Pas',' Entering ',' Number ',' Telkomsel ',' Verified ',' Verified ',' Please ',' What ',' ']")</f>
        <v>['Asalamualaikum', 'Nanya', 'Login', 'Telkomsel', 'Pas',' Entering ',' Number ',' Telkomsel ',' Verified ',' Verified ',' Please ',' What ',' ']</v>
      </c>
      <c r="D1647" s="3">
        <v>2.0</v>
      </c>
    </row>
    <row r="1648" ht="15.75" customHeight="1">
      <c r="A1648" s="1">
        <v>1646.0</v>
      </c>
      <c r="B1648" s="3" t="s">
        <v>1649</v>
      </c>
      <c r="C1648" s="3" t="str">
        <f>IFERROR(__xludf.DUMMYFUNCTION("GOOGLETRANSLATE(B1648,""id"",""en"")"),"['quota', 'expensive', 'expensive', 'connection', 'like', 'water', 'sorted', 'dered', 'mending', 'ush', 'package', 'expensive', ' ',' Connection ',' Bener ',' Cave ',' Live ',' Sukabagun ',' Region ',' Palembang ',' Install ',' reset ',' Telkomsel ',' Con"&amp;"straints', 'Log' , 'Mulu', 'Something', 'Went', 'Wrong', 'Mulu', 'Operator', 'Biggest', 'Indo', 'Gini', 'System', 'Dibroch']")</f>
        <v>['quota', 'expensive', 'expensive', 'connection', 'like', 'water', 'sorted', 'dered', 'mending', 'ush', 'package', 'expensive', ' ',' Connection ',' Bener ',' Cave ',' Live ',' Sukabagun ',' Region ',' Palembang ',' Install ',' reset ',' Telkomsel ',' Constraints', 'Log' , 'Mulu', 'Something', 'Went', 'Wrong', 'Mulu', 'Operator', 'Biggest', 'Indo', 'Gini', 'System', 'Dibroch']</v>
      </c>
      <c r="D1648" s="3">
        <v>1.0</v>
      </c>
    </row>
    <row r="1649" ht="15.75" customHeight="1">
      <c r="A1649" s="1">
        <v>1647.0</v>
      </c>
      <c r="B1649" s="3" t="s">
        <v>1650</v>
      </c>
      <c r="C1649" s="3" t="str">
        <f>IFERROR(__xludf.DUMMYFUNCTION("GOOGLETRANSLATE(B1649,""id"",""en"")"),"['woy', 'kgk', 'enter', 'application', 'semalem', 'card', 'price', 'doang', 'expensive', 'resolved', 'as',' user ',' Really ',' disappointed ',' please ',' fast ',' repaired ',' ']")</f>
        <v>['woy', 'kgk', 'enter', 'application', 'semalem', 'card', 'price', 'doang', 'expensive', 'resolved', 'as',' user ',' Really ',' disappointed ',' please ',' fast ',' repaired ',' ']</v>
      </c>
      <c r="D1649" s="3">
        <v>1.0</v>
      </c>
    </row>
    <row r="1650" ht="15.75" customHeight="1">
      <c r="A1650" s="1">
        <v>1648.0</v>
      </c>
      <c r="B1650" s="3" t="s">
        <v>1651</v>
      </c>
      <c r="C1650" s="3" t="str">
        <f>IFERROR(__xludf.DUMMYFUNCTION("GOOGLETRANSLATE(B1650,""id"",""en"")"),"['Login', 'Difficult', 'Paketan', 'Full', 'Open', 'App', 'Delicious',' Please ',' Fix ',' Login ',' Something ',' Something ',' Went ',' Wrong ',' ']")</f>
        <v>['Login', 'Difficult', 'Paketan', 'Full', 'Open', 'App', 'Delicious',' Please ',' Fix ',' Login ',' Something ',' Something ',' Went ',' Wrong ',' ']</v>
      </c>
      <c r="D1650" s="3">
        <v>1.0</v>
      </c>
    </row>
    <row r="1651" ht="15.75" customHeight="1">
      <c r="A1651" s="1">
        <v>1649.0</v>
      </c>
      <c r="B1651" s="3" t="s">
        <v>1652</v>
      </c>
      <c r="C1651" s="3" t="str">
        <f>IFERROR(__xludf.DUMMYFUNCTION("GOOGLETRANSLATE(B1651,""id"",""en"")"),"['', 'Signal', 'City', 'Demak', 'Turirejo', 'Application', 'Error', 'Open', 'Package', 'Internet', 'Kumayan', 'Thinking', 'Good ',' Login ',' Ribet ',' APKika ',' card ',' Device ',' Ribet ',' Hi ',' Sis', 'Please', 'Sorry', 'Unfortunate', 'Unfortunately'"&amp;", 'Complaints', 'Kaka', 'Team', 'Related', 'Action', 'continued', 'Basiiiii', 'Bangkeeeee', 'just', ""]")</f>
        <v>['', 'Signal', 'City', 'Demak', 'Turirejo', 'Application', 'Error', 'Open', 'Package', 'Internet', 'Kumayan', 'Thinking', 'Good ',' Login ',' Ribet ',' APKika ',' card ',' Device ',' Ribet ',' Hi ',' Sis', 'Please', 'Sorry', 'Unfortunate', 'Unfortunately', 'Complaints', 'Kaka', 'Team', 'Related', 'Action', 'continued', 'Basiiiii', 'Bangkeeeee', 'just', "]</v>
      </c>
      <c r="D1651" s="3">
        <v>1.0</v>
      </c>
    </row>
    <row r="1652" ht="15.75" customHeight="1">
      <c r="A1652" s="1">
        <v>1650.0</v>
      </c>
      <c r="B1652" s="3" t="s">
        <v>1653</v>
      </c>
      <c r="C1652" s="3" t="str">
        <f>IFERROR(__xludf.DUMMYFUNCTION("GOOGLETRANSLATE(B1652,""id"",""en"")"),"['Telkomsel', 'mmg', 'story', 'kmarin', 'bln', 'des',' pulkam ',' family ',' communication ',' Vicall ',' smooth ',' provider ',' Reaching ',' Movers', 'Nusantara', 'Trimks',' Telkomsel ',' Hopefully ',' Poppn ',' Jaya ', ""]")</f>
        <v>['Telkomsel', 'mmg', 'story', 'kmarin', 'bln', 'des',' pulkam ',' family ',' communication ',' Vicall ',' smooth ',' provider ',' Reaching ',' Movers', 'Nusantara', 'Trimks',' Telkomsel ',' Hopefully ',' Poppn ',' Jaya ', "]</v>
      </c>
      <c r="D1652" s="3">
        <v>5.0</v>
      </c>
    </row>
    <row r="1653" ht="15.75" customHeight="1">
      <c r="A1653" s="1">
        <v>1651.0</v>
      </c>
      <c r="B1653" s="3" t="s">
        <v>1654</v>
      </c>
      <c r="C1653" s="3" t="str">
        <f>IFERROR(__xludf.DUMMYFUNCTION("GOOGLETRANSLATE(B1653,""id"",""en"")"),"['', 'God', 'Urgent', 'Take', 'Package', 'Quota', 'Cana', 'Network', 'Credit', 'Sumpot', 'Forgiveness', ""]")</f>
        <v>['', 'God', 'Urgent', 'Take', 'Package', 'Quota', 'Cana', 'Network', 'Credit', 'Sumpot', 'Forgiveness', "]</v>
      </c>
      <c r="D1653" s="3">
        <v>1.0</v>
      </c>
    </row>
    <row r="1654" ht="15.75" customHeight="1">
      <c r="A1654" s="1">
        <v>1652.0</v>
      </c>
      <c r="B1654" s="3" t="s">
        <v>1655</v>
      </c>
      <c r="C1654" s="3" t="str">
        <f>IFERROR(__xludf.DUMMYFUNCTION("GOOGLETRANSLATE(B1654,""id"",""en"")"),"['oath', 'ugly', 'apk', 'entered', 'entered', 'written', 'Something', 'Went', 'Wrong', 'pleaae', 'try', 'Again', ' Later ',' UDH ',' Many ',' Times', 'Delete', 'Download', 'Then', 'Unplug', 'Simcard', 'Tetep', 'Staga', 'Please', 'Repaired' , 'Assisted']")</f>
        <v>['oath', 'ugly', 'apk', 'entered', 'entered', 'written', 'Something', 'Went', 'Wrong', 'pleaae', 'try', 'Again', ' Later ',' UDH ',' Many ',' Times', 'Delete', 'Download', 'Then', 'Unplug', 'Simcard', 'Tetep', 'Staga', 'Please', 'Repaired' , 'Assisted']</v>
      </c>
      <c r="D1654" s="3">
        <v>1.0</v>
      </c>
    </row>
    <row r="1655" ht="15.75" customHeight="1">
      <c r="A1655" s="1">
        <v>1653.0</v>
      </c>
      <c r="B1655" s="3" t="s">
        <v>1656</v>
      </c>
      <c r="C1655" s="3" t="str">
        <f>IFERROR(__xludf.DUMMYFUNCTION("GOOGLETRANSLATE(B1655,""id"",""en"")"),"['Network', 'deteriorating', 'telephone', 'signal', 'missing', 'location', 'Surabaya', 'disappointed']")</f>
        <v>['Network', 'deteriorating', 'telephone', 'signal', 'missing', 'location', 'Surabaya', 'disappointed']</v>
      </c>
      <c r="D1655" s="3">
        <v>1.0</v>
      </c>
    </row>
    <row r="1656" ht="15.75" customHeight="1">
      <c r="A1656" s="1">
        <v>1654.0</v>
      </c>
      <c r="B1656" s="3" t="s">
        <v>1657</v>
      </c>
      <c r="C1656" s="3" t="str">
        <f>IFERROR(__xludf.DUMMYFUNCTION("GOOGLETRANSLATE(B1656,""id"",""en"")"),"['Telkomsel', 'slow', 'send', 'verification', 'really', 'buy', 'package', 'really', 'enter', 'Telkomsel', 'slow', 'please', ' repair']")</f>
        <v>['Telkomsel', 'slow', 'send', 'verification', 'really', 'buy', 'package', 'really', 'enter', 'Telkomsel', 'slow', 'please', ' repair']</v>
      </c>
      <c r="D1656" s="3">
        <v>2.0</v>
      </c>
    </row>
    <row r="1657" ht="15.75" customHeight="1">
      <c r="A1657" s="1">
        <v>1655.0</v>
      </c>
      <c r="B1657" s="3" t="s">
        <v>1658</v>
      </c>
      <c r="C1657" s="3" t="str">
        <f>IFERROR(__xludf.DUMMYFUNCTION("GOOGLETRANSLATE(B1657,""id"",""en"")"),"['Open', 'Application', 'Telkomsel', 'Update', 'Uninstall', 'Install', 'Uninstall', 'Install', 'Tetep', 'Enggk', 'Enter', 'Application', ' Something ',' Went ',' Wrong ',' Please ',' Try ',' Again ',' After ',' sometime ', ""]")</f>
        <v>['Open', 'Application', 'Telkomsel', 'Update', 'Uninstall', 'Install', 'Uninstall', 'Install', 'Tetep', 'Enggk', 'Enter', 'Application', ' Something ',' Went ',' Wrong ',' Please ',' Try ',' Again ',' After ',' sometime ', "]</v>
      </c>
      <c r="D1657" s="3">
        <v>1.0</v>
      </c>
    </row>
    <row r="1658" ht="15.75" customHeight="1">
      <c r="A1658" s="1">
        <v>1656.0</v>
      </c>
      <c r="B1658" s="3" t="s">
        <v>1659</v>
      </c>
      <c r="C1658" s="3" t="str">
        <f>IFERROR(__xludf.DUMMYFUNCTION("GOOGLETRANSLATE(B1658,""id"",""en"")"),"['Please', 'server', 'conditioned', 'busy', 'ketledor', 'application', 'cell', 'error', 'server', 'pafajal', 'already', 'pakek', ' VPN ',' DSJ ',' already ',' Reinstall ',' ']")</f>
        <v>['Please', 'server', 'conditioned', 'busy', 'ketledor', 'application', 'cell', 'error', 'server', 'pafajal', 'already', 'pakek', ' VPN ',' DSJ ',' already ',' Reinstall ',' ']</v>
      </c>
      <c r="D1658" s="3">
        <v>2.0</v>
      </c>
    </row>
    <row r="1659" ht="15.75" customHeight="1">
      <c r="A1659" s="1">
        <v>1657.0</v>
      </c>
      <c r="B1659" s="3" t="s">
        <v>1660</v>
      </c>
      <c r="C1659" s="3" t="str">
        <f>IFERROR(__xludf.DUMMYFUNCTION("GOOGLETRANSLATE(B1659,""id"",""en"")"),"['The problem', 'buy', 'package', 'last night', 'Try', 'Install', 'Login', 'Information', 'Something', 'Went', 'Wrong', 'The solution', ' Buy ',' Credit ',' Banking ',' Overnight ',' Enter ',' Please ',' Help ']")</f>
        <v>['The problem', 'buy', 'package', 'last night', 'Try', 'Install', 'Login', 'Information', 'Something', 'Went', 'Wrong', 'The solution', ' Buy ',' Credit ',' Banking ',' Overnight ',' Enter ',' Please ',' Help ']</v>
      </c>
      <c r="D1659" s="3">
        <v>1.0</v>
      </c>
    </row>
    <row r="1660" ht="15.75" customHeight="1">
      <c r="A1660" s="1">
        <v>1658.0</v>
      </c>
      <c r="B1660" s="3" t="s">
        <v>1661</v>
      </c>
      <c r="C1660" s="3" t="str">
        <f>IFERROR(__xludf.DUMMYFUNCTION("GOOGLETRANSLATE(B1660,""id"",""en"")"),"['Hello', 'kak', 'admin', 'sorry', 'star', 'in the future', 'please', 'repair', 'regarding', 'stability', 'signal', 'application', ' Telkomsel ',' Experiencing ',' Error ',' Yesterday ',' Buy ',' Package ',' Data ',' Please ',' Repaired ',' Sis']")</f>
        <v>['Hello', 'kak', 'admin', 'sorry', 'star', 'in the future', 'please', 'repair', 'regarding', 'stability', 'signal', 'application', ' Telkomsel ',' Experiencing ',' Error ',' Yesterday ',' Buy ',' Package ',' Data ',' Please ',' Repaired ',' Sis']</v>
      </c>
      <c r="D1660" s="3">
        <v>3.0</v>
      </c>
    </row>
    <row r="1661" ht="15.75" customHeight="1">
      <c r="A1661" s="1">
        <v>1659.0</v>
      </c>
      <c r="B1661" s="3" t="s">
        <v>1662</v>
      </c>
      <c r="C1661" s="3" t="str">
        <f>IFERROR(__xludf.DUMMYFUNCTION("GOOGLETRANSLATE(B1661,""id"",""en"")"),"['Come', 'ugly', 'really', 'network', 'rain', 'internet', 'open', 'expensive', 'package', 'monthly', 'please', 'repair']")</f>
        <v>['Come', 'ugly', 'really', 'network', 'rain', 'internet', 'open', 'expensive', 'package', 'monthly', 'please', 'repair']</v>
      </c>
      <c r="D1661" s="3">
        <v>1.0</v>
      </c>
    </row>
    <row r="1662" ht="15.75" customHeight="1">
      <c r="A1662" s="1">
        <v>1660.0</v>
      </c>
      <c r="B1662" s="3" t="s">
        <v>1663</v>
      </c>
      <c r="C1662" s="3" t="str">
        <f>IFERROR(__xludf.DUMMYFUNCTION("GOOGLETRANSLATE(B1662,""id"",""en"")"),"['Disappointed', 'Activate', 'Quota', 'Thinking', 'YouTube', 'Unlimited', 'Payment', 'Use', 'Credit', 'Linkaja', 'Lost', 'Fix', ' Gini ',' no ',' update ',' ']")</f>
        <v>['Disappointed', 'Activate', 'Quota', 'Thinking', 'YouTube', 'Unlimited', 'Payment', 'Use', 'Credit', 'Linkaja', 'Lost', 'Fix', ' Gini ',' no ',' update ',' ']</v>
      </c>
      <c r="D1662" s="3">
        <v>4.0</v>
      </c>
    </row>
    <row r="1663" ht="15.75" customHeight="1">
      <c r="A1663" s="1">
        <v>1661.0</v>
      </c>
      <c r="B1663" s="3" t="s">
        <v>1664</v>
      </c>
      <c r="C1663" s="3" t="str">
        <f>IFERROR(__xludf.DUMMYFUNCTION("GOOGLETRANSLATE(B1663,""id"",""en"")"),"['hijrah', 'survive', 'service', 'bad', 'quality', 'because', 'already', 'already', 'deh', 'change', 'provider', ' price ',' comparable ',' quality ',' here ',' threat ',' signal ',' ilang ',' application ',' just ',' most ',' style ',' difficult ',' use "&amp;"' , 'Nge', 'down', 'Mulu', 'Confused', 'Thinking', 'Provider', 'Severe', 'Severe', 'Severe', 'Bintang', 'Separo']")</f>
        <v>['hijrah', 'survive', 'service', 'bad', 'quality', 'because', 'already', 'already', 'deh', 'change', 'provider', ' price ',' comparable ',' quality ',' here ',' threat ',' signal ',' ilang ',' application ',' just ',' most ',' style ',' difficult ',' use ' , 'Nge', 'down', 'Mulu', 'Confused', 'Thinking', 'Provider', 'Severe', 'Severe', 'Severe', 'Bintang', 'Separo']</v>
      </c>
      <c r="D1663" s="3">
        <v>1.0</v>
      </c>
    </row>
    <row r="1664" ht="15.75" customHeight="1">
      <c r="A1664" s="1">
        <v>1662.0</v>
      </c>
      <c r="B1664" s="3" t="s">
        <v>1665</v>
      </c>
      <c r="C1664" s="3" t="str">
        <f>IFERROR(__xludf.DUMMYFUNCTION("GOOGLETRANSLATE(B1664,""id"",""en"")"),"['Please', 'Dri', 'Telkomsel', 'Application', 'Repaired', 'Register', 'Telkomsel', 'Troubled', 'Network', 'PDAHAL', 'DSNI', 'Network', ' Please, 'Dri', 'Telkomsel', 'Fix', 'Application']")</f>
        <v>['Please', 'Dri', 'Telkomsel', 'Application', 'Repaired', 'Register', 'Telkomsel', 'Troubled', 'Network', 'PDAHAL', 'DSNI', 'Network', ' Please, 'Dri', 'Telkomsel', 'Fix', 'Application']</v>
      </c>
      <c r="D1664" s="3">
        <v>1.0</v>
      </c>
    </row>
    <row r="1665" ht="15.75" customHeight="1">
      <c r="A1665" s="1">
        <v>1663.0</v>
      </c>
      <c r="B1665" s="3" t="s">
        <v>1666</v>
      </c>
      <c r="C1665" s="3" t="str">
        <f>IFERROR(__xludf.DUMMYFUNCTION("GOOGLETRANSLATE(B1665,""id"",""en"")"),"['', 'Telkomsel', 'opened', 'annoying', 'check', 'quota', 'pulse', 'difficult', 'package', 'already', 'abis',' buy ',' quota ',' difficult ',' please ']")</f>
        <v>['', 'Telkomsel', 'opened', 'annoying', 'check', 'quota', 'pulse', 'difficult', 'package', 'already', 'abis',' buy ',' quota ',' difficult ',' please ']</v>
      </c>
      <c r="D1665" s="3">
        <v>2.0</v>
      </c>
    </row>
    <row r="1666" ht="15.75" customHeight="1">
      <c r="A1666" s="1">
        <v>1664.0</v>
      </c>
      <c r="B1666" s="3" t="s">
        <v>1667</v>
      </c>
      <c r="C1666" s="3" t="str">
        <f>IFERROR(__xludf.DUMMYFUNCTION("GOOGLETRANSLATE(B1666,""id"",""en"")"),"['Telkomsel', 'bad', 'price', 'quality', 'comparable', 'users', 'Telkomsel', 'disappointed', 'intend', 'replace', 'provider']")</f>
        <v>['Telkomsel', 'bad', 'price', 'quality', 'comparable', 'users', 'Telkomsel', 'disappointed', 'intend', 'replace', 'provider']</v>
      </c>
      <c r="D1666" s="3">
        <v>1.0</v>
      </c>
    </row>
    <row r="1667" ht="15.75" customHeight="1">
      <c r="A1667" s="1">
        <v>1665.0</v>
      </c>
      <c r="B1667" s="3" t="s">
        <v>1668</v>
      </c>
      <c r="C1667" s="3" t="str">
        <f>IFERROR(__xludf.DUMMYFUNCTION("GOOGLETRANSLATE(B1667,""id"",""en"")"),"['Update', 'Yesterday', 'Open', 'Application', 'Error', 'Network', 'Open', 'Website', 'Current', 'Quality', 'Service', 'Telkomsel', ' "", 'Price', 'expensive', '']")</f>
        <v>['Update', 'Yesterday', 'Open', 'Application', 'Error', 'Network', 'Open', 'Website', 'Current', 'Quality', 'Service', 'Telkomsel', ' ", 'Price', 'expensive', '']</v>
      </c>
      <c r="D1667" s="3">
        <v>1.0</v>
      </c>
    </row>
    <row r="1668" ht="15.75" customHeight="1">
      <c r="A1668" s="1">
        <v>1666.0</v>
      </c>
      <c r="B1668" s="3" t="s">
        <v>1669</v>
      </c>
      <c r="C1668" s="3" t="str">
        <f>IFERROR(__xludf.DUMMYFUNCTION("GOOGLETRANSLATE(B1668,""id"",""en"")"),"['package', 'expensive', 'expensive', 'network', 'difficult', 'ngellag', 'ngelag', 'quota', 'learn', 'Rp', 'GB', 'search', ' Browse ',' SMS ',' notification ',' entry ',' PlayStore ',' Application ',' Telkomsel ',' Tipu ',' Tipu ',' Package ',' Unlimited "&amp;"',' Max ',' already ' , 'Try', 'replaced', 'combo', 'combo', 'expensive', 'mintk', 'forgiveness',' please ',' return ',' package ',' unlimited ',' max ',' Help ',' Located ',' YAKK ',' Change ',' Card ',' ']")</f>
        <v>['package', 'expensive', 'expensive', 'network', 'difficult', 'ngellag', 'ngelag', 'quota', 'learn', 'Rp', 'GB', 'search', ' Browse ',' SMS ',' notification ',' entry ',' PlayStore ',' Application ',' Telkomsel ',' Tipu ',' Tipu ',' Package ',' Unlimited ',' Max ',' already ' , 'Try', 'replaced', 'combo', 'combo', 'expensive', 'mintk', 'forgiveness',' please ',' return ',' package ',' unlimited ',' max ',' Help ',' Located ',' YAKK ',' Change ',' Card ',' ']</v>
      </c>
      <c r="D1668" s="3">
        <v>2.0</v>
      </c>
    </row>
    <row r="1669" ht="15.75" customHeight="1">
      <c r="A1669" s="1">
        <v>1667.0</v>
      </c>
      <c r="B1669" s="3" t="s">
        <v>1670</v>
      </c>
      <c r="C1669" s="3" t="str">
        <f>IFERROR(__xludf.DUMMYFUNCTION("GOOGLETRANSLATE(B1669,""id"",""en"")"),"['Application', 'opened', 'refresh', 'mulu', 'pdhl', 'online', 'application', 'heavy', 'smooth', 'package', 'internet', 'expensive', ' network ',' lost ',' think ',' intention ',' replace ',' provider ',' disappointed ',' quality ',' according to ',' pric"&amp;"e ',' repair ',' network ',' severe ' , 'Change', 'Provider', 'Road', 'Best', 'Sorry', ""]")</f>
        <v>['Application', 'opened', 'refresh', 'mulu', 'pdhl', 'online', 'application', 'heavy', 'smooth', 'package', 'internet', 'expensive', ' network ',' lost ',' think ',' intention ',' replace ',' provider ',' disappointed ',' quality ',' according to ',' price ',' repair ',' network ',' severe ' , 'Change', 'Provider', 'Road', 'Best', 'Sorry', "]</v>
      </c>
      <c r="D1669" s="3">
        <v>1.0</v>
      </c>
    </row>
    <row r="1670" ht="15.75" customHeight="1">
      <c r="A1670" s="1">
        <v>1668.0</v>
      </c>
      <c r="B1670" s="3" t="s">
        <v>1671</v>
      </c>
      <c r="C1670" s="3" t="str">
        <f>IFERROR(__xludf.DUMMYFUNCTION("GOOGLETRANSLATE(B1670,""id"",""en"")"),"['Update', 'Login', 'Delete', 'Download', 'Many', 'Login', 'Please', 'Disappointed', '']")</f>
        <v>['Update', 'Login', 'Delete', 'Download', 'Many', 'Login', 'Please', 'Disappointed', '']</v>
      </c>
      <c r="D1670" s="3">
        <v>1.0</v>
      </c>
    </row>
    <row r="1671" ht="15.75" customHeight="1">
      <c r="A1671" s="1">
        <v>1669.0</v>
      </c>
      <c r="B1671" s="3" t="s">
        <v>1672</v>
      </c>
      <c r="C1671" s="3" t="str">
        <f>IFERROR(__xludf.DUMMYFUNCTION("GOOGLETRANSLATE(B1671,""id"",""en"")"),"['', 'Telkomsel', 'area', 'Centraleng', 'Error', 'opened', 'disappointed', 'bug', 'repaired', 'service', 'satisfying', 'disappointed', "" ]")</f>
        <v>['', 'Telkomsel', 'area', 'Centraleng', 'Error', 'opened', 'disappointed', 'bug', 'repaired', 'service', 'satisfying', 'disappointed', " ]</v>
      </c>
      <c r="D1671" s="3">
        <v>1.0</v>
      </c>
    </row>
    <row r="1672" ht="15.75" customHeight="1">
      <c r="A1672" s="1">
        <v>1670.0</v>
      </c>
      <c r="B1672" s="3" t="s">
        <v>1673</v>
      </c>
      <c r="C1672" s="3" t="str">
        <f>IFERROR(__xludf.DUMMYFUNCTION("GOOGLETRANSLATE(B1672,""id"",""en"")"),"['Disappointed', 'Application', 'Wear', 'Card', 'Sympathy', 'Wear', 'Telkomsel', 'Constraints',' Yesterday ',' Application ',' Log ',' Out ',' enter', '']")</f>
        <v>['Disappointed', 'Application', 'Wear', 'Card', 'Sympathy', 'Wear', 'Telkomsel', 'Constraints',' Yesterday ',' Application ',' Log ',' Out ',' enter', '']</v>
      </c>
      <c r="D1672" s="3">
        <v>1.0</v>
      </c>
    </row>
    <row r="1673" ht="15.75" customHeight="1">
      <c r="A1673" s="1">
        <v>1671.0</v>
      </c>
      <c r="B1673" s="3" t="s">
        <v>1674</v>
      </c>
      <c r="C1673" s="3" t="str">
        <f>IFERROR(__xludf.DUMMYFUNCTION("GOOGLETRANSLATE(B1673,""id"",""en"")"),"['Something', 'Went', 'Wrong', 'Please', 'Try', 'Again', 'After', 'Sometime', 'Update', 'That's',' Sampe ',' Clock ',' Admin ',' Hopefully ',' Mules', 'Mules',' Sklian ',' Office ',' Mules', 'Mules',' Ambush ',' Ambush ',' Deh ',' Huhhh ',' Huhhh ' , 'Sea"&amp;"son', 'buy', 'Telkomsel', 'discount', 'disorder', 'just', '']")</f>
        <v>['Something', 'Went', 'Wrong', 'Please', 'Try', 'Again', 'After', 'Sometime', 'Update', 'That's',' Sampe ',' Clock ',' Admin ',' Hopefully ',' Mules', 'Mules',' Sklian ',' Office ',' Mules', 'Mules',' Ambush ',' Ambush ',' Deh ',' Huhhh ',' Huhhh ' , 'Season', 'buy', 'Telkomsel', 'discount', 'disorder', 'just', '']</v>
      </c>
      <c r="D1673" s="3">
        <v>1.0</v>
      </c>
    </row>
    <row r="1674" ht="15.75" customHeight="1">
      <c r="A1674" s="1">
        <v>1672.0</v>
      </c>
      <c r="B1674" s="3" t="s">
        <v>1675</v>
      </c>
      <c r="C1674" s="3" t="str">
        <f>IFERROR(__xludf.DUMMYFUNCTION("GOOGLETRANSLATE(B1674,""id"",""en"")"),"['', 'Telkomsel', 'heavy', 'slow', 'tasty', 'fast', 'light', 'Telkomsel', 'Lite', 'open', 'return', 'version', 'choose ',' Select ',' stingy ',' apply ',' package ',' internet ',' pedek ',' pedek ',' plus', 'expensive', 'expensive', 'price']")</f>
        <v>['', 'Telkomsel', 'heavy', 'slow', 'tasty', 'fast', 'light', 'Telkomsel', 'Lite', 'open', 'return', 'version', 'choose ',' Select ',' stingy ',' apply ',' package ',' internet ',' pedek ',' pedek ',' plus', 'expensive', 'expensive', 'price']</v>
      </c>
      <c r="D1674" s="3">
        <v>1.0</v>
      </c>
    </row>
    <row r="1675" ht="15.75" customHeight="1">
      <c r="A1675" s="1">
        <v>1673.0</v>
      </c>
      <c r="B1675" s="3" t="s">
        <v>1676</v>
      </c>
      <c r="C1675" s="3" t="str">
        <f>IFERROR(__xludf.DUMMYFUNCTION("GOOGLETRANSLATE(B1675,""id"",""en"")"),"['Please', 'Sorry', 'Rate', 'Reduce', 'Use', 'Current', 'Enter', 'Application', 'Telkomsel', 'Error', 'Connection', 'Stable', ' funny ',' details', 'network', 'good', 'ping', 'smooth', 'false', 'my cellphone', 'or', 'card', '']")</f>
        <v>['Please', 'Sorry', 'Rate', 'Reduce', 'Use', 'Current', 'Enter', 'Application', 'Telkomsel', 'Error', 'Connection', 'Stable', ' funny ',' details', 'network', 'good', 'ping', 'smooth', 'false', 'my cellphone', 'or', 'card', '']</v>
      </c>
      <c r="D1675" s="3">
        <v>1.0</v>
      </c>
    </row>
    <row r="1676" ht="15.75" customHeight="1">
      <c r="A1676" s="1">
        <v>1674.0</v>
      </c>
      <c r="B1676" s="3" t="s">
        <v>1677</v>
      </c>
      <c r="C1676" s="3" t="str">
        <f>IFERROR(__xludf.DUMMYFUNCTION("GOOGLETRANSLATE(B1676,""id"",""en"")"),"['Login', 'entered', 'according to', 'slow', 'app', 'UDH', 'upgrade', 'version', 'newest', 'Please', 'min', 'check', ' SPT ',' ']")</f>
        <v>['Login', 'entered', 'according to', 'slow', 'app', 'UDH', 'upgrade', 'version', 'newest', 'Please', 'min', 'check', ' SPT ',' ']</v>
      </c>
      <c r="D1676" s="3">
        <v>1.0</v>
      </c>
    </row>
    <row r="1677" ht="15.75" customHeight="1">
      <c r="A1677" s="1">
        <v>1675.0</v>
      </c>
      <c r="B1677" s="3" t="s">
        <v>1678</v>
      </c>
      <c r="C1677" s="3" t="str">
        <f>IFERROR(__xludf.DUMMYFUNCTION("GOOGLETRANSLATE(B1677,""id"",""en"")"),"['update', 'opened', 'writing', 'error', 'connection', 'unstable', 'connection', 'smooth', 'smooth', 'dipake', 'browse']")</f>
        <v>['update', 'opened', 'writing', 'error', 'connection', 'unstable', 'connection', 'smooth', 'smooth', 'dipake', 'browse']</v>
      </c>
      <c r="D1677" s="3">
        <v>1.0</v>
      </c>
    </row>
    <row r="1678" ht="15.75" customHeight="1">
      <c r="A1678" s="1">
        <v>1676.0</v>
      </c>
      <c r="B1678" s="3" t="s">
        <v>1679</v>
      </c>
      <c r="C1678" s="3" t="str">
        <f>IFERROR(__xludf.DUMMYFUNCTION("GOOGLETRANSLATE(B1678,""id"",""en"")"),"['check', 'quota', 'quota', 'try', 'unnistal', 'application', 'Telkomsel', 'Download', 'hope', 'kog', 'login', 'yakk', ' number ',' already ',' please ',' disappointed ',' really ',' sihh ',' ']")</f>
        <v>['check', 'quota', 'quota', 'try', 'unnistal', 'application', 'Telkomsel', 'Download', 'hope', 'kog', 'login', 'yakk', ' number ',' already ',' please ',' disappointed ',' really ',' sihh ',' ']</v>
      </c>
      <c r="D1678" s="3">
        <v>1.0</v>
      </c>
    </row>
    <row r="1679" ht="15.75" customHeight="1">
      <c r="A1679" s="1">
        <v>1677.0</v>
      </c>
      <c r="B1679" s="3" t="s">
        <v>1680</v>
      </c>
      <c r="C1679" s="3" t="str">
        <f>IFERROR(__xludf.DUMMYFUNCTION("GOOGLETRANSLATE(B1679,""id"",""en"")"),"['skrg', 'Telkomsel', 'Gini', 'Log', 'quota', 'Please', 'Fixed', 'APK']")</f>
        <v>['skrg', 'Telkomsel', 'Gini', 'Log', 'quota', 'Please', 'Fixed', 'APK']</v>
      </c>
      <c r="D1679" s="3">
        <v>1.0</v>
      </c>
    </row>
    <row r="1680" ht="15.75" customHeight="1">
      <c r="A1680" s="1">
        <v>1678.0</v>
      </c>
      <c r="B1680" s="3" t="s">
        <v>1681</v>
      </c>
      <c r="C1680" s="3" t="str">
        <f>IFERROR(__xludf.DUMMYFUNCTION("GOOGLETRANSLATE(B1680,""id"",""en"")"),"['ugly', 'entry', 'aplicity', 'telkomel', 'error', 'udh', 'inserted', 'number', 'telephone', 'told', 'waiting', 'recommendation', ' Choose ',' Change ',' card ',' ugly ',' really ',' disappointed ',' really ']")</f>
        <v>['ugly', 'entry', 'aplicity', 'telkomel', 'error', 'udh', 'inserted', 'number', 'telephone', 'told', 'waiting', 'recommendation', ' Choose ',' Change ',' card ',' ugly ',' really ',' disappointed ',' really ']</v>
      </c>
      <c r="D1680" s="3">
        <v>1.0</v>
      </c>
    </row>
    <row r="1681" ht="15.75" customHeight="1">
      <c r="A1681" s="1">
        <v>1679.0</v>
      </c>
      <c r="B1681" s="3" t="s">
        <v>1682</v>
      </c>
      <c r="C1681" s="3" t="str">
        <f>IFERROR(__xludf.DUMMYFUNCTION("GOOGLETRANSLATE(B1681,""id"",""en"")"),"['update', 'the application', 'error', 'repeated', 'times',' login ',' number ',' login ',' the application ',' connect ',' application ',' account ',' Media ',' Social ',' Login ',' Please ',' Fix ',' Thank ',' Love ', ""]")</f>
        <v>['update', 'the application', 'error', 'repeated', 'times',' login ',' number ',' login ',' the application ',' connect ',' application ',' account ',' Media ',' Social ',' Login ',' Please ',' Fix ',' Thank ',' Love ', "]</v>
      </c>
      <c r="D1681" s="3">
        <v>1.0</v>
      </c>
    </row>
    <row r="1682" ht="15.75" customHeight="1">
      <c r="A1682" s="1">
        <v>1680.0</v>
      </c>
      <c r="B1682" s="3" t="s">
        <v>1683</v>
      </c>
      <c r="C1682" s="3" t="str">
        <f>IFERROR(__xludf.DUMMYFUNCTION("GOOGLETRANSLATE(B1682,""id"",""en"")"),"['already', 'need', 'app', 'harm', 'contents',' pulse ',' money ',' enter ',' pulses', 'abis',' update ',' open ',' The app ',' expected ',' App ', ""]")</f>
        <v>['already', 'need', 'app', 'harm', 'contents',' pulse ',' money ',' enter ',' pulses', 'abis',' update ',' open ',' The app ',' expected ',' App ', "]</v>
      </c>
      <c r="D1682" s="3">
        <v>1.0</v>
      </c>
    </row>
    <row r="1683" ht="15.75" customHeight="1">
      <c r="A1683" s="1">
        <v>1681.0</v>
      </c>
      <c r="B1683" s="3" t="s">
        <v>1684</v>
      </c>
      <c r="C1683" s="3" t="str">
        <f>IFERROR(__xludf.DUMMYFUNCTION("GOOGLETRANSLATE(B1683,""id"",""en"")"),"['Please', 'Respond', 'Related', 'Login', 'Telkomsel', 'Something', 'Went', 'Wrong', 'Please', 'Try', 'Again', 'Sometime', ' repeat ',' times', 'try', 'enter', 'uninstall', 'installed', 'please', 'Terakyi']")</f>
        <v>['Please', 'Respond', 'Related', 'Login', 'Telkomsel', 'Something', 'Went', 'Wrong', 'Please', 'Try', 'Again', 'Sometime', ' repeat ',' times', 'try', 'enter', 'uninstall', 'installed', 'please', 'Terakyi']</v>
      </c>
      <c r="D1683" s="3">
        <v>1.0</v>
      </c>
    </row>
    <row r="1684" ht="15.75" customHeight="1">
      <c r="A1684" s="1">
        <v>1682.0</v>
      </c>
      <c r="B1684" s="3" t="s">
        <v>1685</v>
      </c>
      <c r="C1684" s="3" t="str">
        <f>IFERROR(__xludf.DUMMYFUNCTION("GOOGLETRANSLATE(B1684,""id"",""en"")"),"['Season', 'Login', 'Something', 'Wrong', 'Mulu', 'Application', 'Good', 'Capital', 'Want', 'Search', 'Untung', 'Customer', ' Sikranin ', ""]")</f>
        <v>['Season', 'Login', 'Something', 'Wrong', 'Mulu', 'Application', 'Good', 'Capital', 'Want', 'Search', 'Untung', 'Customer', ' Sikranin ', "]</v>
      </c>
      <c r="D1684" s="3">
        <v>1.0</v>
      </c>
    </row>
    <row r="1685" ht="15.75" customHeight="1">
      <c r="A1685" s="1">
        <v>1683.0</v>
      </c>
      <c r="B1685" s="3" t="s">
        <v>1686</v>
      </c>
      <c r="C1685" s="3" t="str">
        <f>IFERROR(__xludf.DUMMYFUNCTION("GOOGLETRANSLATE(B1685,""id"",""en"")"),"['Disappointed', 'buy', 'package', 'enter', 'Telkomsel', 'buy', 'dial', 'position', 'emergency', 'service', 'moved', 'provider']")</f>
        <v>['Disappointed', 'buy', 'package', 'enter', 'Telkomsel', 'buy', 'dial', 'position', 'emergency', 'service', 'moved', 'provider']</v>
      </c>
      <c r="D1685" s="3">
        <v>1.0</v>
      </c>
    </row>
    <row r="1686" ht="15.75" customHeight="1">
      <c r="A1686" s="1">
        <v>1684.0</v>
      </c>
      <c r="B1686" s="3" t="s">
        <v>1687</v>
      </c>
      <c r="C1686" s="3" t="str">
        <f>IFERROR(__xludf.DUMMYFUNCTION("GOOGLETRANSLATE(B1686,""id"",""en"")"),"['Network', 'ugly', 'application', 'error', 'telephone', 'customer', 'service', 'no', 'solution', 'spending', 'pulse', 'price', ' expensive ',' no ',' according to ',' service ',' network ',' offer ',' ']")</f>
        <v>['Network', 'ugly', 'application', 'error', 'telephone', 'customer', 'service', 'no', 'solution', 'spending', 'pulse', 'price', ' expensive ',' no ',' according to ',' service ',' network ',' offer ',' ']</v>
      </c>
      <c r="D1686" s="3">
        <v>1.0</v>
      </c>
    </row>
    <row r="1687" ht="15.75" customHeight="1">
      <c r="A1687" s="1">
        <v>1685.0</v>
      </c>
      <c r="B1687" s="3" t="s">
        <v>1688</v>
      </c>
      <c r="C1687" s="3" t="str">
        <f>IFERROR(__xludf.DUMMYFUNCTION("GOOGLETRANSLATE(B1687,""id"",""en"")"),"['January', 'apk', 'tsel', 'error', 'ktnya', 'unstable', 'connection', 'click', 'refresh', 'pdhl', 'quota', 'cave', ' Alert ',' BNYK ',' Network ',' Cave ',' Stable ',' Daaann ',' Udh ',' Repeated ',' Times', 'Cave', 'Refresh', 'Please', 'Repaired' , 'Cav"&amp;"e', 'Jugk', 'see', 'leftover', 'quota', 'cave', 'cave', 'jugk', 'bli', 'package', 'monthly', 'beak "" HBS ',' Hurry ',' Fix ',' Klok ',' Cave ',' Scolded ',' Teacher ',' Cave ',' Ggr ',' Package ',' Internet ',' Hbs', 'Cave' , 'Weratin', 'Elo', '']")</f>
        <v>['January', 'apk', 'tsel', 'error', 'ktnya', 'unstable', 'connection', 'click', 'refresh', 'pdhl', 'quota', 'cave', ' Alert ',' BNYK ',' Network ',' Cave ',' Stable ',' Daaann ',' Udh ',' Repeated ',' Times', 'Cave', 'Refresh', 'Please', 'Repaired' , 'Cave', 'Jugk', 'see', 'leftover', 'quota', 'cave', 'cave', 'jugk', 'bli', 'package', 'monthly', 'beak " HBS ',' Hurry ',' Fix ',' Klok ',' Cave ',' Scolded ',' Teacher ',' Cave ',' Ggr ',' Package ',' Internet ',' Hbs', 'Cave' , 'Weratin', 'Elo', '']</v>
      </c>
      <c r="D1687" s="3">
        <v>1.0</v>
      </c>
    </row>
    <row r="1688" ht="15.75" customHeight="1">
      <c r="A1688" s="1">
        <v>1686.0</v>
      </c>
      <c r="B1688" s="3" t="s">
        <v>1689</v>
      </c>
      <c r="C1688" s="3" t="str">
        <f>IFERROR(__xludf.DUMMYFUNCTION("GOOGLETRANSLATE(B1688,""id"",""en"")"),"['entry', 'application', 'told', 'login', 'open', 'application', 'loading', 'really', 'buy', 'package', 'Something', 'Went', ' Wrong ',' company ',' as happier ',' gini ',' application ',' bulu ',' bad ',' really ',' ']")</f>
        <v>['entry', 'application', 'told', 'login', 'open', 'application', 'loading', 'really', 'buy', 'package', 'Something', 'Went', ' Wrong ',' company ',' as happier ',' gini ',' application ',' bulu ',' bad ',' really ',' ']</v>
      </c>
      <c r="D1688" s="3">
        <v>1.0</v>
      </c>
    </row>
    <row r="1689" ht="15.75" customHeight="1">
      <c r="A1689" s="1">
        <v>1687.0</v>
      </c>
      <c r="B1689" s="3" t="s">
        <v>1690</v>
      </c>
      <c r="C1689" s="3" t="str">
        <f>IFERROR(__xludf.DUMMYFUNCTION("GOOGLETRANSLATE(B1689,""id"",""en"")"),"['Love', 'Star', 'Sorry', 'Edit', 'Review', 'Update', 'Application', 'Telkomsel', 'Bad', 'Please', 'Fix', 'Thank you']")</f>
        <v>['Love', 'Star', 'Sorry', 'Edit', 'Review', 'Update', 'Application', 'Telkomsel', 'Bad', 'Please', 'Fix', 'Thank you']</v>
      </c>
      <c r="D1689" s="3">
        <v>1.0</v>
      </c>
    </row>
    <row r="1690" ht="15.75" customHeight="1">
      <c r="A1690" s="1">
        <v>1688.0</v>
      </c>
      <c r="B1690" s="3" t="s">
        <v>1691</v>
      </c>
      <c r="C1690" s="3" t="str">
        <f>IFERROR(__xludf.DUMMYFUNCTION("GOOGLETRANSLATE(B1690,""id"",""en"")"),"['Log', 'Telkomsel', 'Something', 'Wrong', 'How', 'Belu', 'Quota', 'What', 'Buy', 'Credit', 'Herah', 'Already', ' Kyk ',' gini ']")</f>
        <v>['Log', 'Telkomsel', 'Something', 'Wrong', 'How', 'Belu', 'Quota', 'What', 'Buy', 'Credit', 'Herah', 'Already', ' Kyk ',' gini ']</v>
      </c>
      <c r="D1690" s="3">
        <v>2.0</v>
      </c>
    </row>
    <row r="1691" ht="15.75" customHeight="1">
      <c r="A1691" s="1">
        <v>1689.0</v>
      </c>
      <c r="B1691" s="3" t="s">
        <v>1692</v>
      </c>
      <c r="C1691" s="3" t="str">
        <f>IFERROR(__xludf.DUMMYFUNCTION("GOOGLETRANSLATE(B1691,""id"",""en"")"),"['Indonesia', 'forward', 'network', 'internet', 'rich', 'gini', 'is',' Telkomsel ',' serving ',' Indonesia ',' please ',' fix ',' The network is', 'Customer', 'Money', 'Forgetting', 'Satisfaction', 'Customer', 'Please', 'Bring', 'Name', 'Community', 'Indo"&amp;"nesia', 'Advertising', 'Promo' , 'Search', 'profit', 'network', 'internet', 'quality', 'subtract', 'thank you', '']")</f>
        <v>['Indonesia', 'forward', 'network', 'internet', 'rich', 'gini', 'is',' Telkomsel ',' serving ',' Indonesia ',' please ',' fix ',' The network is', 'Customer', 'Money', 'Forgetting', 'Satisfaction', 'Customer', 'Please', 'Bring', 'Name', 'Community', 'Indonesia', 'Advertising', 'Promo' , 'Search', 'profit', 'network', 'internet', 'quality', 'subtract', 'thank you', '']</v>
      </c>
      <c r="D1691" s="3">
        <v>1.0</v>
      </c>
    </row>
    <row r="1692" ht="15.75" customHeight="1">
      <c r="A1692" s="1">
        <v>1690.0</v>
      </c>
      <c r="B1692" s="3" t="s">
        <v>1693</v>
      </c>
      <c r="C1692" s="3" t="str">
        <f>IFERROR(__xludf.DUMMYFUNCTION("GOOGLETRANSLATE(B1692,""id"",""en"")"),"['application', 'rotten', 'already', 'buy', 'package', 'quota', 'family', 'GB', 'failed', 'writing', 'managed', 'pulses',' Basic ',' Enter ',' Application ',' Delete ',' Becus', 'Application']")</f>
        <v>['application', 'rotten', 'already', 'buy', 'package', 'quota', 'family', 'GB', 'failed', 'writing', 'managed', 'pulses',' Basic ',' Enter ',' Application ',' Delete ',' Becus', 'Application']</v>
      </c>
      <c r="D1692" s="3">
        <v>1.0</v>
      </c>
    </row>
    <row r="1693" ht="15.75" customHeight="1">
      <c r="A1693" s="1">
        <v>1691.0</v>
      </c>
      <c r="B1693" s="3" t="s">
        <v>1694</v>
      </c>
      <c r="C1693" s="3" t="str">
        <f>IFERROR(__xludf.DUMMYFUNCTION("GOOGLETRANSLATE(B1693,""id"",""en"")"),"['Application', 'Uda', 'Update', 'No "",' Uda ',' Uninstall ',' Install ',' enter ',' number ',' no ',' error ',' uda ',' Install ',' Many ',' Masi ',' Ngga ',' ']")</f>
        <v>['Application', 'Uda', 'Update', 'No ",' Uda ',' Uninstall ',' Install ',' enter ',' number ',' no ',' error ',' uda ',' Install ',' Many ',' Masi ',' Ngga ',' ']</v>
      </c>
      <c r="D1693" s="3">
        <v>1.0</v>
      </c>
    </row>
    <row r="1694" ht="15.75" customHeight="1">
      <c r="A1694" s="1">
        <v>1692.0</v>
      </c>
      <c r="B1694" s="3" t="s">
        <v>1695</v>
      </c>
      <c r="C1694" s="3" t="str">
        <f>IFERROR(__xludf.DUMMYFUNCTION("GOOGLETRANSLATE(B1694,""id"",""en"")"),"['Login', 'Telkomsel', 'No "",' UDH ',' Fill ',' Credit ',' take ',' Package ',' Data ',' Abis ',' Credit ',' Please ',' network ',' fix ',' UDH ',' Survive ',' Telkomsel ',' JNI ',' Network ',' ugly ',' ']")</f>
        <v>['Login', 'Telkomsel', 'No ",' UDH ',' Fill ',' Credit ',' take ',' Package ',' Data ',' Abis ',' Credit ',' Please ',' network ',' fix ',' UDH ',' Survive ',' Telkomsel ',' JNI ',' Network ',' ugly ',' ']</v>
      </c>
      <c r="D1694" s="3">
        <v>1.0</v>
      </c>
    </row>
    <row r="1695" ht="15.75" customHeight="1">
      <c r="A1695" s="1">
        <v>1693.0</v>
      </c>
      <c r="B1695" s="3" t="s">
        <v>1696</v>
      </c>
      <c r="C1695" s="3" t="str">
        <f>IFERROR(__xludf.DUMMYFUNCTION("GOOGLETRANSLATE(B1695,""id"",""en"")"),"['Login', 'network', 'stable', 'pdhl', 'dsni', 'please', 'update', 'use', 'app', '']")</f>
        <v>['Login', 'network', 'stable', 'pdhl', 'dsni', 'please', 'update', 'use', 'app', '']</v>
      </c>
      <c r="D1695" s="3">
        <v>2.0</v>
      </c>
    </row>
    <row r="1696" ht="15.75" customHeight="1">
      <c r="A1696" s="1">
        <v>1694.0</v>
      </c>
      <c r="B1696" s="3" t="s">
        <v>1697</v>
      </c>
      <c r="C1696" s="3" t="str">
        <f>IFERROR(__xludf.DUMMYFUNCTION("GOOGLETRANSLATE(B1696,""id"",""en"")"),"['', 'love', 'star', 'Telkomsel', 'the application', 'light', 'love', 'star', 'application', 'info', 'ad', 'heavy', 'opened ',' Info ',' opened ',' maximal ']")</f>
        <v>['', 'love', 'star', 'Telkomsel', 'the application', 'light', 'love', 'star', 'application', 'info', 'ad', 'heavy', 'opened ',' Info ',' opened ',' maximal ']</v>
      </c>
      <c r="D1696" s="3">
        <v>1.0</v>
      </c>
    </row>
    <row r="1697" ht="15.75" customHeight="1">
      <c r="A1697" s="1">
        <v>1695.0</v>
      </c>
      <c r="B1697" s="3" t="s">
        <v>1698</v>
      </c>
      <c r="C1697" s="3" t="str">
        <f>IFERROR(__xludf.DUMMYFUNCTION("GOOGLETRANSLATE(B1697,""id"",""en"")"),"['application', 'good', 'enter', 'writing', 'connection', 'stable', 'signal', 'kb', 'kb', 'writing', 'connection', 'stable', ' strange', '']")</f>
        <v>['application', 'good', 'enter', 'writing', 'connection', 'stable', 'signal', 'kb', 'kb', 'writing', 'connection', 'stable', ' strange', '']</v>
      </c>
      <c r="D1697" s="3">
        <v>1.0</v>
      </c>
    </row>
    <row r="1698" ht="15.75" customHeight="1">
      <c r="A1698" s="1">
        <v>1696.0</v>
      </c>
      <c r="B1698" s="3" t="s">
        <v>1699</v>
      </c>
      <c r="C1698" s="3" t="str">
        <f>IFERROR(__xludf.DUMMYFUNCTION("GOOGLETRANSLATE(B1698,""id"",""en"")"),"['already', 'Yesterday', 'entered', 'Application', 'Telkomsel', 'Slalu', 'Something', 'Something', 'Wrong', 'Buy', 'Package', 'Etc.', ' Easy ',' made ',' dizziness', 'pesi', 'enter', 'application', 'signal', 'obstacle', 'here', 'ORDER']")</f>
        <v>['already', 'Yesterday', 'entered', 'Application', 'Telkomsel', 'Slalu', 'Something', 'Something', 'Wrong', 'Buy', 'Package', 'Etc.', ' Easy ',' made ',' dizziness', 'pesi', 'enter', 'application', 'signal', 'obstacle', 'here', 'ORDER']</v>
      </c>
      <c r="D1698" s="3">
        <v>1.0</v>
      </c>
    </row>
    <row r="1699" ht="15.75" customHeight="1">
      <c r="A1699" s="1">
        <v>1697.0</v>
      </c>
      <c r="B1699" s="3" t="s">
        <v>1700</v>
      </c>
      <c r="C1699" s="3" t="str">
        <f>IFERROR(__xludf.DUMMYFUNCTION("GOOGLETRANSLATE(B1699,""id"",""en"")"),"['quota', 'apply', 'bought', 'date', 'date', 'bambank', 'application', 'slow', '']")</f>
        <v>['quota', 'apply', 'bought', 'date', 'date', 'bambank', 'application', 'slow', '']</v>
      </c>
      <c r="D1699" s="3">
        <v>1.0</v>
      </c>
    </row>
    <row r="1700" ht="15.75" customHeight="1">
      <c r="A1700" s="1">
        <v>1698.0</v>
      </c>
      <c r="B1700" s="3" t="s">
        <v>1701</v>
      </c>
      <c r="C1700" s="3" t="str">
        <f>IFERROR(__xludf.DUMMYFUNCTION("GOOGLETRANSLATE(B1700,""id"",""en"")"),"['Sorry', 'Love', 'Bintang', 'Daily', 'Check', 'Collect', 'Stamp', 'Gift', 'Pas',' Exchange ',' Exchange ',' Reduce ',' No ',' Exchange ',' please ',' Telkomsel ',' right ',' Exchange ',' Stamp ',' Gift ',' told ',' Ngangin ',' Help ', ""]")</f>
        <v>['Sorry', 'Love', 'Bintang', 'Daily', 'Check', 'Collect', 'Stamp', 'Gift', 'Pas',' Exchange ',' Exchange ',' Reduce ',' No ',' Exchange ',' please ',' Telkomsel ',' right ',' Exchange ',' Stamp ',' Gift ',' told ',' Ngangin ',' Help ', "]</v>
      </c>
      <c r="D1700" s="3">
        <v>4.0</v>
      </c>
    </row>
    <row r="1701" ht="15.75" customHeight="1">
      <c r="A1701" s="1">
        <v>1699.0</v>
      </c>
      <c r="B1701" s="3" t="s">
        <v>1702</v>
      </c>
      <c r="C1701" s="3" t="str">
        <f>IFERROR(__xludf.DUMMYFUNCTION("GOOGLETRANSLATE(B1701,""id"",""en"")"),"['Enter', 'MyTelkomsel', 'Something', 'Something', 'Went', 'Wrong', 'Please', 'Try', 'Again', 'Signal', 'Current', 'Enter', ' Login ',' Kayak ',' That's', 'Mulu', 'Telkomsel']")</f>
        <v>['Enter', 'MyTelkomsel', 'Something', 'Something', 'Went', 'Wrong', 'Please', 'Try', 'Again', 'Signal', 'Current', 'Enter', ' Login ',' Kayak ',' That's', 'Mulu', 'Telkomsel']</v>
      </c>
      <c r="D1701" s="3">
        <v>3.0</v>
      </c>
    </row>
    <row r="1702" ht="15.75" customHeight="1">
      <c r="A1702" s="1">
        <v>1700.0</v>
      </c>
      <c r="B1702" s="3" t="s">
        <v>1703</v>
      </c>
      <c r="C1702" s="3" t="str">
        <f>IFERROR(__xludf.DUMMYFUNCTION("GOOGLETRANSLATE(B1702,""id"",""en"")"),"['MyTelkomsel', 'gmna', 'cave', 'download', 'apk', 'tip', 'opened', 'reason', 'network', 'cave', 'uninstall', 'trus',' cave ',' gave ',' solution ',' right ',' cave ',' download ',' lgi ',' login ',' taik ',' please ',' mytelkomsel ',' reprelted ',' cave "&amp;"' , 'Alamin', 'because', 'cave', 'login', 'kyk', 'gini']")</f>
        <v>['MyTelkomsel', 'gmna', 'cave', 'download', 'apk', 'tip', 'opened', 'reason', 'network', 'cave', 'uninstall', 'trus',' cave ',' gave ',' solution ',' right ',' cave ',' download ',' lgi ',' login ',' taik ',' please ',' mytelkomsel ',' reprelted ',' cave ' , 'Alamin', 'because', 'cave', 'login', 'kyk', 'gini']</v>
      </c>
      <c r="D1702" s="3">
        <v>1.0</v>
      </c>
    </row>
    <row r="1703" ht="15.75" customHeight="1">
      <c r="A1703" s="1">
        <v>1701.0</v>
      </c>
      <c r="B1703" s="3" t="s">
        <v>1704</v>
      </c>
      <c r="C1703" s="3" t="str">
        <f>IFERROR(__xludf.DUMMYFUNCTION("GOOGLETRANSLATE(B1703,""id"",""en"")"),"['application', 'error', 'kah', 'yesterday', 'open', 'check', 'renewal', 'system', 'uninstall', 'install', 'eeh', 'log', ' please ',' check ',' mistake ',' please ',' fix ',' complicated ',' check ',' quota ',' manual ', ""]")</f>
        <v>['application', 'error', 'kah', 'yesterday', 'open', 'check', 'renewal', 'system', 'uninstall', 'install', 'eeh', 'log', ' please ',' check ',' mistake ',' please ',' fix ',' complicated ',' check ',' quota ',' manual ', "]</v>
      </c>
      <c r="D1703" s="3">
        <v>1.0</v>
      </c>
    </row>
    <row r="1704" ht="15.75" customHeight="1">
      <c r="A1704" s="1">
        <v>1702.0</v>
      </c>
      <c r="B1704" s="3" t="s">
        <v>1705</v>
      </c>
      <c r="C1704" s="3" t="str">
        <f>IFERROR(__xludf.DUMMYFUNCTION("GOOGLETRANSLATE(B1704,""id"",""en"")"),"['Disappointed', 'calm', 'error', 'ehh', 'application', 'right', 'login', 'UDH', 'Try', 'Many', 'Tetep', 'enter', ' again ', ""]")</f>
        <v>['Disappointed', 'calm', 'error', 'ehh', 'application', 'right', 'login', 'UDH', 'Try', 'Many', 'Tetep', 'enter', ' again ', "]</v>
      </c>
      <c r="D1704" s="3">
        <v>1.0</v>
      </c>
    </row>
    <row r="1705" ht="15.75" customHeight="1">
      <c r="A1705" s="1">
        <v>1703.0</v>
      </c>
      <c r="B1705" s="3" t="s">
        <v>1706</v>
      </c>
      <c r="C1705" s="3" t="str">
        <f>IFERROR(__xludf.DUMMYFUNCTION("GOOGLETRANSLATE(B1705,""id"",""en"")"),"['knpa', 'package', 'internet', 'nggk', 'bln', 'gtu', 'maximum', 'sometimes',' buy ',' package ',' fast ',' run out ',' Buy ',' Package ',' Sometimes', 'Nggk', 'Adin', 'On', 'Package', 'bln']")</f>
        <v>['knpa', 'package', 'internet', 'nggk', 'bln', 'gtu', 'maximum', 'sometimes',' buy ',' package ',' fast ',' run out ',' Buy ',' Package ',' Sometimes', 'Nggk', 'Adin', 'On', 'Package', 'bln']</v>
      </c>
      <c r="D1705" s="3">
        <v>4.0</v>
      </c>
    </row>
    <row r="1706" ht="15.75" customHeight="1">
      <c r="A1706" s="1">
        <v>1704.0</v>
      </c>
      <c r="B1706" s="3" t="s">
        <v>1707</v>
      </c>
      <c r="C1706" s="3" t="str">
        <f>IFERROR(__xludf.DUMMYFUNCTION("GOOGLETRANSLATE(B1706,""id"",""en"")"),"['Disappointed', 'Bangetttt', 'Login', 'Gabisa', 'TeruuuuSsss',' Yesterday ',' Something ',' Went ',' Wrong ',' Please ',' Try ',' Again ',' After ',' sometime ',' then ',' ane ',' open ',' chrome ',' appears ',' writing ',' connection ',' internet ',' lo"&amp;"gic "", 'meek', 'connection' , 'Open', 'chrome', 'gabisaaa', 'how', 'plis', 'explained', '']")</f>
        <v>['Disappointed', 'Bangetttt', 'Login', 'Gabisa', 'TeruuuuSsss',' Yesterday ',' Something ',' Went ',' Wrong ',' Please ',' Try ',' Again ',' After ',' sometime ',' then ',' ane ',' open ',' chrome ',' appears ',' writing ',' connection ',' internet ',' logic ", 'meek', 'connection' , 'Open', 'chrome', 'gabisaaa', 'how', 'plis', 'explained', '']</v>
      </c>
      <c r="D1706" s="3">
        <v>1.0</v>
      </c>
    </row>
    <row r="1707" ht="15.75" customHeight="1">
      <c r="A1707" s="1">
        <v>1705.0</v>
      </c>
      <c r="B1707" s="3" t="s">
        <v>1708</v>
      </c>
      <c r="C1707" s="3" t="str">
        <f>IFERROR(__xludf.DUMMYFUNCTION("GOOGLETRANSLATE(B1707,""id"",""en"")"),"['Ironically', 'Koar', 'Koar', 'The network', 'Best', 'Senusantara', 'TPI', 'Disappointing', 'Logo', 'Full', 'TPI', 'Package', ' abundant ',' signal ',' full ',' TPI ',' brosing ',' road ',' disappointing ']")</f>
        <v>['Ironically', 'Koar', 'Koar', 'The network', 'Best', 'Senusantara', 'TPI', 'Disappointing', 'Logo', 'Full', 'TPI', 'Package', ' abundant ',' signal ',' full ',' TPI ',' brosing ',' road ',' disappointing ']</v>
      </c>
      <c r="D1707" s="3">
        <v>1.0</v>
      </c>
    </row>
    <row r="1708" ht="15.75" customHeight="1">
      <c r="A1708" s="1">
        <v>1706.0</v>
      </c>
      <c r="B1708" s="3" t="s">
        <v>1709</v>
      </c>
      <c r="C1708" s="3" t="str">
        <f>IFERROR(__xludf.DUMMYFUNCTION("GOOGLETRANSLATE(B1708,""id"",""en"")"),"['PAS', 'Login', 'After', 'Something', 'Maintance', 'Network', 'Stable', 'Buy', 'Package', 'Data', 'Login', 'Useful', ' Application ',' Delete ',' Age ',' Call ']")</f>
        <v>['PAS', 'Login', 'After', 'Something', 'Maintance', 'Network', 'Stable', 'Buy', 'Package', 'Data', 'Login', 'Useful', ' Application ',' Delete ',' Age ',' Call ']</v>
      </c>
      <c r="D1708" s="3">
        <v>1.0</v>
      </c>
    </row>
    <row r="1709" ht="15.75" customHeight="1">
      <c r="A1709" s="1">
        <v>1707.0</v>
      </c>
      <c r="B1709" s="3" t="s">
        <v>1710</v>
      </c>
      <c r="C1709" s="3" t="str">
        <f>IFERROR(__xludf.DUMMYFUNCTION("GOOGLETRANSLATE(B1709,""id"",""en"")"),"['users',' Telkomsel ',' Disappointed ',' Telkomsel ',' All-round ',' expensive ',' Network ',' Leet ',' APK ',' Telkomsel ',' APK ',' Damaged ',' Login ',' Please ',' repaired ']")</f>
        <v>['users',' Telkomsel ',' Disappointed ',' Telkomsel ',' All-round ',' expensive ',' Network ',' Leet ',' APK ',' Telkomsel ',' APK ',' Damaged ',' Login ',' Please ',' repaired ']</v>
      </c>
      <c r="D1709" s="3">
        <v>1.0</v>
      </c>
    </row>
    <row r="1710" ht="15.75" customHeight="1">
      <c r="A1710" s="1">
        <v>1708.0</v>
      </c>
      <c r="B1710" s="3" t="s">
        <v>1711</v>
      </c>
      <c r="C1710" s="3" t="str">
        <f>IFERROR(__xludf.DUMMYFUNCTION("GOOGLETRANSLATE(B1710,""id"",""en"")"),"['Please', 'Help', 'Min', 'Login', 'Enter', 'Check', 'Koutaa', 'Min', 'Please', 'Comfort', 'Min', ""]")</f>
        <v>['Please', 'Help', 'Min', 'Login', 'Enter', 'Check', 'Koutaa', 'Min', 'Please', 'Comfort', 'Min', "]</v>
      </c>
      <c r="D1710" s="3">
        <v>4.0</v>
      </c>
    </row>
    <row r="1711" ht="15.75" customHeight="1">
      <c r="A1711" s="1">
        <v>1709.0</v>
      </c>
      <c r="B1711" s="3" t="s">
        <v>1712</v>
      </c>
      <c r="C1711" s="3" t="str">
        <f>IFERROR(__xludf.DUMMYFUNCTION("GOOGLETRANSLATE(B1711,""id"",""en"")"),"['right', 'buy', 'quotes',' said ',' disorder ',' network ',' network ',' smooth ',' delete ',' download ',' the application ',' right ',' Login ',' Tetep ',' said ',' disorder ',' network ',' please ',' network ',' fluent ',' smooth ',' ajaaaaaaa ',' uda"&amp;" ',' yesterday ',' gabisa ' , '']")</f>
        <v>['right', 'buy', 'quotes',' said ',' disorder ',' network ',' network ',' smooth ',' delete ',' download ',' the application ',' right ',' Login ',' Tetep ',' said ',' disorder ',' network ',' please ',' network ',' fluent ',' smooth ',' ajaaaaaaa ',' uda ',' yesterday ',' gabisa ' , '']</v>
      </c>
      <c r="D1711" s="3">
        <v>3.0</v>
      </c>
    </row>
    <row r="1712" ht="15.75" customHeight="1">
      <c r="A1712" s="1">
        <v>1710.0</v>
      </c>
      <c r="B1712" s="3" t="s">
        <v>1713</v>
      </c>
      <c r="C1712" s="3" t="str">
        <f>IFERROR(__xludf.DUMMYFUNCTION("GOOGLETRANSLATE(B1712,""id"",""en"")"),"['Telkomsel', 'special', 'sympathy', 'network', 'knpa', 'yaa', 'stable', 'open', 'application', 'Telkomsel', 'network', 'supports',' ']")</f>
        <v>['Telkomsel', 'special', 'sympathy', 'network', 'knpa', 'yaa', 'stable', 'open', 'application', 'Telkomsel', 'network', 'supports',' ']</v>
      </c>
      <c r="D1712" s="3">
        <v>1.0</v>
      </c>
    </row>
    <row r="1713" ht="15.75" customHeight="1">
      <c r="A1713" s="1">
        <v>1711.0</v>
      </c>
      <c r="B1713" s="3" t="s">
        <v>1714</v>
      </c>
      <c r="C1713" s="3" t="str">
        <f>IFERROR(__xludf.DUMMYFUNCTION("GOOGLETRANSLATE(B1713,""id"",""en"")"),"['user', 'good', 'smooth', 'login', 'persulit', 'enter', 'method', 'complicated', 'disappointed', 'service', 'APK', 'severe', ' Fast ',' slow ',' satisfying ',' ']")</f>
        <v>['user', 'good', 'smooth', 'login', 'persulit', 'enter', 'method', 'complicated', 'disappointed', 'service', 'APK', 'severe', ' Fast ',' slow ',' satisfying ',' ']</v>
      </c>
      <c r="D1713" s="3">
        <v>1.0</v>
      </c>
    </row>
    <row r="1714" ht="15.75" customHeight="1">
      <c r="A1714" s="1">
        <v>1712.0</v>
      </c>
      <c r="B1714" s="3" t="s">
        <v>1715</v>
      </c>
      <c r="C1714" s="3" t="str">
        <f>IFERROR(__xludf.DUMMYFUNCTION("GOOGLETRANSLATE(B1714,""id"",""en"")"),"['Assalamualaikum', 'Benk', 'Gbisa', 'Login', 'Telkomsel', 'PDAJAHAL', 'User', 'loyal', 'Telkomsel', 'Log', 'Out', 'Gabisa', ' Login ',' ']")</f>
        <v>['Assalamualaikum', 'Benk', 'Gbisa', 'Login', 'Telkomsel', 'PDAJAHAL', 'User', 'loyal', 'Telkomsel', 'Log', 'Out', 'Gabisa', ' Login ',' ']</v>
      </c>
      <c r="D1714" s="3">
        <v>1.0</v>
      </c>
    </row>
    <row r="1715" ht="15.75" customHeight="1">
      <c r="A1715" s="1">
        <v>1713.0</v>
      </c>
      <c r="B1715" s="3" t="s">
        <v>1716</v>
      </c>
      <c r="C1715" s="3" t="str">
        <f>IFERROR(__xludf.DUMMYFUNCTION("GOOGLETRANSLATE(B1715,""id"",""en"")"),"['Hello', 'admin', 'apk', 'Telkomsel', 'Dri', 'buy', 'package', 'TPI', 'pay', 'there', 'sorry', 'System', ' Error ',' Occurred ',' Please ',' Check ',' Your ',' Connection ',' And ',' Repeat ',' The ',' Transaction ',' Later ',' All Day ',' SDAH ' , 'Try'"&amp;", 'repeat', 'times',' Try ',' Yesterday ',' Try ',' Delete ',' APK ',' Install ',' Login ',' There ',' Something ',' Went ',' Wrong ',' Please ',' try ',' Again ',' After ',' sometime ',' please ',' explanation ', ""]")</f>
        <v>['Hello', 'admin', 'apk', 'Telkomsel', 'Dri', 'buy', 'package', 'TPI', 'pay', 'there', 'sorry', 'System', ' Error ',' Occurred ',' Please ',' Check ',' Your ',' Connection ',' And ',' Repeat ',' The ',' Transaction ',' Later ',' All Day ',' SDAH ' , 'Try', 'repeat', 'times',' Try ',' Yesterday ',' Try ',' Delete ',' APK ',' Install ',' Login ',' There ',' Something ',' Went ',' Wrong ',' Please ',' try ',' Again ',' After ',' sometime ',' please ',' explanation ', "]</v>
      </c>
      <c r="D1715" s="3">
        <v>2.0</v>
      </c>
    </row>
    <row r="1716" ht="15.75" customHeight="1">
      <c r="A1716" s="1">
        <v>1714.0</v>
      </c>
      <c r="B1716" s="3" t="s">
        <v>1717</v>
      </c>
      <c r="C1716" s="3" t="str">
        <f>IFERROR(__xludf.DUMMYFUNCTION("GOOGLETRANSLATE(B1716,""id"",""en"")"),"['Disappointed', 'Weight', 'Telkomsel', 'Application', 'Telkomsel', 'Error', 'Mulu', 'Network', 'Good', 'Sometimes',' Activity ',' Signal ',' Full ',' slow ',' Please ',' Correction ',' Customer ',' Telkomsel ',' Betah ']")</f>
        <v>['Disappointed', 'Weight', 'Telkomsel', 'Application', 'Telkomsel', 'Error', 'Mulu', 'Network', 'Good', 'Sometimes',' Activity ',' Signal ',' Full ',' slow ',' Please ',' Correction ',' Customer ',' Telkomsel ',' Betah ']</v>
      </c>
      <c r="D1716" s="3">
        <v>3.0</v>
      </c>
    </row>
    <row r="1717" ht="15.75" customHeight="1">
      <c r="A1717" s="1">
        <v>1715.0</v>
      </c>
      <c r="B1717" s="3" t="s">
        <v>1718</v>
      </c>
      <c r="C1717" s="3" t="str">
        <f>IFERROR(__xludf.DUMMYFUNCTION("GOOGLETRANSLATE(B1717,""id"",""en"")"),"['Telkomsel', 'Gajelas',' Login ',' Doang ',' Gabisa ',' Something ',' Went ',' Wrong ',' Want ',' Apasih ',' Udh ',' Make ',' WiFi ',' Something ',' Went ',' Wrong ',' oath ',' Gajelas', 'already', 'expensive', 'gajelas',' closed ']")</f>
        <v>['Telkomsel', 'Gajelas',' Login ',' Doang ',' Gabisa ',' Something ',' Went ',' Wrong ',' Want ',' Apasih ',' Udh ',' Make ',' WiFi ',' Something ',' Went ',' Wrong ',' oath ',' Gajelas', 'already', 'expensive', 'gajelas',' closed ']</v>
      </c>
      <c r="D1717" s="3">
        <v>1.0</v>
      </c>
    </row>
    <row r="1718" ht="15.75" customHeight="1">
      <c r="A1718" s="1">
        <v>1716.0</v>
      </c>
      <c r="B1718" s="3" t="s">
        <v>1719</v>
      </c>
      <c r="C1718" s="3" t="str">
        <f>IFERROR(__xludf.DUMMYFUNCTION("GOOGLETRANSLATE(B1718,""id"",""en"")"),"['Login', 'APK', 'Love', 'Star', 'APK', 'Help', 'Dlm', 'transaction', 'now', 'forced', 'given', 'star', ' ']")</f>
        <v>['Login', 'APK', 'Love', 'Star', 'APK', 'Help', 'Dlm', 'transaction', 'now', 'forced', 'given', 'star', ' ']</v>
      </c>
      <c r="D1718" s="3">
        <v>1.0</v>
      </c>
    </row>
    <row r="1719" ht="15.75" customHeight="1">
      <c r="A1719" s="1">
        <v>1717.0</v>
      </c>
      <c r="B1719" s="3" t="s">
        <v>1720</v>
      </c>
      <c r="C1719" s="3" t="str">
        <f>IFERROR(__xludf.DUMMYFUNCTION("GOOGLETRANSLATE(B1719,""id"",""en"")"),"['App', 'opened', 'Try', 'Update', 'Balum', 'Uninstall', 'Install', 'Reset', 'Change', 'Network', 'Blm', 'What', ' Check ',' Hangus', '']")</f>
        <v>['App', 'opened', 'Try', 'Update', 'Balum', 'Uninstall', 'Install', 'Reset', 'Change', 'Network', 'Blm', 'What', ' Check ',' Hangus', '']</v>
      </c>
      <c r="D1719" s="3">
        <v>1.0</v>
      </c>
    </row>
    <row r="1720" ht="15.75" customHeight="1">
      <c r="A1720" s="1">
        <v>1718.0</v>
      </c>
      <c r="B1720" s="3" t="s">
        <v>1721</v>
      </c>
      <c r="C1720" s="3" t="str">
        <f>IFERROR(__xludf.DUMMYFUNCTION("GOOGLETRANSLATE(B1720,""id"",""en"")"),"['signal', 'bad', 'network', 'slow', 'already', 'that's',' expensive ',' complete ',' disappointed ',' really ',' Telkomsel ',' application ',' mytelkomsel ',' slow ',' really ',' opened ',' ']")</f>
        <v>['signal', 'bad', 'network', 'slow', 'already', 'that's',' expensive ',' complete ',' disappointed ',' really ',' Telkomsel ',' application ',' mytelkomsel ',' slow ',' really ',' opened ',' ']</v>
      </c>
      <c r="D1720" s="3">
        <v>1.0</v>
      </c>
    </row>
    <row r="1721" ht="15.75" customHeight="1">
      <c r="A1721" s="1">
        <v>1719.0</v>
      </c>
      <c r="B1721" s="3" t="s">
        <v>1722</v>
      </c>
      <c r="C1721" s="3" t="str">
        <f>IFERROR(__xludf.DUMMYFUNCTION("GOOGLETRANSLATE(B1721,""id"",""en"")"),"['Knpa', 'call', 'dead', 'die', 'Mulu', 'bsru', 'second', 'dead', 'already', 'boyar', 'package', 'Sebulan', ' All ',' Operators', 'Reviews',' Network ',' knapa ',' check ',' Telkomsel ']")</f>
        <v>['Knpa', 'call', 'dead', 'die', 'Mulu', 'bsru', 'second', 'dead', 'already', 'boyar', 'package', 'Sebulan', ' All ',' Operators', 'Reviews',' Network ',' knapa ',' check ',' Telkomsel ']</v>
      </c>
      <c r="D1721" s="3">
        <v>1.0</v>
      </c>
    </row>
    <row r="1722" ht="15.75" customHeight="1">
      <c r="A1722" s="1">
        <v>1720.0</v>
      </c>
      <c r="B1722" s="3" t="s">
        <v>1723</v>
      </c>
      <c r="C1722" s="3" t="str">
        <f>IFERROR(__xludf.DUMMYFUNCTION("GOOGLETRANSLATE(B1722,""id"",""en"")"),"['buy', 'package', 'quota', 'application', 'Telkomsel', 'signal', 'good', 'wifi', 'tetep', 'enter', 'login', 'parahhhhh', ' ']")</f>
        <v>['buy', 'package', 'quota', 'application', 'Telkomsel', 'signal', 'good', 'wifi', 'tetep', 'enter', 'login', 'parahhhhh', ' ']</v>
      </c>
      <c r="D1722" s="3">
        <v>1.0</v>
      </c>
    </row>
    <row r="1723" ht="15.75" customHeight="1">
      <c r="A1723" s="1">
        <v>1721.0</v>
      </c>
      <c r="B1723" s="3" t="s">
        <v>1724</v>
      </c>
      <c r="C1723" s="3" t="str">
        <f>IFERROR(__xludf.DUMMYFUNCTION("GOOGLETRANSLATE(B1723,""id"",""en"")"),"['Application', 'Error', 'Login', 'Buy', 'Package', 'Internet', 'Package', 'Application', 'Teklomsel', 'Telkomsel', 'Please', 'Repaired', ' ']")</f>
        <v>['Application', 'Error', 'Login', 'Buy', 'Package', 'Internet', 'Package', 'Application', 'Teklomsel', 'Telkomsel', 'Please', 'Repaired', ' ']</v>
      </c>
      <c r="D1723" s="3">
        <v>1.0</v>
      </c>
    </row>
    <row r="1724" ht="15.75" customHeight="1">
      <c r="A1724" s="1">
        <v>1722.0</v>
      </c>
      <c r="B1724" s="3" t="s">
        <v>1725</v>
      </c>
      <c r="C1724" s="3" t="str">
        <f>IFERROR(__xludf.DUMMYFUNCTION("GOOGLETRANSLATE(B1724,""id"",""en"")"),"['Ouch', 'What', 'Sich', 'Application', 'Sorry', 'Review', 'Edit', 'Out', 'Praised', 'Quality', 'Memble', 'Already', ' Top ',' rb ',' contents', 'quota', 'eager', 'uninstall', 'fit', 'download', 'login', 'price', 'according to', 'quality', 'next door' , '"&amp;"Current', 'Lho']")</f>
        <v>['Ouch', 'What', 'Sich', 'Application', 'Sorry', 'Review', 'Edit', 'Out', 'Praised', 'Quality', 'Memble', 'Already', ' Top ',' rb ',' contents', 'quota', 'eager', 'uninstall', 'fit', 'download', 'login', 'price', 'according to', 'quality', 'next door' , 'Current', 'Lho']</v>
      </c>
      <c r="D1724" s="3">
        <v>4.0</v>
      </c>
    </row>
    <row r="1725" ht="15.75" customHeight="1">
      <c r="A1725" s="1">
        <v>1723.0</v>
      </c>
      <c r="B1725" s="3" t="s">
        <v>1726</v>
      </c>
      <c r="C1725" s="3" t="str">
        <f>IFERROR(__xludf.DUMMYFUNCTION("GOOGLETRANSLATE(B1725,""id"",""en"")"),"['Login', 'strange', 'ngcek', 'quota', 'something', 'Went', 'Wrong', 'understand', 'sometimes',' signal ',' chaotic ',' stay ',' city']")</f>
        <v>['Login', 'strange', 'ngcek', 'quota', 'something', 'Went', 'Wrong', 'understand', 'sometimes',' signal ',' chaotic ',' stay ',' city']</v>
      </c>
      <c r="D1725" s="3">
        <v>2.0</v>
      </c>
    </row>
    <row r="1726" ht="15.75" customHeight="1">
      <c r="A1726" s="1">
        <v>1724.0</v>
      </c>
      <c r="B1726" s="3" t="s">
        <v>1727</v>
      </c>
      <c r="C1726" s="3" t="str">
        <f>IFERROR(__xludf.DUMMYFUNCTION("GOOGLETRANSLATE(B1726,""id"",""en"")"),"['ugly', 'disappointed', 'buy', 'package', 'problematic', 'enter', 'application', 'fail', 'reason', 'signal', 'good', 'signal', ' good', '']")</f>
        <v>['ugly', 'disappointed', 'buy', 'package', 'problematic', 'enter', 'application', 'fail', 'reason', 'signal', 'good', 'signal', ' good', '']</v>
      </c>
      <c r="D1726" s="3">
        <v>1.0</v>
      </c>
    </row>
    <row r="1727" ht="15.75" customHeight="1">
      <c r="A1727" s="1">
        <v>1725.0</v>
      </c>
      <c r="B1727" s="3" t="s">
        <v>1728</v>
      </c>
      <c r="C1727" s="3" t="str">
        <f>IFERROR(__xludf.DUMMYFUNCTION("GOOGLETRANSLATE(B1727,""id"",""en"")"),"['Good', 'smooth', 'transaction', 'pulse', 'package', 'data', 'update', 'sleep', 'hadeh', 'confused', 'gabisa', 'dial', ' Package ',' Tsel ',' Dial ',' ']")</f>
        <v>['Good', 'smooth', 'transaction', 'pulse', 'package', 'data', 'update', 'sleep', 'hadeh', 'confused', 'gabisa', 'dial', ' Package ',' Tsel ',' Dial ',' ']</v>
      </c>
      <c r="D1727" s="3">
        <v>5.0</v>
      </c>
    </row>
    <row r="1728" ht="15.75" customHeight="1">
      <c r="A1728" s="1">
        <v>1726.0</v>
      </c>
      <c r="B1728" s="3" t="s">
        <v>1729</v>
      </c>
      <c r="C1728" s="3" t="str">
        <f>IFERROR(__xludf.DUMMYFUNCTION("GOOGLETRANSLATE(B1728,""id"",""en"")"),"['application', 'log', 'transaction', 'somtimes', 'wwnt', 'wrong', 'pressed', 'buy', 'quota', 'uas']")</f>
        <v>['application', 'log', 'transaction', 'somtimes', 'wwnt', 'wrong', 'pressed', 'buy', 'quota', 'uas']</v>
      </c>
      <c r="D1728" s="3">
        <v>2.0</v>
      </c>
    </row>
    <row r="1729" ht="15.75" customHeight="1">
      <c r="A1729" s="1">
        <v>1727.0</v>
      </c>
      <c r="B1729" s="3" t="s">
        <v>1730</v>
      </c>
      <c r="C1729" s="3" t="str">
        <f>IFERROR(__xludf.DUMMYFUNCTION("GOOGLETRANSLATE(B1729,""id"",""en"")"),"['signal', 'Internet', 'Full', 'WiFi', 'Good', 'Enter', 'Application', 'Check', 'Credit', 'Etc.', 'Difficult', ' Please, 'package', 'expensive', 'internet', 'slow', 'jagan', 'snail', 'exposed', 'stroke', 'thanks', 'honest', 'disappointed', 'really' , 'goo"&amp;"d', '']")</f>
        <v>['signal', 'Internet', 'Full', 'WiFi', 'Good', 'Enter', 'Application', 'Check', 'Credit', 'Etc.', 'Difficult', ' Please, 'package', 'expensive', 'internet', 'slow', 'jagan', 'snail', 'exposed', 'stroke', 'thanks', 'honest', 'disappointed', 'really' , 'good', '']</v>
      </c>
      <c r="D1729" s="3">
        <v>1.0</v>
      </c>
    </row>
    <row r="1730" ht="15.75" customHeight="1">
      <c r="A1730" s="1">
        <v>1728.0</v>
      </c>
      <c r="B1730" s="3" t="s">
        <v>1731</v>
      </c>
      <c r="C1730" s="3" t="str">
        <f>IFERROR(__xludf.DUMMYFUNCTION("GOOGLETRANSLATE(B1730,""id"",""en"")"),"['ping', 'your network', 'lost', 'price', 'expensive', 'reliable', 'proud of', 'Telkomsel', 'already', 'staple', 'so', 'that's',' ']")</f>
        <v>['ping', 'your network', 'lost', 'price', 'expensive', 'reliable', 'proud of', 'Telkomsel', 'already', 'staple', 'so', 'that's',' ']</v>
      </c>
      <c r="D1730" s="3">
        <v>2.0</v>
      </c>
    </row>
    <row r="1731" ht="15.75" customHeight="1">
      <c r="A1731" s="1">
        <v>1729.0</v>
      </c>
      <c r="B1731" s="3" t="s">
        <v>1732</v>
      </c>
      <c r="C1731" s="3" t="str">
        <f>IFERROR(__xludf.DUMMYFUNCTION("GOOGLETRANSLATE(B1731,""id"",""en"")"),"['Application', 'Error', 'Connection', 'Connection', 'Good', 'Good', 'Please', 'Repaired', 'In the future', 'Customer', 'comfortable', 'application', ' ']")</f>
        <v>['Application', 'Error', 'Connection', 'Connection', 'Good', 'Good', 'Please', 'Repaired', 'In the future', 'Customer', 'comfortable', 'application', ' ']</v>
      </c>
      <c r="D1731" s="3">
        <v>3.0</v>
      </c>
    </row>
    <row r="1732" ht="15.75" customHeight="1">
      <c r="A1732" s="1">
        <v>1730.0</v>
      </c>
      <c r="B1732" s="3" t="s">
        <v>1733</v>
      </c>
      <c r="C1732" s="3" t="str">
        <f>IFERROR(__xludf.DUMMYFUNCTION("GOOGLETRANSLATE(B1732,""id"",""en"")"),"['', 'Jan', 'PKE', 'PKET', 'MLM', 'Daily', 'Check', 'Coupon', 'Check', 'MSK', 'TGH', 'MLM', 'MPE ',' Hmpir ',' JM ',' BSA ',' BSA ',' Check ',' BSA ',' MSK ',' TLKMSEL ',' PDHL ',' BKA ',' YouTube ',' BSA ', 'strange', 'sabotage', 'spy', 'bsa', 'check', '"&amp;"shg', 'coupon', 'hngus',' stlh ',' write ',' tgh ',' mlm ',' bsa ',' MSK ',' TLKMSEL ',' strange ', ""]")</f>
        <v>['', 'Jan', 'PKE', 'PKET', 'MLM', 'Daily', 'Check', 'Coupon', 'Check', 'MSK', 'TGH', 'MLM', 'MPE ',' Hmpir ',' JM ',' BSA ',' BSA ',' Check ',' BSA ',' MSK ',' TLKMSEL ',' PDHL ',' BKA ',' YouTube ',' BSA ', 'strange', 'sabotage', 'spy', 'bsa', 'check', 'shg', 'coupon', 'hngus',' stlh ',' write ',' tgh ',' mlm ',' bsa ',' MSK ',' TLKMSEL ',' strange ', "]</v>
      </c>
      <c r="D1732" s="3">
        <v>1.0</v>
      </c>
    </row>
    <row r="1733" ht="15.75" customHeight="1">
      <c r="A1733" s="1">
        <v>1731.0</v>
      </c>
      <c r="B1733" s="3" t="s">
        <v>1734</v>
      </c>
      <c r="C1733" s="3" t="str">
        <f>IFERROR(__xludf.DUMMYFUNCTION("GOOGLETRANSLATE(B1733,""id"",""en"")"),"['network', 'taik', 'pay', 'already', 'expensive', 'expensive', 'play', 'game', 'lag', 'application', 'update', 'network', ' Rich ',' Taik ',' already ',' Lock ',' Only ',' Slide ',' stable ',' disappointed ',' really ',' oath ',' provider ',' famous', 'I"&amp;"ndonesia' , 'Network', 'lag', 'belom', 'stable', 'ad', 'rich', 'yes',' yes', 'right', 'try', 'blm', 'stable', ' gimmick ',' doang ']")</f>
        <v>['network', 'taik', 'pay', 'already', 'expensive', 'expensive', 'play', 'game', 'lag', 'application', 'update', 'network', ' Rich ',' Taik ',' already ',' Lock ',' Only ',' Slide ',' stable ',' disappointed ',' really ',' oath ',' provider ',' famous', 'Indonesia' , 'Network', 'lag', 'belom', 'stable', 'ad', 'rich', 'yes',' yes', 'right', 'try', 'blm', 'stable', ' gimmick ',' doang ']</v>
      </c>
      <c r="D1733" s="3">
        <v>1.0</v>
      </c>
    </row>
    <row r="1734" ht="15.75" customHeight="1">
      <c r="A1734" s="1">
        <v>1732.0</v>
      </c>
      <c r="B1734" s="3" t="s">
        <v>1735</v>
      </c>
      <c r="C1734" s="3" t="str">
        <f>IFERROR(__xludf.DUMMYFUNCTION("GOOGLETRANSLATE(B1734,""id"",""en"")"),"['Lbih', 'easy', 'open', 'application', 'olshop', 'incidenta', 'lbih', 'byk', 'product', 'need', 'connection', 'lbih', ' Load ',' image ',' data ',' lbih ',' heavy ',' kyknya ',' developer ',' experienced ',' smart ',' ']")</f>
        <v>['Lbih', 'easy', 'open', 'application', 'olshop', 'incidenta', 'lbih', 'byk', 'product', 'need', 'connection', 'lbih', ' Load ',' image ',' data ',' lbih ',' heavy ',' kyknya ',' developer ',' experienced ',' smart ',' ']</v>
      </c>
      <c r="D1734" s="3">
        <v>3.0</v>
      </c>
    </row>
    <row r="1735" ht="15.75" customHeight="1">
      <c r="A1735" s="1">
        <v>1733.0</v>
      </c>
      <c r="B1735" s="3" t="s">
        <v>1736</v>
      </c>
      <c r="C1735" s="3" t="str">
        <f>IFERROR(__xludf.DUMMYFUNCTION("GOOGLETRANSLATE(B1735,""id"",""en"")"),"['application', 'constrained', 'connection', 'quota', 'signal', 'good', 'open', 'application', 'smooth', 'try', 'use', 'wifi', ' Data ',' gabisa ',' Telkomsel ',' setbacks', 'drpd', 'progress',' tired ',' mas', ""]")</f>
        <v>['application', 'constrained', 'connection', 'quota', 'signal', 'good', 'open', 'application', 'smooth', 'try', 'use', 'wifi', ' Data ',' gabisa ',' Telkomsel ',' setbacks', 'drpd', 'progress',' tired ',' mas', "]</v>
      </c>
      <c r="D1735" s="3">
        <v>1.0</v>
      </c>
    </row>
    <row r="1736" ht="15.75" customHeight="1">
      <c r="A1736" s="1">
        <v>1734.0</v>
      </c>
      <c r="B1736" s="3" t="s">
        <v>1737</v>
      </c>
      <c r="C1736" s="3" t="str">
        <f>IFERROR(__xludf.DUMMYFUNCTION("GOOGLETRANSLATE(B1736,""id"",""en"")"),"['kmrn', 'skrg', 'open', 'network', 'erro', 'buy', 'package', 'check', 'pls', 'severe', 'telkomsel']")</f>
        <v>['kmrn', 'skrg', 'open', 'network', 'erro', 'buy', 'package', 'check', 'pls', 'severe', 'telkomsel']</v>
      </c>
      <c r="D1736" s="3">
        <v>1.0</v>
      </c>
    </row>
    <row r="1737" ht="15.75" customHeight="1">
      <c r="A1737" s="1">
        <v>1735.0</v>
      </c>
      <c r="B1737" s="3" t="s">
        <v>1738</v>
      </c>
      <c r="C1737" s="3" t="str">
        <f>IFERROR(__xludf.DUMMYFUNCTION("GOOGLETRANSLATE(B1737,""id"",""en"")"),"['work', 'officials',' employees', 'urus',' application ',' error ',' login ',' think ',' profit ',' your business', 'provider', 'national', ' Appreciate ',' consumers', 'issued', 'expect', 'service', 'satisfying']")</f>
        <v>['work', 'officials',' employees', 'urus',' application ',' error ',' login ',' think ',' profit ',' your business', 'provider', 'national', ' Appreciate ',' consumers', 'issued', 'expect', 'service', 'satisfying']</v>
      </c>
      <c r="D1737" s="3">
        <v>1.0</v>
      </c>
    </row>
    <row r="1738" ht="15.75" customHeight="1">
      <c r="A1738" s="1">
        <v>1736.0</v>
      </c>
      <c r="B1738" s="3" t="s">
        <v>1739</v>
      </c>
      <c r="C1738" s="3" t="str">
        <f>IFERROR(__xludf.DUMMYFUNCTION("GOOGLETRANSLATE(B1738,""id"",""en"")"),"['ugly', 'login', 'Please', 'repaired', 'appears', 'notification', 'login', 'enter', 'application', '']")</f>
        <v>['ugly', 'login', 'Please', 'repaired', 'appears', 'notification', 'login', 'enter', 'application', '']</v>
      </c>
      <c r="D1738" s="3">
        <v>1.0</v>
      </c>
    </row>
    <row r="1739" ht="15.75" customHeight="1">
      <c r="A1739" s="1">
        <v>1737.0</v>
      </c>
      <c r="B1739" s="3" t="s">
        <v>1740</v>
      </c>
      <c r="C1739" s="3" t="str">
        <f>IFERROR(__xludf.DUMMYFUNCTION("GOOGLETRANSLATE(B1739,""id"",""en"")"),"['update', 'bad', 'logging', 'difficult', 'please', 'monitor', 'please', 'Telkomsel', 'as simple', 'style', ""]")</f>
        <v>['update', 'bad', 'logging', 'difficult', 'please', 'monitor', 'please', 'Telkomsel', 'as simple', 'style', "]</v>
      </c>
      <c r="D1739" s="3">
        <v>2.0</v>
      </c>
    </row>
    <row r="1740" ht="15.75" customHeight="1">
      <c r="A1740" s="1">
        <v>1738.0</v>
      </c>
      <c r="B1740" s="3" t="s">
        <v>1741</v>
      </c>
      <c r="C1740" s="3" t="str">
        <f>IFERROR(__xludf.DUMMYFUNCTION("GOOGLETRANSLATE(B1740,""id"",""en"")"),"['', 'buy', 'package', 'difficult', 'gaboleh', 'buy', 'package', 'gausah', 'appears',' option ',' saved ',' child ',' business ',' BUMN ',' Try ',' Class', 'Voda', 'Enter', 'BTS', 'Nyak', 'Say', 'Gudbye', 'already', 'Faakkkkklah', 'Install', 'Application'"&amp;", 'Useful', 'Menuh', 'IN', 'RAM', 'Memory', 'AJA']")</f>
        <v>['', 'buy', 'package', 'difficult', 'gaboleh', 'buy', 'package', 'gausah', 'appears',' option ',' saved ',' child ',' business ',' BUMN ',' Try ',' Class', 'Voda', 'Enter', 'BTS', 'Nyak', 'Say', 'Gudbye', 'already', 'Faakkkkklah', 'Install', 'Application', 'Useful', 'Menuh', 'IN', 'RAM', 'Memory', 'AJA']</v>
      </c>
      <c r="D1740" s="3">
        <v>1.0</v>
      </c>
    </row>
    <row r="1741" ht="15.75" customHeight="1">
      <c r="A1741" s="1">
        <v>1739.0</v>
      </c>
      <c r="B1741" s="3" t="s">
        <v>1742</v>
      </c>
      <c r="C1741" s="3" t="str">
        <f>IFERROR(__xludf.DUMMYFUNCTION("GOOGLETRANSLATE(B1741,""id"",""en"")"),"['Hmmm', 'Change', 'Fact', 'Mulu', 'Evidence', 'UDH', 'Nkakuin', 'Error', 'Telkomsel', 'right', 'Based', 'report', ' BLA ',' BLA ',' BLA ',' HADEHH ',' Data ',' Original ',' Proof ',' Slap ']")</f>
        <v>['Hmmm', 'Change', 'Fact', 'Mulu', 'Evidence', 'UDH', 'Nkakuin', 'Error', 'Telkomsel', 'right', 'Based', 'report', ' BLA ',' BLA ',' BLA ',' HADEHH ',' Data ',' Original ',' Proof ',' Slap ']</v>
      </c>
      <c r="D1741" s="3">
        <v>1.0</v>
      </c>
    </row>
    <row r="1742" ht="15.75" customHeight="1">
      <c r="A1742" s="1">
        <v>1740.0</v>
      </c>
      <c r="B1742" s="3" t="s">
        <v>1743</v>
      </c>
      <c r="C1742" s="3" t="str">
        <f>IFERROR(__xludf.DUMMYFUNCTION("GOOGLETRANSLATE(B1742,""id"",""en"")"),"['Yesterday', 'smooth', 'right', 'Login', 'Something', 'Something', 'Went', 'Wrong', 'Please', 'Try', 'Again', 'After', ' sometime ',' number ',' network ',' stable ']")</f>
        <v>['Yesterday', 'smooth', 'right', 'Login', 'Something', 'Something', 'Went', 'Wrong', 'Please', 'Try', 'Again', 'After', ' sometime ',' number ',' network ',' stable ']</v>
      </c>
      <c r="D1742" s="3">
        <v>1.0</v>
      </c>
    </row>
    <row r="1743" ht="15.75" customHeight="1">
      <c r="A1743" s="1">
        <v>1741.0</v>
      </c>
      <c r="B1743" s="3" t="s">
        <v>1744</v>
      </c>
      <c r="C1743" s="3" t="str">
        <f>IFERROR(__xludf.DUMMYFUNCTION("GOOGLETRANSLATE(B1743,""id"",""en"")"),"['Redeem', 'Points',' Success', 'Please', 'Sorry', 'Inventory', 'Voucher', 'Out', 'Look forward', 'Program', 'Telkomsel', 'Points',' intention ',' program ',' already ',' check ',' turn ',' exchange ',' paraaahhh ',' severe ',' apiklation ',' like ',' err"&amp;"or ',' slow ',' karuan ' , 'change point']")</f>
        <v>['Redeem', 'Points',' Success', 'Please', 'Sorry', 'Inventory', 'Voucher', 'Out', 'Look forward', 'Program', 'Telkomsel', 'Points',' intention ',' program ',' already ',' check ',' turn ',' exchange ',' paraaahhh ',' severe ',' apiklation ',' like ',' error ',' slow ',' karuan ' , 'change point']</v>
      </c>
      <c r="D1743" s="3">
        <v>1.0</v>
      </c>
    </row>
    <row r="1744" ht="15.75" customHeight="1">
      <c r="A1744" s="1">
        <v>1742.0</v>
      </c>
      <c r="B1744" s="3" t="s">
        <v>1745</v>
      </c>
      <c r="C1744" s="3" t="str">
        <f>IFERROR(__xludf.DUMMYFUNCTION("GOOGLETRANSLATE(B1744,""id"",""en"")"),"['Tissue', 'Telkomsel', 'Decreases',' Quality ',' Compare ',' Come ',' Telkomsel ',' Increase ',' Service ',' Difficult ',' Very ',' Open ',' Application ',' Telkomsel ',' Fix ',' ']")</f>
        <v>['Tissue', 'Telkomsel', 'Decreases',' Quality ',' Compare ',' Come ',' Telkomsel ',' Increase ',' Service ',' Difficult ',' Very ',' Open ',' Application ',' Telkomsel ',' Fix ',' ']</v>
      </c>
      <c r="D1744" s="3">
        <v>3.0</v>
      </c>
    </row>
    <row r="1745" ht="15.75" customHeight="1">
      <c r="A1745" s="1">
        <v>1743.0</v>
      </c>
      <c r="B1745" s="3" t="s">
        <v>1746</v>
      </c>
      <c r="C1745" s="3" t="str">
        <f>IFERROR(__xludf.DUMMYFUNCTION("GOOGLETRANSLATE(B1745,""id"",""en"")"),"['Update', 'Error', 'Clear', 'Data', 'Error', 'Enter', 'Sometimes',' Monitor ',' Data ',' Selecao ',' Open ',' The application ',' Credit ',' Cut ',' The Network ',' Slow ',' Very ']")</f>
        <v>['Update', 'Error', 'Clear', 'Data', 'Error', 'Enter', 'Sometimes',' Monitor ',' Data ',' Selecao ',' Open ',' The application ',' Credit ',' Cut ',' The Network ',' Slow ',' Very ']</v>
      </c>
      <c r="D1745" s="3">
        <v>1.0</v>
      </c>
    </row>
    <row r="1746" ht="15.75" customHeight="1">
      <c r="A1746" s="1">
        <v>1744.0</v>
      </c>
      <c r="B1746" s="3" t="s">
        <v>1747</v>
      </c>
      <c r="C1746" s="3" t="str">
        <f>IFERROR(__xludf.DUMMYFUNCTION("GOOGLETRANSLATE(B1746,""id"",""en"")"),"['why', 'slow', 'really', 'please', 'Telkomsel', 'vocational "",' no ',' Dii ',' Di ',' Fix ',' Middle ',' Sampe ',' Age ',' Telkomsel ',' Gini ',' Sapa ',' Stay ',' After ',' Update ',' Application ',' Package ',' Promo ',' Lost ',' What ']")</f>
        <v>['why', 'slow', 'really', 'please', 'Telkomsel', 'vocational ",' no ',' Dii ',' Di ',' Fix ',' Middle ',' Sampe ',' Age ',' Telkomsel ',' Gini ',' Sapa ',' Stay ',' After ',' Update ',' Application ',' Package ',' Promo ',' Lost ',' What ']</v>
      </c>
      <c r="D1746" s="3">
        <v>2.0</v>
      </c>
    </row>
    <row r="1747" ht="15.75" customHeight="1">
      <c r="A1747" s="1">
        <v>1745.0</v>
      </c>
      <c r="B1747" s="3" t="s">
        <v>1748</v>
      </c>
      <c r="C1747" s="3" t="str">
        <f>IFERROR(__xludf.DUMMYFUNCTION("GOOGLETRANSLATE(B1747,""id"",""en"")"),"['Severe', 'Telkomsel', 'Ngelag', 'Severe', 'Heavy', 'Very', 'Application', 'Buy', 'Package', 'Keburu', 'Abis',' Paketan ',' Ampe ',' Sumpot ',' Credit ',' Cave ',' Damn ',' Bener ',' Severe ',' Rich ',' People ',' Bloon ',' Cave ',' Ampe ',' cave ' , 'De"&amp;"lete', 'cave', 'download', 'reset', 'make', 'wifi', 'make', 'hotspot', 'person', 'kaga', 'severe', 'really' application', '']")</f>
        <v>['Severe', 'Telkomsel', 'Ngelag', 'Severe', 'Heavy', 'Very', 'Application', 'Buy', 'Package', 'Keburu', 'Abis',' Paketan ',' Ampe ',' Sumpot ',' Credit ',' Cave ',' Damn ',' Bener ',' Severe ',' Rich ',' People ',' Bloon ',' Cave ',' Ampe ',' cave ' , 'Delete', 'cave', 'download', 'reset', 'make', 'wifi', 'make', 'hotspot', 'person', 'kaga', 'severe', 'really' application', '']</v>
      </c>
      <c r="D1747" s="3">
        <v>1.0</v>
      </c>
    </row>
    <row r="1748" ht="15.75" customHeight="1">
      <c r="A1748" s="1">
        <v>1746.0</v>
      </c>
      <c r="B1748" s="3" t="s">
        <v>1749</v>
      </c>
      <c r="C1748" s="3" t="str">
        <f>IFERROR(__xludf.DUMMYFUNCTION("GOOGLETRANSLATE(B1748,""id"",""en"")"),"['sorry', 'Sis',' love ',' star ',' because ',' users', 'Telkomsel', 'bnyak', 'knapa', 'network', 'increase', 'upgrade', ' increase ',' orng ',' knapa ',' ugly ',' signal ',' kmarin ',' try ',' buy ',' package ',' combo ',' unlimited ',' application ',' T"&amp;"elkomsel ' , 'because', 'failed', 'network', 'What's',' Try ',' purpose ',' need ',' package ',' skrng ',' kgk ',' really ',' disappointed ',' Udh ',' signal ',' dropped ',' skrng ',' buy ',' package ',' aduuh ', ""]")</f>
        <v>['sorry', 'Sis',' love ',' star ',' because ',' users', 'Telkomsel', 'bnyak', 'knapa', 'network', 'increase', 'upgrade', ' increase ',' orng ',' knapa ',' ugly ',' signal ',' kmarin ',' try ',' buy ',' package ',' combo ',' unlimited ',' application ',' Telkomsel ' , 'because', 'failed', 'network', 'What's',' Try ',' purpose ',' need ',' package ',' skrng ',' kgk ',' really ',' disappointed ',' Udh ',' signal ',' dropped ',' skrng ',' buy ',' package ',' aduuh ', "]</v>
      </c>
      <c r="D1748" s="3">
        <v>2.0</v>
      </c>
    </row>
    <row r="1749" ht="15.75" customHeight="1">
      <c r="A1749" s="1">
        <v>1747.0</v>
      </c>
      <c r="B1749" s="3" t="s">
        <v>1750</v>
      </c>
      <c r="C1749" s="3" t="str">
        <f>IFERROR(__xludf.DUMMYFUNCTION("GOOGLETRANSLATE(B1749,""id"",""en"")"),"['Abis',' update ',' kaga ',' open ',' how ',' check ',' quota ',' already ',' that's', 'signal', 'ilang', 'expensive', ' Doang ',' signal ',' ilang ']")</f>
        <v>['Abis',' update ',' kaga ',' open ',' how ',' check ',' quota ',' already ',' that's', 'signal', 'ilang', 'expensive', ' Doang ',' signal ',' ilang ']</v>
      </c>
      <c r="D1749" s="3">
        <v>1.0</v>
      </c>
    </row>
    <row r="1750" ht="15.75" customHeight="1">
      <c r="A1750" s="1">
        <v>1748.0</v>
      </c>
      <c r="B1750" s="3" t="s">
        <v>1751</v>
      </c>
      <c r="C1750" s="3" t="str">
        <f>IFERROR(__xludf.DUMMYFUNCTION("GOOGLETRANSLATE(B1750,""id"",""en"")"),"['Congratulations', 'Morning', 'MyTelkomsel', 'Login', 'Overnight', 'Please', 'Telkomsel', 'Acadictable', '']")</f>
        <v>['Congratulations', 'Morning', 'MyTelkomsel', 'Login', 'Overnight', 'Please', 'Telkomsel', 'Acadictable', '']</v>
      </c>
      <c r="D1750" s="3">
        <v>4.0</v>
      </c>
    </row>
    <row r="1751" ht="15.75" customHeight="1">
      <c r="A1751" s="1">
        <v>1749.0</v>
      </c>
      <c r="B1751" s="3" t="s">
        <v>1752</v>
      </c>
      <c r="C1751" s="3" t="str">
        <f>IFERROR(__xludf.DUMMYFUNCTION("GOOGLETRANSLATE(B1751,""id"",""en"")"),"['Love', 'Bintang', 'Application', 'Isa', 'Opened', 'Something', 'Went', 'Wrong', 'Dataku', 'Normal', 'Connect', 'Good', ' application ',' replace ',' card ',' in the future ',' improvement ',' improvement ',' not ',' even ',' reliable ',' all ',' trully "&amp;"', ""]")</f>
        <v>['Love', 'Bintang', 'Application', 'Isa', 'Opened', 'Something', 'Went', 'Wrong', 'Dataku', 'Normal', 'Connect', 'Good', ' application ',' replace ',' card ',' in the future ',' improvement ',' improvement ',' not ',' even ',' reliable ',' all ',' trully ', "]</v>
      </c>
      <c r="D1751" s="3">
        <v>1.0</v>
      </c>
    </row>
    <row r="1752" ht="15.75" customHeight="1">
      <c r="A1752" s="1">
        <v>1750.0</v>
      </c>
      <c r="B1752" s="3" t="s">
        <v>1753</v>
      </c>
      <c r="C1752" s="3" t="str">
        <f>IFERROR(__xludf.DUMMYFUNCTION("GOOGLETRANSLATE(B1752,""id"",""en"")"),"['haddeuuhhhh', 'update', 'login', 'how', 'update', 'smooth', 'stable', 'mah', 'boro', 'login', 'kagak', 'error', ' Mulu ',' already ',' update ',' Balikinn ',' version ',' Verryy ',' baddddd ']")</f>
        <v>['haddeuuhhhh', 'update', 'login', 'how', 'update', 'smooth', 'stable', 'mah', 'boro', 'login', 'kagak', 'error', ' Mulu ',' already ',' update ',' Balikinn ',' version ',' Verryy ',' baddddd ']</v>
      </c>
      <c r="D1752" s="3">
        <v>1.0</v>
      </c>
    </row>
    <row r="1753" ht="15.75" customHeight="1">
      <c r="A1753" s="1">
        <v>1751.0</v>
      </c>
      <c r="B1753" s="3" t="s">
        <v>1754</v>
      </c>
      <c r="C1753" s="3" t="str">
        <f>IFERROR(__xludf.DUMMYFUNCTION("GOOGLETRANSLATE(B1753,""id"",""en"")"),"['Telkomsel', 'break up', 'appears',' unstoppable ',' connection ',' mah ',' play ',' game ',' mah ',' good ',' hours', 'malem', ' Refres', 'Network', '']")</f>
        <v>['Telkomsel', 'break up', 'appears',' unstoppable ',' connection ',' mah ',' play ',' game ',' mah ',' good ',' hours', 'malem', ' Refres', 'Network', '']</v>
      </c>
      <c r="D1753" s="3">
        <v>3.0</v>
      </c>
    </row>
    <row r="1754" ht="15.75" customHeight="1">
      <c r="A1754" s="1">
        <v>1752.0</v>
      </c>
      <c r="B1754" s="3" t="s">
        <v>1755</v>
      </c>
      <c r="C1754" s="3" t="str">
        <f>IFERROR(__xludf.DUMMYFUNCTION("GOOGLETRANSLATE(B1754,""id"",""en"")"),"['Dear', 'Telkomsel', 'Login', 'App', 'Showing', 'There', 'Something', 'Wrong', 'connection', 'stable', 'already', 'a week', ' ']")</f>
        <v>['Dear', 'Telkomsel', 'Login', 'App', 'Showing', 'There', 'Something', 'Wrong', 'connection', 'stable', 'already', 'a week', ' ']</v>
      </c>
      <c r="D1754" s="3">
        <v>2.0</v>
      </c>
    </row>
    <row r="1755" ht="15.75" customHeight="1">
      <c r="A1755" s="1">
        <v>1753.0</v>
      </c>
      <c r="B1755" s="3" t="s">
        <v>1756</v>
      </c>
      <c r="C1755" s="3" t="str">
        <f>IFERROR(__xludf.DUMMYFUNCTION("GOOGLETRANSLATE(B1755,""id"",""en"")"),"['Love', 'Bintang', 'Harm', 'Application', 'Points',' Lost ',' Rare ',' Redeem ',' Points', 'Daily', 'Check', 'Open', ' The application ',' FAIL ',' CHECK ',' Third ',' Member ',' Gold ',' Platinum ',' Move ',' Silver ',' Please ',' Fix ',' Thank you ' , "&amp;"'']")</f>
        <v>['Love', 'Bintang', 'Harm', 'Application', 'Points',' Lost ',' Rare ',' Redeem ',' Points', 'Daily', 'Check', 'Open', ' The application ',' FAIL ',' CHECK ',' Third ',' Member ',' Gold ',' Platinum ',' Move ',' Silver ',' Please ',' Fix ',' Thank you ' , '']</v>
      </c>
      <c r="D1755" s="3">
        <v>2.0</v>
      </c>
    </row>
    <row r="1756" ht="15.75" customHeight="1">
      <c r="A1756" s="1">
        <v>1754.0</v>
      </c>
      <c r="B1756" s="3" t="s">
        <v>1757</v>
      </c>
      <c r="C1756" s="3" t="str">
        <f>IFERROR(__xludf.DUMMYFUNCTION("GOOGLETRANSLATE(B1756,""id"",""en"")"),"['application', 'stable', 'orientation', 'profit', 'mere', 'fix', 'service', 'system', 'body', 'his business', 'replaced', ""]")</f>
        <v>['application', 'stable', 'orientation', 'profit', 'mere', 'fix', 'service', 'system', 'body', 'his business', 'replaced', "]</v>
      </c>
      <c r="D1756" s="3">
        <v>1.0</v>
      </c>
    </row>
    <row r="1757" ht="15.75" customHeight="1">
      <c r="A1757" s="1">
        <v>1755.0</v>
      </c>
      <c r="B1757" s="3" t="s">
        <v>1758</v>
      </c>
      <c r="C1757" s="3" t="str">
        <f>IFERROR(__xludf.DUMMYFUNCTION("GOOGLETRANSLATE(B1757,""id"",""en"")"),"['Login', 'Something', 'Something', 'Went', 'Wrong', 'Please', 'Try', 'Again', 'sometime', 'Please', 'Help', 'Thank', ' love', '']")</f>
        <v>['Login', 'Something', 'Something', 'Went', 'Wrong', 'Please', 'Try', 'Again', 'sometime', 'Please', 'Help', 'Thank', ' love', '']</v>
      </c>
      <c r="D1757" s="3">
        <v>1.0</v>
      </c>
    </row>
    <row r="1758" ht="15.75" customHeight="1">
      <c r="A1758" s="1">
        <v>1756.0</v>
      </c>
      <c r="B1758" s="3" t="s">
        <v>1759</v>
      </c>
      <c r="C1758" s="3" t="str">
        <f>IFERROR(__xludf.DUMMYFUNCTION("GOOGLETRANSLATE(B1758,""id"",""en"")"),"['Sorry', 'Love', 'Star', 'App', 'Telkomsel', 'Error', 'Update', 'Connection', 'Network', 'Lemot', 'Video', 'Call', ' WhatsApp ',' disconnected ',' smooth ',' TLP ',' pulse ',' broke ',' room ',' package ',' data ',' Telkomsel ',' expensive ',' compared '"&amp;",' provider ' , 'service', 'satisfying', 'Telkomsel', 'please', 'fix', 'quality', 'your service', '']")</f>
        <v>['Sorry', 'Love', 'Star', 'App', 'Telkomsel', 'Error', 'Update', 'Connection', 'Network', 'Lemot', 'Video', 'Call', ' WhatsApp ',' disconnected ',' smooth ',' TLP ',' pulse ',' broke ',' room ',' package ',' data ',' Telkomsel ',' expensive ',' compared ',' provider ' , 'service', 'satisfying', 'Telkomsel', 'please', 'fix', 'quality', 'your service', '']</v>
      </c>
      <c r="D1758" s="3">
        <v>1.0</v>
      </c>
    </row>
    <row r="1759" ht="15.75" customHeight="1">
      <c r="A1759" s="1">
        <v>1757.0</v>
      </c>
      <c r="B1759" s="3" t="s">
        <v>1760</v>
      </c>
      <c r="C1759" s="3" t="str">
        <f>IFERROR(__xludf.DUMMYFUNCTION("GOOGLETRANSLATE(B1759,""id"",""en"")"),"['Sorry', 'boss',' love ',' star ',' right ',' enter ',' application ',' no ',' enter ',' number ',' his writing ',' Something ',' When ',' Wrong ',' strange ',' really ',' beg ',' solution ',' need ',' application ']")</f>
        <v>['Sorry', 'boss',' love ',' star ',' right ',' enter ',' application ',' no ',' enter ',' number ',' his writing ',' Something ',' When ',' Wrong ',' strange ',' really ',' beg ',' solution ',' need ',' application ']</v>
      </c>
      <c r="D1759" s="3">
        <v>1.0</v>
      </c>
    </row>
    <row r="1760" ht="15.75" customHeight="1">
      <c r="A1760" s="1">
        <v>1758.0</v>
      </c>
      <c r="B1760" s="3" t="s">
        <v>1761</v>
      </c>
      <c r="C1760" s="3" t="str">
        <f>IFERROR(__xludf.DUMMYFUNCTION("GOOGLETRANSLATE(B1760,""id"",""en"")"),"['Telkomsel', 'right', 'research', 'reset', 'then', 'download', 'Telkomsel', 'log', 'his writing', 'problematic', 'mulu', 'knapa', ' ']")</f>
        <v>['Telkomsel', 'right', 'research', 'reset', 'then', 'download', 'Telkomsel', 'log', 'his writing', 'problematic', 'mulu', 'knapa', ' ']</v>
      </c>
      <c r="D1760" s="3">
        <v>4.0</v>
      </c>
    </row>
    <row r="1761" ht="15.75" customHeight="1">
      <c r="A1761" s="1">
        <v>1759.0</v>
      </c>
      <c r="B1761" s="3" t="s">
        <v>1762</v>
      </c>
      <c r="C1761" s="3" t="str">
        <f>IFERROR(__xludf.DUMMYFUNCTION("GOOGLETRANSLATE(B1761,""id"",""en"")"),"['What', 'sihhhhhh', 'cave', 'download', 'application', 'easy', 'see', 'balance', 'quota', 'feature', 'purchase', 'package', ' Telkomsel ',' open ',' application ',' slow ',' forgiveness', 'pdahal', 'already', 'the application', 'mbanget', 'slow', '']")</f>
        <v>['What', 'sihhhhhh', 'cave', 'download', 'application', 'easy', 'see', 'balance', 'quota', 'feature', 'purchase', 'package', ' Telkomsel ',' open ',' application ',' slow ',' forgiveness', 'pdahal', 'already', 'the application', 'mbanget', 'slow', '']</v>
      </c>
      <c r="D1761" s="3">
        <v>1.0</v>
      </c>
    </row>
    <row r="1762" ht="15.75" customHeight="1">
      <c r="A1762" s="1">
        <v>1760.0</v>
      </c>
      <c r="B1762" s="3" t="s">
        <v>1763</v>
      </c>
      <c r="C1762" s="3" t="str">
        <f>IFERROR(__xludf.DUMMYFUNCTION("GOOGLETRANSLATE(B1762,""id"",""en"")"),"['Sometimes',' fast ',' response ',' sometimes', 'slow', 'sometimes',' fast ',' open ',' rare ',' really ',' refresh ',' purchase ',' available ',' reason ',' promotion ',' fast ',' turn ',' buy ',' check ',' available ',' media ',' payment ',' rare ',' a"&amp;"vailable ',' pulses' , 'Life', 'region', 'remote', 'application', 'ovo', 'how', 'the rest', 'unlimited', 'ladies', 'subscription', ""]")</f>
        <v>['Sometimes',' fast ',' response ',' sometimes', 'slow', 'sometimes',' fast ',' open ',' rare ',' really ',' refresh ',' purchase ',' available ',' reason ',' promotion ',' fast ',' turn ',' buy ',' check ',' available ',' media ',' payment ',' rare ',' available ',' pulses' , 'Life', 'region', 'remote', 'application', 'ovo', 'how', 'the rest', 'unlimited', 'ladies', 'subscription', "]</v>
      </c>
      <c r="D1762" s="3">
        <v>4.0</v>
      </c>
    </row>
    <row r="1763" ht="15.75" customHeight="1">
      <c r="A1763" s="1">
        <v>1761.0</v>
      </c>
      <c r="B1763" s="3" t="s">
        <v>1764</v>
      </c>
      <c r="C1763" s="3" t="str">
        <f>IFERROR(__xludf.DUMMYFUNCTION("GOOGLETRANSLATE(B1763,""id"",""en"")"),"['Open', 'Mandatory', 'Uninstall', 'TRS', 'Download', 'Application', 'Opened', 'Signal', 'Whatt', 'Feelings',' Signal ',' Application ',' Error ',' ckck ']")</f>
        <v>['Open', 'Mandatory', 'Uninstall', 'TRS', 'Download', 'Application', 'Opened', 'Signal', 'Whatt', 'Feelings',' Signal ',' Application ',' Error ',' ckck ']</v>
      </c>
      <c r="D1763" s="3">
        <v>1.0</v>
      </c>
    </row>
    <row r="1764" ht="15.75" customHeight="1">
      <c r="A1764" s="1">
        <v>1762.0</v>
      </c>
      <c r="B1764" s="3" t="s">
        <v>1765</v>
      </c>
      <c r="C1764" s="3" t="str">
        <f>IFERROR(__xludf.DUMMYFUNCTION("GOOGLETRANSLATE(B1764,""id"",""en"")"),"['times',' buy ',' package ',' experience ',' disorder ',' system ',' buy ',' package ',' beg ',' Telkomsel ',' fix ',' disorder ',' System ',' ']")</f>
        <v>['times',' buy ',' package ',' experience ',' disorder ',' system ',' buy ',' package ',' beg ',' Telkomsel ',' fix ',' disorder ',' System ',' ']</v>
      </c>
      <c r="D1764" s="3">
        <v>2.0</v>
      </c>
    </row>
    <row r="1765" ht="15.75" customHeight="1">
      <c r="A1765" s="1">
        <v>1763.0</v>
      </c>
      <c r="B1765" s="3" t="s">
        <v>1766</v>
      </c>
      <c r="C1765" s="3" t="str">
        <f>IFERROR(__xludf.DUMMYFUNCTION("GOOGLETRANSLATE(B1765,""id"",""en"")"),"['Please', 'Caught', 'Application', 'Open', 'YouTube', 'Current', 'Open', 'Application', 'Telkomsel', 'Try', 'Again', 'Pakek', ' Signal ',' ndak ',' pakek ',' wifi ',' ']")</f>
        <v>['Please', 'Caught', 'Application', 'Open', 'YouTube', 'Current', 'Open', 'Application', 'Telkomsel', 'Try', 'Again', 'Pakek', ' Signal ',' ndak ',' pakek ',' wifi ',' ']</v>
      </c>
      <c r="D1765" s="3">
        <v>1.0</v>
      </c>
    </row>
    <row r="1766" ht="15.75" customHeight="1">
      <c r="A1766" s="1">
        <v>1764.0</v>
      </c>
      <c r="B1766" s="3" t="s">
        <v>1767</v>
      </c>
      <c r="C1766" s="3" t="str">
        <f>IFERROR(__xludf.DUMMYFUNCTION("GOOGLETRANSLATE(B1766,""id"",""en"")"),"['application', 'update', 'severe', 'application', 'entry', 'number', 'already', 'network', 'ugly', 'service', 'follow', 'ugly', ' ']")</f>
        <v>['application', 'update', 'severe', 'application', 'entry', 'number', 'already', 'network', 'ugly', 'service', 'follow', 'ugly', ' ']</v>
      </c>
      <c r="D1766" s="3">
        <v>1.0</v>
      </c>
    </row>
    <row r="1767" ht="15.75" customHeight="1">
      <c r="A1767" s="1">
        <v>1765.0</v>
      </c>
      <c r="B1767" s="3" t="s">
        <v>1768</v>
      </c>
      <c r="C1767" s="3" t="str">
        <f>IFERROR(__xludf.DUMMYFUNCTION("GOOGLETRANSLATE(B1767,""id"",""en"")"),"['Excuse', 'Telkomsel', 'Boss',' Just ',' Package ',' Operator ',' Clock ',' Example ',' Buy ',' Watch ',' WIB ',' WIB ',' The next day ',' clock ',' Package ',' Telkomsel ',' NNJAM ',' Example ',' buy ',' Hour ',' WIB ',' WIB ',' Clock ',' Enter ',' Word"&amp;" ' , 'drain', 'mah', 'price', 'expensive', 'corruption', 'according to', 'boss', 'kasian', 'people', 'remote', 'Telkomsel', 'said' price ',' package ',' expensive ',' please ',' boss', 'pay attention', '']")</f>
        <v>['Excuse', 'Telkomsel', 'Boss',' Just ',' Package ',' Operator ',' Clock ',' Example ',' Buy ',' Watch ',' WIB ',' WIB ',' The next day ',' clock ',' Package ',' Telkomsel ',' NNJAM ',' Example ',' buy ',' Hour ',' WIB ',' WIB ',' Clock ',' Enter ',' Word ' , 'drain', 'mah', 'price', 'expensive', 'corruption', 'according to', 'boss', 'kasian', 'people', 'remote', 'Telkomsel', 'said' price ',' package ',' expensive ',' please ',' boss', 'pay attention', '']</v>
      </c>
      <c r="D1767" s="3">
        <v>2.0</v>
      </c>
    </row>
    <row r="1768" ht="15.75" customHeight="1">
      <c r="A1768" s="1">
        <v>1766.0</v>
      </c>
      <c r="B1768" s="3" t="s">
        <v>1769</v>
      </c>
      <c r="C1768" s="3" t="str">
        <f>IFERROR(__xludf.DUMMYFUNCTION("GOOGLETRANSLATE(B1768,""id"",""en"")"),"['App', 'rotten', 'cave', 'login', 'strange', 'fix', 'loss',' costomer ',' boss', 'ngelintanin', 'customer', ' price ',' comparable ',' service ',' mAh ',' surprised ',' app ',' login ',' network ',' bafuk ',' price ',' expensive ',' right ','AA' , 'Cape'"&amp;", 'ati', 'kdg', 'blood', 'try', 'fix', 'fix', 'comparable', 'price', 'service', 'bosssss']")</f>
        <v>['App', 'rotten', 'cave', 'login', 'strange', 'fix', 'loss',' costomer ',' boss', 'ngelintanin', 'customer', ' price ',' comparable ',' service ',' mAh ',' surprised ',' app ',' login ',' network ',' bafuk ',' price ',' expensive ',' right ','AA' , 'Cape', 'ati', 'kdg', 'blood', 'try', 'fix', 'fix', 'comparable', 'price', 'service', 'bosssss']</v>
      </c>
      <c r="D1768" s="3">
        <v>1.0</v>
      </c>
    </row>
    <row r="1769" ht="15.75" customHeight="1">
      <c r="A1769" s="1">
        <v>1767.0</v>
      </c>
      <c r="B1769" s="3" t="s">
        <v>1770</v>
      </c>
      <c r="C1769" s="3" t="str">
        <f>IFERROR(__xludf.DUMMYFUNCTION("GOOGLETRANSLATE(B1769,""id"",""en"")"),"['signal', 'repairs',' severe ',' replace ',' application ',' opened ',' wifi ',' signal ',' error ',' how ',' extend ',' internet ',' Please, 'Network', 'Enhanced']")</f>
        <v>['signal', 'repairs',' severe ',' replace ',' application ',' opened ',' wifi ',' signal ',' error ',' how ',' extend ',' internet ',' Please, 'Network', 'Enhanced']</v>
      </c>
      <c r="D1769" s="3">
        <v>1.0</v>
      </c>
    </row>
    <row r="1770" ht="15.75" customHeight="1">
      <c r="A1770" s="1">
        <v>1768.0</v>
      </c>
      <c r="B1770" s="3" t="s">
        <v>1771</v>
      </c>
      <c r="C1770" s="3" t="str">
        <f>IFERROR(__xludf.DUMMYFUNCTION("GOOGLETRANSLATE(B1770,""id"",""en"")"),"['Telkomsel', 'Severe', 'Quota', 'Open', 'Application', 'MyTelkomsel', 'Strange', 'Rates', 'Expensive', 'Move', 'Card']")</f>
        <v>['Telkomsel', 'Severe', 'Quota', 'Open', 'Application', 'MyTelkomsel', 'Strange', 'Rates', 'Expensive', 'Move', 'Card']</v>
      </c>
      <c r="D1770" s="3">
        <v>1.0</v>
      </c>
    </row>
    <row r="1771" ht="15.75" customHeight="1">
      <c r="A1771" s="1">
        <v>1769.0</v>
      </c>
      <c r="B1771" s="3" t="s">
        <v>1772</v>
      </c>
      <c r="C1771" s="3" t="str">
        <f>IFERROR(__xludf.DUMMYFUNCTION("GOOGLETRANSLATE(B1771,""id"",""en"")"),"['Telkomsel', 'Please', 'Fix', 'APK', 'Telkomsel', 'Experience', 'Disruption', 'Internet', 'Customer', 'Telkomsel', 'Disturbed', 'Satisfied', ' Service ',' Telkomsel ']")</f>
        <v>['Telkomsel', 'Please', 'Fix', 'APK', 'Telkomsel', 'Experience', 'Disruption', 'Internet', 'Customer', 'Telkomsel', 'Disturbed', 'Satisfied', ' Service ',' Telkomsel ']</v>
      </c>
      <c r="D1771" s="3">
        <v>1.0</v>
      </c>
    </row>
    <row r="1772" ht="15.75" customHeight="1">
      <c r="A1772" s="1">
        <v>1770.0</v>
      </c>
      <c r="B1772" s="3" t="s">
        <v>1773</v>
      </c>
      <c r="C1772" s="3" t="str">
        <f>IFERROR(__xludf.DUMMYFUNCTION("GOOGLETRANSLATE(B1772,""id"",""en"")"),"['min', 'signal', 'here', 'bad', 'good', 'rain', 'blackout', 'electricity', 'signal', 'special', 'really', 'Please', ' Improvements ',' as soon as possible ',' min ',' consumers ',' disappointed ',' moved ',' operator ',' so, 'thanks']")</f>
        <v>['min', 'signal', 'here', 'bad', 'good', 'rain', 'blackout', 'electricity', 'signal', 'special', 'really', 'Please', ' Improvements ',' as soon as possible ',' min ',' consumers ',' disappointed ',' moved ',' operator ',' so, 'thanks']</v>
      </c>
      <c r="D1772" s="3">
        <v>2.0</v>
      </c>
    </row>
    <row r="1773" ht="15.75" customHeight="1">
      <c r="A1773" s="1">
        <v>1771.0</v>
      </c>
      <c r="B1773" s="3" t="s">
        <v>1774</v>
      </c>
      <c r="C1773" s="3" t="str">
        <f>IFERROR(__xludf.DUMMYFUNCTION("GOOGLETRANSLATE(B1773,""id"",""en"")"),"['', 'customers',' loyal ',' Telkom ',' package ',' run out ',' buy ',' telkom ',' use ',' network ',' wifii ',' ngak ',' use ',' Data ',' how ',' Costs', 'Please', 'Bantun', 'Thank you']")</f>
        <v>['', 'customers',' loyal ',' Telkom ',' package ',' run out ',' buy ',' telkom ',' use ',' network ',' wifii ',' ngak ',' use ',' Data ',' how ',' Costs', 'Please', 'Bantun', 'Thank you']</v>
      </c>
      <c r="D1773" s="3">
        <v>1.0</v>
      </c>
    </row>
    <row r="1774" ht="15.75" customHeight="1">
      <c r="A1774" s="1">
        <v>1772.0</v>
      </c>
      <c r="B1774" s="3" t="s">
        <v>1775</v>
      </c>
      <c r="C1774" s="3" t="str">
        <f>IFERROR(__xludf.DUMMYFUNCTION("GOOGLETRANSLATE(B1774,""id"",""en"")"),"['expensive', 'package', 'Telkomsel', 'area', 'Java', 'choice', 'like', 'Java', 'already', 'change', 'like', 'the capital', ' BNYK ',' option ',' operator ',' qualified ',' expensive ',' greetings', 'customers', ""]")</f>
        <v>['expensive', 'package', 'Telkomsel', 'area', 'Java', 'choice', 'like', 'Java', 'already', 'change', 'like', 'the capital', ' BNYK ',' option ',' operator ',' qualified ',' expensive ',' greetings', 'customers', "]</v>
      </c>
      <c r="D1774" s="3">
        <v>1.0</v>
      </c>
    </row>
    <row r="1775" ht="15.75" customHeight="1">
      <c r="A1775" s="1">
        <v>1773.0</v>
      </c>
      <c r="B1775" s="3" t="s">
        <v>1776</v>
      </c>
      <c r="C1775" s="3" t="str">
        <f>IFERROR(__xludf.DUMMYFUNCTION("GOOGLETRANSLATE(B1775,""id"",""en"")"),"['APK', 'Login', 'already', 'Uninstall', 'Download', 'Sampek', 'Tetep', 'Login', 'APK', 'Nyenengin', 'Consumer', 'Season', ' Asw ']")</f>
        <v>['APK', 'Login', 'already', 'Uninstall', 'Download', 'Sampek', 'Tetep', 'Login', 'APK', 'Nyenengin', 'Consumer', 'Season', ' Asw ']</v>
      </c>
      <c r="D1775" s="3">
        <v>1.0</v>
      </c>
    </row>
    <row r="1776" ht="15.75" customHeight="1">
      <c r="A1776" s="1">
        <v>1774.0</v>
      </c>
      <c r="B1776" s="3" t="s">
        <v>1777</v>
      </c>
      <c r="C1776" s="3" t="str">
        <f>IFERROR(__xludf.DUMMYFUNCTION("GOOGLETRANSLATE(B1776,""id"",""en"")"),"['Application', 'Login', 'Failed', 'Trash', 'Untung', 'Pakeq', 'Server', 'Cheap', 'Quality', ""]")</f>
        <v>['Application', 'Login', 'Failed', 'Trash', 'Untung', 'Pakeq', 'Server', 'Cheap', 'Quality', "]</v>
      </c>
      <c r="D1776" s="3">
        <v>1.0</v>
      </c>
    </row>
    <row r="1777" ht="15.75" customHeight="1">
      <c r="A1777" s="1">
        <v>1775.0</v>
      </c>
      <c r="B1777" s="3" t="s">
        <v>1778</v>
      </c>
      <c r="C1777" s="3" t="str">
        <f>IFERROR(__xludf.DUMMYFUNCTION("GOOGLETRANSLATE(B1777,""id"",""en"")"),"['', 'January', 'clock', 'dawn', 'original', 'network', 'Telkomsel', 'area', 'Makassar', 'slow', 'bar', 'network', 'pay ',' expensive ',' card ',' Hello ',' please ',' enhanced ']")</f>
        <v>['', 'January', 'clock', 'dawn', 'original', 'network', 'Telkomsel', 'area', 'Makassar', 'slow', 'bar', 'network', 'pay ',' expensive ',' card ',' Hello ',' please ',' enhanced ']</v>
      </c>
      <c r="D1777" s="3">
        <v>3.0</v>
      </c>
    </row>
    <row r="1778" ht="15.75" customHeight="1">
      <c r="A1778" s="1">
        <v>1776.0</v>
      </c>
      <c r="B1778" s="3" t="s">
        <v>1779</v>
      </c>
      <c r="C1778" s="3" t="str">
        <f>IFERROR(__xludf.DUMMYFUNCTION("GOOGLETRANSLATE(B1778,""id"",""en"")"),"['Hello', 'Telkomsel', 'Date', 'January', 'Telkomsel', 'Disorders',' How ',' here ',' Ngaco ',' Sinyal ',' Leet ',' Please ',' Repaired ',' Enter ',' Application ',' MyTelkomsel ',' oath ',' Ngemawain ',' Thank you ']")</f>
        <v>['Hello', 'Telkomsel', 'Date', 'January', 'Telkomsel', 'Disorders',' How ',' here ',' Ngaco ',' Sinyal ',' Leet ',' Please ',' Repaired ',' Enter ',' Application ',' MyTelkomsel ',' oath ',' Ngemawain ',' Thank you ']</v>
      </c>
      <c r="D1778" s="3">
        <v>3.0</v>
      </c>
    </row>
    <row r="1779" ht="15.75" customHeight="1">
      <c r="A1779" s="1">
        <v>1777.0</v>
      </c>
      <c r="B1779" s="3" t="s">
        <v>1780</v>
      </c>
      <c r="C1779" s="3" t="str">
        <f>IFERROR(__xludf.DUMMYFUNCTION("GOOGLETRANSLATE(B1779,""id"",""en"")"),"['Hello', 'Update', 'Application', 'Telkomsel', 'Update', 'Open', 'Appears',' Verification ',' Number ',' Number ',' Registered ',' Verification ',' reset ',' input ',' number ',' failed ',' no ',' login ',' disappointed ',' really ',' cave ',' update ','"&amp;" no ',' chaotic ',' the network ' , 'destroyed', '']")</f>
        <v>['Hello', 'Update', 'Application', 'Telkomsel', 'Update', 'Open', 'Appears',' Verification ',' Number ',' Number ',' Registered ',' Verification ',' reset ',' input ',' number ',' failed ',' no ',' login ',' disappointed ',' really ',' cave ',' update ',' no ',' chaotic ',' the network ' , 'destroyed', '']</v>
      </c>
      <c r="D1779" s="3">
        <v>1.0</v>
      </c>
    </row>
    <row r="1780" ht="15.75" customHeight="1">
      <c r="A1780" s="1">
        <v>1778.0</v>
      </c>
      <c r="B1780" s="3" t="s">
        <v>1781</v>
      </c>
      <c r="C1780" s="3" t="str">
        <f>IFERROR(__xludf.DUMMYFUNCTION("GOOGLETRANSLATE(B1780,""id"",""en"")"),"['application', 'help', 'inhibits', 'login', 'right', 'buy', 'package', 'internet', '']")</f>
        <v>['application', 'help', 'inhibits', 'login', 'right', 'buy', 'package', 'internet', '']</v>
      </c>
      <c r="D1780" s="3">
        <v>1.0</v>
      </c>
    </row>
    <row r="1781" ht="15.75" customHeight="1">
      <c r="A1781" s="1">
        <v>1779.0</v>
      </c>
      <c r="B1781" s="3" t="s">
        <v>1782</v>
      </c>
      <c r="C1781" s="3" t="str">
        <f>IFERROR(__xludf.DUMMYFUNCTION("GOOGLETRANSLATE(B1781,""id"",""en"")"),"['Telkomsel', 'severe', 'signal', 'Bagusan', 'tri', 'quota', 'cheap', 'friendly', 'tri', 'sympathy', 'play', 'game', ' Gara ',' PKE ',' Telkomsel ',' signal ',' Rank ',' Down ',' NOT ',' Good ',' Not ',' Good ',' Check ',' Kuotaku ',' Udh ' , 'contents','"&amp;" package ',' quota ',' monthly ',' good ',' disappointing ',' believe ',' clay ',' compare ',' package ',' tri ',' friendly ',' Really ',' Appeal ',' Telkomsel ',' ']")</f>
        <v>['Telkomsel', 'severe', 'signal', 'Bagusan', 'tri', 'quota', 'cheap', 'friendly', 'tri', 'sympathy', 'play', 'game', ' Gara ',' PKE ',' Telkomsel ',' signal ',' Rank ',' Down ',' NOT ',' Good ',' Not ',' Good ',' Check ',' Kuotaku ',' Udh ' , 'contents',' package ',' quota ',' monthly ',' good ',' disappointing ',' believe ',' clay ',' compare ',' package ',' tri ',' friendly ',' Really ',' Appeal ',' Telkomsel ',' ']</v>
      </c>
      <c r="D1781" s="3">
        <v>1.0</v>
      </c>
    </row>
    <row r="1782" ht="15.75" customHeight="1">
      <c r="A1782" s="1">
        <v>1780.0</v>
      </c>
      <c r="B1782" s="3" t="s">
        <v>1783</v>
      </c>
      <c r="C1782" s="3" t="str">
        <f>IFERROR(__xludf.DUMMYFUNCTION("GOOGLETRANSLATE(B1782,""id"",""en"")"),"['Suggestion', 'Telkomsel', 'Model', 'Paketan', 'Post', 'Pay', 'Please', 'Standed', 'Display', 'Nominal', 'Written', 'Rp', ' People ',' Trapped ',' Please ',' Notice ',' People ',' Lay ',' Telkomsel ',' Details', 'Information', 'Order']")</f>
        <v>['Suggestion', 'Telkomsel', 'Model', 'Paketan', 'Post', 'Pay', 'Please', 'Standed', 'Display', 'Nominal', 'Written', 'Rp', ' People ',' Trapped ',' Please ',' Notice ',' People ',' Lay ',' Telkomsel ',' Details', 'Information', 'Order']</v>
      </c>
      <c r="D1782" s="3">
        <v>3.0</v>
      </c>
    </row>
    <row r="1783" ht="15.75" customHeight="1">
      <c r="A1783" s="1">
        <v>1781.0</v>
      </c>
      <c r="B1783" s="3" t="s">
        <v>1784</v>
      </c>
      <c r="C1783" s="3" t="str">
        <f>IFERROR(__xludf.DUMMYFUNCTION("GOOGLETRANSLATE(B1783,""id"",""en"")"),"['', 'Something', 'Went', 'Wrong', 'Please', 'Try', 'Again', 'After', 'sometime', 'Sentences',' Get ',' Boa ',' Certificate ',' Njir ',' Hadeuhh ',' already ',' Severe ',' Aseli ',' Bener ',' Disappointed ',' Abis', 'Provider', 'TLKELS', 'JNG', 'JNG', 'co"&amp;"mplaints', 'send', 'email', 'obviously', 'orng', 'permission', 'gmna', 'solution', '']")</f>
        <v>['', 'Something', 'Went', 'Wrong', 'Please', 'Try', 'Again', 'After', 'sometime', 'Sentences',' Get ',' Boa ',' Certificate ',' Njir ',' Hadeuhh ',' already ',' Severe ',' Aseli ',' Bener ',' Disappointed ',' Abis', 'Provider', 'TLKELS', 'JNG', 'JNG', 'complaints', 'send', 'email', 'obviously', 'orng', 'permission', 'gmna', 'solution', '']</v>
      </c>
      <c r="D1783" s="3">
        <v>1.0</v>
      </c>
    </row>
    <row r="1784" ht="15.75" customHeight="1">
      <c r="A1784" s="1">
        <v>1782.0</v>
      </c>
      <c r="B1784" s="3" t="s">
        <v>1785</v>
      </c>
      <c r="C1784" s="3" t="str">
        <f>IFERROR(__xludf.DUMMYFUNCTION("GOOGLETRANSLATE(B1784,""id"",""en"")"),"['times',' felt ',' Application ',' Ngeselin ',' Login ',' Many ',' Something ',' Twrong ',' Please ',' Try ',' Again ',' Failed ',' SMPE ',' KPN ',' Login ',' ']")</f>
        <v>['times',' felt ',' Application ',' Ngeselin ',' Login ',' Many ',' Something ',' Twrong ',' Please ',' Try ',' Again ',' Failed ',' SMPE ',' KPN ',' Login ',' ']</v>
      </c>
      <c r="D1784" s="3">
        <v>1.0</v>
      </c>
    </row>
    <row r="1785" ht="15.75" customHeight="1">
      <c r="A1785" s="1">
        <v>1783.0</v>
      </c>
      <c r="B1785" s="3" t="s">
        <v>1786</v>
      </c>
      <c r="C1785" s="3" t="str">
        <f>IFERROR(__xludf.DUMMYFUNCTION("GOOGLETRANSLATE(B1785,""id"",""en"")"),"['application', 'Telkomsel', 'KLU', 'buy', 'quota', 'credit', 'disorder', 'solution', 'users',' solution ',' best ',' replace ',' GSM ',' Telkomsel ',' solution ',' best ',' difficult ',' inhibits', 'job', 'signal', 'disorder', 'breaking', 'reason', 'erro"&amp;"r', 'error' , 'The reason', 'ngak', 'smart', 'search', 'solution', 'best', 'bad', '']")</f>
        <v>['application', 'Telkomsel', 'KLU', 'buy', 'quota', 'credit', 'disorder', 'solution', 'users',' solution ',' best ',' replace ',' GSM ',' Telkomsel ',' solution ',' best ',' difficult ',' inhibits', 'job', 'signal', 'disorder', 'breaking', 'reason', 'error', 'error' , 'The reason', 'ngak', 'smart', 'search', 'solution', 'best', 'bad', '']</v>
      </c>
      <c r="D1785" s="3">
        <v>1.0</v>
      </c>
    </row>
    <row r="1786" ht="15.75" customHeight="1">
      <c r="A1786" s="1">
        <v>1784.0</v>
      </c>
      <c r="B1786" s="3" t="s">
        <v>1787</v>
      </c>
      <c r="C1786" s="3" t="str">
        <f>IFERROR(__xludf.DUMMYFUNCTION("GOOGLETRANSLATE(B1786,""id"",""en"")"),"['enter', 'menu', 'package', 'internet', 'menu', 'smooth', 'activate', 'package', 'difficult', 'enter', ""]")</f>
        <v>['enter', 'menu', 'package', 'internet', 'menu', 'smooth', 'activate', 'package', 'difficult', 'enter', "]</v>
      </c>
      <c r="D1786" s="3">
        <v>1.0</v>
      </c>
    </row>
    <row r="1787" ht="15.75" customHeight="1">
      <c r="A1787" s="1">
        <v>1785.0</v>
      </c>
      <c r="B1787" s="3" t="s">
        <v>1788</v>
      </c>
      <c r="C1787" s="3" t="str">
        <f>IFERROR(__xludf.DUMMYFUNCTION("GOOGLETRANSLATE(B1787,""id"",""en"")"),"['clock', 'cave', 'ngutak', 'ngatik', 'application', 'login', 'do', 'yes',' cellphone ',' cave ',' burn ',' Telkomsel ',' troubling ',' Bund ',' lose ',' card ',' people ']")</f>
        <v>['clock', 'cave', 'ngutak', 'ngatik', 'application', 'login', 'do', 'yes',' cellphone ',' cave ',' burn ',' Telkomsel ',' troubling ',' Bund ',' lose ',' card ',' people ']</v>
      </c>
      <c r="D1787" s="3">
        <v>1.0</v>
      </c>
    </row>
    <row r="1788" ht="15.75" customHeight="1">
      <c r="A1788" s="1">
        <v>1786.0</v>
      </c>
      <c r="B1788" s="3" t="s">
        <v>1789</v>
      </c>
      <c r="C1788" s="3" t="str">
        <f>IFERROR(__xludf.DUMMYFUNCTION("GOOGLETRANSLATE(B1788,""id"",""en"")"),"['What', 'Application', 'right', 'Need', 'Quota', 'Opened', 'Sometimes',' Ngebug ',' Information ',' Purchase ',' Please ',' Fix ',' Top ',' thousand ',' ilang ',' enter ',' how ',' ']")</f>
        <v>['What', 'Application', 'right', 'Need', 'Quota', 'Opened', 'Sometimes',' Ngebug ',' Information ',' Purchase ',' Please ',' Fix ',' Top ',' thousand ',' ilang ',' enter ',' how ',' ']</v>
      </c>
      <c r="D1788" s="3">
        <v>1.0</v>
      </c>
    </row>
    <row r="1789" ht="15.75" customHeight="1">
      <c r="A1789" s="1">
        <v>1787.0</v>
      </c>
      <c r="B1789" s="3" t="s">
        <v>1790</v>
      </c>
      <c r="C1789" s="3" t="str">
        <f>IFERROR(__xludf.DUMMYFUNCTION("GOOGLETRANSLATE(B1789,""id"",""en"")"),"['', 'application', 'heavy', 'open', 'android', 'version', 'network', 'stable', 'already', 'gini', 'repair', 'company', 'telecommunications ',' Plate ',' Red ',' ']")</f>
        <v>['', 'application', 'heavy', 'open', 'android', 'version', 'network', 'stable', 'already', 'gini', 'repair', 'company', 'telecommunications ',' Plate ',' Red ',' ']</v>
      </c>
      <c r="D1789" s="3">
        <v>3.0</v>
      </c>
    </row>
    <row r="1790" ht="15.75" customHeight="1">
      <c r="A1790" s="1">
        <v>1788.0</v>
      </c>
      <c r="B1790" s="3" t="s">
        <v>1791</v>
      </c>
      <c r="C1790" s="3" t="str">
        <f>IFERROR(__xludf.DUMMYFUNCTION("GOOGLETRANSLATE(B1790,""id"",""en"")"),"['App', 'Telkomsel', 'wants',' UDH ',' Delete ',' DWLD ',' FAILURE ',' Login ',' DWLD ',' Current ',' chaotic ',' Telkomsel ',' ']")</f>
        <v>['App', 'Telkomsel', 'wants',' UDH ',' Delete ',' DWLD ',' FAILURE ',' Login ',' DWLD ',' Current ',' chaotic ',' Telkomsel ',' ']</v>
      </c>
      <c r="D1790" s="3">
        <v>1.0</v>
      </c>
    </row>
    <row r="1791" ht="15.75" customHeight="1">
      <c r="A1791" s="1">
        <v>1789.0</v>
      </c>
      <c r="B1791" s="3" t="s">
        <v>1792</v>
      </c>
      <c r="C1791" s="3" t="str">
        <f>IFERROR(__xludf.DUMMYFUNCTION("GOOGLETRANSLATE(B1791,""id"",""en"")"),"[ 'Severe', 'telkomsel', 'mending', 'delete', 'application', 'loading', 'ammpuuuuuuuuuuuuunnnnnnnn', 'all day', 'kebuka', 'checked', 'gimna', 'kebuka' ' Credit ',' Rampas', '']")</f>
        <v>[ 'Severe', 'telkomsel', 'mending', 'delete', 'application', 'loading', 'ammpuuuuuuuuuuuuunnnnnnnn', 'all day', 'kebuka', 'checked', 'gimna', 'kebuka' ' Credit ',' Rampas', '']</v>
      </c>
      <c r="D1791" s="3">
        <v>1.0</v>
      </c>
    </row>
    <row r="1792" ht="15.75" customHeight="1">
      <c r="A1792" s="1">
        <v>1790.0</v>
      </c>
      <c r="B1792" s="3" t="s">
        <v>1793</v>
      </c>
      <c r="C1792" s="3" t="str">
        <f>IFERROR(__xludf.DUMMYFUNCTION("GOOGLETRANSLATE(B1792,""id"",""en"")"),"['network', 'good', 'open', 'application', 'open', 'application', 'mytelkomsel', 'reload', 'then', 'as a result', 'data', 'gwa', ' Well ',' then ',' see ',' pulse ',' doang ',' application ',' Mending ',' uninstall ']")</f>
        <v>['network', 'good', 'open', 'application', 'open', 'application', 'mytelkomsel', 'reload', 'then', 'as a result', 'data', 'gwa', ' Well ',' then ',' see ',' pulse ',' doang ',' application ',' Mending ',' uninstall ']</v>
      </c>
      <c r="D1792" s="3">
        <v>1.0</v>
      </c>
    </row>
    <row r="1793" ht="15.75" customHeight="1">
      <c r="A1793" s="1">
        <v>1791.0</v>
      </c>
      <c r="B1793" s="3" t="s">
        <v>1794</v>
      </c>
      <c r="C1793" s="3" t="str">
        <f>IFERROR(__xludf.DUMMYFUNCTION("GOOGLETRANSLATE(B1793,""id"",""en"")"),"['', 'Telkomsel', 'refresh', 'just', 'contents',' quota ',' via ',' Telkomsel ',' difficult ',' forgiveness', 'network', 'slow', 'disappointed ',' ']")</f>
        <v>['', 'Telkomsel', 'refresh', 'just', 'contents',' quota ',' via ',' Telkomsel ',' difficult ',' forgiveness', 'network', 'slow', 'disappointed ',' ']</v>
      </c>
      <c r="D1793" s="3">
        <v>2.0</v>
      </c>
    </row>
    <row r="1794" ht="15.75" customHeight="1">
      <c r="A1794" s="1">
        <v>1792.0</v>
      </c>
      <c r="B1794" s="3" t="s">
        <v>1795</v>
      </c>
      <c r="C1794" s="3" t="str">
        <f>IFERROR(__xludf.DUMMYFUNCTION("GOOGLETRANSLATE(B1794,""id"",""en"")"),"['network', 'sympathy', 'quota', 'expensive', 'SIM', 'card', 'the way', 'soft', 'rich', 'turtle', 'turtle', 'entered', ' App ',' MyTelkomsel ',' difficult ', ""]")</f>
        <v>['network', 'sympathy', 'quota', 'expensive', 'SIM', 'card', 'the way', 'soft', 'rich', 'turtle', 'turtle', 'entered', ' App ',' MyTelkomsel ',' difficult ', "]</v>
      </c>
      <c r="D1794" s="3">
        <v>2.0</v>
      </c>
    </row>
    <row r="1795" ht="15.75" customHeight="1">
      <c r="A1795" s="1">
        <v>1793.0</v>
      </c>
      <c r="B1795" s="3" t="s">
        <v>1796</v>
      </c>
      <c r="C1795" s="3" t="str">
        <f>IFERROR(__xludf.DUMMYFUNCTION("GOOGLETRANSLATE(B1795,""id"",""en"")"),"['Bener', 'disappointed', 'network', 'internet', 'Telkomsel', 'khsus',' sympathy ',' stability ',' likes', 'error', 'play', 'game', ' Indicator ',' signal ',' full ',' area ',' good ',' comfortable ',' replace ',' card ',' lazy ',' number ',' used ',' mis"&amp;"s', 'network' , 'Telkomsel', 'Team', 'Developer', 'Please', 'Repaired', 'Customer', 'Survive', 'Greetings']")</f>
        <v>['Bener', 'disappointed', 'network', 'internet', 'Telkomsel', 'khsus',' sympathy ',' stability ',' likes', 'error', 'play', 'game', ' Indicator ',' signal ',' full ',' area ',' good ',' comfortable ',' replace ',' card ',' lazy ',' number ',' used ',' miss', 'network' , 'Telkomsel', 'Team', 'Developer', 'Please', 'Repaired', 'Customer', 'Survive', 'Greetings']</v>
      </c>
      <c r="D1795" s="3">
        <v>1.0</v>
      </c>
    </row>
    <row r="1796" ht="15.75" customHeight="1">
      <c r="A1796" s="1">
        <v>1794.0</v>
      </c>
      <c r="B1796" s="3" t="s">
        <v>1797</v>
      </c>
      <c r="C1796" s="3" t="str">
        <f>IFERROR(__xludf.DUMMYFUNCTION("GOOGLETRANSLATE(B1796,""id"",""en"")"),"['slow', 'Bat', 'App', 'cheap', 'delicious',' process', 'remember', 'Telkomsel', 'BUMN', 'IGN', 'Damaged', 'Citra', ' BUMN ',' Service ',' Enhanced ']")</f>
        <v>['slow', 'Bat', 'App', 'cheap', 'delicious',' process', 'remember', 'Telkomsel', 'BUMN', 'IGN', 'Damaged', 'Citra', ' BUMN ',' Service ',' Enhanced ']</v>
      </c>
      <c r="D1796" s="3">
        <v>3.0</v>
      </c>
    </row>
    <row r="1797" ht="15.75" customHeight="1">
      <c r="A1797" s="1">
        <v>1795.0</v>
      </c>
      <c r="B1797" s="3" t="s">
        <v>1798</v>
      </c>
      <c r="C1797" s="3" t="str">
        <f>IFERROR(__xludf.DUMMYFUNCTION("GOOGLETRANSLATE(B1797,""id"",""en"")"),"['Disappointed', 'buy', 'package', 'OMG', 'get', 'option', 'use', 'operator', 'subscription', 'Telkomsel', '']")</f>
        <v>['Disappointed', 'buy', 'package', 'OMG', 'get', 'option', 'use', 'operator', 'subscription', 'Telkomsel', '']</v>
      </c>
      <c r="D1797" s="3">
        <v>3.0</v>
      </c>
    </row>
    <row r="1798" ht="15.75" customHeight="1">
      <c r="A1798" s="1">
        <v>1796.0</v>
      </c>
      <c r="B1798" s="3" t="s">
        <v>1799</v>
      </c>
      <c r="C1798" s="3" t="str">
        <f>IFERROR(__xludf.DUMMYFUNCTION("GOOGLETRANSLATE(B1798,""id"",""en"")"),"['check', 'leftover', 'package', 'pulse', 'application', 'internet', 'access',' reload ',' many times', 'times',' change ',' mode ',' airplane ',' server ',' down ',' application ',' internet ',' run ',' normal ',' sorry ',' update ',' edit ',' applicatio"&amp;"n ',' normal ',' thank you ' , 'The', 'Tense', '']")</f>
        <v>['check', 'leftover', 'package', 'pulse', 'application', 'internet', 'access',' reload ',' many times', 'times',' change ',' mode ',' airplane ',' server ',' down ',' application ',' internet ',' run ',' normal ',' sorry ',' update ',' edit ',' application ',' normal ',' thank you ' , 'The', 'Tense', '']</v>
      </c>
      <c r="D1798" s="3">
        <v>1.0</v>
      </c>
    </row>
    <row r="1799" ht="15.75" customHeight="1">
      <c r="A1799" s="1">
        <v>1797.0</v>
      </c>
      <c r="B1799" s="3" t="s">
        <v>1800</v>
      </c>
      <c r="C1799" s="3" t="str">
        <f>IFERROR(__xludf.DUMMYFUNCTION("GOOGLETRANSLATE(B1799,""id"",""en"")"),"['application', 'list', 'enter', 'difficult', 'number', 'number', 'borrow', 'person', 'facebook', 'relationship', ""]")</f>
        <v>['application', 'list', 'enter', 'difficult', 'number', 'number', 'borrow', 'person', 'facebook', 'relationship', "]</v>
      </c>
      <c r="D1799" s="3">
        <v>1.0</v>
      </c>
    </row>
    <row r="1800" ht="15.75" customHeight="1">
      <c r="A1800" s="1">
        <v>1798.0</v>
      </c>
      <c r="B1800" s="3" t="s">
        <v>1801</v>
      </c>
      <c r="C1800" s="3" t="str">
        <f>IFERROR(__xludf.DUMMYFUNCTION("GOOGLETRANSLATE(B1800,""id"",""en"")"),"['Taun', 'Telkomsel', 'Yesterday', 'Get', 'Debtor', 'Buy', 'Package', 'Unmilited', 'Price', 'Seterusny', 'Unmilited', 'Happy', ' right ',' Abis', 'duration', 'packagein', 'strange', 'right', 'package', 'unmilited', 'network', 'smooth', 'right', 'buy', 'sa"&amp;"le' , 'price', 'rb', 'leelt', 'forgiveness',' lose ',' ama ',' network ',' disappointed ',' please ',' telkomsel ',' card ',' famous', ' Hold ',' Price ',' Cheap ',' Package ',' Unmilited ',' Ancurin ',' Harapan ',' User ']")</f>
        <v>['Taun', 'Telkomsel', 'Yesterday', 'Get', 'Debtor', 'Buy', 'Package', 'Unmilited', 'Price', 'Seterusny', 'Unmilited', 'Happy', ' right ',' Abis', 'duration', 'packagein', 'strange', 'right', 'package', 'unmilited', 'network', 'smooth', 'right', 'buy', 'sale' , 'price', 'rb', 'leelt', 'forgiveness',' lose ',' ama ',' network ',' disappointed ',' please ',' telkomsel ',' card ',' famous', ' Hold ',' Price ',' Cheap ',' Package ',' Unmilited ',' Ancurin ',' Harapan ',' User ']</v>
      </c>
      <c r="D1800" s="3">
        <v>3.0</v>
      </c>
    </row>
    <row r="1801" ht="15.75" customHeight="1">
      <c r="A1801" s="1">
        <v>1799.0</v>
      </c>
      <c r="B1801" s="3" t="s">
        <v>1802</v>
      </c>
      <c r="C1801" s="3" t="str">
        <f>IFERROR(__xludf.DUMMYFUNCTION("GOOGLETRANSLATE(B1801,""id"",""en"")"),"['Disappointed', 'really', 'Telkomsel', 'The network', 'chaotic', 'severe', 'understand', 'already', 'so', 'login', 'understand', 'lift', ' Hands', 'disappointed', 'buy', 'quota', 'money', 'search', 'money', 'easy', 'network', 'kayk', 'gini', 'believe', '"&amp;"use' , 'Telkomsel', 'Uda', 'package', 'expensive', 'disappointing']")</f>
        <v>['Disappointed', 'really', 'Telkomsel', 'The network', 'chaotic', 'severe', 'understand', 'already', 'so', 'login', 'understand', 'lift', ' Hands', 'disappointed', 'buy', 'quota', 'money', 'search', 'money', 'easy', 'network', 'kayk', 'gini', 'believe', 'use' , 'Telkomsel', 'Uda', 'package', 'expensive', 'disappointing']</v>
      </c>
      <c r="D1801" s="3">
        <v>1.0</v>
      </c>
    </row>
    <row r="1802" ht="15.75" customHeight="1">
      <c r="A1802" s="1">
        <v>1800.0</v>
      </c>
      <c r="B1802" s="3" t="s">
        <v>1803</v>
      </c>
      <c r="C1802" s="3" t="str">
        <f>IFERROR(__xludf.DUMMYFUNCTION("GOOGLETRANSLATE(B1802,""id"",""en"")"),"['customer', 'loyal', 'Telkomsel', 'disappointed', 'signal', 'open', 'youtube', 'no', 'quota', 'GB', 'please', 'Telkomsel', ' fix ',' signal ',' home ',' gondang ',' jirapan ',' masaran ',' sragen ', ""]")</f>
        <v>['customer', 'loyal', 'Telkomsel', 'disappointed', 'signal', 'open', 'youtube', 'no', 'quota', 'GB', 'please', 'Telkomsel', ' fix ',' signal ',' home ',' gondang ',' jirapan ',' masaran ',' sragen ', "]</v>
      </c>
      <c r="D1802" s="3">
        <v>1.0</v>
      </c>
    </row>
    <row r="1803" ht="15.75" customHeight="1">
      <c r="A1803" s="1">
        <v>1801.0</v>
      </c>
      <c r="B1803" s="3" t="s">
        <v>1804</v>
      </c>
      <c r="C1803" s="3" t="str">
        <f>IFERROR(__xludf.DUMMYFUNCTION("GOOGLETRANSLATE(B1803,""id"",""en"")"),"['Login', 'Many', 'Times',' Install ',' Credit ',' Cut ',' Used ',' Internet ',' Confirm ',' Owner ',' Cellular ',' Cutting ',' Credit ',' main ',' activate ',' package ',' signal ',' lost ',' Telkomsel ', ""]")</f>
        <v>['Login', 'Many', 'Times',' Install ',' Credit ',' Cut ',' Used ',' Internet ',' Confirm ',' Owner ',' Cellular ',' Cutting ',' Credit ',' main ',' activate ',' package ',' signal ',' lost ',' Telkomsel ', "]</v>
      </c>
      <c r="D1803" s="3">
        <v>1.0</v>
      </c>
    </row>
    <row r="1804" ht="15.75" customHeight="1">
      <c r="A1804" s="1">
        <v>1802.0</v>
      </c>
      <c r="B1804" s="3" t="s">
        <v>1805</v>
      </c>
      <c r="C1804" s="3" t="str">
        <f>IFERROR(__xludf.DUMMYFUNCTION("GOOGLETRANSLATE(B1804,""id"",""en"")"),"['Assalamualaikum', 'Sorry', 'Telkomsel', 'Telkomsel', 'Bad', 'Signal', 'Package', 'Internet', 'Application', 'Telkomsel', 'Open', 'Please', ' Fix ',' everyone allaaaa ']")</f>
        <v>['Assalamualaikum', 'Sorry', 'Telkomsel', 'Telkomsel', 'Bad', 'Signal', 'Package', 'Internet', 'Application', 'Telkomsel', 'Open', 'Please', ' Fix ',' everyone allaaaa ']</v>
      </c>
      <c r="D1804" s="3">
        <v>1.0</v>
      </c>
    </row>
    <row r="1805" ht="15.75" customHeight="1">
      <c r="A1805" s="1">
        <v>1803.0</v>
      </c>
      <c r="B1805" s="3" t="s">
        <v>1806</v>
      </c>
      <c r="C1805" s="3" t="str">
        <f>IFERROR(__xludf.DUMMYFUNCTION("GOOGLETRANSLATE(B1805,""id"",""en"")"),"['Log', 'log', 'out', 'log', 'gabisa', 'complicated', 'really', 'application', 'apasih', 'really', 'Telkomsel', 'the network', ' "", 'already', 'expensive', 'signal', 'taste', 'kyk', 'lined']")</f>
        <v>['Log', 'log', 'out', 'log', 'gabisa', 'complicated', 'really', 'application', 'apasih', 'really', 'Telkomsel', 'the network', ' ", 'already', 'expensive', 'signal', 'taste', 'kyk', 'lined']</v>
      </c>
      <c r="D1805" s="3">
        <v>1.0</v>
      </c>
    </row>
    <row r="1806" ht="15.75" customHeight="1">
      <c r="A1806" s="1">
        <v>1804.0</v>
      </c>
      <c r="B1806" s="3" t="s">
        <v>1807</v>
      </c>
      <c r="C1806" s="3" t="str">
        <f>IFERROR(__xludf.DUMMYFUNCTION("GOOGLETRANSLATE(B1806,""id"",""en"")"),"['login', 'Gapernah', 'logout', 'account', 'really', 'log', 'out', 'application', 'gabisa', 'login', 'already', 'reset', ' Many ',' times', 'Sampe', 'Reinstall', 'Telkomsel', 'Tetep', 'Gabisa', 'Please', 'Repaired']")</f>
        <v>['login', 'Gapernah', 'logout', 'account', 'really', 'log', 'out', 'application', 'gabisa', 'login', 'already', 'reset', ' Many ',' times', 'Sampe', 'Reinstall', 'Telkomsel', 'Tetep', 'Gabisa', 'Please', 'Repaired']</v>
      </c>
      <c r="D1806" s="3">
        <v>3.0</v>
      </c>
    </row>
    <row r="1807" ht="15.75" customHeight="1">
      <c r="A1807" s="1">
        <v>1805.0</v>
      </c>
      <c r="B1807" s="3" t="s">
        <v>1808</v>
      </c>
      <c r="C1807" s="3" t="str">
        <f>IFERROR(__xludf.DUMMYFUNCTION("GOOGLETRANSLATE(B1807,""id"",""en"")"),"['slow', 'really', 'login', 'login', 'reset', 'subscribe', 'package', 'quota', 'paid', 'Please', 'repair', ""]")</f>
        <v>['slow', 'really', 'login', 'login', 'reset', 'subscribe', 'package', 'quota', 'paid', 'Please', 'repair', "]</v>
      </c>
      <c r="D1807" s="3">
        <v>1.0</v>
      </c>
    </row>
    <row r="1808" ht="15.75" customHeight="1">
      <c r="A1808" s="1">
        <v>1806.0</v>
      </c>
      <c r="B1808" s="3" t="s">
        <v>1809</v>
      </c>
      <c r="C1808" s="3" t="str">
        <f>IFERROR(__xludf.DUMMYFUNCTION("GOOGLETRANSLATE(B1808,""id"",""en"")"),"['Disappointed', 'Login', 'Number', 'Many', 'Times',' Try ',' People ',' Dizziness', 'Version', 'Latest', 'Anyway', 'Disappointed', ' heavy ',' message ',' download ',' friend ',' friend ', ""]")</f>
        <v>['Disappointed', 'Login', 'Number', 'Many', 'Times',' Try ',' People ',' Dizziness', 'Version', 'Latest', 'Anyway', 'Disappointed', ' heavy ',' message ',' download ',' friend ',' friend ', "]</v>
      </c>
      <c r="D1808" s="3">
        <v>1.0</v>
      </c>
    </row>
    <row r="1809" ht="15.75" customHeight="1">
      <c r="A1809" s="1">
        <v>1807.0</v>
      </c>
      <c r="B1809" s="3" t="s">
        <v>1810</v>
      </c>
      <c r="C1809" s="3" t="str">
        <f>IFERROR(__xludf.DUMMYFUNCTION("GOOGLETRANSLATE(B1809,""id"",""en"")"),"['How', 'Cook', 'log', 'strange', 'application', 'ugly', 'really', 'sent', 'link', 'entry', 'click', 'balek', ' Page ',' Verification ',' That's', 'Mulu', 'Dozens',' Link ',' Verif ',' Tetep ',' Enter ',' Disappointed ',' Syg ',' Quota ',' Dowload ' ]")</f>
        <v>['How', 'Cook', 'log', 'strange', 'application', 'ugly', 'really', 'sent', 'link', 'entry', 'click', 'balek', ' Page ',' Verification ',' That's', 'Mulu', 'Dozens',' Link ',' Verif ',' Tetep ',' Enter ',' Disappointed ',' Syg ',' Quota ',' Dowload ' ]</v>
      </c>
      <c r="D1809" s="3">
        <v>1.0</v>
      </c>
    </row>
    <row r="1810" ht="15.75" customHeight="1">
      <c r="A1810" s="1">
        <v>1808.0</v>
      </c>
      <c r="B1810" s="3" t="s">
        <v>1811</v>
      </c>
      <c r="C1810" s="3" t="str">
        <f>IFERROR(__xludf.DUMMYFUNCTION("GOOGLETRANSLATE(B1810,""id"",""en"")"),"['application', 'perverted', 'already', 'provider', 'expensive', 'disorder', 'network', 'canal', 'download', 'login', 'nomer', 'something', ' When ',' Wrong ',' KNTL ',' ANJG ',' BERES ',' NOT ',' Respond ']")</f>
        <v>['application', 'perverted', 'already', 'provider', 'expensive', 'disorder', 'network', 'canal', 'download', 'login', 'nomer', 'something', ' When ',' Wrong ',' KNTL ',' ANJG ',' BERES ',' NOT ',' Respond ']</v>
      </c>
      <c r="D1810" s="3">
        <v>1.0</v>
      </c>
    </row>
    <row r="1811" ht="15.75" customHeight="1">
      <c r="A1811" s="1">
        <v>1809.0</v>
      </c>
      <c r="B1811" s="3" t="s">
        <v>1812</v>
      </c>
      <c r="C1811" s="3" t="str">
        <f>IFERROR(__xludf.DUMMYFUNCTION("GOOGLETRANSLATE(B1811,""id"",""en"")"),"['customers',' Telkomsel ',' disappointed ',' update ',' already ',' login ',' network ',' difficult ',' play ',' game ',' lag ',' etc. ',' Hopefully ',' Increase ']")</f>
        <v>['customers',' Telkomsel ',' disappointed ',' update ',' already ',' login ',' network ',' difficult ',' play ',' game ',' lag ',' etc. ',' Hopefully ',' Increase ']</v>
      </c>
      <c r="D1811" s="3">
        <v>1.0</v>
      </c>
    </row>
    <row r="1812" ht="15.75" customHeight="1">
      <c r="A1812" s="1">
        <v>1810.0</v>
      </c>
      <c r="B1812" s="3" t="s">
        <v>1813</v>
      </c>
      <c r="C1812" s="3" t="str">
        <f>IFERROR(__xludf.DUMMYFUNCTION("GOOGLETRANSLATE(B1812,""id"",""en"")"),"['Bener', 'the application', 'please', 'Benerin', 'already', 'paid', 'expensive', 'provider', 'bug', 'ahahha', 'login', 'play', ' Game ',' quota ',' stop ']")</f>
        <v>['Bener', 'the application', 'please', 'Benerin', 'already', 'paid', 'expensive', 'provider', 'bug', 'ahahha', 'login', 'play', ' Game ',' quota ',' stop ']</v>
      </c>
      <c r="D1812" s="3">
        <v>1.0</v>
      </c>
    </row>
    <row r="1813" ht="15.75" customHeight="1">
      <c r="A1813" s="1">
        <v>1811.0</v>
      </c>
      <c r="B1813" s="3" t="s">
        <v>1814</v>
      </c>
      <c r="C1813" s="3" t="str">
        <f>IFERROR(__xludf.DUMMYFUNCTION("GOOGLETRANSLATE(B1813,""id"",""en"")"),"['Sorry', 'Telkomsel', 'Knp', 'Rain', 'Leet', 'PDHAL', 'Telkomsel', 'Anti', 'Rain', 'now', 'Different', 'Please', ' Fix ',' buy ',' kouta ',' cheap ',' buy ',' expensive ',' slow ',' mending ',' pke ',' card ',' next door ',' fast ',' slow ' ]")</f>
        <v>['Sorry', 'Telkomsel', 'Knp', 'Rain', 'Leet', 'PDHAL', 'Telkomsel', 'Anti', 'Rain', 'now', 'Different', 'Please', ' Fix ',' buy ',' kouta ',' cheap ',' buy ',' expensive ',' slow ',' mending ',' pke ',' card ',' next door ',' fast ',' slow ' ]</v>
      </c>
      <c r="D1813" s="3">
        <v>2.0</v>
      </c>
    </row>
    <row r="1814" ht="15.75" customHeight="1">
      <c r="A1814" s="1">
        <v>1812.0</v>
      </c>
      <c r="B1814" s="3" t="s">
        <v>1815</v>
      </c>
      <c r="C1814" s="3" t="str">
        <f>IFERROR(__xludf.DUMMYFUNCTION("GOOGLETRANSLATE(B1814,""id"",""en"")"),"['application', 'difficult', 'opened', 'Something', 'Wrong', 'Mulu', 'open', 'application', 'signal', 'quota', 'open', 'Telkomsel', ' expensive ',' doang ',' lead ',' back ']")</f>
        <v>['application', 'difficult', 'opened', 'Something', 'Wrong', 'Mulu', 'open', 'application', 'signal', 'quota', 'open', 'Telkomsel', ' expensive ',' doang ',' lead ',' back ']</v>
      </c>
      <c r="D1814" s="3">
        <v>1.0</v>
      </c>
    </row>
    <row r="1815" ht="15.75" customHeight="1">
      <c r="A1815" s="1">
        <v>1813.0</v>
      </c>
      <c r="B1815" s="3" t="s">
        <v>1816</v>
      </c>
      <c r="C1815" s="3" t="str">
        <f>IFERROR(__xludf.DUMMYFUNCTION("GOOGLETRANSLATE(B1815,""id"",""en"")"),"['User', 'Telkomsel', 'Kuliady', 'Declining', 'Signal', 'Quality', 'Internet', 'Disappointing', 'Divine', 'SERBA', 'INTERNET', 'APP', ' MyTelkomsel ',' bngt ',' disorder ',' disappointed ',' please ',' dev ',' read ',' handled ',' comment ',' essence ',' "&amp;"complaint ',' quality ',' connection ' , 'Internet', 'please', 'repaired', '']")</f>
        <v>['User', 'Telkomsel', 'Kuliady', 'Declining', 'Signal', 'Quality', 'Internet', 'Disappointing', 'Divine', 'SERBA', 'INTERNET', 'APP', ' MyTelkomsel ',' bngt ',' disorder ',' disappointed ',' please ',' dev ',' read ',' handled ',' comment ',' essence ',' complaint ',' quality ',' connection ' , 'Internet', 'please', 'repaired', '']</v>
      </c>
      <c r="D1815" s="3">
        <v>1.0</v>
      </c>
    </row>
    <row r="1816" ht="15.75" customHeight="1">
      <c r="A1816" s="1">
        <v>1814.0</v>
      </c>
      <c r="B1816" s="3" t="s">
        <v>1817</v>
      </c>
      <c r="C1816" s="3" t="str">
        <f>IFERROR(__xludf.DUMMYFUNCTION("GOOGLETRANSLATE(B1816,""id"",""en"")"),"['Login', 'signal', 'already', 'good', 'login', 'please', 'fix', 'update', 'good', 'useful', 'APK', '']")</f>
        <v>['Login', 'signal', 'already', 'good', 'login', 'please', 'fix', 'update', 'good', 'useful', 'APK', '']</v>
      </c>
      <c r="D1816" s="3">
        <v>2.0</v>
      </c>
    </row>
    <row r="1817" ht="15.75" customHeight="1">
      <c r="A1817" s="1">
        <v>1815.0</v>
      </c>
      <c r="B1817" s="3" t="s">
        <v>1818</v>
      </c>
      <c r="C1817" s="3" t="str">
        <f>IFERROR(__xludf.DUMMYFUNCTION("GOOGLETRANSLATE(B1817,""id"",""en"")"),"['Disappointed', 'use', 'Telkomsel', 'here', 'Network', 'Bad', 'City', 'Please', 'Improvement', 'Network', 'Addition', 'Price', ' package ',' internet ',' please ',' area ',' bekasi ',' fix ',' network ',' trimakasih ']")</f>
        <v>['Disappointed', 'use', 'Telkomsel', 'here', 'Network', 'Bad', 'City', 'Please', 'Improvement', 'Network', 'Addition', 'Price', ' package ',' internet ',' please ',' area ',' bekasi ',' fix ',' network ',' trimakasih ']</v>
      </c>
      <c r="D1817" s="3">
        <v>3.0</v>
      </c>
    </row>
    <row r="1818" ht="15.75" customHeight="1">
      <c r="A1818" s="1">
        <v>1816.0</v>
      </c>
      <c r="B1818" s="3" t="s">
        <v>1819</v>
      </c>
      <c r="C1818" s="3" t="str">
        <f>IFERROR(__xludf.DUMMYFUNCTION("GOOGLETRANSLATE(B1818,""id"",""en"")"),"['open', 'application', 'skrg', 'Most', 'loading', 'please', 'fix', 'signal', 'as good', 'skrg', 'apk', 'mytelkomsel', ' open', '']")</f>
        <v>['open', 'application', 'skrg', 'Most', 'loading', 'please', 'fix', 'signal', 'as good', 'skrg', 'apk', 'mytelkomsel', ' open', '']</v>
      </c>
      <c r="D1818" s="3">
        <v>2.0</v>
      </c>
    </row>
    <row r="1819" ht="15.75" customHeight="1">
      <c r="A1819" s="1">
        <v>1817.0</v>
      </c>
      <c r="B1819" s="3" t="s">
        <v>1820</v>
      </c>
      <c r="C1819" s="3" t="str">
        <f>IFERROR(__xludf.DUMMYFUNCTION("GOOGLETRANSLATE(B1819,""id"",""en"")"),"['Most', 'Ngaco', 'You', 'Admin', 'Fix', 'Signal', 'Sorry', 'Sorry', 'Sorry', 'Becus',' Work ',' Admin ',' Fix ',' Signal ',' Telkomsel ',' Peosins', 'Riau', 'Subdistrict', 'Edge', 'Sorry', 'Ngernti', ""]")</f>
        <v>['Most', 'Ngaco', 'You', 'Admin', 'Fix', 'Signal', 'Sorry', 'Sorry', 'Sorry', 'Becus',' Work ',' Admin ',' Fix ',' Signal ',' Telkomsel ',' Peosins', 'Riau', 'Subdistrict', 'Edge', 'Sorry', 'Ngernti', "]</v>
      </c>
      <c r="D1819" s="3">
        <v>1.0</v>
      </c>
    </row>
    <row r="1820" ht="15.75" customHeight="1">
      <c r="A1820" s="1">
        <v>1818.0</v>
      </c>
      <c r="B1820" s="3" t="s">
        <v>1821</v>
      </c>
      <c r="C1820" s="3" t="str">
        <f>IFERROR(__xludf.DUMMYFUNCTION("GOOGLETRANSLATE(B1820,""id"",""en"")"),"['safe', 'safe', 'Telkomsel', 'fill', 'reset', 'right', 'open', 'the application', 'error', 'right', 'try', 'login', ' The number ',' Gabisa ',' Login ', ""]")</f>
        <v>['safe', 'safe', 'Telkomsel', 'fill', 'reset', 'right', 'open', 'the application', 'error', 'right', 'try', 'login', ' The number ',' Gabisa ',' Login ', "]</v>
      </c>
      <c r="D1820" s="3">
        <v>1.0</v>
      </c>
    </row>
    <row r="1821" ht="15.75" customHeight="1">
      <c r="A1821" s="1">
        <v>1819.0</v>
      </c>
      <c r="B1821" s="3" t="s">
        <v>1822</v>
      </c>
      <c r="C1821" s="3" t="str">
        <f>IFERROR(__xludf.DUMMYFUNCTION("GOOGLETRANSLATE(B1821,""id"",""en"")"),"['Quota', 'Flash', 'Slalu', 'took precedence', 'usage', 'quota', 'local', 'network', 'area', 'buy', 'quota', 'already', ' Such is', 'quota', 'local', 'network', 'stable', 'Sia', 'Hargamu', 'expensive', 'operator', 'network', 'cheap', 'deliberate', 'love' "&amp;", 'Bintang', 'Read', 'People']")</f>
        <v>['Quota', 'Flash', 'Slalu', 'took precedence', 'usage', 'quota', 'local', 'network', 'area', 'buy', 'quota', 'already', ' Such is', 'quota', 'local', 'network', 'stable', 'Sia', 'Hargamu', 'expensive', 'operator', 'network', 'cheap', 'deliberate', 'love' , 'Bintang', 'Read', 'People']</v>
      </c>
      <c r="D1821" s="3">
        <v>5.0</v>
      </c>
    </row>
    <row r="1822" ht="15.75" customHeight="1">
      <c r="A1822" s="1">
        <v>1820.0</v>
      </c>
      <c r="B1822" s="3" t="s">
        <v>1823</v>
      </c>
      <c r="C1822" s="3" t="str">
        <f>IFERROR(__xludf.DUMMYFUNCTION("GOOGLETRANSLATE(B1822,""id"",""en"")"),"['sorry', 'disappointed', 'bngt', 'application', 'run out', 'update', 'down', 'application', 'star', 'down', 'fix', 'star', ' DPT ',' ']")</f>
        <v>['sorry', 'disappointed', 'bngt', 'application', 'run out', 'update', 'down', 'application', 'star', 'down', 'fix', 'star', ' DPT ',' ']</v>
      </c>
      <c r="D1822" s="3">
        <v>1.0</v>
      </c>
    </row>
    <row r="1823" ht="15.75" customHeight="1">
      <c r="A1823" s="1">
        <v>1821.0</v>
      </c>
      <c r="B1823" s="3" t="s">
        <v>1824</v>
      </c>
      <c r="C1823" s="3" t="str">
        <f>IFERROR(__xludf.DUMMYFUNCTION("GOOGLETRANSLATE(B1823,""id"",""en"")"),"['Application', 'Error', 'Because', 'Login', 'Number', 'Telkomsel', 'Login', 'Link', 'Please', 'Fix', 'Application', 'User', ' Telkomsel ',' use it ',' Please ', ""]")</f>
        <v>['Application', 'Error', 'Because', 'Login', 'Number', 'Telkomsel', 'Login', 'Link', 'Please', 'Fix', 'Application', 'User', ' Telkomsel ',' use it ',' Please ', "]</v>
      </c>
      <c r="D1823" s="3">
        <v>1.0</v>
      </c>
    </row>
    <row r="1824" ht="15.75" customHeight="1">
      <c r="A1824" s="1">
        <v>1822.0</v>
      </c>
      <c r="B1824" s="3" t="s">
        <v>1825</v>
      </c>
      <c r="C1824" s="3" t="str">
        <f>IFERROR(__xludf.DUMMYFUNCTION("GOOGLETRANSLATE(B1824,""id"",""en"")"),"['Sorry', 'min', 'login', 'application', 'right', 'signal', 'wifi', 'difficult', 'forgiveness',' no ',' login ',' condition ',' Quota ',' Abis', 'wifinya', 'speeding', 'already', 'Try', 'Cear', 'cache', 'Install', 'reset', 'application', 'no', 'ngin' , 'P"&amp;"lease', 'solution']")</f>
        <v>['Sorry', 'min', 'login', 'application', 'right', 'signal', 'wifi', 'difficult', 'forgiveness',' no ',' login ',' condition ',' Quota ',' Abis', 'wifinya', 'speeding', 'already', 'Try', 'Cear', 'cache', 'Install', 'reset', 'application', 'no', 'ngin' , 'Please', 'solution']</v>
      </c>
      <c r="D1824" s="3">
        <v>2.0</v>
      </c>
    </row>
    <row r="1825" ht="15.75" customHeight="1">
      <c r="A1825" s="1">
        <v>1823.0</v>
      </c>
      <c r="B1825" s="3" t="s">
        <v>1826</v>
      </c>
      <c r="C1825" s="3" t="str">
        <f>IFERROR(__xludf.DUMMYFUNCTION("GOOGLETRANSLATE(B1825,""id"",""en"")"),"['Email', 'Beles',' Sis', 'skrng', 'enter', 'Telkomsel', 'restart', 'mode', 'manual', 'already', 'week', 'disappointed', ' Providers', 'Telkomsel', 'Wear', 'Provider', 'Darling', 'Disappointing', '']")</f>
        <v>['Email', 'Beles',' Sis', 'skrng', 'enter', 'Telkomsel', 'restart', 'mode', 'manual', 'already', 'week', 'disappointed', ' Providers', 'Telkomsel', 'Wear', 'Provider', 'Darling', 'Disappointing', '']</v>
      </c>
      <c r="D1825" s="3">
        <v>2.0</v>
      </c>
    </row>
    <row r="1826" ht="15.75" customHeight="1">
      <c r="A1826" s="1">
        <v>1824.0</v>
      </c>
      <c r="B1826" s="3" t="s">
        <v>1827</v>
      </c>
      <c r="C1826" s="3" t="str">
        <f>IFERROR(__xludf.DUMMYFUNCTION("GOOGLETRANSLATE(B1826,""id"",""en"")"),"['Application', 'entry', 'already', 'enter', 'number', 'failed', 'mulu', 'telkomsel', 'please', 'signal', 'really', 'here', ' slow ',' already ',' good ',' kyak ',' dlu ',' really ',' replace ',' star ',' like ',' telkomsel ',' lgi ',' disappointed ',' Te"&amp;"lkomsel ' , 'already', 'thank you']")</f>
        <v>['Application', 'entry', 'already', 'enter', 'number', 'failed', 'mulu', 'telkomsel', 'please', 'signal', 'really', 'here', ' slow ',' already ',' good ',' kyak ',' dlu ',' really ',' replace ',' star ',' like ',' telkomsel ',' lgi ',' disappointed ',' Telkomsel ' , 'already', 'thank you']</v>
      </c>
      <c r="D1826" s="3">
        <v>2.0</v>
      </c>
    </row>
    <row r="1827" ht="15.75" customHeight="1">
      <c r="A1827" s="1">
        <v>1825.0</v>
      </c>
      <c r="B1827" s="3" t="s">
        <v>1828</v>
      </c>
      <c r="C1827" s="3" t="str">
        <f>IFERROR(__xludf.DUMMYFUNCTION("GOOGLETRANSLATE(B1827,""id"",""en"")"),"['Disappointed', 'Times',' Telkomsel ',' Credit ',' Out ',' Package ',' Remaining ',' then ',' Application ',' Error ',' Opened ',' Application ',' Telkomsel ',' condition ',' Error ', ""]")</f>
        <v>['Disappointed', 'Times',' Telkomsel ',' Credit ',' Out ',' Package ',' Remaining ',' then ',' Application ',' Error ',' Opened ',' Application ',' Telkomsel ',' condition ',' Error ', "]</v>
      </c>
      <c r="D1827" s="3">
        <v>1.0</v>
      </c>
    </row>
    <row r="1828" ht="15.75" customHeight="1">
      <c r="A1828" s="1">
        <v>1826.0</v>
      </c>
      <c r="B1828" s="3" t="s">
        <v>1829</v>
      </c>
      <c r="C1828" s="3" t="str">
        <f>IFERROR(__xludf.DUMMYFUNCTION("GOOGLETRANSLATE(B1828,""id"",""en"")"),"['buy', 'package', 'internet', 'GB', 'special', 'night', 'bisadi', 'mlm', 'gunta', 'change', 'gunta', 'replace', ' Jarigan ',' That's', 'Mawar', 'Mawar', 'Disappointed', 'Level', 'Dewa', '']")</f>
        <v>['buy', 'package', 'internet', 'GB', 'special', 'night', 'bisadi', 'mlm', 'gunta', 'change', 'gunta', 'replace', ' Jarigan ',' That's', 'Mawar', 'Mawar', 'Disappointed', 'Level', 'Dewa', '']</v>
      </c>
      <c r="D1828" s="3">
        <v>1.0</v>
      </c>
    </row>
    <row r="1829" ht="15.75" customHeight="1">
      <c r="A1829" s="1">
        <v>1827.0</v>
      </c>
      <c r="B1829" s="3" t="s">
        <v>1830</v>
      </c>
      <c r="C1829" s="3" t="str">
        <f>IFERROR(__xludf.DUMMYFUNCTION("GOOGLETRANSLATE(B1829,""id"",""en"")"),"['Telkom', 'Babbii', 'buy', 'package', 'expensive', 'expensive', 'network', 'rich', 'monkey', 'devil', 'artisan', 'tipu', ' Anjingg ',' swear ',' go bankrupt ',' Bangsa ',' suggest ',' Telkomsel ',' Mending ',' bought ',' rich ',' taee ',' complain ',' be"&amp;"jibun ',' repaired ' , 'Sorry', 'buy', 'package', 'Gaa', 'sorry', 'money', 'tjingg', ""]")</f>
        <v>['Telkom', 'Babbii', 'buy', 'package', 'expensive', 'expensive', 'network', 'rich', 'monkey', 'devil', 'artisan', 'tipu', ' Anjingg ',' swear ',' go bankrupt ',' Bangsa ',' suggest ',' Telkomsel ',' Mending ',' bought ',' rich ',' taee ',' complain ',' bejibun ',' repaired ' , 'Sorry', 'buy', 'package', 'Gaa', 'sorry', 'money', 'tjingg', "]</v>
      </c>
      <c r="D1829" s="3">
        <v>1.0</v>
      </c>
    </row>
    <row r="1830" ht="15.75" customHeight="1">
      <c r="A1830" s="1">
        <v>1828.0</v>
      </c>
      <c r="B1830" s="3" t="s">
        <v>1831</v>
      </c>
      <c r="C1830" s="3" t="str">
        <f>IFERROR(__xludf.DUMMYFUNCTION("GOOGLETRANSLATE(B1830,""id"",""en"")"),"['Telkomsel', 'bad', 'peket', 'expensive', 'network', 'slow', 'oath', 'years',' I ',' Telkomsel ',' bad ',' buy ',' package ',' buy ',' pulse ',' application ',' sometimes', 'like', 'troble', 'application', 'payment', '']")</f>
        <v>['Telkomsel', 'bad', 'peket', 'expensive', 'network', 'slow', 'oath', 'years',' I ',' Telkomsel ',' bad ',' buy ',' package ',' buy ',' pulse ',' application ',' sometimes', 'like', 'troble', 'application', 'payment', '']</v>
      </c>
      <c r="D1830" s="3">
        <v>2.0</v>
      </c>
    </row>
    <row r="1831" ht="15.75" customHeight="1">
      <c r="A1831" s="1">
        <v>1829.0</v>
      </c>
      <c r="B1831" s="3" t="s">
        <v>1832</v>
      </c>
      <c r="C1831" s="3" t="str">
        <f>IFERROR(__xludf.DUMMYFUNCTION("GOOGLETRANSLATE(B1831,""id"",""en"")"),"['Please', 'fix', 'times',' check ',' pulse ',' smlm ',' sms', 'notification', 'pulse', 'enter', 'contents',' maketin ',' Data ',' for ',' My APK ',' Open ',' Reading ',' Network ',' Stable ',' Refresh ',' Times', 'Network', 'Good', 'Please', 'Fix' , 'dis"&amp;"appointed']")</f>
        <v>['Please', 'fix', 'times',' check ',' pulse ',' smlm ',' sms', 'notification', 'pulse', 'enter', 'contents',' maketin ',' Data ',' for ',' My APK ',' Open ',' Reading ',' Network ',' Stable ',' Refresh ',' Times', 'Network', 'Good', 'Please', 'Fix' , 'disappointed']</v>
      </c>
      <c r="D1831" s="3">
        <v>1.0</v>
      </c>
    </row>
    <row r="1832" ht="15.75" customHeight="1">
      <c r="A1832" s="1">
        <v>1830.0</v>
      </c>
      <c r="B1832" s="3" t="s">
        <v>1833</v>
      </c>
      <c r="C1832" s="3" t="str">
        <f>IFERROR(__xludf.DUMMYFUNCTION("GOOGLETRANSLATE(B1832,""id"",""en"")"),"['wants',' Telkomsel ',' Apasih ',' strange ',' list ',' internet ',' ampe ',' tens', 'times',' tetep ',' turn ',' list ',' Nelfon ',' Call ',' Center ']")</f>
        <v>['wants',' Telkomsel ',' Apasih ',' strange ',' list ',' internet ',' ampe ',' tens', 'times',' tetep ',' turn ',' list ',' Nelfon ',' Call ',' Center ']</v>
      </c>
      <c r="D1832" s="3">
        <v>1.0</v>
      </c>
    </row>
    <row r="1833" ht="15.75" customHeight="1">
      <c r="A1833" s="1">
        <v>1831.0</v>
      </c>
      <c r="B1833" s="3" t="s">
        <v>1834</v>
      </c>
      <c r="C1833" s="3" t="str">
        <f>IFERROR(__xludf.DUMMYFUNCTION("GOOGLETRANSLATE(B1833,""id"",""en"")"),"['expensive', 'slow', 'pulse', 'Cut', 'buy', 'package', 'package', 'enter', 'package', 'run out', 'pulse', 'finished', ' pulses', 'leftover', 'thousand', 'ties',' because ',' package ',' out ',' contacted ',' friend ',' skolah ',' reunion ',' anything ','"&amp;" already ' , 'I', 'Change', 'card', 'Nyaaa', '']")</f>
        <v>['expensive', 'slow', 'pulse', 'Cut', 'buy', 'package', 'package', 'enter', 'package', 'run out', 'pulse', 'finished', ' pulses', 'leftover', 'thousand', 'ties',' because ',' package ',' out ',' contacted ',' friend ',' skolah ',' reunion ',' anything ',' already ' , 'I', 'Change', 'card', 'Nyaaa', '']</v>
      </c>
      <c r="D1833" s="3">
        <v>1.0</v>
      </c>
    </row>
    <row r="1834" ht="15.75" customHeight="1">
      <c r="A1834" s="1">
        <v>1832.0</v>
      </c>
      <c r="B1834" s="3" t="s">
        <v>1835</v>
      </c>
      <c r="C1834" s="3" t="str">
        <f>IFERROR(__xludf.DUMMYFUNCTION("GOOGLETRANSLATE(B1834,""id"",""en"")"),"['oath', 'provider', 'Season', 'price', 'rates',' doang ',' expensive ',' signal ',' according to ',' price ',' vain ',' Buy ',' Package ',' Data ',' expensive ',' really ',' Error ',' Different ',' Provider ',' Next to ',' Sorry ',' Doang ',' Kelarin ','"&amp;" how ' , '']")</f>
        <v>['oath', 'provider', 'Season', 'price', 'rates',' doang ',' expensive ',' signal ',' according to ',' price ',' vain ',' Buy ',' Package ',' Data ',' expensive ',' really ',' Error ',' Different ',' Provider ',' Next to ',' Sorry ',' Doang ',' Kelarin ',' how ' , '']</v>
      </c>
      <c r="D1834" s="3">
        <v>1.0</v>
      </c>
    </row>
    <row r="1835" ht="15.75" customHeight="1">
      <c r="A1835" s="1">
        <v>1833.0</v>
      </c>
      <c r="B1835" s="3" t="s">
        <v>1836</v>
      </c>
      <c r="C1835" s="3" t="str">
        <f>IFERROR(__xludf.DUMMYFUNCTION("GOOGLETRANSLATE(B1835,""id"",""en"")"),"['What', 'already', 'Login', 'Application', 'Telkomsel', 'Jaringgan', 'Lost', 'Please', 'Fix', 'Application', 'Jaringgannya']")</f>
        <v>['What', 'already', 'Login', 'Application', 'Telkomsel', 'Jaringgan', 'Lost', 'Please', 'Fix', 'Application', 'Jaringgannya']</v>
      </c>
      <c r="D1835" s="3">
        <v>2.0</v>
      </c>
    </row>
    <row r="1836" ht="15.75" customHeight="1">
      <c r="A1836" s="1">
        <v>1834.0</v>
      </c>
      <c r="B1836" s="3" t="s">
        <v>1837</v>
      </c>
      <c r="C1836" s="3" t="str">
        <f>IFERROR(__xludf.DUMMYFUNCTION("GOOGLETRANSLATE(B1836,""id"",""en"")"),"['Jir', 'slamming', 'signal', 'Telkomsel', 'slow', 'really', 'cave', 'already', 'hold', 'hold', 'brand', 'anger', ' stopped ',' Benerin ',' signal ',' slow ',' really ',' cave ',' nge ',' game ',' lag ',' forgiveness', 'oath', 'provider', 'times' , 'disap"&amp;"pointing', 'cave', 'sick', 'heart', 'cave', 'provider', 'how', 'price', 'card', 'first', 'ngerak', 'bisagua', ' Thanks', 'Sinyal', 'Good', 'Price', 'The card', 'expensive', 'price', 'quota', 'expensive', 'signal', 'slow', 'SELET', 'SELET' , '']")</f>
        <v>['Jir', 'slamming', 'signal', 'Telkomsel', 'slow', 'really', 'cave', 'already', 'hold', 'hold', 'brand', 'anger', ' stopped ',' Benerin ',' signal ',' slow ',' really ',' cave ',' nge ',' game ',' lag ',' forgiveness', 'oath', 'provider', 'times' , 'disappointing', 'cave', 'sick', 'heart', 'cave', 'provider', 'how', 'price', 'card', 'first', 'ngerak', 'bisagua', ' Thanks', 'Sinyal', 'Good', 'Price', 'The card', 'expensive', 'price', 'quota', 'expensive', 'signal', 'slow', 'SELET', 'SELET' , '']</v>
      </c>
      <c r="D1836" s="3">
        <v>1.0</v>
      </c>
    </row>
    <row r="1837" ht="15.75" customHeight="1">
      <c r="A1837" s="1">
        <v>1835.0</v>
      </c>
      <c r="B1837" s="3" t="s">
        <v>1838</v>
      </c>
      <c r="C1837" s="3" t="str">
        <f>IFERROR(__xludf.DUMMYFUNCTION("GOOGLETRANSLATE(B1837,""id"",""en"")"),"['Do', 'Login', 'Telkomsel', 'already', 'Login', 'Kindel', 'Login', 'Error', ""]")</f>
        <v>['Do', 'Login', 'Telkomsel', 'already', 'Login', 'Kindel', 'Login', 'Error', "]</v>
      </c>
      <c r="D1837" s="3">
        <v>3.0</v>
      </c>
    </row>
    <row r="1838" ht="15.75" customHeight="1">
      <c r="A1838" s="1">
        <v>1836.0</v>
      </c>
      <c r="B1838" s="3" t="s">
        <v>1839</v>
      </c>
      <c r="C1838" s="3" t="str">
        <f>IFERROR(__xludf.DUMMYFUNCTION("GOOGLETRANSLATE(B1838,""id"",""en"")"),"['disappointed', 'signal', 'good', 'good', 'stable', 'sometimes',' good ',' run out ',' signal ',' stable ',' help ',' reply ',' gpp ',' cave ',' reply ',' bot ',' reply ',' service ',' bad ',' price ',' expensive ',' quality ',' signal ',' cheap ',' righ"&amp;"t ' , 'bro', '']")</f>
        <v>['disappointed', 'signal', 'good', 'good', 'stable', 'sometimes',' good ',' run out ',' signal ',' stable ',' help ',' reply ',' gpp ',' cave ',' reply ',' bot ',' reply ',' service ',' bad ',' price ',' expensive ',' quality ',' signal ',' cheap ',' right ' , 'bro', '']</v>
      </c>
      <c r="D1838" s="3">
        <v>1.0</v>
      </c>
    </row>
    <row r="1839" ht="15.75" customHeight="1">
      <c r="A1839" s="1">
        <v>1837.0</v>
      </c>
      <c r="B1839" s="3" t="s">
        <v>1840</v>
      </c>
      <c r="C1839" s="3" t="str">
        <f>IFERROR(__xludf.DUMMYFUNCTION("GOOGLETRANSLATE(B1839,""id"",""en"")"),"['crazy', 'severe', 'signal', 'hahaha', 'open', 'application', 'Telkomsel', 'Loading', 'MLU', 'PDHL', 'Live', 'Jabodetabek', ' Fix ',' Must ',' Change ',' Provider ',' Bye ',' Bye ',' Customer ',' loyal ',' UDH ',' Disappointed ']")</f>
        <v>['crazy', 'severe', 'signal', 'hahaha', 'open', 'application', 'Telkomsel', 'Loading', 'MLU', 'PDHL', 'Live', 'Jabodetabek', ' Fix ',' Must ',' Change ',' Provider ',' Bye ',' Bye ',' Customer ',' loyal ',' UDH ',' Disappointed ']</v>
      </c>
      <c r="D1839" s="3">
        <v>1.0</v>
      </c>
    </row>
    <row r="1840" ht="15.75" customHeight="1">
      <c r="A1840" s="1">
        <v>1838.0</v>
      </c>
      <c r="B1840" s="3" t="s">
        <v>1841</v>
      </c>
      <c r="C1840" s="3" t="str">
        <f>IFERROR(__xludf.DUMMYFUNCTION("GOOGLETRANSLATE(B1840,""id"",""en"")"),"['users',' Telkomsel ',' complaint ',' price ',' satisfied ',' service ',' Telkomsel ',' changed ',' rates', 'signal', 'application', 'Telkomsel', ' Buy ',' Package ',' Internet ',' Buy ',' Buy ',' Corporate ',' Buy ',' Special ',' Gojek ',' Package ',' B"&amp;"uy ',' Telkomsel ']")</f>
        <v>['users',' Telkomsel ',' complaint ',' price ',' satisfied ',' service ',' Telkomsel ',' changed ',' rates', 'signal', 'application', 'Telkomsel', ' Buy ',' Package ',' Internet ',' Buy ',' Buy ',' Corporate ',' Buy ',' Special ',' Gojek ',' Package ',' Buy ',' Telkomsel ']</v>
      </c>
      <c r="D1840" s="3">
        <v>1.0</v>
      </c>
    </row>
    <row r="1841" ht="15.75" customHeight="1">
      <c r="A1841" s="1">
        <v>1839.0</v>
      </c>
      <c r="B1841" s="3" t="s">
        <v>1842</v>
      </c>
      <c r="C1841" s="3" t="str">
        <f>IFERROR(__xludf.DUMMYFUNCTION("GOOGLETRANSLATE(B1841,""id"",""en"")"),"['Maap', 'Change', 'Review', 'Signal', 'Stable', 'Worse', 'MyTelkomsel', 'Open', 'Already', 'Version', 'Latest']")</f>
        <v>['Maap', 'Change', 'Review', 'Signal', 'Stable', 'Worse', 'MyTelkomsel', 'Open', 'Already', 'Version', 'Latest']</v>
      </c>
      <c r="D1841" s="3">
        <v>2.0</v>
      </c>
    </row>
    <row r="1842" ht="15.75" customHeight="1">
      <c r="A1842" s="1">
        <v>1840.0</v>
      </c>
      <c r="B1842" s="3" t="s">
        <v>1843</v>
      </c>
      <c r="C1842" s="3" t="str">
        <f>IFERROR(__xludf.DUMMYFUNCTION("GOOGLETRANSLATE(B1842,""id"",""en"")"),"['', 'cell', 'steady', 'Wait', 'promo', 'package', 'cheap', 'buy', 'package', 'internet', 'GB', 'thousand', 'hope ',' Telkomsel ',' love ',' package ',' Thank ',' cell ']")</f>
        <v>['', 'cell', 'steady', 'Wait', 'promo', 'package', 'cheap', 'buy', 'package', 'internet', 'GB', 'thousand', 'hope ',' Telkomsel ',' love ',' package ',' Thank ',' cell ']</v>
      </c>
      <c r="D1842" s="3">
        <v>5.0</v>
      </c>
    </row>
    <row r="1843" ht="15.75" customHeight="1">
      <c r="A1843" s="1">
        <v>1841.0</v>
      </c>
      <c r="B1843" s="3" t="s">
        <v>1844</v>
      </c>
      <c r="C1843" s="3" t="str">
        <f>IFERROR(__xludf.DUMMYFUNCTION("GOOGLETRANSLATE(B1843,""id"",""en"")"),"['ugly', 'appl', 'good', 'really', 'really', 'told', 'enter', 'number', 'telephone', 'enter', 'number', 'error', ' ']")</f>
        <v>['ugly', 'appl', 'good', 'really', 'really', 'told', 'enter', 'number', 'telephone', 'enter', 'number', 'error', ' ']</v>
      </c>
      <c r="D1843" s="3">
        <v>3.0</v>
      </c>
    </row>
    <row r="1844" ht="15.75" customHeight="1">
      <c r="A1844" s="1">
        <v>1842.0</v>
      </c>
      <c r="B1844" s="3" t="s">
        <v>1845</v>
      </c>
      <c r="C1844" s="3" t="str">
        <f>IFERROR(__xludf.DUMMYFUNCTION("GOOGLETRANSLATE(B1844,""id"",""en"")"),"['Login', 'Telkomsel', 'difficult', 'sad', 'seeing', 'package', 'like', 'comparable', 'quality']")</f>
        <v>['Login', 'Telkomsel', 'difficult', 'sad', 'seeing', 'package', 'like', 'comparable', 'quality']</v>
      </c>
      <c r="D1844" s="3">
        <v>1.0</v>
      </c>
    </row>
    <row r="1845" ht="15.75" customHeight="1">
      <c r="A1845" s="1">
        <v>1843.0</v>
      </c>
      <c r="B1845" s="3" t="s">
        <v>1846</v>
      </c>
      <c r="C1845" s="3" t="str">
        <f>IFERROR(__xludf.DUMMYFUNCTION("GOOGLETRANSLATE(B1845,""id"",""en"")"),"['Please', 'repaired', 'Stop', 'subscription', 'package', 'emergency', 'force', 'pulse', 'person', 'hit', 'suck', 'check', ' according to ',' choice ',' stop ',' ']")</f>
        <v>['Please', 'repaired', 'Stop', 'subscription', 'package', 'emergency', 'force', 'pulse', 'person', 'hit', 'suck', 'check', ' according to ',' choice ',' stop ',' ']</v>
      </c>
      <c r="D1845" s="3">
        <v>1.0</v>
      </c>
    </row>
    <row r="1846" ht="15.75" customHeight="1">
      <c r="A1846" s="1">
        <v>1844.0</v>
      </c>
      <c r="B1846" s="3" t="s">
        <v>1847</v>
      </c>
      <c r="C1846" s="3" t="str">
        <f>IFERROR(__xludf.DUMMYFUNCTION("GOOGLETRANSLATE(B1846,""id"",""en"")"),"['Crazy', 'Telkomsel', 'Blom', 'a day', 'Kouta', 'squeeze', 'okay', 'just', 'see', 'YouTube', 'play', 'Doank', ' YouTube ',' Teertera ',' Application ',' Unlimited ',' Crazy ',' Package ',' Combo ',' Sakti ',' Please ',' Check ',' YouTube ',' Unlimited ',"&amp;"' TPI ' , 'Messn', 'Kouta', 'main', '']")</f>
        <v>['Crazy', 'Telkomsel', 'Blom', 'a day', 'Kouta', 'squeeze', 'okay', 'just', 'see', 'YouTube', 'play', 'Doank', ' YouTube ',' Teertera ',' Application ',' Unlimited ',' Crazy ',' Package ',' Combo ',' Sakti ',' Please ',' Check ',' YouTube ',' Unlimited ',' TPI ' , 'Messn', 'Kouta', 'main', '']</v>
      </c>
      <c r="D1846" s="3">
        <v>1.0</v>
      </c>
    </row>
    <row r="1847" ht="15.75" customHeight="1">
      <c r="A1847" s="1">
        <v>1845.0</v>
      </c>
      <c r="B1847" s="3" t="s">
        <v>1848</v>
      </c>
      <c r="C1847" s="3" t="str">
        <f>IFERROR(__xludf.DUMMYFUNCTION("GOOGLETRANSLATE(B1847,""id"",""en"")"),"['Notif', 'InternetMax', 'PDHL', 'buy', 'told', 'update', 'right', 'update', 'msk', 'account', 'what']")</f>
        <v>['Notif', 'InternetMax', 'PDHL', 'buy', 'told', 'update', 'right', 'update', 'msk', 'account', 'what']</v>
      </c>
      <c r="D1847" s="3">
        <v>3.0</v>
      </c>
    </row>
    <row r="1848" ht="15.75" customHeight="1">
      <c r="A1848" s="1">
        <v>1846.0</v>
      </c>
      <c r="B1848" s="3" t="s">
        <v>1849</v>
      </c>
      <c r="C1848" s="3" t="str">
        <f>IFERROR(__xludf.DUMMYFUNCTION("GOOGLETRANSLATE(B1848,""id"",""en"")"),"['Leet', 'times',' The application ',' Ribet ',' times', 'alternating', 'enter', 'bad', 'times',' quality ',' application ',' use ',' HandPhone ',' RAM ',' Want ',' Customized ',' Kuliatas', 'Network', 'You're Removal', 'Best', 'Application', 'Leet', 'Ade"&amp;"quate', 'alternating', 'Error' , 'blocked', 'activity', 'consumers', 'case', 'application', 'person', 'works', 'cellphone', 'difficult', '']")</f>
        <v>['Leet', 'times',' The application ',' Ribet ',' times', 'alternating', 'enter', 'bad', 'times',' quality ',' application ',' use ',' HandPhone ',' RAM ',' Want ',' Customized ',' Kuliatas', 'Network', 'You're Removal', 'Best', 'Application', 'Leet', 'Adequate', 'alternating', 'Error' , 'blocked', 'activity', 'consumers', 'case', 'application', 'person', 'works', 'cellphone', 'difficult', '']</v>
      </c>
      <c r="D1848" s="3">
        <v>2.0</v>
      </c>
    </row>
    <row r="1849" ht="15.75" customHeight="1">
      <c r="A1849" s="1">
        <v>1847.0</v>
      </c>
      <c r="B1849" s="3" t="s">
        <v>1850</v>
      </c>
      <c r="C1849" s="3" t="str">
        <f>IFERROR(__xludf.DUMMYFUNCTION("GOOGLETRANSLATE(B1849,""id"",""en"")"),"['Telkomsel', 'already', 'ugly', 'mah', 'suggestion', 'loss',' buy ',' package ',' expensive ',' expensive ',' network ',' rich ',' card ',' Taiii ',' mening ',' smartfreen ',' network ',' already ',' Where ',' Maen ',' game ',' lag ',' rich ',' Telkomsel"&amp;" ',' already ' , 'ugly', 'cuih', ""]")</f>
        <v>['Telkomsel', 'already', 'ugly', 'mah', 'suggestion', 'loss',' buy ',' package ',' expensive ',' expensive ',' network ',' rich ',' card ',' Taiii ',' mening ',' smartfreen ',' network ',' already ',' Where ',' Maen ',' game ',' lag ',' rich ',' Telkomsel ',' already ' , 'ugly', 'cuih', "]</v>
      </c>
      <c r="D1849" s="3">
        <v>1.0</v>
      </c>
    </row>
    <row r="1850" ht="15.75" customHeight="1">
      <c r="A1850" s="1">
        <v>1848.0</v>
      </c>
      <c r="B1850" s="3" t="s">
        <v>1851</v>
      </c>
      <c r="C1850" s="3" t="str">
        <f>IFERROR(__xludf.DUMMYFUNCTION("GOOGLETRANSLATE(B1850,""id"",""en"")"),"['application', 'Telkomsel', 'login', 'list', 'reset', 'open', 'login', 'list', 'login', 'list', 'bother', 'customer', ' Use ',' App ',' Telkomsel ',' Out ',' Register ',' Bad ',' Service ']")</f>
        <v>['application', 'Telkomsel', 'login', 'list', 'reset', 'open', 'login', 'list', 'login', 'list', 'bother', 'customer', ' Use ',' App ',' Telkomsel ',' Out ',' Register ',' Bad ',' Service ']</v>
      </c>
      <c r="D1850" s="3">
        <v>1.0</v>
      </c>
    </row>
    <row r="1851" ht="15.75" customHeight="1">
      <c r="A1851" s="1">
        <v>1849.0</v>
      </c>
      <c r="B1851" s="3" t="s">
        <v>1852</v>
      </c>
      <c r="C1851" s="3" t="str">
        <f>IFERROR(__xludf.DUMMYFUNCTION("GOOGLETRANSLATE(B1851,""id"",""en"")"),"['how', 'Telkomsel', 'ugly', 'service', 'open', 'application', 'difficult', 'dead', 'emotion', 'application', 'update', 'ngak', ' Real ',' plus', 'signal', 'dropped', 'gini', 'customer', 'blur']")</f>
        <v>['how', 'Telkomsel', 'ugly', 'service', 'open', 'application', 'difficult', 'dead', 'emotion', 'application', 'update', 'ngak', ' Real ',' plus', 'signal', 'dropped', 'gini', 'customer', 'blur']</v>
      </c>
      <c r="D1851" s="3">
        <v>1.0</v>
      </c>
    </row>
    <row r="1852" ht="15.75" customHeight="1">
      <c r="A1852" s="1">
        <v>1850.0</v>
      </c>
      <c r="B1852" s="3" t="s">
        <v>1853</v>
      </c>
      <c r="C1852" s="3" t="str">
        <f>IFERROR(__xludf.DUMMYFUNCTION("GOOGLETRANSLATE(B1852,""id"",""en"")"),"['What's',' Network ',' Leet ',' Use ',' Card ',' Telkom ',' Network ',' Lose ',' Axis', 'Please', 'Fix', 'The Network', ' Users', 'Comfortable', 'Network', 'Leet', 'Canal', '']")</f>
        <v>['What's',' Network ',' Leet ',' Use ',' Card ',' Telkom ',' Network ',' Lose ',' Axis', 'Please', 'Fix', 'The Network', ' Users', 'Comfortable', 'Network', 'Leet', 'Canal', '']</v>
      </c>
      <c r="D1852" s="3">
        <v>1.0</v>
      </c>
    </row>
    <row r="1853" ht="15.75" customHeight="1">
      <c r="A1853" s="1">
        <v>1851.0</v>
      </c>
      <c r="B1853" s="3" t="s">
        <v>1854</v>
      </c>
      <c r="C1853" s="3" t="str">
        <f>IFERROR(__xludf.DUMMYFUNCTION("GOOGLETRANSLATE(B1853,""id"",""en"")"),"['Application', 'Bad', 'Boong']")</f>
        <v>['Application', 'Bad', 'Boong']</v>
      </c>
      <c r="D1853" s="3">
        <v>4.0</v>
      </c>
    </row>
    <row r="1854" ht="15.75" customHeight="1">
      <c r="A1854" s="1">
        <v>1852.0</v>
      </c>
      <c r="B1854" s="3" t="s">
        <v>1855</v>
      </c>
      <c r="C1854" s="3" t="str">
        <f>IFERROR(__xludf.DUMMYFUNCTION("GOOGLETRANSLATE(B1854,""id"",""en"")"),"['Disappoinaaa', 'signal', 'Telkomsel', 'down', 'drastic', 'clock', 'WIB', 'and above', 'difficult', 'move', 'network', 'automatic', ' manual ',' use ',' Telkomsel ',' in the region ',' please ',' responded ',' enhanced ',' Telkomsel ',' Telkomsel ',' pri"&amp;"de ',' please ',' ignore ',' your customer ' , 'thank you']")</f>
        <v>['Disappoinaaa', 'signal', 'Telkomsel', 'down', 'drastic', 'clock', 'WIB', 'and above', 'difficult', 'move', 'network', 'automatic', ' manual ',' use ',' Telkomsel ',' in the region ',' please ',' responded ',' enhanced ',' Telkomsel ',' Telkomsel ',' pride ',' please ',' ignore ',' your customer ' , 'thank you']</v>
      </c>
      <c r="D1854" s="3">
        <v>1.0</v>
      </c>
    </row>
    <row r="1855" ht="15.75" customHeight="1">
      <c r="A1855" s="1">
        <v>1853.0</v>
      </c>
      <c r="B1855" s="3" t="s">
        <v>1856</v>
      </c>
      <c r="C1855" s="3" t="str">
        <f>IFERROR(__xludf.DUMMYFUNCTION("GOOGLETRANSLATE(B1855,""id"",""en"")"),"['Severe', 'emang', 'login', 'download', 'already', 'send', 'link', 'press',' link ',' login ',' account ',' Google ',' Facebook ',' Tetep ',' signal ',' already ',' please ',' love ',' what ',' ']")</f>
        <v>['Severe', 'emang', 'login', 'download', 'already', 'send', 'link', 'press',' link ',' login ',' account ',' Google ',' Facebook ',' Tetep ',' signal ',' already ',' please ',' love ',' what ',' ']</v>
      </c>
      <c r="D1855" s="3">
        <v>2.0</v>
      </c>
    </row>
    <row r="1856" ht="15.75" customHeight="1">
      <c r="A1856" s="1">
        <v>1854.0</v>
      </c>
      <c r="B1856" s="3" t="s">
        <v>1857</v>
      </c>
      <c r="C1856" s="3" t="str">
        <f>IFERROR(__xludf.DUMMYFUNCTION("GOOGLETRANSLATE(B1856,""id"",""en"")"),"['love', 'star', 'please', 'app', 'fix', 'crash', 'error', 'login', 'number', 'number', 'operator', 'Telkomsel', ' Please, 'repaired', 'hope', 'in the future', 'disappointing', '']")</f>
        <v>['love', 'star', 'please', 'app', 'fix', 'crash', 'error', 'login', 'number', 'number', 'operator', 'Telkomsel', ' Please, 'repaired', 'hope', 'in the future', 'disappointing', '']</v>
      </c>
      <c r="D1856" s="3">
        <v>2.0</v>
      </c>
    </row>
    <row r="1857" ht="15.75" customHeight="1">
      <c r="A1857" s="1">
        <v>1855.0</v>
      </c>
      <c r="B1857" s="3" t="s">
        <v>1858</v>
      </c>
      <c r="C1857" s="3" t="str">
        <f>IFERROR(__xludf.DUMMYFUNCTION("GOOGLETRANSLATE(B1857,""id"",""en"")"),"['Please', 'Sorry', 'Kekewe', 'Buy', 'Quota', 'Stay', 'Unlimited', 'Instagram', 'No', 'Buy', ""]")</f>
        <v>['Please', 'Sorry', 'Kekewe', 'Buy', 'Quota', 'Stay', 'Unlimited', 'Instagram', 'No', 'Buy', "]</v>
      </c>
      <c r="D1857" s="3">
        <v>1.0</v>
      </c>
    </row>
    <row r="1858" ht="15.75" customHeight="1">
      <c r="A1858" s="1">
        <v>1856.0</v>
      </c>
      <c r="B1858" s="3" t="s">
        <v>1859</v>
      </c>
      <c r="C1858" s="3" t="str">
        <f>IFERROR(__xludf.DUMMYFUNCTION("GOOGLETRANSLATE(B1858,""id"",""en"")"),"['signal', 'decreases',' natural ',' Telkomsel ',' area ',' famous', 'provider', 'signal', 'best', 'according to', 'price', 'Ntah', ' Kyk ',' gini ',' edit ',' follow ',' directed ',' signal ',' mambik ',' incoming ',' network ',' play ',' game ',' power "&amp;"',' absorbing ' , 'internet', 'emang', 'compared to', 'sosmed', 'Telkomsel', 'suggestion', 'optimizes', 'network', 'play', 'game', ""]")</f>
        <v>['signal', 'decreases',' natural ',' Telkomsel ',' area ',' famous', 'provider', 'signal', 'best', 'according to', 'price', 'Ntah', ' Kyk ',' gini ',' edit ',' follow ',' directed ',' signal ',' mambik ',' incoming ',' network ',' play ',' game ',' power ',' absorbing ' , 'internet', 'emang', 'compared to', 'sosmed', 'Telkomsel', 'suggestion', 'optimizes', 'network', 'play', 'game', "]</v>
      </c>
      <c r="D1858" s="3">
        <v>1.0</v>
      </c>
    </row>
    <row r="1859" ht="15.75" customHeight="1">
      <c r="A1859" s="1">
        <v>1857.0</v>
      </c>
      <c r="B1859" s="3" t="s">
        <v>1860</v>
      </c>
      <c r="C1859" s="3" t="str">
        <f>IFERROR(__xludf.DUMMYFUNCTION("GOOGLETRANSLATE(B1859,""id"",""en"")"),"['experience', 'application', 'bad', 'failed', 'loading', 'page', 'connection', 'problematic', 'logout', 'login', 'sometimes',' message ',' entry ',' verification ',' quality ',' application ',' compared ',' application ',' operator ',' OOT ',' signal ','"&amp;" ugly ',' rto ']")</f>
        <v>['experience', 'application', 'bad', 'failed', 'loading', 'page', 'connection', 'problematic', 'logout', 'login', 'sometimes',' message ',' entry ',' verification ',' quality ',' application ',' compared ',' application ',' operator ',' OOT ',' signal ',' ugly ',' rto ']</v>
      </c>
      <c r="D1859" s="3">
        <v>1.0</v>
      </c>
    </row>
    <row r="1860" ht="15.75" customHeight="1">
      <c r="A1860" s="1">
        <v>1858.0</v>
      </c>
      <c r="B1860" s="3" t="s">
        <v>1861</v>
      </c>
      <c r="C1860" s="3" t="str">
        <f>IFERROR(__xludf.DUMMYFUNCTION("GOOGLETRANSLATE(B1860,""id"",""en"")"),"['Top', 'pulse', 'enter', 'enter', 'plus',' network ',' ugly ',' already ',' package ',' expensive ',' network ',' ugly ',' price ',' suits', 'quality']")</f>
        <v>['Top', 'pulse', 'enter', 'enter', 'plus',' network ',' ugly ',' already ',' package ',' expensive ',' network ',' ugly ',' price ',' suits', 'quality']</v>
      </c>
      <c r="D1860" s="3">
        <v>1.0</v>
      </c>
    </row>
    <row r="1861" ht="15.75" customHeight="1">
      <c r="A1861" s="1">
        <v>1859.0</v>
      </c>
      <c r="B1861" s="3" t="s">
        <v>1862</v>
      </c>
      <c r="C1861" s="3" t="str">
        <f>IFERROR(__xludf.DUMMYFUNCTION("GOOGLETRANSLATE(B1861,""id"",""en"")"),"['ugly', 'application', 'heart', 'buy', 'pulse', 'application', 'buy', 'pulse', 'pay', 'use', 'shoppepay', 'pay', ' brpa ',' Pay ',' use ',' Shoppepay ',' write ',' Cut ',' coin ',' total ',' payment ',' cut ',' coin ',' shoppe ',' shoppe ' , 'Pay', 'Pay'"&amp;", 'Credit', 'Severe', 'App', 'ugly', ""]")</f>
        <v>['ugly', 'application', 'heart', 'buy', 'pulse', 'application', 'buy', 'pulse', 'pay', 'use', 'shoppepay', 'pay', ' brpa ',' Pay ',' use ',' Shoppepay ',' write ',' Cut ',' coin ',' total ',' payment ',' cut ',' coin ',' shoppe ',' shoppe ' , 'Pay', 'Pay', 'Credit', 'Severe', 'App', 'ugly', "]</v>
      </c>
      <c r="D1861" s="3">
        <v>1.0</v>
      </c>
    </row>
    <row r="1862" ht="15.75" customHeight="1">
      <c r="A1862" s="1">
        <v>1860.0</v>
      </c>
      <c r="B1862" s="3" t="s">
        <v>1863</v>
      </c>
      <c r="C1862" s="3" t="str">
        <f>IFERROR(__xludf.DUMMYFUNCTION("GOOGLETRANSLATE(B1862,""id"",""en"")"),"['disappointing', 'Telkomsel', 'price', 'package', 'expensive', 'network', 'slow', 'try', 'restart', 'device', 'condition', 'weather', ' Overcast ',' rain ',' severe ',' connection ',' ']")</f>
        <v>['disappointing', 'Telkomsel', 'price', 'package', 'expensive', 'network', 'slow', 'try', 'restart', 'device', 'condition', 'weather', ' Overcast ',' rain ',' severe ',' connection ',' ']</v>
      </c>
      <c r="D1862" s="3">
        <v>2.0</v>
      </c>
    </row>
    <row r="1863" ht="15.75" customHeight="1">
      <c r="A1863" s="1">
        <v>1861.0</v>
      </c>
      <c r="B1863" s="3" t="s">
        <v>1864</v>
      </c>
      <c r="C1863" s="3" t="str">
        <f>IFERROR(__xludf.DUMMYFUNCTION("GOOGLETRANSLATE(B1863,""id"",""en"")"),"['Come', 'Bad', 'Network', 'Signal', 'Telkomsel', 'Good', 'Nambah', 'Burruk', 'City', 'Please', 'Fix', 'Constraints',' Please ',' Sorry ',' Thank you ', ""]")</f>
        <v>['Come', 'Bad', 'Network', 'Signal', 'Telkomsel', 'Good', 'Nambah', 'Burruk', 'City', 'Please', 'Fix', 'Constraints',' Please ',' Sorry ',' Thank you ', "]</v>
      </c>
      <c r="D1863" s="3">
        <v>1.0</v>
      </c>
    </row>
    <row r="1864" ht="15.75" customHeight="1">
      <c r="A1864" s="1">
        <v>1862.0</v>
      </c>
      <c r="B1864" s="3" t="s">
        <v>1865</v>
      </c>
      <c r="C1864" s="3" t="str">
        <f>IFERROR(__xludf.DUMMYFUNCTION("GOOGLETRANSLATE(B1864,""id"",""en"")"),"['crazy', 'Telkomsel', 'ugly', 'skg', 'a day', 'times',' missing ',' signal ',' maen ',' game ',' lost ',' mulu ',' Really ',' uda ',' mah ',' quota ',' expensive ',' still ',' gini ',' then ',' mending ',' replace ',' lazy ', ""]")</f>
        <v>['crazy', 'Telkomsel', 'ugly', 'skg', 'a day', 'times',' missing ',' signal ',' maen ',' game ',' lost ',' mulu ',' Really ',' uda ',' mah ',' quota ',' expensive ',' still ',' gini ',' then ',' mending ',' replace ',' lazy ', "]</v>
      </c>
      <c r="D1864" s="3">
        <v>1.0</v>
      </c>
    </row>
    <row r="1865" ht="15.75" customHeight="1">
      <c r="A1865" s="1">
        <v>1863.0</v>
      </c>
      <c r="B1865" s="3" t="s">
        <v>1866</v>
      </c>
      <c r="C1865" s="3" t="str">
        <f>IFERROR(__xludf.DUMMYFUNCTION("GOOGLETRANSLATE(B1865,""id"",""en"")"),"['network', 'Telkomsel', 'brain', 'already', 'use', 'Telkomsel', 'Tapai', 'right', 'moved', 'city', 'network', 'good', ' Depok ',' Java ',' West ',' ']")</f>
        <v>['network', 'Telkomsel', 'brain', 'already', 'use', 'Telkomsel', 'Tapai', 'right', 'moved', 'city', 'network', 'good', ' Depok ',' Java ',' West ',' ']</v>
      </c>
      <c r="D1865" s="3">
        <v>3.0</v>
      </c>
    </row>
    <row r="1866" ht="15.75" customHeight="1">
      <c r="A1866" s="1">
        <v>1864.0</v>
      </c>
      <c r="B1866" s="3" t="s">
        <v>1867</v>
      </c>
      <c r="C1866" s="3" t="str">
        <f>IFERROR(__xludf.DUMMYFUNCTION("GOOGLETRANSLATE(B1866,""id"",""en"")"),"['sympathy', 'down', 'parahhh', 'signalnua', 'sympathy', 'since' Indihome ',' entry ',' home ']")</f>
        <v>['sympathy', 'down', 'parahhh', 'signalnua', 'sympathy', 'since' Indihome ',' entry ',' home ']</v>
      </c>
      <c r="D1866" s="3">
        <v>2.0</v>
      </c>
    </row>
    <row r="1867" ht="15.75" customHeight="1">
      <c r="A1867" s="1">
        <v>1865.0</v>
      </c>
      <c r="B1867" s="3" t="s">
        <v>1868</v>
      </c>
      <c r="C1867" s="3" t="str">
        <f>IFERROR(__xludf.DUMMYFUNCTION("GOOGLETRANSLATE(B1867,""id"",""en"")"),"['Telkomsel', 'plissss',' price ',' quota ',' muahal ',' tetep ',' select ',' telkomsel ',' the network ',' strong ',' lemotttt ',' buy ',' GB ',' a week ',' She ',' The network ',' slow ',' really ',' as a result ',' right ',' a week ',' leftover ',' sco"&amp;"rched ',' please ',' fix ' , 'Region', 'Kec', 'pameungpeuk', 'kab', 'bandung', 'original', 'moved', 'heart', ""]")</f>
        <v>['Telkomsel', 'plissss',' price ',' quota ',' muahal ',' tetep ',' select ',' telkomsel ',' the network ',' strong ',' lemotttt ',' buy ',' GB ',' a week ',' She ',' The network ',' slow ',' really ',' as a result ',' right ',' a week ',' leftover ',' scorched ',' please ',' fix ' , 'Region', 'Kec', 'pameungpeuk', 'kab', 'bandung', 'original', 'moved', 'heart', "]</v>
      </c>
      <c r="D1867" s="3">
        <v>1.0</v>
      </c>
    </row>
    <row r="1868" ht="15.75" customHeight="1">
      <c r="A1868" s="1">
        <v>1866.0</v>
      </c>
      <c r="B1868" s="3" t="s">
        <v>1869</v>
      </c>
      <c r="C1868" s="3" t="str">
        <f>IFERROR(__xludf.DUMMYFUNCTION("GOOGLETRANSLATE(B1868,""id"",""en"")"),"['Network', 'rich', 'gini', 'mending', 'collapsed', 'deh', 'price', 'package', 'price', 'pakrtan', 'internet', 'expensive', ' network ',' ugly ',' really ',' mending ',' ']")</f>
        <v>['Network', 'rich', 'gini', 'mending', 'collapsed', 'deh', 'price', 'package', 'price', 'pakrtan', 'internet', 'expensive', ' network ',' ugly ',' really ',' mending ',' ']</v>
      </c>
      <c r="D1868" s="3">
        <v>1.0</v>
      </c>
    </row>
    <row r="1869" ht="15.75" customHeight="1">
      <c r="A1869" s="1">
        <v>1867.0</v>
      </c>
      <c r="B1869" s="3" t="s">
        <v>1870</v>
      </c>
      <c r="C1869" s="3" t="str">
        <f>IFERROR(__xludf.DUMMYFUNCTION("GOOGLETRANSLATE(B1869,""id"",""en"")"),"['Good', 'application', 'just', 'package', 'data', 'entertainment', 'gamesmax', 'little', 'package', 'games',' player ',' roblox ',' Clash ',' Clans', 'Call', 'Duty', 'Mobile']")</f>
        <v>['Good', 'application', 'just', 'package', 'data', 'entertainment', 'gamesmax', 'little', 'package', 'games',' player ',' roblox ',' Clash ',' Clans', 'Call', 'Duty', 'Mobile']</v>
      </c>
      <c r="D1869" s="3">
        <v>3.0</v>
      </c>
    </row>
    <row r="1870" ht="15.75" customHeight="1">
      <c r="A1870" s="1">
        <v>1868.0</v>
      </c>
      <c r="B1870" s="3" t="s">
        <v>1871</v>
      </c>
      <c r="C1870" s="3" t="str">
        <f>IFERROR(__xludf.DUMMYFUNCTION("GOOGLETRANSLATE(B1870,""id"",""en"")"),"['Sorry', 'times', 'Disappointed', 'Telkomsel', 'Package', 'Data', 'Difficult', 'Network', 'Lost', 'Changed', 'Disappointed', 'Very']")</f>
        <v>['Sorry', 'times', 'Disappointed', 'Telkomsel', 'Package', 'Data', 'Difficult', 'Network', 'Lost', 'Changed', 'Disappointed', 'Very']</v>
      </c>
      <c r="D1870" s="3">
        <v>1.0</v>
      </c>
    </row>
    <row r="1871" ht="15.75" customHeight="1">
      <c r="A1871" s="1">
        <v>1869.0</v>
      </c>
      <c r="B1871" s="3" t="s">
        <v>1872</v>
      </c>
      <c r="C1871" s="3" t="str">
        <f>IFERROR(__xludf.DUMMYFUNCTION("GOOGLETRANSLATE(B1871,""id"",""en"")"),"['ask', 'knapa', 'credit', 'cut', 'then', 'stlh', 'check', 'reply', 'CMA', 'cost', 'GPRS', 'TLP', ' Caused ',' Costs', 'GPRS', 'PDHL', 'PKE', 'WIFI', 'Data', 'Turn Off', 'TRS', 'Dised', 'Operator', 'Unreg', 'blsn' , 'apply', 'sktr', 'skrg', 'junior high s"&amp;"chool', 'pulse', 'chopped', 'surprised', 'check', 'or', 'telkomsel', 'blsn', 'sllu', ' Costs', 'GPRS', 'please', 'solution', 'pdhl', 'sllu', 'pke', 'telkomsel', 'operator', 'lbh', 'cheap', ""]")</f>
        <v>['ask', 'knapa', 'credit', 'cut', 'then', 'stlh', 'check', 'reply', 'CMA', 'cost', 'GPRS', 'TLP', ' Caused ',' Costs', 'GPRS', 'PDHL', 'PKE', 'WIFI', 'Data', 'Turn Off', 'TRS', 'Dised', 'Operator', 'Unreg', 'blsn' , 'apply', 'sktr', 'skrg', 'junior high school', 'pulse', 'chopped', 'surprised', 'check', 'or', 'telkomsel', 'blsn', 'sllu', ' Costs', 'GPRS', 'please', 'solution', 'pdhl', 'sllu', 'pke', 'telkomsel', 'operator', 'lbh', 'cheap', "]</v>
      </c>
      <c r="D1871" s="3">
        <v>4.0</v>
      </c>
    </row>
    <row r="1872" ht="15.75" customHeight="1">
      <c r="A1872" s="1">
        <v>1870.0</v>
      </c>
      <c r="B1872" s="3" t="s">
        <v>1873</v>
      </c>
      <c r="C1872" s="3" t="str">
        <f>IFERROR(__xludf.DUMMYFUNCTION("GOOGLETRANSLATE(B1872,""id"",""en"")"),"['times',' The network ',' Masalh ',' Pay ',' expensive ',' Internet ',' smooth ',' Uda ',' Pay ',' expensive ',' open ',' anything ',' Leet ',' ']")</f>
        <v>['times',' The network ',' Masalh ',' Pay ',' expensive ',' Internet ',' smooth ',' Uda ',' Pay ',' expensive ',' open ',' anything ',' Leet ',' ']</v>
      </c>
      <c r="D1872" s="3">
        <v>1.0</v>
      </c>
    </row>
    <row r="1873" ht="15.75" customHeight="1">
      <c r="A1873" s="1">
        <v>1871.0</v>
      </c>
      <c r="B1873" s="3" t="s">
        <v>1874</v>
      </c>
      <c r="C1873" s="3" t="str">
        <f>IFERROR(__xludf.DUMMYFUNCTION("GOOGLETRANSLATE(B1873,""id"",""en"")"),"['Telkomsel', 'what', 'already', 'buy', 'pulse', 'then', 'list', 'package', 'maxstream', 'iFlix', 'pulses',' reduced ',' Rupiah ',' Where ',' ilang ',' then ',' forced ',' buy ',' pulse ',' list ',' quota ',' turn ',' already ',' list ',' gabisa ' , 'Watc"&amp;"h', 'iFlix', 'already', 'Abis',' money ',' thousand ',' Gunain ',' harmed ',' back ',' pulse ',' no ',' responsibility ',' ']")</f>
        <v>['Telkomsel', 'what', 'already', 'buy', 'pulse', 'then', 'list', 'package', 'maxstream', 'iFlix', 'pulses',' reduced ',' Rupiah ',' Where ',' ilang ',' then ',' forced ',' buy ',' pulse ',' list ',' quota ',' turn ',' already ',' list ',' gabisa ' , 'Watch', 'iFlix', 'already', 'Abis',' money ',' thousand ',' Gunain ',' harmed ',' back ',' pulse ',' no ',' responsibility ',' ']</v>
      </c>
      <c r="D1873" s="3">
        <v>1.0</v>
      </c>
    </row>
    <row r="1874" ht="15.75" customHeight="1">
      <c r="A1874" s="1">
        <v>1872.0</v>
      </c>
      <c r="B1874" s="3" t="s">
        <v>1875</v>
      </c>
      <c r="C1874" s="3" t="str">
        <f>IFERROR(__xludf.DUMMYFUNCTION("GOOGLETRANSLATE(B1874,""id"",""en"")"),"['Robber', 'pulse', 'get', 'SMS', 'use', 'rates',' normal ',' pulse ',' sucked ',' total ',' alibi ',' Telkomsel ',' network ',' stable ',' cut ',' pulse ',' main ',' sense ',' Telkomsel ',' yaa ',' company ',' segede ',' service ',' recovery ',' pulses' "&amp;", 'emang', 'intentionally', 'let', 'whistle', 'blow', 'heart', 'Telkomsel', 'make sure', 'pulse', 'according to', 'nominal', 'leftover', ' Robbed ', ""]")</f>
        <v>['Robber', 'pulse', 'get', 'SMS', 'use', 'rates',' normal ',' pulse ',' sucked ',' total ',' alibi ',' Telkomsel ',' network ',' stable ',' cut ',' pulse ',' main ',' sense ',' Telkomsel ',' yaa ',' company ',' segede ',' service ',' recovery ',' pulses' , 'emang', 'intentionally', 'let', 'whistle', 'blow', 'heart', 'Telkomsel', 'make sure', 'pulse', 'according to', 'nominal', 'leftover', ' Robbed ', "]</v>
      </c>
      <c r="D1874" s="3">
        <v>1.0</v>
      </c>
    </row>
    <row r="1875" ht="15.75" customHeight="1">
      <c r="A1875" s="1">
        <v>1873.0</v>
      </c>
      <c r="B1875" s="3" t="s">
        <v>1876</v>
      </c>
      <c r="C1875" s="3" t="str">
        <f>IFERROR(__xludf.DUMMYFUNCTION("GOOGLETRANSLATE(B1875,""id"",""en"")"),"['Telkomsel', 'what', 'server', 'buy', 'quota', 'unlimited', 'no', 'use', 'cheating', 'customer', 'slow', 'laun', ' Customers', 'Please', 'Fix', 'Server']")</f>
        <v>['Telkomsel', 'what', 'server', 'buy', 'quota', 'unlimited', 'no', 'use', 'cheating', 'customer', 'slow', 'laun', ' Customers', 'Please', 'Fix', 'Server']</v>
      </c>
      <c r="D1875" s="3">
        <v>1.0</v>
      </c>
    </row>
    <row r="1876" ht="15.75" customHeight="1">
      <c r="A1876" s="1">
        <v>1874.0</v>
      </c>
      <c r="B1876" s="3" t="s">
        <v>1877</v>
      </c>
      <c r="C1876" s="3" t="str">
        <f>IFERROR(__xludf.DUMMYFUNCTION("GOOGLETRANSLATE(B1876,""id"",""en"")"),"['Telkomsel', 'asan', 'City', 'Leet', 'City', 'Kalimantan', 'South', 'District', 'Tapin', 'Location', 'Mosque', 'Irshadul', ' Ibat ',' Jrngn ',' Severe ',' Leet ',' Need ',' Jrngan ',' Untung ',' Help ',' Victim ',' Flood ',' Karimantan ',' South ',' Citi"&amp;"zens' , 'South Kalimantan', 'Need', 'really', 'connection', 'Network', 'Good', 'Karna', 'Commonlanation', 'Help', 'Donation', 'Victim', 'Flood', ' hope ',' understanding ',' sob ',' please ',' help ',' as soon as possible ',' flood ',' severe ',' ']")</f>
        <v>['Telkomsel', 'asan', 'City', 'Leet', 'City', 'Kalimantan', 'South', 'District', 'Tapin', 'Location', 'Mosque', 'Irshadul', ' Ibat ',' Jrngn ',' Severe ',' Leet ',' Need ',' Jrngan ',' Untung ',' Help ',' Victim ',' Flood ',' Karimantan ',' South ',' Citizens' , 'South Kalimantan', 'Need', 'really', 'connection', 'Network', 'Good', 'Karna', 'Commonlanation', 'Help', 'Donation', 'Victim', 'Flood', ' hope ',' understanding ',' sob ',' please ',' help ',' as soon as possible ',' flood ',' severe ',' ']</v>
      </c>
      <c r="D1876" s="3">
        <v>1.0</v>
      </c>
    </row>
    <row r="1877" ht="15.75" customHeight="1">
      <c r="A1877" s="1">
        <v>1875.0</v>
      </c>
      <c r="B1877" s="3" t="s">
        <v>1878</v>
      </c>
      <c r="C1877" s="3" t="str">
        <f>IFERROR(__xludf.DUMMYFUNCTION("GOOGLETRANSLATE(B1877,""id"",""en"")"),"['', 'company', 'service', 'chat', 'Costumer', 'Care', 'Medsos',' Telkomsel ',' Auto ',' Robot ',' Live ',' Live ',' chat ',' Ujung ',' Grapari ',' Store ',' class', 'BUMN', 'Dominating', 'Offline', 'Store', 'Sytem', ""]")</f>
        <v>['', 'company', 'service', 'chat', 'Costumer', 'Care', 'Medsos',' Telkomsel ',' Auto ',' Robot ',' Live ',' Live ',' chat ',' Ujung ',' Grapari ',' Store ',' class', 'BUMN', 'Dominating', 'Offline', 'Store', 'Sytem', "]</v>
      </c>
      <c r="D1877" s="3">
        <v>1.0</v>
      </c>
    </row>
    <row r="1878" ht="15.75" customHeight="1">
      <c r="A1878" s="1">
        <v>1876.0</v>
      </c>
      <c r="B1878" s="3" t="s">
        <v>1879</v>
      </c>
      <c r="C1878" s="3" t="str">
        <f>IFERROR(__xludf.DUMMYFUNCTION("GOOGLETRANSLATE(B1878,""id"",""en"")"),"['Price', 'quota', 'Nga', 'comparable', 'quota', 'lazy', 'buy', 'then', 'network', 'nga', 'stable', 'play', ' Game ',' Network ',' Direct ',' Down ',' hope ',' price ',' quota ',' internet ',' perman ',' network ',' Faters']")</f>
        <v>['Price', 'quota', 'Nga', 'comparable', 'quota', 'lazy', 'buy', 'then', 'network', 'nga', 'stable', 'play', ' Game ',' Network ',' Direct ',' Down ',' hope ',' price ',' quota ',' internet ',' perman ',' network ',' Faters']</v>
      </c>
      <c r="D1878" s="3">
        <v>1.0</v>
      </c>
    </row>
    <row r="1879" ht="15.75" customHeight="1">
      <c r="A1879" s="1">
        <v>1877.0</v>
      </c>
      <c r="B1879" s="3" t="s">
        <v>1880</v>
      </c>
      <c r="C1879" s="3" t="str">
        <f>IFERROR(__xludf.DUMMYFUNCTION("GOOGLETRANSLATE(B1879,""id"",""en"")"),"['Telkomsel', 'all-round', 'expensive', 'bonus',' free ',' price ',' package ',' strangling ',' really ',' the network ',' stable ',' cheap ',' Super ',' unlimitide ',' principal ',' satisfying ',' Customer ',' Network ',' Easy ',' Place ',' Pakek ',' Tel"&amp;"komsel ',' Not ',' Bireuen ',' Aceh ' , 'please', 'Telkomsel', 'love', 'price', 'package', 'supports',' circles', 'network', 'broad', 'price', 'package', 'super', ' Expensive ',' ']")</f>
        <v>['Telkomsel', 'all-round', 'expensive', 'bonus',' free ',' price ',' package ',' strangling ',' really ',' the network ',' stable ',' cheap ',' Super ',' unlimitide ',' principal ',' satisfying ',' Customer ',' Network ',' Easy ',' Place ',' Pakek ',' Telkomsel ',' Not ',' Bireuen ',' Aceh ' , 'please', 'Telkomsel', 'love', 'price', 'package', 'supports',' circles', 'network', 'broad', 'price', 'package', 'super', ' Expensive ',' ']</v>
      </c>
      <c r="D1879" s="3">
        <v>1.0</v>
      </c>
    </row>
    <row r="1880" ht="15.75" customHeight="1">
      <c r="A1880" s="1">
        <v>1878.0</v>
      </c>
      <c r="B1880" s="3" t="s">
        <v>1881</v>
      </c>
      <c r="C1880" s="3" t="str">
        <f>IFERROR(__xludf.DUMMYFUNCTION("GOOGLETRANSLATE(B1880,""id"",""en"")"),"['Telkomsel', 'annoying', 'package', 'already', 'loyal', 'believe', 'Telkomsel', 'speed', 'download', 'telegram', 'dumped', 'drastic', ' LEG ',' Kayak ',' Snail ',' Edan ',' Pandemic ',' Kayak ',' Gini ',' Service ',' Internet ',' Needed ',' Satisfying ',"&amp;"' Hopefully ',' Customer ' , 'patient', 'leave', ""]")</f>
        <v>['Telkomsel', 'annoying', 'package', 'already', 'loyal', 'believe', 'Telkomsel', 'speed', 'download', 'telegram', 'dumped', 'drastic', ' LEG ',' Kayak ',' Snail ',' Edan ',' Pandemic ',' Kayak ',' Gini ',' Service ',' Internet ',' Needed ',' Satisfying ',' Hopefully ',' Customer ' , 'patient', 'leave', "]</v>
      </c>
      <c r="D1880" s="3">
        <v>1.0</v>
      </c>
    </row>
    <row r="1881" ht="15.75" customHeight="1">
      <c r="A1881" s="1">
        <v>1879.0</v>
      </c>
      <c r="B1881" s="3" t="s">
        <v>1882</v>
      </c>
      <c r="C1881" s="3" t="str">
        <f>IFERROR(__xludf.DUMMYFUNCTION("GOOGLETRANSLATE(B1881,""id"",""en"")"),"['Log', 'Application', 'Please', 'Is Easy', 'Rare', 'People', 'Android', 'Call', 'Card', 'Dipake', 'Telkomsel', 'Special', ' Calls', 'Save', 'Battery', 'Application', 'Android', 'Certain', '']")</f>
        <v>['Log', 'Application', 'Please', 'Is Easy', 'Rare', 'People', 'Android', 'Call', 'Card', 'Dipake', 'Telkomsel', 'Special', ' Calls', 'Save', 'Battery', 'Application', 'Android', 'Certain', '']</v>
      </c>
      <c r="D1881" s="3">
        <v>2.0</v>
      </c>
    </row>
    <row r="1882" ht="15.75" customHeight="1">
      <c r="A1882" s="1">
        <v>1880.0</v>
      </c>
      <c r="B1882" s="3" t="s">
        <v>1883</v>
      </c>
      <c r="C1882" s="3" t="str">
        <f>IFERROR(__xludf.DUMMYFUNCTION("GOOGLETRANSLATE(B1882,""id"",""en"")"),"['Teuna', 'Telkomsel', 'destroyed', 'network', 'disappointed', 'good', 'network', 'use', 'pulse', 'JT', 'bosssssss',' network ',' Badkkkkkkkkkk ',' telkomsel ',' Telkomsel ',' satisfied ',' net ',' normal ',' boss', 'city', 'lohhhh', 'user', 'telkomsel', "&amp;"'switch' , 'Network', 'NOT', 'Good', 'Badkkk', 'Open', 'YouTube', 'Loading', 'parahhhhh']")</f>
        <v>['Teuna', 'Telkomsel', 'destroyed', 'network', 'disappointed', 'good', 'network', 'use', 'pulse', 'JT', 'bosssssss',' network ',' Badkkkkkkkkkk ',' telkomsel ',' Telkomsel ',' satisfied ',' net ',' normal ',' boss', 'city', 'lohhhh', 'user', 'telkomsel', 'switch' , 'Network', 'NOT', 'Good', 'Badkkk', 'Open', 'YouTube', 'Loading', 'parahhhhh']</v>
      </c>
      <c r="D1882" s="3">
        <v>1.0</v>
      </c>
    </row>
    <row r="1883" ht="15.75" customHeight="1">
      <c r="A1883" s="1">
        <v>1881.0</v>
      </c>
      <c r="B1883" s="3" t="s">
        <v>1884</v>
      </c>
      <c r="C1883" s="3" t="str">
        <f>IFERROR(__xludf.DUMMYFUNCTION("GOOGLETRANSLATE(B1883,""id"",""en"")"),"['Main', 'Efootball', 'PES', 'Lose', 'Gara', 'Signal', 'Telkomsel', 'Connect', 'Position', 'Superior', 'Score', 'Tetep', ' State ',' Lost ',' Connection ',' Disconnected ',' Times', 'Loss',' Signal ',' Provider ',' LEG ',' Kayak ',' Congratulations', 'Liv"&amp;"e', 'Telkomsel' , 'Move', 'Provider', '']")</f>
        <v>['Main', 'Efootball', 'PES', 'Lose', 'Gara', 'Signal', 'Telkomsel', 'Connect', 'Position', 'Superior', 'Score', 'Tetep', ' State ',' Lost ',' Connection ',' Disconnected ',' Times', 'Loss',' Signal ',' Provider ',' LEG ',' Kayak ',' Congratulations', 'Live', 'Telkomsel' , 'Move', 'Provider', '']</v>
      </c>
      <c r="D1883" s="3">
        <v>1.0</v>
      </c>
    </row>
    <row r="1884" ht="15.75" customHeight="1">
      <c r="A1884" s="1">
        <v>1882.0</v>
      </c>
      <c r="B1884" s="3" t="s">
        <v>1885</v>
      </c>
      <c r="C1884" s="3" t="str">
        <f>IFERROR(__xludf.DUMMYFUNCTION("GOOGLETRANSLATE(B1884,""id"",""en"")"),"['Credit', 'Cut', 'Data', 'Life', 'Week', 'Credit', 'Cut', 'Reasons',' Data ',' Emergency ',' Fix ',' Loss', ' Hundreds', 'thousand', 'Since', 'Telkomsel']")</f>
        <v>['Credit', 'Cut', 'Data', 'Life', 'Week', 'Credit', 'Cut', 'Reasons',' Data ',' Emergency ',' Fix ',' Loss', ' Hundreds', 'thousand', 'Since', 'Telkomsel']</v>
      </c>
      <c r="D1884" s="3">
        <v>1.0</v>
      </c>
    </row>
    <row r="1885" ht="15.75" customHeight="1">
      <c r="A1885" s="1">
        <v>1883.0</v>
      </c>
      <c r="B1885" s="3" t="s">
        <v>1886</v>
      </c>
      <c r="C1885" s="3" t="str">
        <f>IFERROR(__xludf.DUMMYFUNCTION("GOOGLETRANSLATE(B1885,""id"",""en"")"),"['promo', 'quota', 'buy', 'display', 'MyTelkomsel', 'kapok', 'Telkomsel', 'expensive', 'doang', 'mending', 'neighbor', 'next door' package ',' cheap ',' stable ',' real ',' highspeed ']")</f>
        <v>['promo', 'quota', 'buy', 'display', 'MyTelkomsel', 'kapok', 'Telkomsel', 'expensive', 'doang', 'mending', 'neighbor', 'next door' package ',' cheap ',' stable ',' real ',' highspeed ']</v>
      </c>
      <c r="D1885" s="3">
        <v>1.0</v>
      </c>
    </row>
    <row r="1886" ht="15.75" customHeight="1">
      <c r="A1886" s="1">
        <v>1884.0</v>
      </c>
      <c r="B1886" s="3" t="s">
        <v>1887</v>
      </c>
      <c r="C1886" s="3" t="str">
        <f>IFERROR(__xludf.DUMMYFUNCTION("GOOGLETRANSLATE(B1886,""id"",""en"")"),"['', 'Dear', 'Telkomsel', 'as',' users', 'loyal', 'Telkomsel', 'disappointed', 'signal', 'Telkomsel', 'weak', 'missing', 'signal ',' Mainstay ',' TPI ',' Difficult ',' Please ',' Please ',' Fix ',' Network ',' Signal ',' Telkomsel ']")</f>
        <v>['', 'Dear', 'Telkomsel', 'as',' users', 'loyal', 'Telkomsel', 'disappointed', 'signal', 'Telkomsel', 'weak', 'missing', 'signal ',' Mainstay ',' TPI ',' Difficult ',' Please ',' Please ',' Fix ',' Network ',' Signal ',' Telkomsel ']</v>
      </c>
      <c r="D1886" s="3">
        <v>2.0</v>
      </c>
    </row>
    <row r="1887" ht="15.75" customHeight="1">
      <c r="A1887" s="1">
        <v>1885.0</v>
      </c>
      <c r="B1887" s="3" t="s">
        <v>1888</v>
      </c>
      <c r="C1887" s="3" t="str">
        <f>IFERROR(__xludf.DUMMYFUNCTION("GOOGLETRANSLATE(B1887,""id"",""en"")"),"['Please', 'Tower', 'substation', 'network', 'users',' Telkomsel ',' ugly ',' search ',' network ',' replace ',' operator ',' disappointed ',' annoying ',' work ',' ']")</f>
        <v>['Please', 'Tower', 'substation', 'network', 'users',' Telkomsel ',' ugly ',' search ',' network ',' replace ',' operator ',' disappointed ',' annoying ',' work ',' ']</v>
      </c>
      <c r="D1887" s="3">
        <v>1.0</v>
      </c>
    </row>
    <row r="1888" ht="15.75" customHeight="1">
      <c r="A1888" s="1">
        <v>1886.0</v>
      </c>
      <c r="B1888" s="3" t="s">
        <v>1889</v>
      </c>
      <c r="C1888" s="3" t="str">
        <f>IFERROR(__xludf.DUMMYFUNCTION("GOOGLETRANSLATE(B1888,""id"",""en"")"),"['signal', 'ugly', 'parahhh', 'upload', 'oldaaaaaaaaaaaaaaaaaa', 'really', 'already', 'moved', 'signal', 'briefly', 'then', 'slow', ' mode ',' plane ',' minutes', 'good', 'briefly', 'slow', 'that's']")</f>
        <v>['signal', 'ugly', 'parahhh', 'upload', 'oldaaaaaaaaaaaaaaaaaa', 'really', 'already', 'moved', 'signal', 'briefly', 'then', 'slow', ' mode ',' plane ',' minutes', 'good', 'briefly', 'slow', 'that's']</v>
      </c>
      <c r="D1888" s="3">
        <v>1.0</v>
      </c>
    </row>
    <row r="1889" ht="15.75" customHeight="1">
      <c r="A1889" s="1">
        <v>1887.0</v>
      </c>
      <c r="B1889" s="3" t="s">
        <v>1890</v>
      </c>
      <c r="C1889" s="3" t="str">
        <f>IFERROR(__xludf.DUMMYFUNCTION("GOOGLETRANSLATE(B1889,""id"",""en"")"),"['release', 'star', 'disappointed', 'knp', 'package', 'cocot', 'lost', 'please', 'back', 'package', 'unlimited', 'price', ' Price ',' Thank "", 'Love',""]")</f>
        <v>['release', 'star', 'disappointed', 'knp', 'package', 'cocot', 'lost', 'please', 'back', 'package', 'unlimited', 'price', ' Price ',' Thank ", 'Love',"]</v>
      </c>
      <c r="D1889" s="3">
        <v>1.0</v>
      </c>
    </row>
    <row r="1890" ht="15.75" customHeight="1">
      <c r="A1890" s="1">
        <v>1888.0</v>
      </c>
      <c r="B1890" s="3" t="s">
        <v>1891</v>
      </c>
      <c r="C1890" s="3" t="str">
        <f>IFERROR(__xludf.DUMMYFUNCTION("GOOGLETRANSLATE(B1890,""id"",""en"")"),"['loyal', 'Telkomsel', 'Hopefully', 'Telkomsel', 'Best', 'Hopefully', 'The network', 'wherever', 'good', 'makes it easier', 'customer', 'communicating', ' ']")</f>
        <v>['loyal', 'Telkomsel', 'Hopefully', 'Telkomsel', 'Best', 'Hopefully', 'The network', 'wherever', 'good', 'makes it easier', 'customer', 'communicating', ' ']</v>
      </c>
      <c r="D1890" s="3">
        <v>5.0</v>
      </c>
    </row>
    <row r="1891" ht="15.75" customHeight="1">
      <c r="A1891" s="1">
        <v>1889.0</v>
      </c>
      <c r="B1891" s="3" t="s">
        <v>1892</v>
      </c>
      <c r="C1891" s="3" t="str">
        <f>IFERROR(__xludf.DUMMYFUNCTION("GOOGLETRANSLATE(B1891,""id"",""en"")"),"['If', 'Papua', 'Operator', 'UDH', 'Move', 'Dri', 'Ngeselin', 'Very', 'Operator', 'Red', 'Taste', 'Dibroch']")</f>
        <v>['If', 'Papua', 'Operator', 'UDH', 'Move', 'Dri', 'Ngeselin', 'Very', 'Operator', 'Red', 'Taste', 'Dibroch']</v>
      </c>
      <c r="D1891" s="3">
        <v>1.0</v>
      </c>
    </row>
    <row r="1892" ht="15.75" customHeight="1">
      <c r="A1892" s="1">
        <v>1890.0</v>
      </c>
      <c r="B1892" s="3" t="s">
        <v>1893</v>
      </c>
      <c r="C1892" s="3" t="str">
        <f>IFERROR(__xludf.DUMMYFUNCTION("GOOGLETRANSLATE(B1892,""id"",""en"")"),"['Telkomsel', 'expensive', 'win', 'signal', 'doank', 'laughed', 'use', 'number', 'already', 'darling', 'waste', 'buy', ' pulses', 'active', 'if', 'sell', 'active', 'buy', 'active', 'hope', 'change', 'pampering', 'customer', 'edit', 'score' , 'star', '']")</f>
        <v>['Telkomsel', 'expensive', 'win', 'signal', 'doank', 'laughed', 'use', 'number', 'already', 'darling', 'waste', 'buy', ' pulses', 'active', 'if', 'sell', 'active', 'buy', 'active', 'hope', 'change', 'pampering', 'customer', 'edit', 'score' , 'star', '']</v>
      </c>
      <c r="D1892" s="3">
        <v>1.0</v>
      </c>
    </row>
    <row r="1893" ht="15.75" customHeight="1">
      <c r="A1893" s="1">
        <v>1891.0</v>
      </c>
      <c r="B1893" s="3" t="s">
        <v>1894</v>
      </c>
      <c r="C1893" s="3" t="str">
        <f>IFERROR(__xludf.DUMMYFUNCTION("GOOGLETRANSLATE(B1893,""id"",""en"")"),"['', 'times',' report ',' times', 'disappointed', 'improvement', 'signal', 'ugly', 'user', 'postpaid', 'priority', 'pay', 'rb ',' quota ',' report ',' report ',' ylki ',' want ',' play ',' play ',' gara ',' gara ',' operator ',' activity ',' internet ', '"&amp;"Harmed', 'Telkomsel', 'Bakar', 'Money', 'Sia', 'Sia', 'Network', 'garbage', ""]")</f>
        <v>['', 'times',' report ',' times', 'disappointed', 'improvement', 'signal', 'ugly', 'user', 'postpaid', 'priority', 'pay', 'rb ',' quota ',' report ',' report ',' ylki ',' want ',' play ',' play ',' gara ',' gara ',' operator ',' activity ',' internet ', 'Harmed', 'Telkomsel', 'Bakar', 'Money', 'Sia', 'Sia', 'Network', 'garbage', "]</v>
      </c>
      <c r="D1893" s="3">
        <v>1.0</v>
      </c>
    </row>
    <row r="1894" ht="15.75" customHeight="1">
      <c r="A1894" s="1">
        <v>1892.0</v>
      </c>
      <c r="B1894" s="3" t="s">
        <v>1895</v>
      </c>
      <c r="C1894" s="3" t="str">
        <f>IFERROR(__xludf.DUMMYFUNCTION("GOOGLETRANSLATE(B1894,""id"",""en"")"),"['YTH', 'MyTelkomsel', 'Please', 'Sorry', 'Purchase', 'Package', 'Data', 'Package', 'Data', 'Day', 'Package', 'Data', ' Night ',' Child ',' Stadium ', ""]")</f>
        <v>['YTH', 'MyTelkomsel', 'Please', 'Sorry', 'Purchase', 'Package', 'Data', 'Package', 'Data', 'Day', 'Package', 'Data', ' Night ',' Child ',' Stadium ', "]</v>
      </c>
      <c r="D1894" s="3">
        <v>5.0</v>
      </c>
    </row>
    <row r="1895" ht="15.75" customHeight="1">
      <c r="A1895" s="1">
        <v>1893.0</v>
      </c>
      <c r="B1895" s="3" t="s">
        <v>1896</v>
      </c>
      <c r="C1895" s="3" t="str">
        <f>IFERROR(__xludf.DUMMYFUNCTION("GOOGLETRANSLATE(B1895,""id"",""en"")"),"['ass',' ask ',' Install ',' Telkomsel ',' Ktak ',' SMS ',' MSK ',' Congratulations', 'Package', 'Credit', 'Rp', 'TLH', ' active ',' check ',' plz ',' mean ',' what ',' mhn ',' explanation ', ""]")</f>
        <v>['ass',' ask ',' Install ',' Telkomsel ',' Ktak ',' SMS ',' MSK ',' Congratulations', 'Package', 'Credit', 'Rp', 'TLH', ' active ',' check ',' plz ',' mean ',' what ',' mhn ',' explanation ', "]</v>
      </c>
      <c r="D1895" s="3">
        <v>2.0</v>
      </c>
    </row>
    <row r="1896" ht="15.75" customHeight="1">
      <c r="A1896" s="1">
        <v>1894.0</v>
      </c>
      <c r="B1896" s="3" t="s">
        <v>1897</v>
      </c>
      <c r="C1896" s="3" t="str">
        <f>IFERROR(__xludf.DUMMYFUNCTION("GOOGLETRANSLATE(B1896,""id"",""en"")"),"['Wear', 'App', 'Please', 'Disappointed', 'User', 'App', 'Thank you', 'Stick', 'Quality', 'App', 'Data', 'Remove', ' Users', 'App', 'Telkomsel', 'Thank you', 'Congratulations',' night ', ""]")</f>
        <v>['Wear', 'App', 'Please', 'Disappointed', 'User', 'App', 'Thank you', 'Stick', 'Quality', 'App', 'Data', 'Remove', ' Users', 'App', 'Telkomsel', 'Thank you', 'Congratulations',' night ', "]</v>
      </c>
      <c r="D1896" s="3">
        <v>5.0</v>
      </c>
    </row>
    <row r="1897" ht="15.75" customHeight="1">
      <c r="A1897" s="1">
        <v>1895.0</v>
      </c>
      <c r="B1897" s="3" t="s">
        <v>1898</v>
      </c>
      <c r="C1897" s="3" t="str">
        <f>IFERROR(__xludf.DUMMYFUNCTION("GOOGLETRANSLATE(B1897,""id"",""en"")"),"['', 'city', 'play', 'ngelag', 'udh', 'expensive', 'buy', 'jngn', 'stingy', 'high school', 'network', 'buy', 'expensive ',' Good ',' Disappointed ',' Consumer ',' Pantes', 'Ratting', 'Depelover', 'Fix', 'LGI']")</f>
        <v>['', 'city', 'play', 'ngelag', 'udh', 'expensive', 'buy', 'jngn', 'stingy', 'high school', 'network', 'buy', 'expensive ',' Good ',' Disappointed ',' Consumer ',' Pantes', 'Ratting', 'Depelover', 'Fix', 'LGI']</v>
      </c>
      <c r="D1897" s="3">
        <v>1.0</v>
      </c>
    </row>
    <row r="1898" ht="15.75" customHeight="1">
      <c r="A1898" s="1">
        <v>1896.0</v>
      </c>
      <c r="B1898" s="3" t="s">
        <v>1899</v>
      </c>
      <c r="C1898" s="3" t="str">
        <f>IFERROR(__xludf.DUMMYFUNCTION("GOOGLETRANSLATE(B1898,""id"",""en"")"),"['Woy', 'Telkomsel', 'program', 'Bener', 'Donk', 'program', 'quota', 'family', 'difficult', 'really', 'buy', 'call', ' quota ',' expired ',' expired ',' that's', 'people', 'already', 'quota', 'internet', 'donk', 'buy', 'how', 'smart', 'really' , 'design',"&amp;" 'program', 'buy', 'choice', 'Doank', 'right', 'click', 'told', 'link', 'APP', 'MyTelkomsel', 'Lahh', ' Lying ',' Fix ',' Donk ',' Woyy ',' Service ',' name ',' Operator ',' Plat ',' Red ',' Kayak ',' Gini ',' Peroolo ',' sad ' , 'already', 'pay', 'tax']")</f>
        <v>['Woy', 'Telkomsel', 'program', 'Bener', 'Donk', 'program', 'quota', 'family', 'difficult', 'really', 'buy', 'call', ' quota ',' expired ',' expired ',' that's', 'people', 'already', 'quota', 'internet', 'donk', 'buy', 'how', 'smart', 'really' , 'design', 'program', 'buy', 'choice', 'Doank', 'right', 'click', 'told', 'link', 'APP', 'MyTelkomsel', 'Lahh', ' Lying ',' Fix ',' Donk ',' Woyy ',' Service ',' name ',' Operator ',' Plat ',' Red ',' Kayak ',' Gini ',' Peroolo ',' sad ' , 'already', 'pay', 'tax']</v>
      </c>
      <c r="D1898" s="3">
        <v>1.0</v>
      </c>
    </row>
    <row r="1899" ht="15.75" customHeight="1">
      <c r="A1899" s="1">
        <v>1897.0</v>
      </c>
      <c r="B1899" s="3" t="s">
        <v>1900</v>
      </c>
      <c r="C1899" s="3" t="str">
        <f>IFERROR(__xludf.DUMMYFUNCTION("GOOGLETRANSLATE(B1899,""id"",""en"")"),"['signal', 'Telkomsel', 'ugly', 'dipake', 'meet', 'google', 'meet', 'difficult', 'already', 'buy', 'quota', 'side', ' pulses', 'activated', 'data', 'sucked', 'pulses',' data ']")</f>
        <v>['signal', 'Telkomsel', 'ugly', 'dipake', 'meet', 'google', 'meet', 'difficult', 'already', 'buy', 'quota', 'side', ' pulses', 'activated', 'data', 'sucked', 'pulses',' data ']</v>
      </c>
      <c r="D1899" s="3">
        <v>3.0</v>
      </c>
    </row>
    <row r="1900" ht="15.75" customHeight="1">
      <c r="A1900" s="1">
        <v>1898.0</v>
      </c>
      <c r="B1900" s="3" t="s">
        <v>1901</v>
      </c>
      <c r="C1900" s="3" t="str">
        <f>IFERROR(__xludf.DUMMYFUNCTION("GOOGLETRANSLATE(B1900,""id"",""en"")"),"['sorry', 'love', 'star', 'network', 'lag', 'mulu', 'game', 'lag', 'watch', 'youtube', 'lag', 'please', ' repaired ',' complaining ',' response ',' slow ',' already ',' buy ',' package ',' gamemax ',' log ',' game ',' gini ',' then ',' ndak ' , 'strong', "&amp;"'cok']")</f>
        <v>['sorry', 'love', 'star', 'network', 'lag', 'mulu', 'game', 'lag', 'watch', 'youtube', 'lag', 'please', ' repaired ',' complaining ',' response ',' slow ',' already ',' buy ',' package ',' gamemax ',' log ',' game ',' gini ',' then ',' ndak ' , 'strong', 'cok']</v>
      </c>
      <c r="D1900" s="3">
        <v>1.0</v>
      </c>
    </row>
    <row r="1901" ht="15.75" customHeight="1">
      <c r="A1901" s="1">
        <v>1899.0</v>
      </c>
      <c r="B1901" s="3" t="s">
        <v>1902</v>
      </c>
      <c r="C1901" s="3" t="str">
        <f>IFERROR(__xludf.DUMMYFUNCTION("GOOGLETRANSLATE(B1901,""id"",""en"")"),"['Sousiny', 'Severe', 'broken', 'Mulu', 'Disappointed', 'really', 'user', 'already', 'subscribe', 'signal', 'here', 'ugly', ' Open ',' game ',' online ',' slow ',' forgiveness']")</f>
        <v>['Sousiny', 'Severe', 'broken', 'Mulu', 'Disappointed', 'really', 'user', 'already', 'subscribe', 'signal', 'here', 'ugly', ' Open ',' game ',' online ',' slow ',' forgiveness']</v>
      </c>
      <c r="D1901" s="3">
        <v>1.0</v>
      </c>
    </row>
    <row r="1902" ht="15.75" customHeight="1">
      <c r="A1902" s="1">
        <v>1900.0</v>
      </c>
      <c r="B1902" s="3" t="s">
        <v>1903</v>
      </c>
      <c r="C1902" s="3" t="str">
        <f>IFERROR(__xludf.DUMMYFUNCTION("GOOGLETRANSLATE(B1902,""id"",""en"")"),"['Telkomsel', 'repay', 'network', 'package', 'expensive', 'network', 'slow', 'friend', 'cave', 'use', 'three', 'network', ' smoothly ',' cave ',' use ',' Telkomsel ',' play ',' mobile ',' legand ',' mobile ',' legand ',' open ',' youtube ',' slow ',' plea"&amp;"se ' , 'repay', 'cave', 'customer', 'buy', 'package', 'rich', 'gini', 'cave', 'move', 'provaider', 'three', 'please', ' improve ',' location ',' bekasi ',' north ',' sector ',' block ',' kel ',' happy ',' kec ',' babelan ',' kab ',' bekasi ', ""]")</f>
        <v>['Telkomsel', 'repay', 'network', 'package', 'expensive', 'network', 'slow', 'friend', 'cave', 'use', 'three', 'network', ' smoothly ',' cave ',' use ',' Telkomsel ',' play ',' mobile ',' legand ',' mobile ',' legand ',' open ',' youtube ',' slow ',' please ' , 'repay', 'cave', 'customer', 'buy', 'package', 'rich', 'gini', 'cave', 'move', 'provaider', 'three', 'please', ' improve ',' location ',' bekasi ',' north ',' sector ',' block ',' kel ',' happy ',' kec ',' babelan ',' kab ',' bekasi ', "]</v>
      </c>
      <c r="D1902" s="3">
        <v>2.0</v>
      </c>
    </row>
    <row r="1903" ht="15.75" customHeight="1">
      <c r="A1903" s="1">
        <v>1901.0</v>
      </c>
      <c r="B1903" s="3" t="s">
        <v>1904</v>
      </c>
      <c r="C1903" s="3" t="str">
        <f>IFERROR(__xludf.DUMMYFUNCTION("GOOGLETRANSLATE(B1903,""id"",""en"")"),"['Severe', 'use', 'buy', 'quota', 'education', 'google', 'meet', 'kepake', 'quota', 'main', 'out', 'quota', ' main ',' quota ',' study ',' google ',' meet ',' gakeme ',' ']")</f>
        <v>['Severe', 'use', 'buy', 'quota', 'education', 'google', 'meet', 'kepake', 'quota', 'main', 'out', 'quota', ' main ',' quota ',' study ',' google ',' meet ',' gakeme ',' ']</v>
      </c>
      <c r="D1903" s="3">
        <v>1.0</v>
      </c>
    </row>
    <row r="1904" ht="15.75" customHeight="1">
      <c r="A1904" s="1">
        <v>1902.0</v>
      </c>
      <c r="B1904" s="3" t="s">
        <v>1905</v>
      </c>
      <c r="C1904" s="3" t="str">
        <f>IFERROR(__xludf.DUMMYFUNCTION("GOOGLETRANSLATE(B1904,""id"",""en"")"),"['Customer', 'user', 'loyal', 'admit', 'Telkomsel', 'easy', 'use', 'signal', 'stable', 'no', 'rich', 'area', ' Movers', 'Enhanced', 'Service', 'Please', 'Sorry', 'Just', 'Suggestions',' Thank you ', ""]")</f>
        <v>['Customer', 'user', 'loyal', 'admit', 'Telkomsel', 'easy', 'use', 'signal', 'stable', 'no', 'rich', 'area', ' Movers', 'Enhanced', 'Service', 'Please', 'Sorry', 'Just', 'Suggestions',' Thank you ', "]</v>
      </c>
      <c r="D1904" s="3">
        <v>1.0</v>
      </c>
    </row>
    <row r="1905" ht="15.75" customHeight="1">
      <c r="A1905" s="1">
        <v>1903.0</v>
      </c>
      <c r="B1905" s="3" t="s">
        <v>1906</v>
      </c>
      <c r="C1905" s="3" t="str">
        <f>IFERROR(__xludf.DUMMYFUNCTION("GOOGLETRANSLATE(B1905,""id"",""en"")"),"['Switch', 'card', 'Hello', 'Network', 'Severe', 'Provider', 'Severe', 'Telkomsel', 'Guarantee', 'Quality', 'Internet', 'Decreases',' Users', 'innovative', 'keep', 'quality', 'quota', 'free', 'pay', 'please', 'appreciate', 'consumers',' open ',' applicati"&amp;"on ',' Telkomsel ' , 'Minutes', 'Open', 'Muter', '']")</f>
        <v>['Switch', 'card', 'Hello', 'Network', 'Severe', 'Provider', 'Severe', 'Telkomsel', 'Guarantee', 'Quality', 'Internet', 'Decreases',' Users', 'innovative', 'keep', 'quality', 'quota', 'free', 'pay', 'please', 'appreciate', 'consumers',' open ',' application ',' Telkomsel ' , 'Minutes', 'Open', 'Muter', '']</v>
      </c>
      <c r="D1905" s="3">
        <v>1.0</v>
      </c>
    </row>
    <row r="1906" ht="15.75" customHeight="1">
      <c r="A1906" s="1">
        <v>1904.0</v>
      </c>
      <c r="B1906" s="3" t="s">
        <v>1907</v>
      </c>
      <c r="C1906" s="3" t="str">
        <f>IFERROR(__xludf.DUMMYFUNCTION("GOOGLETRANSLATE(B1906,""id"",""en"")"),"['Package', 'cheap', 'Telkomsel', 'special', 'number', 'customer', 'chosen', 'upset', 'choose', 'customer', 'loyal', 'Telkomsel', ' Disappointed ',' Young ',' Han ',' Consideration ',' Love ',' Bintang ',' Thank you ', ""]")</f>
        <v>['Package', 'cheap', 'Telkomsel', 'special', 'number', 'customer', 'chosen', 'upset', 'choose', 'customer', 'loyal', 'Telkomsel', ' Disappointed ',' Young ',' Han ',' Consideration ',' Love ',' Bintang ',' Thank you ', "]</v>
      </c>
      <c r="D1906" s="3">
        <v>5.0</v>
      </c>
    </row>
    <row r="1907" ht="15.75" customHeight="1">
      <c r="A1907" s="1">
        <v>1905.0</v>
      </c>
      <c r="B1907" s="3" t="s">
        <v>1908</v>
      </c>
      <c r="C1907" s="3" t="str">
        <f>IFERROR(__xludf.DUMMYFUNCTION("GOOGLETRANSLATE(B1907,""id"",""en"")"),"['Admin', 'Morning', 'Register', 'Package', 'Unlimited', 'Facebook', 'Pay', 'Applikas',' Fund ',' Application ',' Fund ',' Notification ',' Success', 'payment', 'then', 'right', 'check', 'Telkomsel', 'entry', 'data', 'kah', 'please', 'fix', 'the applicati"&amp;"on', ""]")</f>
        <v>['Admin', 'Morning', 'Register', 'Package', 'Unlimited', 'Facebook', 'Pay', 'Applikas',' Fund ',' Application ',' Fund ',' Notification ',' Success', 'payment', 'then', 'right', 'check', 'Telkomsel', 'entry', 'data', 'kah', 'please', 'fix', 'the application', "]</v>
      </c>
      <c r="D1907" s="3">
        <v>1.0</v>
      </c>
    </row>
    <row r="1908" ht="15.75" customHeight="1">
      <c r="A1908" s="1">
        <v>1906.0</v>
      </c>
      <c r="B1908" s="3" t="s">
        <v>1909</v>
      </c>
      <c r="C1908" s="3" t="str">
        <f>IFERROR(__xludf.DUMMYFUNCTION("GOOGLETRANSLATE(B1908,""id"",""en"")"),"['Please', 'Provider', 'Biggest', 'Best', 'Indonesia', 'Upgrade', 'BTS', 'User', 'Speed', 'Upload', 'Download', 'Reduced', ' In the area ',' Regency ',' Lemot ',' Network ',' Internet ',' ']")</f>
        <v>['Please', 'Provider', 'Biggest', 'Best', 'Indonesia', 'Upgrade', 'BTS', 'User', 'Speed', 'Upload', 'Download', 'Reduced', ' In the area ',' Regency ',' Lemot ',' Network ',' Internet ',' ']</v>
      </c>
      <c r="D1908" s="3">
        <v>3.0</v>
      </c>
    </row>
    <row r="1909" ht="15.75" customHeight="1">
      <c r="A1909" s="1">
        <v>1907.0</v>
      </c>
      <c r="B1909" s="3" t="s">
        <v>1910</v>
      </c>
      <c r="C1909" s="3" t="str">
        <f>IFERROR(__xludf.DUMMYFUNCTION("GOOGLETRANSLATE(B1909,""id"",""en"")"),"['Guide', 'Try', 'Network', 'Automatic', 'Manual', 'Automatism', 'Change', 'Network', 'Slow', 'LEG', 'Disappointing', 'Klu', ' In ',' Change ',' Please ',' Maap ',' Even though ',' Customer ',' Telkomsel ',' Forced ',' Move ',' Operator ',' Current ',' Si"&amp;"gnal ',' The Line ' , 'concern', 'Thank you', ""]")</f>
        <v>['Guide', 'Try', 'Network', 'Automatic', 'Manual', 'Automatism', 'Change', 'Network', 'Slow', 'LEG', 'Disappointing', 'Klu', ' In ',' Change ',' Please ',' Maap ',' Even though ',' Customer ',' Telkomsel ',' Forced ',' Move ',' Operator ',' Current ',' Signal ',' The Line ' , 'concern', 'Thank you', "]</v>
      </c>
      <c r="D1909" s="3">
        <v>1.0</v>
      </c>
    </row>
    <row r="1910" ht="15.75" customHeight="1">
      <c r="A1910" s="1">
        <v>1908.0</v>
      </c>
      <c r="B1910" s="3" t="s">
        <v>1911</v>
      </c>
      <c r="C1910" s="3" t="str">
        <f>IFERROR(__xludf.DUMMYFUNCTION("GOOGLETRANSLATE(B1910,""id"",""en"")"),"['Hallo', 'Telkomsel', 'Package', 'Combo', 'Sakti', 'wasto', 'YouTobe', 'Sampe', 'Clock', 'Quality', 'Out', 'MB', ' Skrang ',' I mean ',' times ',' Customer ',' Telkomsel ',' Sampe ',' Rich ',' Gini ',' Pemerak "", '']")</f>
        <v>['Hallo', 'Telkomsel', 'Package', 'Combo', 'Sakti', 'wasto', 'YouTobe', 'Sampe', 'Clock', 'Quality', 'Out', 'MB', ' Skrang ',' I mean ',' times ',' Customer ',' Telkomsel ',' Sampe ',' Rich ',' Gini ',' Pemerak ", '']</v>
      </c>
      <c r="D1910" s="3">
        <v>1.0</v>
      </c>
    </row>
    <row r="1911" ht="15.75" customHeight="1">
      <c r="A1911" s="1">
        <v>1909.0</v>
      </c>
      <c r="B1911" s="3" t="s">
        <v>1912</v>
      </c>
      <c r="C1911" s="3" t="str">
        <f>IFERROR(__xludf.DUMMYFUNCTION("GOOGLETRANSLATE(B1911,""id"",""en"")"),"['Nurse', 'Threat', 'Network', 'NOT', 'TARI', 'NGUSINGIN', 'already', 'capital', 'improvement', 'expensive', 'Network', 'Good', ' Sampi ',' Kapn ',' Network ',' ugly ']")</f>
        <v>['Nurse', 'Threat', 'Network', 'NOT', 'TARI', 'NGUSINGIN', 'already', 'capital', 'improvement', 'expensive', 'Network', 'Good', ' Sampi ',' Kapn ',' Network ',' ugly ']</v>
      </c>
      <c r="D1911" s="3">
        <v>1.0</v>
      </c>
    </row>
    <row r="1912" ht="15.75" customHeight="1">
      <c r="A1912" s="1">
        <v>1910.0</v>
      </c>
      <c r="B1912" s="3" t="s">
        <v>1913</v>
      </c>
      <c r="C1912" s="3" t="str">
        <f>IFERROR(__xludf.DUMMYFUNCTION("GOOGLETRANSLATE(B1912,""id"",""en"")"),"['Sinyal', 'slow', 'buy', 'package', 'expensive', 'expensive', 'network', 'slow', 'hanging', 'server', 'disconnected', 'Mulu', ' already ',' tetep ',' slow ',' try ',' deh ',' gausah ',' twitter ',' gausah ',' email ',' ribet ']")</f>
        <v>['Sinyal', 'slow', 'buy', 'package', 'expensive', 'expensive', 'network', 'slow', 'hanging', 'server', 'disconnected', 'Mulu', ' already ',' tetep ',' slow ',' try ',' deh ',' gausah ',' twitter ',' gausah ',' email ',' ribet ']</v>
      </c>
      <c r="D1912" s="3">
        <v>1.0</v>
      </c>
    </row>
    <row r="1913" ht="15.75" customHeight="1">
      <c r="A1913" s="1">
        <v>1911.0</v>
      </c>
      <c r="B1913" s="3" t="s">
        <v>1914</v>
      </c>
      <c r="C1913" s="3" t="str">
        <f>IFERROR(__xludf.DUMMYFUNCTION("GOOGLETRANSLATE(B1913,""id"",""en"")"),"['Service', 'Telkomsel', 'here', 'Bad', 'Speed', 'Ngisangin', 'Negangin', 'Provider', 'Class',' MAYAL ',' Notif ',' Speed ​​',' ']")</f>
        <v>['Service', 'Telkomsel', 'here', 'Bad', 'Speed', 'Ngisangin', 'Negangin', 'Provider', 'Class',' MAYAL ',' Notif ',' Speed ​​',' ']</v>
      </c>
      <c r="D1913" s="3">
        <v>1.0</v>
      </c>
    </row>
    <row r="1914" ht="15.75" customHeight="1">
      <c r="A1914" s="1">
        <v>1912.0</v>
      </c>
      <c r="B1914" s="3" t="s">
        <v>1915</v>
      </c>
      <c r="C1914" s="3" t="str">
        <f>IFERROR(__xludf.DUMMYFUNCTION("GOOGLETRANSLATE(B1914,""id"",""en"")"),"['Telkomsel', 'network', 'gini', 'down', 'no', 'download', 'already', 'many', 'times',' tetep ',' no ',' repair ',' No ',' believe ',' Bacain ',' reply ',' Tpihak ',' Telkomsel ',' Say "", 'Have', 'Contact', 'Already', 'Contacted', 'No', 'Improvement' , '"&amp;"']")</f>
        <v>['Telkomsel', 'network', 'gini', 'down', 'no', 'download', 'already', 'many', 'times',' tetep ',' no ',' repair ',' No ',' believe ',' Bacain ',' reply ',' Tpihak ',' Telkomsel ',' Say ", 'Have', 'Contact', 'Already', 'Contacted', 'No', 'Improvement' , '']</v>
      </c>
      <c r="D1914" s="3">
        <v>1.0</v>
      </c>
    </row>
    <row r="1915" ht="15.75" customHeight="1">
      <c r="A1915" s="1">
        <v>1913.0</v>
      </c>
      <c r="B1915" s="3" t="s">
        <v>1916</v>
      </c>
      <c r="C1915" s="3" t="str">
        <f>IFERROR(__xludf.DUMMYFUNCTION("GOOGLETRANSLATE(B1915,""id"",""en"")"),"['week', 'hour', 'buy', 'package', 'data', 'self-help', 'gourjek', 'GB', 'hrg', 'rb', 'until', 'skrg', ' MSH ',' in ',' process', 'fast', 'SUCCESS', 'HELP', 'APPLY', 'HSL', 'Posting', 'Delete', ""]")</f>
        <v>['week', 'hour', 'buy', 'package', 'data', 'self-help', 'gourjek', 'GB', 'hrg', 'rb', 'until', 'skrg', ' MSH ',' in ',' process', 'fast', 'SUCCESS', 'HELP', 'APPLY', 'HSL', 'Posting', 'Delete', "]</v>
      </c>
      <c r="D1915" s="3">
        <v>3.0</v>
      </c>
    </row>
    <row r="1916" ht="15.75" customHeight="1">
      <c r="A1916" s="1">
        <v>1914.0</v>
      </c>
      <c r="B1916" s="3" t="s">
        <v>1917</v>
      </c>
      <c r="C1916" s="3" t="str">
        <f>IFERROR(__xludf.DUMMYFUNCTION("GOOGLETRANSLATE(B1916,""id"",""en"")"),"['SMS', 'promo', 'combo', 'Sakti', 'told', 'open', 'link', 'told', 'donlot', 'apdet', 'telkomsel', 'already', ' Lakuine ',' The result ',' zero ',' promo ',' nyesel ',' nipu ']")</f>
        <v>['SMS', 'promo', 'combo', 'Sakti', 'told', 'open', 'link', 'told', 'donlot', 'apdet', 'telkomsel', 'already', ' Lakuine ',' The result ',' zero ',' promo ',' nyesel ',' nipu ']</v>
      </c>
      <c r="D1916" s="3">
        <v>1.0</v>
      </c>
    </row>
    <row r="1917" ht="15.75" customHeight="1">
      <c r="A1917" s="1">
        <v>1915.0</v>
      </c>
      <c r="B1917" s="3" t="s">
        <v>1918</v>
      </c>
      <c r="C1917" s="3" t="str">
        <f>IFERROR(__xludf.DUMMYFUNCTION("GOOGLETRANSLATE(B1917,""id"",""en"")"),"['signal', 'Telkomsel', 'slow', 'already', 'Telkomsel', 'skrg', 'mmg', 'already', 'disappointed', 'price', 'expensive', 'quality', ' Lady ']")</f>
        <v>['signal', 'Telkomsel', 'slow', 'already', 'Telkomsel', 'skrg', 'mmg', 'already', 'disappointed', 'price', 'expensive', 'quality', ' Lady ']</v>
      </c>
      <c r="D1917" s="3">
        <v>1.0</v>
      </c>
    </row>
    <row r="1918" ht="15.75" customHeight="1">
      <c r="A1918" s="1">
        <v>1916.0</v>
      </c>
      <c r="B1918" s="3" t="s">
        <v>1919</v>
      </c>
      <c r="C1918" s="3" t="str">
        <f>IFERROR(__xludf.DUMMYFUNCTION("GOOGLETRANSLATE(B1918,""id"",""en"")"),"['Telkomsel', 'Jaya', 'signal', 'weak', 'Season', 'reprimand', 'users', 'Telkomsel', 'repairs', 'network', '']")</f>
        <v>['Telkomsel', 'Jaya', 'signal', 'weak', 'Season', 'reprimand', 'users', 'Telkomsel', 'repairs', 'network', '']</v>
      </c>
      <c r="D1918" s="3">
        <v>1.0</v>
      </c>
    </row>
    <row r="1919" ht="15.75" customHeight="1">
      <c r="A1919" s="1">
        <v>1917.0</v>
      </c>
      <c r="B1919" s="3" t="s">
        <v>1920</v>
      </c>
      <c r="C1919" s="3" t="str">
        <f>IFERROR(__xludf.DUMMYFUNCTION("GOOGLETRANSLATE(B1919,""id"",""en"")"),"['Network', 'ugly', 'price', 'package', 'sampe', 'rb', 'gmna', 'rich', 'replace', 'operator', 'loyal', 'Telkomsel', ' Ngaco ']")</f>
        <v>['Network', 'ugly', 'price', 'package', 'sampe', 'rb', 'gmna', 'rich', 'replace', 'operator', 'loyal', 'Telkomsel', ' Ngaco ']</v>
      </c>
      <c r="D1919" s="3">
        <v>1.0</v>
      </c>
    </row>
    <row r="1920" ht="15.75" customHeight="1">
      <c r="A1920" s="1">
        <v>1918.0</v>
      </c>
      <c r="B1920" s="3" t="s">
        <v>1921</v>
      </c>
      <c r="C1920" s="3" t="str">
        <f>IFERROR(__xludf.DUMMYFUNCTION("GOOGLETRANSLATE(B1920,""id"",""en"")"),"['Min', 'apk', 'entered', 'package', 'try', 'hospot', 'wifi', 'neighbor', 'tetep', 'writing', 'unstable', 'connection', ' Click ',' Refresh ',' pressing ',' refresh ',' Tetep ',' Min ', ""]")</f>
        <v>['Min', 'apk', 'entered', 'package', 'try', 'hospot', 'wifi', 'neighbor', 'tetep', 'writing', 'unstable', 'connection', ' Click ',' Refresh ',' pressing ',' refresh ',' Tetep ',' Min ', "]</v>
      </c>
      <c r="D1920" s="3">
        <v>1.0</v>
      </c>
    </row>
    <row r="1921" ht="15.75" customHeight="1">
      <c r="A1921" s="1">
        <v>1919.0</v>
      </c>
      <c r="B1921" s="3" t="s">
        <v>1922</v>
      </c>
      <c r="C1921" s="3" t="str">
        <f>IFERROR(__xludf.DUMMYFUNCTION("GOOGLETRANSLATE(B1921,""id"",""en"")"),"['list', 'package', 'unlimited', 'pulse', 'sumps',' php ',' consumers', 'package', 'cheap', 'abis',' list ',' pulses', ' Cut ',' Pulse ',' Safe ',' Sumpot ',' Pekah ']")</f>
        <v>['list', 'package', 'unlimited', 'pulse', 'sumps',' php ',' consumers', 'package', 'cheap', 'abis',' list ',' pulses', ' Cut ',' Pulse ',' Safe ',' Sumpot ',' Pekah ']</v>
      </c>
      <c r="D1921" s="3">
        <v>1.0</v>
      </c>
    </row>
    <row r="1922" ht="15.75" customHeight="1">
      <c r="A1922" s="1">
        <v>1920.0</v>
      </c>
      <c r="B1922" s="3" t="s">
        <v>1923</v>
      </c>
      <c r="C1922" s="3" t="str">
        <f>IFERROR(__xludf.DUMMYFUNCTION("GOOGLETRANSLATE(B1922,""id"",""en"")"),"['star', 'price', 'Telkomsel', 'down', 'profitable', 'user', 'star', '']")</f>
        <v>['star', 'price', 'Telkomsel', 'down', 'profitable', 'user', 'star', '']</v>
      </c>
      <c r="D1922" s="3">
        <v>3.0</v>
      </c>
    </row>
    <row r="1923" ht="15.75" customHeight="1">
      <c r="A1923" s="1">
        <v>1921.0</v>
      </c>
      <c r="B1923" s="3" t="s">
        <v>1924</v>
      </c>
      <c r="C1923" s="3" t="str">
        <f>IFERROR(__xludf.DUMMYFUNCTION("GOOGLETRANSLATE(B1923,""id"",""en"")"),"['Value', 'star', 'in my opinion', 'Telkomsel', 'giving', 'value', 'minus',' love ',' package ',' expensive ',' according to ',' quality ',' ']")</f>
        <v>['Value', 'star', 'in my opinion', 'Telkomsel', 'giving', 'value', 'minus',' love ',' package ',' expensive ',' according to ',' quality ',' ']</v>
      </c>
      <c r="D1923" s="3">
        <v>1.0</v>
      </c>
    </row>
    <row r="1924" ht="15.75" customHeight="1">
      <c r="A1924" s="1">
        <v>1922.0</v>
      </c>
      <c r="B1924" s="3" t="s">
        <v>1925</v>
      </c>
      <c r="C1924" s="3" t="str">
        <f>IFERROR(__xludf.DUMMYFUNCTION("GOOGLETRANSLATE(B1924,""id"",""en"")"),"['here', 'severe', 'signal', 'ugly', 'knapa', 'my point', 'scorched', 'application', 'vain', 'ngumpupin', 'point', 'take', ' Notifications', 'Mediumlan', 'Signal', 'ugly', '']")</f>
        <v>['here', 'severe', 'signal', 'ugly', 'knapa', 'my point', 'scorched', 'application', 'vain', 'ngumpupin', 'point', 'take', ' Notifications', 'Mediumlan', 'Signal', 'ugly', '']</v>
      </c>
      <c r="D1924" s="3">
        <v>1.0</v>
      </c>
    </row>
    <row r="1925" ht="15.75" customHeight="1">
      <c r="A1925" s="1">
        <v>1923.0</v>
      </c>
      <c r="B1925" s="3" t="s">
        <v>1926</v>
      </c>
      <c r="C1925" s="3" t="str">
        <f>IFERROR(__xludf.DUMMYFUNCTION("GOOGLETRANSLATE(B1925,""id"",""en"")"),"['Hi', 'Devoloper', 'History', 'purchase', 'deleted', 'subscription', 'quota', 'omg', 'kagak', 'bought', 'repay', 'disappointed', ' Update ',' times', '']")</f>
        <v>['Hi', 'Devoloper', 'History', 'purchase', 'deleted', 'subscription', 'quota', 'omg', 'kagak', 'bought', 'repay', 'disappointed', ' Update ',' times', '']</v>
      </c>
      <c r="D1925" s="3">
        <v>1.0</v>
      </c>
    </row>
    <row r="1926" ht="15.75" customHeight="1">
      <c r="A1926" s="1">
        <v>1924.0</v>
      </c>
      <c r="B1926" s="3" t="s">
        <v>1927</v>
      </c>
      <c r="C1926" s="3" t="str">
        <f>IFERROR(__xludf.DUMMYFUNCTION("GOOGLETRANSLATE(B1926,""id"",""en"")"),"['', 'quota', 'run out', 'right', 'additional', 'quota', 'program', 'daily', 'checkin', 'telkomsel', 'please', 'active', 'quota ',' thank ',' love ',' Telkomsel ',' ']")</f>
        <v>['', 'quota', 'run out', 'right', 'additional', 'quota', 'program', 'daily', 'checkin', 'telkomsel', 'please', 'active', 'quota ',' thank ',' love ',' Telkomsel ',' ']</v>
      </c>
      <c r="D1926" s="3">
        <v>5.0</v>
      </c>
    </row>
    <row r="1927" ht="15.75" customHeight="1">
      <c r="A1927" s="1">
        <v>1925.0</v>
      </c>
      <c r="B1927" s="3" t="s">
        <v>1928</v>
      </c>
      <c r="C1927" s="3" t="str">
        <f>IFERROR(__xludf.DUMMYFUNCTION("GOOGLETRANSLATE(B1927,""id"",""en"")"),"['Signal', 'Telkomsel', 'deteriorated', 'oath', 'anything', 'fun', 'customers',' customers', 'loyal', 'Telkomsel', 'disappointed', 'connection', ' bad ',' already ',' week ',' news', 'improved', 'please', 'appreciate', 'publication', 'loyal', 'Telkomsel',"&amp;" ""]")</f>
        <v>['Signal', 'Telkomsel', 'deteriorated', 'oath', 'anything', 'fun', 'customers',' customers', 'loyal', 'Telkomsel', 'disappointed', 'connection', ' bad ',' already ',' week ',' news', 'improved', 'please', 'appreciate', 'publication', 'loyal', 'Telkomsel', "]</v>
      </c>
      <c r="D1927" s="3">
        <v>1.0</v>
      </c>
    </row>
    <row r="1928" ht="15.75" customHeight="1">
      <c r="A1928" s="1">
        <v>1926.0</v>
      </c>
      <c r="B1928" s="3" t="s">
        <v>1929</v>
      </c>
      <c r="C1928" s="3" t="str">
        <f>IFERROR(__xludf.DUMMYFUNCTION("GOOGLETRANSLATE(B1928,""id"",""en"")"),"['Telkomsel', 'Good', 'Indonesia', 'Quality', 'Network', 'After', 'Service', 'Promo', 'Merchant', 'Promo', 'Telkomsel', 'Points',' Useful ',' program ',' Daily ',' check ',' good ',' Points', 'quota', 'free', 'promo', 'interesting', 'great', 'Telkomsel']")</f>
        <v>['Telkomsel', 'Good', 'Indonesia', 'Quality', 'Network', 'After', 'Service', 'Promo', 'Merchant', 'Promo', 'Telkomsel', 'Points',' Useful ',' program ',' Daily ',' check ',' good ',' Points', 'quota', 'free', 'promo', 'interesting', 'great', 'Telkomsel']</v>
      </c>
      <c r="D1928" s="3">
        <v>5.0</v>
      </c>
    </row>
    <row r="1929" ht="15.75" customHeight="1">
      <c r="A1929" s="1">
        <v>1927.0</v>
      </c>
      <c r="B1929" s="3" t="s">
        <v>1930</v>
      </c>
      <c r="C1929" s="3" t="str">
        <f>IFERROR(__xludf.DUMMYFUNCTION("GOOGLETRANSLATE(B1929,""id"",""en"")"),"['Keconahaaaaa', 'Bangeeeeeet', 'Eat', 'Edit', 'Review', 'Application', 'Good', 'Telkomsel', 'No', 'Good', 'Chaos',' The Network ',' already ',' expensive ',' leellleeet ',' really ',' lost ',' next door ',' admit ',' operator ',' cellular ',' giant ',' i"&amp;"mprove ',' except ',' said ' , 'Operator', 'cellular', 'omek', 'erek', 'yaa', 'papa', 'tuban', 'java', 'east', 'indonesai', 'developer', 'please' ',' Operator ',' ']")</f>
        <v>['Keconahaaaaa', 'Bangeeeeeet', 'Eat', 'Edit', 'Review', 'Application', 'Good', 'Telkomsel', 'No', 'Good', 'Chaos',' The Network ',' already ',' expensive ',' leellleeet ',' really ',' lost ',' next door ',' admit ',' operator ',' cellular ',' giant ',' improve ',' except ',' said ' , 'Operator', 'cellular', 'omek', 'erek', 'yaa', 'papa', 'tuban', 'java', 'east', 'indonesai', 'developer', 'please' ',' Operator ',' ']</v>
      </c>
      <c r="D1929" s="3">
        <v>4.0</v>
      </c>
    </row>
    <row r="1930" ht="15.75" customHeight="1">
      <c r="A1930" s="1">
        <v>1928.0</v>
      </c>
      <c r="B1930" s="3" t="s">
        <v>1931</v>
      </c>
      <c r="C1930" s="3" t="str">
        <f>IFERROR(__xludf.DUMMYFUNCTION("GOOGLETRANSLATE(B1930,""id"",""en"")"),"['Like', 'Application', 'Telkomsel', 'Deily', 'Chek', 'Login', 'Exchange', 'Cheap', 'Very', 'Used', 'Watch', 'Video', ' Vio ',' Watch ',' Tiktok ',' Unlimited ',' Diles', 'Package', 'Internet', ""]")</f>
        <v>['Like', 'Application', 'Telkomsel', 'Deily', 'Chek', 'Login', 'Exchange', 'Cheap', 'Very', 'Used', 'Watch', 'Video', ' Vio ',' Watch ',' Tiktok ',' Unlimited ',' Diles', 'Package', 'Internet', "]</v>
      </c>
      <c r="D1930" s="3">
        <v>5.0</v>
      </c>
    </row>
    <row r="1931" ht="15.75" customHeight="1">
      <c r="A1931" s="1">
        <v>1929.0</v>
      </c>
      <c r="B1931" s="3" t="s">
        <v>1932</v>
      </c>
      <c r="C1931" s="3" t="str">
        <f>IFERROR(__xludf.DUMMYFUNCTION("GOOGLETRANSLATE(B1931,""id"",""en"")"),"['Severe', 'network', 'gave', 'promo', 'quota', 'game', 'login', 'right', 'fix', 'quality', 'network', 'talking', ' Quota ',' cheap ',' ']")</f>
        <v>['Severe', 'network', 'gave', 'promo', 'quota', 'game', 'login', 'right', 'fix', 'quality', 'network', 'talking', ' Quota ',' cheap ',' ']</v>
      </c>
      <c r="D1931" s="3">
        <v>4.0</v>
      </c>
    </row>
    <row r="1932" ht="15.75" customHeight="1">
      <c r="A1932" s="1">
        <v>1930.0</v>
      </c>
      <c r="B1932" s="3" t="s">
        <v>1933</v>
      </c>
      <c r="C1932" s="3" t="str">
        <f>IFERROR(__xludf.DUMMYFUNCTION("GOOGLETRANSLATE(B1932,""id"",""en"")"),"['Customer', 'Telkomsel', 'Disappointed', 'Network', 'Telkomsel', 'Stable', 'Signal', 'Down', 'Play', 'Ngelag', 'Severe', 'Use', ' Telkomsel ',' Move ',' Operator ']")</f>
        <v>['Customer', 'Telkomsel', 'Disappointed', 'Network', 'Telkomsel', 'Stable', 'Signal', 'Down', 'Play', 'Ngelag', 'Severe', 'Use', ' Telkomsel ',' Move ',' Operator ']</v>
      </c>
      <c r="D1932" s="3">
        <v>1.0</v>
      </c>
    </row>
    <row r="1933" ht="15.75" customHeight="1">
      <c r="A1933" s="1">
        <v>1931.0</v>
      </c>
      <c r="B1933" s="3" t="s">
        <v>1934</v>
      </c>
      <c r="C1933" s="3" t="str">
        <f>IFERROR(__xludf.DUMMYFUNCTION("GOOGLETRANSLATE(B1933,""id"",""en"")"),"['Love', 'Bintang', 'Please', 'Correction', 'Data', 'KTP', 'Leak', 'Number', 'Know', 'Registered', 'Data', 'Klu', ' Data ',' Telkomsel ',' responsible ',' hope ',' Telkomsel ',' strict ',' data ',' nik ',' consumer ',' tighten ',' system ',' storage ',' d"&amp;"ata ' , 'consumers', 'leaked', 'wrong', 'responsible', 'hopefully', 'Telkomsel', 'trusted', 'millions', 'million', 'consumers', ""]")</f>
        <v>['Love', 'Bintang', 'Please', 'Correction', 'Data', 'KTP', 'Leak', 'Number', 'Know', 'Registered', 'Data', 'Klu', ' Data ',' Telkomsel ',' responsible ',' hope ',' Telkomsel ',' strict ',' data ',' nik ',' consumer ',' tighten ',' system ',' storage ',' data ' , 'consumers', 'leaked', 'wrong', 'responsible', 'hopefully', 'Telkomsel', 'trusted', 'millions', 'million', 'consumers', "]</v>
      </c>
      <c r="D1933" s="3">
        <v>5.0</v>
      </c>
    </row>
    <row r="1934" ht="15.75" customHeight="1">
      <c r="A1934" s="1">
        <v>1932.0</v>
      </c>
      <c r="B1934" s="3" t="s">
        <v>1935</v>
      </c>
      <c r="C1934" s="3" t="str">
        <f>IFERROR(__xludf.DUMMYFUNCTION("GOOGLETRANSLATE(B1934,""id"",""en"")"),"['improvement', 'application', 'comfortable', 'spirit', 'service', 'optimal', 'yaa', ""]")</f>
        <v>['improvement', 'application', 'comfortable', 'spirit', 'service', 'optimal', 'yaa', "]</v>
      </c>
      <c r="D1934" s="3">
        <v>5.0</v>
      </c>
    </row>
    <row r="1935" ht="15.75" customHeight="1">
      <c r="A1935" s="1">
        <v>1933.0</v>
      </c>
      <c r="B1935" s="3" t="s">
        <v>1936</v>
      </c>
      <c r="C1935" s="3" t="str">
        <f>IFERROR(__xludf.DUMMYFUNCTION("GOOGLETRANSLATE(B1935,""id"",""en"")"),"['Cape', 'Cape', 'check', 'right', 'take', 'gift', 'quota', 'failed', 'sorry', 'point', 'please', 'min', ' Assisted ',' repaired ',' computer ',' no ',' disappointing ',' Customer ',' ']")</f>
        <v>['Cape', 'Cape', 'check', 'right', 'take', 'gift', 'quota', 'failed', 'sorry', 'point', 'please', 'min', ' Assisted ',' repaired ',' computer ',' no ',' disappointing ',' Customer ',' ']</v>
      </c>
      <c r="D1935" s="3">
        <v>1.0</v>
      </c>
    </row>
    <row r="1936" ht="15.75" customHeight="1">
      <c r="A1936" s="1">
        <v>1934.0</v>
      </c>
      <c r="B1936" s="3" t="s">
        <v>1937</v>
      </c>
      <c r="C1936" s="3" t="str">
        <f>IFERROR(__xludf.DUMMYFUNCTION("GOOGLETRANSLATE(B1936,""id"",""en"")"),"['Signal', 'Severe', 'Internet', 'Loading', 'Signal', 'Severe', 'Signal', 'Setabil', 'Full', 'Bar', 'Lost', 'Signal', ' Stayed ',' City ',' Network ',' City ',' Leet ',' Bener ',' Already ',' Price ',' Package ',' Expensive ',' Quality ',' Network ',' Int"&amp;"ernet ' , 'slow', 'change', 'improvement', 'signal', 'move', 'operator', '']")</f>
        <v>['Signal', 'Severe', 'Internet', 'Loading', 'Signal', 'Severe', 'Signal', 'Setabil', 'Full', 'Bar', 'Lost', 'Signal', ' Stayed ',' City ',' Network ',' City ',' Leet ',' Bener ',' Already ',' Price ',' Package ',' Expensive ',' Quality ',' Network ',' Internet ' , 'slow', 'change', 'improvement', 'signal', 'move', 'operator', '']</v>
      </c>
      <c r="D1936" s="3">
        <v>1.0</v>
      </c>
    </row>
    <row r="1937" ht="15.75" customHeight="1">
      <c r="A1937" s="1">
        <v>1935.0</v>
      </c>
      <c r="B1937" s="3" t="s">
        <v>1938</v>
      </c>
      <c r="C1937" s="3" t="str">
        <f>IFERROR(__xludf.DUMMYFUNCTION("GOOGLETRANSLATE(B1937,""id"",""en"")"),"['good', 'Job', 'like', 'application', 'Telkomsel', 'profit', 'check', 'transaction', 'easy', 'practical', 'sell', 'buy', ' Credit ',' Okay ',' ']")</f>
        <v>['good', 'Job', 'like', 'application', 'Telkomsel', 'profit', 'check', 'transaction', 'easy', 'practical', 'sell', 'buy', ' Credit ',' Okay ',' ']</v>
      </c>
      <c r="D1937" s="3">
        <v>5.0</v>
      </c>
    </row>
    <row r="1938" ht="15.75" customHeight="1">
      <c r="A1938" s="1">
        <v>1936.0</v>
      </c>
      <c r="B1938" s="3" t="s">
        <v>1939</v>
      </c>
      <c r="C1938" s="3" t="str">
        <f>IFERROR(__xludf.DUMMYFUNCTION("GOOGLETRANSLATE(B1938,""id"",""en"")"),"['use', 'Telkomsel', 'Telkomsel', 'replaceable', 'easy', 'hopefully', 'in the future', 'Telkomsel', 'Benefit', 'convenience', 'customer', 'loyal "" ']")</f>
        <v>['use', 'Telkomsel', 'Telkomsel', 'replaceable', 'easy', 'hopefully', 'in the future', 'Telkomsel', 'Benefit', 'convenience', 'customer', 'loyal " ']</v>
      </c>
      <c r="D1938" s="3">
        <v>5.0</v>
      </c>
    </row>
    <row r="1939" ht="15.75" customHeight="1">
      <c r="A1939" s="1">
        <v>1937.0</v>
      </c>
      <c r="B1939" s="3" t="s">
        <v>1940</v>
      </c>
      <c r="C1939" s="3" t="str">
        <f>IFERROR(__xludf.DUMMYFUNCTION("GOOGLETRANSLATE(B1939,""id"",""en"")"),"['signal', 'Telkomsel', 'stable', 'internet', 'network', 'internet', 'lost', 'sometimes',' signal ',' super ',' slow ',' packetan ',' Internet ',' expensive ',' really ',' quality ',' signal ',' severe ',' threat ',' balanced ',' price ',' package ',' int"&amp;"ernet ',' expensive ',' signal ' , 'Package', 'Combo', 'Sakti', 'Telkomsel', 'Card', 'Telkomsel', 'Emag', 'Card', 'Choice', 'Special', 'Combo', 'Sakti']")</f>
        <v>['signal', 'Telkomsel', 'stable', 'internet', 'network', 'internet', 'lost', 'sometimes',' signal ',' super ',' slow ',' packetan ',' Internet ',' expensive ',' really ',' quality ',' signal ',' severe ',' threat ',' balanced ',' price ',' package ',' internet ',' expensive ',' signal ' , 'Package', 'Combo', 'Sakti', 'Telkomsel', 'Card', 'Telkomsel', 'Emag', 'Card', 'Choice', 'Special', 'Combo', 'Sakti']</v>
      </c>
      <c r="D1939" s="3">
        <v>1.0</v>
      </c>
    </row>
    <row r="1940" ht="15.75" customHeight="1">
      <c r="A1940" s="1">
        <v>1938.0</v>
      </c>
      <c r="B1940" s="3" t="s">
        <v>1941</v>
      </c>
      <c r="C1940" s="3" t="str">
        <f>IFERROR(__xludf.DUMMYFUNCTION("GOOGLETRANSLATE(B1940,""id"",""en"")"),"['bother', 'enter', 'login', 'login', 'error', 'login', 'verification', 'bad', 'good', 'version', 'provide', 'update', ' Updates', 'bad', 'version', '']")</f>
        <v>['bother', 'enter', 'login', 'login', 'error', 'login', 'verification', 'bad', 'good', 'version', 'provide', 'update', ' Updates', 'bad', 'version', '']</v>
      </c>
      <c r="D1940" s="3">
        <v>1.0</v>
      </c>
    </row>
    <row r="1941" ht="15.75" customHeight="1">
      <c r="A1941" s="1">
        <v>1939.0</v>
      </c>
      <c r="B1941" s="3" t="s">
        <v>1942</v>
      </c>
      <c r="C1941" s="3" t="str">
        <f>IFERROR(__xludf.DUMMYFUNCTION("GOOGLETRANSLATE(B1941,""id"",""en"")"),"['', 'Lovers',' Telkomsel ',' The network ',' strong ',' good ',' Where ',' KNP ',' The network ',' Bad ',' buffering ',' Cape ',' his waiting ',' Telkomsel ',' TLG ',' repaired ',' network ',' ']")</f>
        <v>['', 'Lovers',' Telkomsel ',' The network ',' strong ',' good ',' Where ',' KNP ',' The network ',' Bad ',' buffering ',' Cape ',' his waiting ',' Telkomsel ',' TLG ',' repaired ',' network ',' ']</v>
      </c>
      <c r="D1941" s="3">
        <v>5.0</v>
      </c>
    </row>
    <row r="1942" ht="15.75" customHeight="1">
      <c r="A1942" s="1">
        <v>1940.0</v>
      </c>
      <c r="B1942" s="3" t="s">
        <v>1943</v>
      </c>
      <c r="C1942" s="3" t="str">
        <f>IFERROR(__xludf.DUMMYFUNCTION("GOOGLETRANSLATE(B1942,""id"",""en"")"),"['Good', 'function', 'gift', 'quota', 'internet', 'daily', 'check', 'loss', 'quota', 'active', 'trims', ""]")</f>
        <v>['Good', 'function', 'gift', 'quota', 'internet', 'daily', 'check', 'loss', 'quota', 'active', 'trims', "]</v>
      </c>
      <c r="D1942" s="3">
        <v>5.0</v>
      </c>
    </row>
    <row r="1943" ht="15.75" customHeight="1">
      <c r="A1943" s="1">
        <v>1941.0</v>
      </c>
      <c r="B1943" s="3" t="s">
        <v>1944</v>
      </c>
      <c r="C1943" s="3" t="str">
        <f>IFERROR(__xludf.DUMMYFUNCTION("GOOGLETRANSLATE(B1943,""id"",""en"")"),"['I', 'Disappointed', 'Telkomsel', 'I', 'Kirain', 'Signal', 'Fast', 'Open', 'Internet', 'ugly', 'Udh', 'tired', ' Tired ',' I ',' Pay ',' Quota ',' Different ',' Ama ',' Family ',' I ',' Negeri ',' Where ',' Fast ',' Bang ',' Open ' , 'internet', 'huu', '"&amp;"please', 'increase', 'org', 'happy', 'bkn', 'org', 'loss', ""]")</f>
        <v>['I', 'Disappointed', 'Telkomsel', 'I', 'Kirain', 'Signal', 'Fast', 'Open', 'Internet', 'ugly', 'Udh', 'tired', ' Tired ',' I ',' Pay ',' Quota ',' Different ',' Ama ',' Family ',' I ',' Negeri ',' Where ',' Fast ',' Bang ',' Open ' , 'internet', 'huu', 'please', 'increase', 'org', 'happy', 'bkn', 'org', 'loss', "]</v>
      </c>
      <c r="D1943" s="3">
        <v>1.0</v>
      </c>
    </row>
    <row r="1944" ht="15.75" customHeight="1">
      <c r="A1944" s="1">
        <v>1942.0</v>
      </c>
      <c r="B1944" s="3" t="s">
        <v>1945</v>
      </c>
      <c r="C1944" s="3" t="str">
        <f>IFERROR(__xludf.DUMMYFUNCTION("GOOGLETRANSLATE(B1944,""id"",""en"")"),"['pelaya', 'network', 'internet', 'speeding', 'obstacles',' play ',' games', 'mlbb', 'like', 'nge', 'lak', 'setabilia', ' Network ',' Please ',' Review ',' Telkomsel ',' Mantap ',' ']")</f>
        <v>['pelaya', 'network', 'internet', 'speeding', 'obstacles',' play ',' games', 'mlbb', 'like', 'nge', 'lak', 'setabilia', ' Network ',' Please ',' Review ',' Telkomsel ',' Mantap ',' ']</v>
      </c>
      <c r="D1944" s="3">
        <v>5.0</v>
      </c>
    </row>
    <row r="1945" ht="15.75" customHeight="1">
      <c r="A1945" s="1">
        <v>1943.0</v>
      </c>
      <c r="B1945" s="3" t="s">
        <v>1946</v>
      </c>
      <c r="C1945" s="3" t="str">
        <f>IFERROR(__xludf.DUMMYFUNCTION("GOOGLETRANSLATE(B1945,""id"",""en"")"),"['operator', 'Telkomsel', 'App', 'light', 'easy', 'app', 'heavy', 'sometimes',' failed ',' open ',' in ',' network ',' Specifications', '']")</f>
        <v>['operator', 'Telkomsel', 'App', 'light', 'easy', 'app', 'heavy', 'sometimes',' failed ',' open ',' in ',' network ',' Specifications', '']</v>
      </c>
      <c r="D1945" s="3">
        <v>1.0</v>
      </c>
    </row>
    <row r="1946" ht="15.75" customHeight="1">
      <c r="A1946" s="1">
        <v>1944.0</v>
      </c>
      <c r="B1946" s="3" t="s">
        <v>1947</v>
      </c>
      <c r="C1946" s="3" t="str">
        <f>IFERROR(__xludf.DUMMYFUNCTION("GOOGLETRANSLATE(B1946,""id"",""en"")"),"['Developer', 'idiot', 'signal', 'brain', 'open', 'line', 'slow', 'how', 'package', 'ngelag', 'weather', 'bright', ' Ngellag ',' cloudy ',' ngelag ',' price ',' star ',' quality ',' star ']")</f>
        <v>['Developer', 'idiot', 'signal', 'brain', 'open', 'line', 'slow', 'how', 'package', 'ngelag', 'weather', 'bright', ' Ngellag ',' cloudy ',' ngelag ',' price ',' star ',' quality ',' star ']</v>
      </c>
      <c r="D1946" s="3">
        <v>1.0</v>
      </c>
    </row>
    <row r="1947" ht="15.75" customHeight="1">
      <c r="A1947" s="1">
        <v>1945.0</v>
      </c>
      <c r="B1947" s="3" t="s">
        <v>1948</v>
      </c>
      <c r="C1947" s="3" t="str">
        <f>IFERROR(__xludf.DUMMYFUNCTION("GOOGLETRANSLATE(B1947,""id"",""en"")"),"['operator', 'network', 'worst', 'price', 'package', 'expensive', 'operator', 'if', 'network', 'operator', 'in place', 'my stay', ' Change ',' card ',' throw ',' card ',' Telkomselku ']")</f>
        <v>['operator', 'network', 'worst', 'price', 'package', 'expensive', 'operator', 'if', 'network', 'operator', 'in place', 'my stay', ' Change ',' card ',' throw ',' card ',' Telkomselku ']</v>
      </c>
      <c r="D1947" s="3">
        <v>1.0</v>
      </c>
    </row>
    <row r="1948" ht="15.75" customHeight="1">
      <c r="A1948" s="1">
        <v>1946.0</v>
      </c>
      <c r="B1948" s="3" t="s">
        <v>1949</v>
      </c>
      <c r="C1948" s="3" t="str">
        <f>IFERROR(__xludf.DUMMYFUNCTION("GOOGLETRANSLATE(B1948,""id"",""en"")"),"['Telkomsel', 'good', 'garbage', 'expensive', 'doang', 'slow', 'according to', 'price', 'network', 'next door', 'strong', 'Telkomsel', ' Lost ',' garbage ']")</f>
        <v>['Telkomsel', 'good', 'garbage', 'expensive', 'doang', 'slow', 'according to', 'price', 'network', 'next door', 'strong', 'Telkomsel', ' Lost ',' garbage ']</v>
      </c>
      <c r="D1948" s="3">
        <v>1.0</v>
      </c>
    </row>
    <row r="1949" ht="15.75" customHeight="1">
      <c r="A1949" s="1">
        <v>1947.0</v>
      </c>
      <c r="B1949" s="3" t="s">
        <v>1950</v>
      </c>
      <c r="C1949" s="3" t="str">
        <f>IFERROR(__xludf.DUMMYFUNCTION("GOOGLETRANSLATE(B1949,""id"",""en"")"),"['Please', 'signal', 'game', 'mobile', 'legend', 'repaired', 'user', 'card', 'hello', 'sorry', 'migration', 'signal', ' Nge ',' Game ',' No ',' repaired ',' close ',' stop ',' subscribe ',' card ',' hello ',' so ',' thank you ',' please ',' considered ' ]")</f>
        <v>['Please', 'signal', 'game', 'mobile', 'legend', 'repaired', 'user', 'card', 'hello', 'sorry', 'migration', 'signal', ' Nge ',' Game ',' No ',' repaired ',' close ',' stop ',' subscribe ',' card ',' hello ',' so ',' thank you ',' please ',' considered ' ]</v>
      </c>
      <c r="D1949" s="3">
        <v>1.0</v>
      </c>
    </row>
    <row r="1950" ht="15.75" customHeight="1">
      <c r="A1950" s="1">
        <v>1948.0</v>
      </c>
      <c r="B1950" s="3" t="s">
        <v>1951</v>
      </c>
      <c r="C1950" s="3" t="str">
        <f>IFERROR(__xludf.DUMMYFUNCTION("GOOGLETRANSLATE(B1950,""id"",""en"")"),"['emng', 'mafia', 'heart', 'stone', 'package', 'expensive', 'expensive', 'loyal', 'Telkomsel', 'February', 'Laag', 'Severe', ' Laag ',' game ',' lag ',' severe ',' pig ',' buy ',' unlimited ',' spent ',' GB ',' how ',' network ',' lag ',' severe ' , 'slow"&amp;"', 'pulse', 'tetep', 'kotong', 'kouta', 'suck', 'pulse', 'emng', 'mafia', 'hope', 'reply', 'yes' Rp. ',' Perawa ',' Indonesia ',' Thinking ',' Hopefully ',' Replied ',' Power ',' Lord ']")</f>
        <v>['emng', 'mafia', 'heart', 'stone', 'package', 'expensive', 'expensive', 'loyal', 'Telkomsel', 'February', 'Laag', 'Severe', ' Laag ',' game ',' lag ',' severe ',' pig ',' buy ',' unlimited ',' spent ',' GB ',' how ',' network ',' lag ',' severe ' , 'slow', 'pulse', 'tetep', 'kotong', 'kouta', 'suck', 'pulse', 'emng', 'mafia', 'hope', 'reply', 'yes' Rp. ',' Perawa ',' Indonesia ',' Thinking ',' Hopefully ',' Replied ',' Power ',' Lord ']</v>
      </c>
      <c r="D1950" s="3">
        <v>1.0</v>
      </c>
    </row>
    <row r="1951" ht="15.75" customHeight="1">
      <c r="A1951" s="1">
        <v>1949.0</v>
      </c>
      <c r="B1951" s="3" t="s">
        <v>1952</v>
      </c>
      <c r="C1951" s="3" t="str">
        <f>IFERROR(__xludf.DUMMYFUNCTION("GOOGLETRANSLATE(B1951,""id"",""en"")"),"['parahhhhhh', 'buy', 'unlimited', 'signal', 'good', 'here', 'mlh', 'bokbrok', 'trssss',' aza ',' loading ',' bwt ',' Streaming ',' UDH ',' Strong ',' Dinurunin ',' MKN ',' Parahhhhhh ',' Telkomsel ',' Kyk ',' Gini ',' Stayed ',' Gadang ',' Plg ',' Top ' "&amp;", '']")</f>
        <v>['parahhhhhh', 'buy', 'unlimited', 'signal', 'good', 'here', 'mlh', 'bokbrok', 'trssss',' aza ',' loading ',' bwt ',' Streaming ',' UDH ',' Strong ',' Dinurunin ',' MKN ',' Parahhhhhh ',' Telkomsel ',' Kyk ',' Gini ',' Stayed ',' Gadang ',' Plg ',' Top ' , '']</v>
      </c>
      <c r="D1951" s="3">
        <v>2.0</v>
      </c>
    </row>
    <row r="1952" ht="15.75" customHeight="1">
      <c r="A1952" s="1">
        <v>1950.0</v>
      </c>
      <c r="B1952" s="3" t="s">
        <v>1953</v>
      </c>
      <c r="C1952" s="3" t="str">
        <f>IFERROR(__xludf.DUMMYFUNCTION("GOOGLETRANSLATE(B1952,""id"",""en"")"),"['Apps', 'MyTelkomsel', 'Application', 'Device', 'Different', 'Application', 'Heavy', 'Force', 'Close', 'Please', 'fix', ""]")</f>
        <v>['Apps', 'MyTelkomsel', 'Application', 'Device', 'Different', 'Application', 'Heavy', 'Force', 'Close', 'Please', 'fix', "]</v>
      </c>
      <c r="D1952" s="3">
        <v>2.0</v>
      </c>
    </row>
    <row r="1953" ht="15.75" customHeight="1">
      <c r="A1953" s="1">
        <v>1951.0</v>
      </c>
      <c r="B1953" s="3" t="s">
        <v>1954</v>
      </c>
      <c r="C1953" s="3" t="str">
        <f>IFERROR(__xludf.DUMMYFUNCTION("GOOGLETRANSLATE(B1953,""id"",""en"")"),"['Sorry', 'Telkomsel', 'Points', 'Live', 'Yesterday', 'Yesterday', 'Points', 'Exchange', 'Purchases', 'Please', 'Explanation', ""]")</f>
        <v>['Sorry', 'Telkomsel', 'Points', 'Live', 'Yesterday', 'Yesterday', 'Points', 'Exchange', 'Purchases', 'Please', 'Explanation', "]</v>
      </c>
      <c r="D1953" s="3">
        <v>1.0</v>
      </c>
    </row>
    <row r="1954" ht="15.75" customHeight="1">
      <c r="A1954" s="1">
        <v>1952.0</v>
      </c>
      <c r="B1954" s="3" t="s">
        <v>1955</v>
      </c>
      <c r="C1954" s="3" t="str">
        <f>IFERROR(__xludf.DUMMYFUNCTION("GOOGLETRANSLATE(B1954,""id"",""en"")"),"['Telkomsel', 'suggest', 'feature', 'key', 'quota', 'next door', 'pulses',' scorched ',' forget ',' Matiin ',' data ',' hope ',' Suggestions', 'thank', 'make', 'features',' ']")</f>
        <v>['Telkomsel', 'suggest', 'feature', 'key', 'quota', 'next door', 'pulses',' scorched ',' forget ',' Matiin ',' data ',' hope ',' Suggestions', 'thank', 'make', 'features',' ']</v>
      </c>
      <c r="D1954" s="3">
        <v>3.0</v>
      </c>
    </row>
    <row r="1955" ht="15.75" customHeight="1">
      <c r="A1955" s="1">
        <v>1953.0</v>
      </c>
      <c r="B1955" s="3" t="s">
        <v>1956</v>
      </c>
      <c r="C1955" s="3" t="str">
        <f>IFERROR(__xludf.DUMMYFUNCTION("GOOGLETRANSLATE(B1955,""id"",""en"")"),"['Wear', 'Telkomsel', 'Aware', 'Price', 'Determine', 'Quality', 'Indonesia', 'Region', 'West', 'Boss',' Bagusin ',' Network ',' east ',' special ',' area ',' border ',' sell ',' expensive ',' there ',' quality ',' garbage ',' take ',' profit ',' beshed ',"&amp;"' there ' , 'polite', 'bot', 'prohibited', 'comment', 'gave', 'star', 'bot', ""]")</f>
        <v>['Wear', 'Telkomsel', 'Aware', 'Price', 'Determine', 'Quality', 'Indonesia', 'Region', 'West', 'Boss',' Bagusin ',' Network ',' east ',' special ',' area ',' border ',' sell ',' expensive ',' there ',' quality ',' garbage ',' take ',' profit ',' beshed ',' there ' , 'polite', 'bot', 'prohibited', 'comment', 'gave', 'star', 'bot', "]</v>
      </c>
      <c r="D1955" s="3">
        <v>1.0</v>
      </c>
    </row>
    <row r="1956" ht="15.75" customHeight="1">
      <c r="A1956" s="1">
        <v>1954.0</v>
      </c>
      <c r="B1956" s="3" t="s">
        <v>1957</v>
      </c>
      <c r="C1956" s="3" t="str">
        <f>IFERROR(__xludf.DUMMYFUNCTION("GOOGLETRANSLATE(B1956,""id"",""en"")"),"['', 'user', 'data', 'Telkomsel', 'down', 'drastic', 'admin', 'blz', 'review', 'try', 'think', 'feel', 'data ',' Internet ',' Telkomsel ']")</f>
        <v>['', 'user', 'data', 'Telkomsel', 'down', 'drastic', 'admin', 'blz', 'review', 'try', 'think', 'feel', 'data ',' Internet ',' Telkomsel ']</v>
      </c>
      <c r="D1956" s="3">
        <v>1.0</v>
      </c>
    </row>
    <row r="1957" ht="15.75" customHeight="1">
      <c r="A1957" s="1">
        <v>1955.0</v>
      </c>
      <c r="B1957" s="3" t="s">
        <v>1958</v>
      </c>
      <c r="C1957" s="3" t="str">
        <f>IFERROR(__xludf.DUMMYFUNCTION("GOOGLETRANSLATE(B1957,""id"",""en"")"),"['love', 'star', 'network', 'stable', 'chat', 'via', 'telegram', 'thank God', 'network', 'stable', 'understand', 'knp', ' a week ',' Yesterday ',' Signal ',' Ancur ',' Chat ',' Telkomsel ',' Help ',' Try ',' Telegram ',' Direct ',' Thx ',' ']")</f>
        <v>['love', 'star', 'network', 'stable', 'chat', 'via', 'telegram', 'thank God', 'network', 'stable', 'understand', 'knp', ' a week ',' Yesterday ',' Signal ',' Ancur ',' Chat ',' Telkomsel ',' Help ',' Try ',' Telegram ',' Direct ',' Thx ',' ']</v>
      </c>
      <c r="D1957" s="3">
        <v>4.0</v>
      </c>
    </row>
    <row r="1958" ht="15.75" customHeight="1">
      <c r="A1958" s="1">
        <v>1956.0</v>
      </c>
      <c r="B1958" s="3" t="s">
        <v>1959</v>
      </c>
      <c r="C1958" s="3" t="str">
        <f>IFERROR(__xludf.DUMMYFUNCTION("GOOGLETRANSLATE(B1958,""id"",""en"")"),"['Telkomsel', 'Severe', 'dead', 'lights',' signal ',' die ',' package ',' the most expensive ',' laen ',' signal ',' worst ',' laen ',' Repaired ',' signal ',' card ',' Telkomsel ',' ']")</f>
        <v>['Telkomsel', 'Severe', 'dead', 'lights',' signal ',' die ',' package ',' the most expensive ',' laen ',' signal ',' worst ',' laen ',' Repaired ',' signal ',' card ',' Telkomsel ',' ']</v>
      </c>
      <c r="D1958" s="3">
        <v>1.0</v>
      </c>
    </row>
    <row r="1959" ht="15.75" customHeight="1">
      <c r="A1959" s="1">
        <v>1957.0</v>
      </c>
      <c r="B1959" s="3" t="s">
        <v>1960</v>
      </c>
      <c r="C1959" s="3" t="str">
        <f>IFERROR(__xludf.DUMMYFUNCTION("GOOGLETRANSLATE(B1959,""id"",""en"")"),"['Sorry', 'Kasi', 'Star', 'Disappointed', 'Signal', 'Stable', 'Region', 'Indonesia', 'Eastern', 'Meanwhile', 'Maluku', 'Main' game ',' anything ',' obstacle ',' signal ',' stable ',' please ',' fix ',' thank ',' love ']")</f>
        <v>['Sorry', 'Kasi', 'Star', 'Disappointed', 'Signal', 'Stable', 'Region', 'Indonesia', 'Eastern', 'Meanwhile', 'Maluku', 'Main' game ',' anything ',' obstacle ',' signal ',' stable ',' please ',' fix ',' thank ',' love ']</v>
      </c>
      <c r="D1959" s="3">
        <v>1.0</v>
      </c>
    </row>
    <row r="1960" ht="15.75" customHeight="1">
      <c r="A1960" s="1">
        <v>1958.0</v>
      </c>
      <c r="B1960" s="3" t="s">
        <v>1961</v>
      </c>
      <c r="C1960" s="3" t="str">
        <f>IFERROR(__xludf.DUMMYFUNCTION("GOOGLETRANSLATE(B1960,""id"",""en"")"),"['price', 'expensive', 'network', 'slow', 'really', 'play', 'game', 'difficult', 'use', 'network', 'stable', 'win', ' Name ',' Doang ',' ']")</f>
        <v>['price', 'expensive', 'network', 'slow', 'really', 'play', 'game', 'difficult', 'use', 'network', 'stable', 'win', ' Name ',' Doang ',' ']</v>
      </c>
      <c r="D1960" s="3">
        <v>1.0</v>
      </c>
    </row>
    <row r="1961" ht="15.75" customHeight="1">
      <c r="A1961" s="1">
        <v>1959.0</v>
      </c>
      <c r="B1961" s="3" t="s">
        <v>1962</v>
      </c>
      <c r="C1961" s="3" t="str">
        <f>IFERROR(__xludf.DUMMYFUNCTION("GOOGLETRANSLATE(B1961,""id"",""en"")"),"['My family', 'I', 'Telkomsel', 'since', 'network', 'jdi', 'threat', 'gini', 'moved', 'Indosat', 'like', 'card', ' the people ',' good ',' signal ',' cheap ',' Ahkkk ',' disappointed ',' heavy ',' dear ',' star ',' mines', 'already', 'I', 'love' , 'Ama', "&amp;"'Telkomsel']")</f>
        <v>['My family', 'I', 'Telkomsel', 'since', 'network', 'jdi', 'threat', 'gini', 'moved', 'Indosat', 'like', 'card', ' the people ',' good ',' signal ',' cheap ',' Ahkkk ',' disappointed ',' heavy ',' dear ',' star ',' mines', 'already', 'I', 'love' , 'Ama', 'Telkomsel']</v>
      </c>
      <c r="D1961" s="3">
        <v>1.0</v>
      </c>
    </row>
    <row r="1962" ht="15.75" customHeight="1">
      <c r="A1962" s="1">
        <v>1960.0</v>
      </c>
      <c r="B1962" s="3" t="s">
        <v>1963</v>
      </c>
      <c r="C1962" s="3" t="str">
        <f>IFERROR(__xludf.DUMMYFUNCTION("GOOGLETRANSLATE(B1962,""id"",""en"")"),"['Package', 'expensive', 'network', 'MISKIIN', 'BAPUK', 'ANJIM', 'Network', 'Internet', 'Telkomsel', 'NGK', 'according to', 'Ama', ' Price ',' Package ',' Data ',' Please ',' Season ',' Customer ',' Please ',' Fix ',' LGI ',' ']")</f>
        <v>['Package', 'expensive', 'network', 'MISKIIN', 'BAPUK', 'ANJIM', 'Network', 'Internet', 'Telkomsel', 'NGK', 'according to', 'Ama', ' Price ',' Package ',' Data ',' Please ',' Season ',' Customer ',' Please ',' Fix ',' LGI ',' ']</v>
      </c>
      <c r="D1962" s="3">
        <v>1.0</v>
      </c>
    </row>
    <row r="1963" ht="15.75" customHeight="1">
      <c r="A1963" s="1">
        <v>1961.0</v>
      </c>
      <c r="B1963" s="3" t="s">
        <v>1964</v>
      </c>
      <c r="C1963" s="3" t="str">
        <f>IFERROR(__xludf.DUMMYFUNCTION("GOOGLETRANSLATE(B1963,""id"",""en"")"),"['UDH', 'Sunday', 'Network', 'ugly', 'muter', 'muter', 'have', 'please', 'repaired', 'edit', 'Allah', 'Udh', ' Network ',' Telkomsel ',' Kaga ',' Bener ',' Bener ',' Muter ',' Paketan ',' Unlimited ',' UDH ',' Clock ',' Network ',' Child ',' Ampe ' , 'cry"&amp;"ing', 'see', 'YouTube', 'gabisa', 'gabisa', 'sell', 'online', 'hitch', 'wifi', 'neighbor', 'beg', 'repaired', ' family ',' move ',' bow ']")</f>
        <v>['UDH', 'Sunday', 'Network', 'ugly', 'muter', 'muter', 'have', 'please', 'repaired', 'edit', 'Allah', 'Udh', ' Network ',' Telkomsel ',' Kaga ',' Bener ',' Bener ',' Muter ',' Paketan ',' Unlimited ',' UDH ',' Clock ',' Network ',' Child ',' Ampe ' , 'crying', 'see', 'YouTube', 'gabisa', 'gabisa', 'sell', 'online', 'hitch', 'wifi', 'neighbor', 'beg', 'repaired', ' family ',' move ',' bow ']</v>
      </c>
      <c r="D1963" s="3">
        <v>2.0</v>
      </c>
    </row>
    <row r="1964" ht="15.75" customHeight="1">
      <c r="A1964" s="1">
        <v>1962.0</v>
      </c>
      <c r="B1964" s="3" t="s">
        <v>1965</v>
      </c>
      <c r="C1964" s="3" t="str">
        <f>IFERROR(__xludf.DUMMYFUNCTION("GOOGLETRANSLATE(B1964,""id"",""en"")"),"['like', 'use', 'Telkomsel', 'network', 'home', 'network', 'difficult', 'home', 'please', 'fix', ""]")</f>
        <v>['like', 'use', 'Telkomsel', 'network', 'home', 'network', 'difficult', 'home', 'please', 'fix', "]</v>
      </c>
      <c r="D1964" s="3">
        <v>2.0</v>
      </c>
    </row>
    <row r="1965" ht="15.75" customHeight="1">
      <c r="A1965" s="1">
        <v>1963.0</v>
      </c>
      <c r="B1965" s="3" t="s">
        <v>1966</v>
      </c>
      <c r="C1965" s="3" t="str">
        <f>IFERROR(__xludf.DUMMYFUNCTION("GOOGLETRANSLATE(B1965,""id"",""en"")"),"['Please', 'Telkomsel', 'Network', 'Village', 'like', 'forward', 'Sunggal', 'Deli', 'Deli', 'Serdang', 'Fix', 'users',' The network ',' slow ',' Severe ',' Sia ',' Sia ',' buy ',' package ',' expensive ',' expensive ',' use ',' vain ',' sia ',' buy ' , 'p"&amp;"ackage', 'expensive', 'expensive', 'please', 'response', 'thank', 'love', ""]")</f>
        <v>['Please', 'Telkomsel', 'Network', 'Village', 'like', 'forward', 'Sunggal', 'Deli', 'Deli', 'Serdang', 'Fix', 'users',' The network ',' slow ',' Severe ',' Sia ',' Sia ',' buy ',' package ',' expensive ',' expensive ',' use ',' vain ',' sia ',' buy ' , 'package', 'expensive', 'expensive', 'please', 'response', 'thank', 'love', "]</v>
      </c>
      <c r="D1965" s="3">
        <v>1.0</v>
      </c>
    </row>
    <row r="1966" ht="15.75" customHeight="1">
      <c r="A1966" s="1">
        <v>1964.0</v>
      </c>
      <c r="B1966" s="3" t="s">
        <v>1967</v>
      </c>
      <c r="C1966" s="3" t="str">
        <f>IFERROR(__xludf.DUMMYFUNCTION("GOOGLETRANSLATE(B1966,""id"",""en"")"),"['', 'App', 'Tsel', 'Kagk', 'loss',' loss', 'price', 'quota', 'internet', 'expensive', 'quality', 'network', 'internet ',' garbage ',' according to ',' price ',' expensive ']")</f>
        <v>['', 'App', 'Tsel', 'Kagk', 'loss',' loss', 'price', 'quota', 'internet', 'expensive', 'quality', 'network', 'internet ',' garbage ',' according to ',' price ',' expensive ']</v>
      </c>
      <c r="D1966" s="3">
        <v>1.0</v>
      </c>
    </row>
    <row r="1967" ht="15.75" customHeight="1">
      <c r="A1967" s="1">
        <v>1965.0</v>
      </c>
      <c r="B1967" s="3" t="s">
        <v>1968</v>
      </c>
      <c r="C1967" s="3" t="str">
        <f>IFERROR(__xludf.DUMMYFUNCTION("GOOGLETRANSLATE(B1967,""id"",""en"")"),"['card', 'cave', 'card', 'crazy', 'cheap', 'really', 'ampe', 'friend', 'ngiri', 'card', 'cave', 'a month', ' Plus', 'unlimited', 'sosmed', 'YouTube', 'etc.', 'network', 'good', 'area', 'Sumatran', 'special', 'Lampung', 'internet', 'sometimes' , 'like', 'd"&amp;"ifficult', 'signal', 'tanks', 'tsel']")</f>
        <v>['card', 'cave', 'card', 'crazy', 'cheap', 'really', 'ampe', 'friend', 'ngiri', 'card', 'cave', 'a month', ' Plus', 'unlimited', 'sosmed', 'YouTube', 'etc.', 'network', 'good', 'area', 'Sumatran', 'special', 'Lampung', 'internet', 'sometimes' , 'like', 'difficult', 'signal', 'tanks', 'tsel']</v>
      </c>
      <c r="D1967" s="3">
        <v>5.0</v>
      </c>
    </row>
    <row r="1968" ht="15.75" customHeight="1">
      <c r="A1968" s="1">
        <v>1966.0</v>
      </c>
      <c r="B1968" s="3" t="s">
        <v>1969</v>
      </c>
      <c r="C1968" s="3" t="str">
        <f>IFERROR(__xludf.DUMMYFUNCTION("GOOGLETRANSLATE(B1968,""id"",""en"")"),"['Star', 'Season', 'Cave', 'Application', 'Check', 'Contents',' Kouta ',' WiFi ',' Luka ',' Network ',' Telkomsel ',' Lost ',' Providers', 'Jjur', 'Jjur', 'Ane', 'Disappointed', 'Service', 'Telkomsel', 'Network', 'Good', 'Byk', 'Input', 'Dikuekin', 'Syg' "&amp;", 'Telkomsel', 'Come on', 'Donk', 'Risen', 'Telkomsel', 'Network', 'Bener', 'Best', 'Prove', ""]")</f>
        <v>['Star', 'Season', 'Cave', 'Application', 'Check', 'Contents',' Kouta ',' WiFi ',' Luka ',' Network ',' Telkomsel ',' Lost ',' Providers', 'Jjur', 'Jjur', 'Ane', 'Disappointed', 'Service', 'Telkomsel', 'Network', 'Good', 'Byk', 'Input', 'Dikuekin', 'Syg' , 'Telkomsel', 'Come on', 'Donk', 'Risen', 'Telkomsel', 'Network', 'Bener', 'Best', 'Prove', "]</v>
      </c>
      <c r="D1968" s="3">
        <v>1.0</v>
      </c>
    </row>
    <row r="1969" ht="15.75" customHeight="1">
      <c r="A1969" s="1">
        <v>1967.0</v>
      </c>
      <c r="B1969" s="3" t="s">
        <v>1970</v>
      </c>
      <c r="C1969" s="3" t="str">
        <f>IFERROR(__xludf.DUMMYFUNCTION("GOOGLETRANSLATE(B1969,""id"",""en"")"),"['Connection', 'Slow', 'Disappointed', 'Telkomsel', 'Class', 'Telkomsel', 'Slow', 'Provider', 'Tired', 'Heart', 'Fight', ""]")</f>
        <v>['Connection', 'Slow', 'Disappointed', 'Telkomsel', 'Class', 'Telkomsel', 'Slow', 'Provider', 'Tired', 'Heart', 'Fight', "]</v>
      </c>
      <c r="D1969" s="3">
        <v>1.0</v>
      </c>
    </row>
    <row r="1970" ht="15.75" customHeight="1">
      <c r="A1970" s="1">
        <v>1968.0</v>
      </c>
      <c r="B1970" s="3" t="s">
        <v>1971</v>
      </c>
      <c r="C1970" s="3" t="str">
        <f>IFERROR(__xludf.DUMMYFUNCTION("GOOGLETRANSLATE(B1970,""id"",""en"")"),"['Telkomsel', 'Network', 'bad', 'Maen', 'Game', 'friend', 'Sya', 'complaining', 'bgtu', 'sya', ""]")</f>
        <v>['Telkomsel', 'Network', 'bad', 'Maen', 'Game', 'friend', 'Sya', 'complaining', 'bgtu', 'sya', "]</v>
      </c>
      <c r="D1970" s="3">
        <v>1.0</v>
      </c>
    </row>
    <row r="1971" ht="15.75" customHeight="1">
      <c r="A1971" s="1">
        <v>1969.0</v>
      </c>
      <c r="B1971" s="3" t="s">
        <v>1972</v>
      </c>
      <c r="C1971" s="3" t="str">
        <f>IFERROR(__xludf.DUMMYFUNCTION("GOOGLETRANSLATE(B1971,""id"",""en"")"),"['open', 'the application', 'really', 'sometimes',' direct ',' automatic ',' slow ',' buy ',' package ',' internet ',' already ',' right ',' Do it ',' repeat ',' times', 'Previously', 'PERRH', 'KEK', 'GINI']")</f>
        <v>['open', 'the application', 'really', 'sometimes',' direct ',' automatic ',' slow ',' buy ',' package ',' internet ',' already ',' right ',' Do it ',' repeat ',' times', 'Previously', 'PERRH', 'KEK', 'GINI']</v>
      </c>
      <c r="D1971" s="3">
        <v>2.0</v>
      </c>
    </row>
    <row r="1972" ht="15.75" customHeight="1">
      <c r="A1972" s="1">
        <v>1970.0</v>
      </c>
      <c r="B1972" s="3" t="s">
        <v>1973</v>
      </c>
      <c r="C1972" s="3" t="str">
        <f>IFERROR(__xludf.DUMMYFUNCTION("GOOGLETRANSLATE(B1972,""id"",""en"")"),"['Network', 'Good', 'Sorry', 'January', 'DIELP', 'Call', 'Center', 'Telkomsel', 'Info', 'Quota', 'UNTK', 'Student', ' GB ',' price ',' Rb ',' a month ',' hihihi ',' already ',' happy ',' kirain ',' quota ',' a month ',' can ',' chat ',' quota ' , '']")</f>
        <v>['Network', 'Good', 'Sorry', 'January', 'DIELP', 'Call', 'Center', 'Telkomsel', 'Info', 'Quota', 'UNTK', 'Student', ' GB ',' price ',' Rb ',' a month ',' hihihi ',' already ',' happy ',' kirain ',' quota ',' a month ',' can ',' chat ',' quota ' , '']</v>
      </c>
      <c r="D1972" s="3">
        <v>5.0</v>
      </c>
    </row>
    <row r="1973" ht="15.75" customHeight="1">
      <c r="A1973" s="1">
        <v>1971.0</v>
      </c>
      <c r="B1973" s="3" t="s">
        <v>1974</v>
      </c>
      <c r="C1973" s="3" t="str">
        <f>IFERROR(__xludf.DUMMYFUNCTION("GOOGLETRANSLATE(B1973,""id"",""en"")"),"['signal', 'Telkomsel', 'ugly', 'really', 'package', 'GB', 'difficult', 'replace', 'operator', 'kapok', 'cave', 'Telkomsel', ' price ',' expensive ',' signal ',' strong ',' expensive ',' yes', 'signal', 'suk']")</f>
        <v>['signal', 'Telkomsel', 'ugly', 'really', 'package', 'GB', 'difficult', 'replace', 'operator', 'kapok', 'cave', 'Telkomsel', ' price ',' expensive ',' signal ',' strong ',' expensive ',' yes', 'signal', 'suk']</v>
      </c>
      <c r="D1973" s="3">
        <v>1.0</v>
      </c>
    </row>
    <row r="1974" ht="15.75" customHeight="1">
      <c r="A1974" s="1">
        <v>1972.0</v>
      </c>
      <c r="B1974" s="3" t="s">
        <v>1975</v>
      </c>
      <c r="C1974" s="3" t="str">
        <f>IFERROR(__xludf.DUMMYFUNCTION("GOOGLETRANSLATE(B1974,""id"",""en"")"),"['Satisfied', 'cell', 'network', 'really', 'promo', 'quata', 'all', 'net', 'stingy', 'call', 'all day', 'just', ' The staple ',' Cool ',' Dehh ',' Please ',' SMS ',' Filter ',' Comfortable ',' Send ',' SMS ']")</f>
        <v>['Satisfied', 'cell', 'network', 'really', 'promo', 'quata', 'all', 'net', 'stingy', 'call', 'all day', 'just', ' The staple ',' Cool ',' Dehh ',' Please ',' SMS ',' Filter ',' Comfortable ',' Send ',' SMS ']</v>
      </c>
      <c r="D1974" s="3">
        <v>5.0</v>
      </c>
    </row>
    <row r="1975" ht="15.75" customHeight="1">
      <c r="A1975" s="1">
        <v>1973.0</v>
      </c>
      <c r="B1975" s="3" t="s">
        <v>1976</v>
      </c>
      <c r="C1975" s="3" t="str">
        <f>IFERROR(__xludf.DUMMYFUNCTION("GOOGLETRANSLATE(B1975,""id"",""en"")"),"['Package', 'Internet', 'Change', 'Change', 'Card', 'Card', 'Grapari', 'Number', 'Karna', 'Lost', 'Influence', 'Package', ' Combo ',' Sakti ',' Unlimited ',' Gag ',' appears', 'Package', 'Unlimited', 'Lost', ""]")</f>
        <v>['Package', 'Internet', 'Change', 'Change', 'Card', 'Card', 'Grapari', 'Number', 'Karna', 'Lost', 'Influence', 'Package', ' Combo ',' Sakti ',' Unlimited ',' Gag ',' appears', 'Package', 'Unlimited', 'Lost', "]</v>
      </c>
      <c r="D1975" s="3">
        <v>5.0</v>
      </c>
    </row>
    <row r="1976" ht="15.75" customHeight="1">
      <c r="A1976" s="1">
        <v>1974.0</v>
      </c>
      <c r="B1976" s="3" t="s">
        <v>1977</v>
      </c>
      <c r="C1976" s="3" t="str">
        <f>IFERROR(__xludf.DUMMYFUNCTION("GOOGLETRANSLATE(B1976,""id"",""en"")"),"['Promo', 'Out', 'Advertising', 'Purchase', 'Card', 'Pernandana', 'Belom', 'Transaction', 'Date', 'December', 'Receipt', 'WC', ' Notif ',' how ',' Litu ',' ']")</f>
        <v>['Promo', 'Out', 'Advertising', 'Purchase', 'Card', 'Pernandana', 'Belom', 'Transaction', 'Date', 'December', 'Receipt', 'WC', ' Notif ',' how ',' Litu ',' ']</v>
      </c>
      <c r="D1976" s="3">
        <v>1.0</v>
      </c>
    </row>
    <row r="1977" ht="15.75" customHeight="1">
      <c r="A1977" s="1">
        <v>1975.0</v>
      </c>
      <c r="B1977" s="3" t="s">
        <v>1978</v>
      </c>
      <c r="C1977" s="3" t="str">
        <f>IFERROR(__xludf.DUMMYFUNCTION("GOOGLETRANSLATE(B1977,""id"",""en"")"),"['Telkomsel', 'signal', 'run out', 'Rain', 'Disappointed', 'Telkomsel', 'Package', 'Not bad', 'expensive', 'call', 'expensive', 'really', ' Satisfied ',' card ',' Telkomsel ']")</f>
        <v>['Telkomsel', 'signal', 'run out', 'Rain', 'Disappointed', 'Telkomsel', 'Package', 'Not bad', 'expensive', 'call', 'expensive', 'really', ' Satisfied ',' card ',' Telkomsel ']</v>
      </c>
      <c r="D1977" s="3">
        <v>1.0</v>
      </c>
    </row>
    <row r="1978" ht="15.75" customHeight="1">
      <c r="A1978" s="1">
        <v>1976.0</v>
      </c>
      <c r="B1978" s="3" t="s">
        <v>1979</v>
      </c>
      <c r="C1978" s="3" t="str">
        <f>IFERROR(__xludf.DUMMYFUNCTION("GOOGLETRANSLATE(B1978,""id"",""en"")"),"['disappointed', 'kalaw', 'buy', 'package', 'according to', 'buy', 'quota', 'date', 'abis',' cook ',' date ',' kalaw ',' Proof ',' just ',' kalaw ', ""]")</f>
        <v>['disappointed', 'kalaw', 'buy', 'package', 'according to', 'buy', 'quota', 'date', 'abis',' cook ',' date ',' kalaw ',' Proof ',' just ',' kalaw ', "]</v>
      </c>
      <c r="D1978" s="3">
        <v>4.0</v>
      </c>
    </row>
    <row r="1979" ht="15.75" customHeight="1">
      <c r="A1979" s="1">
        <v>1977.0</v>
      </c>
      <c r="B1979" s="3" t="s">
        <v>1980</v>
      </c>
      <c r="C1979" s="3" t="str">
        <f>IFERROR(__xludf.DUMMYFUNCTION("GOOGLETRANSLATE(B1979,""id"",""en"")"),"['Just', 'info', 'download', 'application', 'open', 'application', 'suck', 'quota', 'continuous',' screen ',' quota ',' abis', ' Colong ',' ']")</f>
        <v>['Just', 'info', 'download', 'application', 'open', 'application', 'suck', 'quota', 'continuous',' screen ',' quota ',' abis', ' Colong ',' ']</v>
      </c>
      <c r="D1979" s="3">
        <v>1.0</v>
      </c>
    </row>
    <row r="1980" ht="15.75" customHeight="1">
      <c r="A1980" s="1">
        <v>1978.0</v>
      </c>
      <c r="B1980" s="3" t="s">
        <v>1981</v>
      </c>
      <c r="C1980" s="3" t="str">
        <f>IFERROR(__xludf.DUMMYFUNCTION("GOOGLETRANSLATE(B1980,""id"",""en"")"),"['network', 'cellular', 'ter', 'pulp', 'already', 'pay', 'expensive', 'low', 'signal', 'forgiveness',' already ',' tried ',' Nyari ',' open ',' until ',' pole ',' pole ',' specker ',' tetep ',' kaga ',' kbps', 'so low', 'low', 'collect' , 'Tasks',' Wait '"&amp;",' clock ',' finished ',' send ',' file ',' task ',' get ',' decline ',' value ',' gegara ',' late ',' Collect ',' due to ',' Low ',' Signal ',' ']")</f>
        <v>['network', 'cellular', 'ter', 'pulp', 'already', 'pay', 'expensive', 'low', 'signal', 'forgiveness',' already ',' tried ',' Nyari ',' open ',' until ',' pole ',' pole ',' specker ',' tetep ',' kaga ',' kbps', 'so low', 'low', 'collect' , 'Tasks',' Wait ',' clock ',' finished ',' send ',' file ',' task ',' get ',' decline ',' value ',' gegara ',' late ',' Collect ',' due to ',' Low ',' Signal ',' ']</v>
      </c>
      <c r="D1980" s="3">
        <v>1.0</v>
      </c>
    </row>
    <row r="1981" ht="15.75" customHeight="1">
      <c r="A1981" s="1">
        <v>1979.0</v>
      </c>
      <c r="B1981" s="3" t="s">
        <v>1982</v>
      </c>
      <c r="C1981" s="3" t="str">
        <f>IFERROR(__xludf.DUMMYFUNCTION("GOOGLETRANSLATE(B1981,""id"",""en"")"),"['Network', 'Telkomsel', 'like', 'Changed', 'Network', 'Region', 'Area', 'Disturbing', 'Main', 'Game', 'Performance', 'Network', ' Telkomsel ',' bad ',' hemmmm ',' network ',' next door ',' rich ',' indsat ',' kulitas', 'network', 'bad', ""]")</f>
        <v>['Network', 'Telkomsel', 'like', 'Changed', 'Network', 'Region', 'Area', 'Disturbing', 'Main', 'Game', 'Performance', 'Network', ' Telkomsel ',' bad ',' hemmmm ',' network ',' next door ',' rich ',' indsat ',' kulitas', 'network', 'bad', "]</v>
      </c>
      <c r="D1981" s="3">
        <v>1.0</v>
      </c>
    </row>
    <row r="1982" ht="15.75" customHeight="1">
      <c r="A1982" s="1">
        <v>1980.0</v>
      </c>
      <c r="B1982" s="3" t="s">
        <v>1983</v>
      </c>
      <c r="C1982" s="3" t="str">
        <f>IFERROR(__xludf.DUMMYFUNCTION("GOOGLETRANSLATE(B1982,""id"",""en"")"),"['personal', 'personal', 'neutral', 'purpose', 'dropping', 'anywhere', 'buy', 'quota', 'combo', 'Sakti', 'GB', 'for', ' morning ',' use ',' play ',' game ',' online ',' surf ',' google ',' quota ',' out ',' GB ',' setting ',' finished ',' think ' , 'Sebor"&amp;"os', 'quota', 'Telkomsel', 'uses', 'logical', 'run out', 'clock']")</f>
        <v>['personal', 'personal', 'neutral', 'purpose', 'dropping', 'anywhere', 'buy', 'quota', 'combo', 'Sakti', 'GB', 'for', ' morning ',' use ',' play ',' game ',' online ',' surf ',' google ',' quota ',' out ',' GB ',' setting ',' finished ',' think ' , 'Seboros', 'quota', 'Telkomsel', 'uses', 'logical', 'run out', 'clock']</v>
      </c>
      <c r="D1982" s="3">
        <v>1.0</v>
      </c>
    </row>
    <row r="1983" ht="15.75" customHeight="1">
      <c r="A1983" s="1">
        <v>1981.0</v>
      </c>
      <c r="B1983" s="3" t="s">
        <v>1984</v>
      </c>
      <c r="C1983" s="3" t="str">
        <f>IFERROR(__xludf.DUMMYFUNCTION("GOOGLETRANSLATE(B1983,""id"",""en"")"),"['Telkomsel', 'error', 'network', 'slow', 'dlu', 'signal', 'TNPA', 'slow', 'little', 'disorder', 'signal', 'internet', ' ILNG ',' right ',' Ujan ',' dead ',' lights', 'please', 'fix', 'in full', 'lgi', 'lgi', 'bad', 'high school', 'card' , 'Bgus', 'card',"&amp;" '']")</f>
        <v>['Telkomsel', 'error', 'network', 'slow', 'dlu', 'signal', 'TNPA', 'slow', 'little', 'disorder', 'signal', 'internet', ' ILNG ',' right ',' Ujan ',' dead ',' lights', 'please', 'fix', 'in full', 'lgi', 'lgi', 'bad', 'high school', 'card' , 'Bgus', 'card', '']</v>
      </c>
      <c r="D1983" s="3">
        <v>2.0</v>
      </c>
    </row>
    <row r="1984" ht="15.75" customHeight="1">
      <c r="A1984" s="1">
        <v>1982.0</v>
      </c>
      <c r="B1984" s="3" t="s">
        <v>1985</v>
      </c>
      <c r="C1984" s="3" t="str">
        <f>IFERROR(__xludf.DUMMYFUNCTION("GOOGLETRANSLATE(B1984,""id"",""en"")"),"['Reduce', 'star', 'star', 'love', 'star', 'quota', 'price', 'expensive', 'use', 'local', 'area', 'signal', ' slow ',' here ',' quality ',' signal ',' good ',' slow ',' severe ']")</f>
        <v>['Reduce', 'star', 'star', 'love', 'star', 'quota', 'price', 'expensive', 'use', 'local', 'area', 'signal', ' slow ',' here ',' quality ',' signal ',' good ',' slow ',' severe ']</v>
      </c>
      <c r="D1984" s="3">
        <v>1.0</v>
      </c>
    </row>
    <row r="1985" ht="15.75" customHeight="1">
      <c r="A1985" s="1">
        <v>1983.0</v>
      </c>
      <c r="B1985" s="3" t="s">
        <v>1986</v>
      </c>
      <c r="C1985" s="3" t="str">
        <f>IFERROR(__xludf.DUMMYFUNCTION("GOOGLETRANSLATE(B1985,""id"",""en"")"),"['You', 'whether', 'Network', 'Severe', 'Malem', 'Severe', 'Gara', 'Network', 'ugly', 'Gabisa', 'Login', 'Game', ' play ',' ajg ',' quota ',' doank ',' expensive ',' network ',' cheap ',' lose ',' ama ',' smartfren ',' disappointed ',' already ',' network"&amp;" ' , 'Mentok', 'KB', 'Please', 'Fix', 'Jaringn', 'Quota', 'Doank', 'Expensive', 'Network', 'Cheap', 'Change', 'Mending', ' card']")</f>
        <v>['You', 'whether', 'Network', 'Severe', 'Malem', 'Severe', 'Gara', 'Network', 'ugly', 'Gabisa', 'Login', 'Game', ' play ',' ajg ',' quota ',' doank ',' expensive ',' network ',' cheap ',' lose ',' ama ',' smartfren ',' disappointed ',' already ',' network ' , 'Mentok', 'KB', 'Please', 'Fix', 'Jaringn', 'Quota', 'Doank', 'Expensive', 'Network', 'Cheap', 'Change', 'Mending', ' card']</v>
      </c>
      <c r="D1985" s="3">
        <v>1.0</v>
      </c>
    </row>
    <row r="1986" ht="15.75" customHeight="1">
      <c r="A1986" s="1">
        <v>1984.0</v>
      </c>
      <c r="B1986" s="3" t="s">
        <v>1987</v>
      </c>
      <c r="C1986" s="3" t="str">
        <f>IFERROR(__xludf.DUMMYFUNCTION("GOOGLETRANSLATE(B1986,""id"",""en"")"),"['Ngak', 'left', 'updated', 'application', 'mytelkomsel', 'ngak', 'used', 'already', 'big', 'eat', 'ram', 'update', ' Expendible ',' quota ',' match ',' subscribe ',' wifi ', ​​""]")</f>
        <v>['Ngak', 'left', 'updated', 'application', 'mytelkomsel', 'ngak', 'used', 'already', 'big', 'eat', 'ram', 'update', ' Expendible ',' quota ',' match ',' subscribe ',' wifi ', ​​"]</v>
      </c>
      <c r="D1986" s="3">
        <v>1.0</v>
      </c>
    </row>
    <row r="1987" ht="15.75" customHeight="1">
      <c r="A1987" s="1">
        <v>1985.0</v>
      </c>
      <c r="B1987" s="3" t="s">
        <v>1988</v>
      </c>
      <c r="C1987" s="3" t="str">
        <f>IFERROR(__xludf.DUMMYFUNCTION("GOOGLETRANSLATE(B1987,""id"",""en"")"),"['Credit', 'sympathy', 'suck', 'kenarin', 'pulse', 'quota', 'right', 'package', 'saldo', 'stay', 'Damn', 'Telkomsel', ' corruption ',' udh ',' byk ',' use ',' fraud ',' sympathy ',' please ',' fix ',' system ',' telkomsel ',' udh ',' mehong ',' quality ' "&amp;", 'BGS', 'disappointment', 'customer', 'tks']")</f>
        <v>['Credit', 'sympathy', 'suck', 'kenarin', 'pulse', 'quota', 'right', 'package', 'saldo', 'stay', 'Damn', 'Telkomsel', ' corruption ',' udh ',' byk ',' use ',' fraud ',' sympathy ',' please ',' fix ',' system ',' telkomsel ',' udh ',' mehong ',' quality ' , 'BGS', 'disappointment', 'customer', 'tks']</v>
      </c>
      <c r="D1987" s="3">
        <v>1.0</v>
      </c>
    </row>
    <row r="1988" ht="15.75" customHeight="1">
      <c r="A1988" s="1">
        <v>1986.0</v>
      </c>
      <c r="B1988" s="3" t="s">
        <v>1989</v>
      </c>
      <c r="C1988" s="3" t="str">
        <f>IFERROR(__xludf.DUMMYFUNCTION("GOOGLETRANSLATE(B1988,""id"",""en"")"),"['Want', 'angry', 'Disappointed', 'Telkomsel', 'Narik', 'pulse', 'already', 'times',' repeated ',' yesterday ',' contents', 'pulses',' thousand ',' use ',' already ',' pull ',' balance ',' zero ',' rupiah ',' udh ',' kek ',' gini ',' contents', 'pulse', '"&amp;"vain' , 'Pull', 'Doang']")</f>
        <v>['Want', 'angry', 'Disappointed', 'Telkomsel', 'Narik', 'pulse', 'already', 'times',' repeated ',' yesterday ',' contents', 'pulses',' thousand ',' use ',' already ',' pull ',' balance ',' zero ',' rupiah ',' udh ',' kek ',' gini ',' contents', 'pulse', 'vain' , 'Pull', 'Doang']</v>
      </c>
      <c r="D1988" s="3">
        <v>1.0</v>
      </c>
    </row>
    <row r="1989" ht="15.75" customHeight="1">
      <c r="A1989" s="1">
        <v>1987.0</v>
      </c>
      <c r="B1989" s="3" t="s">
        <v>1990</v>
      </c>
      <c r="C1989" s="3" t="str">
        <f>IFERROR(__xludf.DUMMYFUNCTION("GOOGLETRANSLATE(B1989,""id"",""en"")"),"['network', 'Tsel', 'like', 'ilang', 'Nilagan', 'Tsel', 'Network', 'Good', 'then', 'Paketan', 'Knp', 'expensive', ' Get ',' Package ',' promo ',' anything ',' see ',' friend ',' friend ',' package ',' cheap ',' drawback ',' number ',' Different ',' packag"&amp;"e ' , 'The network', '']")</f>
        <v>['network', 'Tsel', 'like', 'ilang', 'Nilagan', 'Tsel', 'Network', 'Good', 'then', 'Paketan', 'Knp', 'expensive', ' Get ',' Package ',' promo ',' anything ',' see ',' friend ',' friend ',' package ',' cheap ',' drawback ',' number ',' Different ',' package ' , 'The network', '']</v>
      </c>
      <c r="D1989" s="3">
        <v>2.0</v>
      </c>
    </row>
    <row r="1990" ht="15.75" customHeight="1">
      <c r="A1990" s="1">
        <v>1988.0</v>
      </c>
      <c r="B1990" s="3" t="s">
        <v>1991</v>
      </c>
      <c r="C1990" s="3" t="str">
        <f>IFERROR(__xludf.DUMMYFUNCTION("GOOGLETRANSLATE(B1990,""id"",""en"")"),"['Gini', 'Min', 'Please', 'repaired', 'Network', 'Telkomsel', 'loyal', 'Telkom', 'ugly', 'the network', 'Please', 'repaired', ' Package ',' Doang ',' expensive ',' quality ',' signal ',' zonk ', ""]")</f>
        <v>['Gini', 'Min', 'Please', 'repaired', 'Network', 'Telkomsel', 'loyal', 'Telkom', 'ugly', 'the network', 'Please', 'repaired', ' Package ',' Doang ',' expensive ',' quality ',' signal ',' zonk ', "]</v>
      </c>
      <c r="D1990" s="3">
        <v>1.0</v>
      </c>
    </row>
    <row r="1991" ht="15.75" customHeight="1">
      <c r="A1991" s="1">
        <v>1989.0</v>
      </c>
      <c r="B1991" s="3" t="s">
        <v>1992</v>
      </c>
      <c r="C1991" s="3" t="str">
        <f>IFERROR(__xludf.DUMMYFUNCTION("GOOGLETRANSLATE(B1991,""id"",""en"")"),"['love', 'star', 'network', 'Telkomsel', 'gaje', 'like', 'ilang', 'ilang', 'play', 'game', 'difficult', 'steady', ' ']")</f>
        <v>['love', 'star', 'network', 'Telkomsel', 'gaje', 'like', 'ilang', 'ilang', 'play', 'game', 'difficult', 'steady', ' ']</v>
      </c>
      <c r="D1991" s="3">
        <v>4.0</v>
      </c>
    </row>
    <row r="1992" ht="15.75" customHeight="1">
      <c r="A1992" s="1">
        <v>1990.0</v>
      </c>
      <c r="B1992" s="3" t="s">
        <v>1993</v>
      </c>
      <c r="C1992" s="3" t="str">
        <f>IFERROR(__xludf.DUMMYFUNCTION("GOOGLETRANSLATE(B1992,""id"",""en"")"),"['signal', 'already', 'rain', 'electricity', 'go out', 'already', 'kek', 'ghost', 'play', 'ilang', 'promo', 'package', ' Please, 'Changed', 'Kasian', 'People', '']")</f>
        <v>['signal', 'already', 'rain', 'electricity', 'go out', 'already', 'kek', 'ghost', 'play', 'ilang', 'promo', 'package', ' Please, 'Changed', 'Kasian', 'People', '']</v>
      </c>
      <c r="D1992" s="3">
        <v>1.0</v>
      </c>
    </row>
    <row r="1993" ht="15.75" customHeight="1">
      <c r="A1993" s="1">
        <v>1991.0</v>
      </c>
      <c r="B1993" s="3" t="s">
        <v>1994</v>
      </c>
      <c r="C1993" s="3" t="str">
        <f>IFERROR(__xludf.DUMMYFUNCTION("GOOGLETRANSLATE(B1993,""id"",""en"")"),"['right', 'play', 'game', 'ngellag', 'severe', 'really', 'already', 'game', 'lose', 'because', 'lag', 'padah', ' YouTube ',' smooth ',' smooth ',' please ',' fix ',' signal ',' as soon as possible, 'times', 'lose', 'network', 'bad', ""]")</f>
        <v>['right', 'play', 'game', 'ngellag', 'severe', 'really', 'already', 'game', 'lose', 'because', 'lag', 'padah', ' YouTube ',' smooth ',' smooth ',' please ',' fix ',' signal ',' as soon as possible, 'times', 'lose', 'network', 'bad', "]</v>
      </c>
      <c r="D1993" s="3">
        <v>1.0</v>
      </c>
    </row>
    <row r="1994" ht="15.75" customHeight="1">
      <c r="A1994" s="1">
        <v>1992.0</v>
      </c>
      <c r="B1994" s="3" t="s">
        <v>1995</v>
      </c>
      <c r="C1994" s="3" t="str">
        <f>IFERROR(__xludf.DUMMYFUNCTION("GOOGLETRANSLATE(B1994,""id"",""en"")"),"['How', 'card', 'say', 'because', 'sangking', 'sleep', 'ngegame', 'signal', 'pelp', 'signal', 'price', 'earth', ' Sun', '']")</f>
        <v>['How', 'card', 'say', 'because', 'sangking', 'sleep', 'ngegame', 'signal', 'pelp', 'signal', 'price', 'earth', ' Sun', '']</v>
      </c>
      <c r="D1994" s="3">
        <v>1.0</v>
      </c>
    </row>
    <row r="1995" ht="15.75" customHeight="1">
      <c r="A1995" s="1">
        <v>1993.0</v>
      </c>
      <c r="B1995" s="3" t="s">
        <v>1996</v>
      </c>
      <c r="C1995" s="3" t="str">
        <f>IFERROR(__xludf.DUMMYFUNCTION("GOOGLETRANSLATE(B1995,""id"",""en"")"),"['Network', 'in the future', 'Severe', 'Read', 'Comments',' Posting ',' Telkomsel ',' complained ',' Network ',' bad ',' TPI ',' Change ',' network ',' Telkomsel ',' responding ',' Customer ',' Network ',' ']")</f>
        <v>['Network', 'in the future', 'Severe', 'Read', 'Comments',' Posting ',' Telkomsel ',' complained ',' Network ',' bad ',' TPI ',' Change ',' network ',' Telkomsel ',' responding ',' Customer ',' Network ',' ']</v>
      </c>
      <c r="D1995" s="3">
        <v>1.0</v>
      </c>
    </row>
    <row r="1996" ht="15.75" customHeight="1">
      <c r="A1996" s="1">
        <v>1994.0</v>
      </c>
      <c r="B1996" s="3" t="s">
        <v>1997</v>
      </c>
      <c r="C1996" s="3" t="str">
        <f>IFERROR(__xludf.DUMMYFUNCTION("GOOGLETRANSLATE(B1996,""id"",""en"")"),"['Over', 'MyTelkomsel', 'I read', 'Description', 'Application', 'Compatible', 'Android', 'Type', 'Tablet', 'Like', 'Use', 'Tablet', ' Alhamdulillah ',' Status', 'Gold', 'Current', 'LSNCAR', 'Transaction', 'Credit', 'Exchange', 'Points',' DLSB ',' MyTelkom"&amp;"sel ',' Walking ',' Menu ' , 'Send', 'gift', 'many', 'times', 'process', 'click', 'continue', 'silent', 'budget', 'Telkomsel', ""]")</f>
        <v>['Over', 'MyTelkomsel', 'I read', 'Description', 'Application', 'Compatible', 'Android', 'Type', 'Tablet', 'Like', 'Use', 'Tablet', ' Alhamdulillah ',' Status', 'Gold', 'Current', 'LSNCAR', 'Transaction', 'Credit', 'Exchange', 'Points',' DLSB ',' MyTelkomsel ',' Walking ',' Menu ' , 'Send', 'gift', 'many', 'times', 'process', 'click', 'continue', 'silent', 'budget', 'Telkomsel', "]</v>
      </c>
      <c r="D1996" s="3">
        <v>5.0</v>
      </c>
    </row>
    <row r="1997" ht="15.75" customHeight="1">
      <c r="A1997" s="1">
        <v>1995.0</v>
      </c>
      <c r="B1997" s="3" t="s">
        <v>1998</v>
      </c>
      <c r="C1997" s="3" t="str">
        <f>IFERROR(__xludf.DUMMYFUNCTION("GOOGLETRANSLATE(B1997,""id"",""en"")"),"['Telkomsel', 'Please', 'Kasi', 'Look', 'Credit', 'Sumpot', 'Mulu', 'Credit', 'PASS', 'Buy', 'Quota', 'APK', ' Must ',' Sumpot ',' Ngerugin ',' troubling ',' Students', 'Credit', 'buy', 'quota', 'money', 'drained', 'Many', 'times',' condition ' , 'era', '"&amp;"pandemic', 'difficult', '']")</f>
        <v>['Telkomsel', 'Please', 'Kasi', 'Look', 'Credit', 'Sumpot', 'Mulu', 'Credit', 'PASS', 'Buy', 'Quota', 'APK', ' Must ',' Sumpot ',' Ngerugin ',' troubling ',' Students', 'Credit', 'buy', 'quota', 'money', 'drained', 'Many', 'times',' condition ' , 'era', 'pandemic', 'difficult', '']</v>
      </c>
      <c r="D1997" s="3">
        <v>4.0</v>
      </c>
    </row>
    <row r="1998" ht="15.75" customHeight="1">
      <c r="A1998" s="1">
        <v>1996.0</v>
      </c>
      <c r="B1998" s="3" t="s">
        <v>1999</v>
      </c>
      <c r="C1998" s="3" t="str">
        <f>IFERROR(__xludf.DUMMYFUNCTION("GOOGLETRANSLATE(B1998,""id"",""en"")"),"['The application', 'slow', 'emang', 'test', 'publication', 'emang', 'tester', 'version', 'beta', ""]")</f>
        <v>['The application', 'slow', 'emang', 'test', 'publication', 'emang', 'tester', 'version', 'beta', "]</v>
      </c>
      <c r="D1998" s="3">
        <v>4.0</v>
      </c>
    </row>
    <row r="1999" ht="15.75" customHeight="1">
      <c r="A1999" s="1">
        <v>1997.0</v>
      </c>
      <c r="B1999" s="3" t="s">
        <v>2000</v>
      </c>
      <c r="C1999" s="3" t="str">
        <f>IFERROR(__xludf.DUMMYFUNCTION("GOOGLETRANSLATE(B1999,""id"",""en"")"),"['buy', 'package', 'use', 'max', 'buy', 'package', 'telephone', 'operator', 'week', 'functioning', 'vain', 'leftover', ' Credit ',' truncated ',' run out ',' used ',' phone ',' credit ',' phone ',' run out ',' confirm ',' anything ',' applict ',' error ']")</f>
        <v>['buy', 'package', 'use', 'max', 'buy', 'package', 'telephone', 'operator', 'week', 'functioning', 'vain', 'leftover', ' Credit ',' truncated ',' run out ',' used ',' phone ',' credit ',' phone ',' run out ',' confirm ',' anything ',' applict ',' error ']</v>
      </c>
      <c r="D1999" s="3">
        <v>1.0</v>
      </c>
    </row>
    <row r="2000" ht="15.75" customHeight="1">
      <c r="A2000" s="1">
        <v>1998.0</v>
      </c>
      <c r="B2000" s="3" t="s">
        <v>2001</v>
      </c>
      <c r="C2000" s="3" t="str">
        <f>IFERROR(__xludf.DUMMYFUNCTION("GOOGLETRANSLATE(B2000,""id"",""en"")"),"['Disappointed', 'Buy', 'Quota', 'Thinking', 'YouTube', 'Telkomsel', 'Installing', 'Quota', 'Code', 'Dial', 'Try', 'Use', ' Telkomsel ',' After ',' Try ',' Success', 'Open', 'YouTube', 'How', 'Repaired', 'Sia', 'Buy', 'Credit', ""]")</f>
        <v>['Disappointed', 'Buy', 'Quota', 'Thinking', 'YouTube', 'Telkomsel', 'Installing', 'Quota', 'Code', 'Dial', 'Try', 'Use', ' Telkomsel ',' After ',' Try ',' Success', 'Open', 'YouTube', 'How', 'Repaired', 'Sia', 'Buy', 'Credit', "]</v>
      </c>
      <c r="D2000" s="3">
        <v>1.0</v>
      </c>
    </row>
    <row r="2001" ht="15.75" customHeight="1">
      <c r="A2001" s="1">
        <v>1999.0</v>
      </c>
      <c r="B2001" s="3" t="s">
        <v>2002</v>
      </c>
      <c r="C2001" s="3" t="str">
        <f>IFERROR(__xludf.DUMMYFUNCTION("GOOGLETRANSLATE(B2001,""id"",""en"")"),"['Please', 'Signal', 'Repaired', 'Region', 'Denpasar', 'Bali', 'Signal', 'Lost', 'Access',' Signal ',' Mentok ',' Btang ',' ']")</f>
        <v>['Please', 'Signal', 'Repaired', 'Region', 'Denpasar', 'Bali', 'Signal', 'Lost', 'Access',' Signal ',' Mentok ',' Btang ',' ']</v>
      </c>
      <c r="D2001" s="3">
        <v>3.0</v>
      </c>
    </row>
    <row r="2002" ht="15.75" customHeight="1">
      <c r="A2002" s="1">
        <v>2000.0</v>
      </c>
      <c r="B2002" s="3" t="s">
        <v>2003</v>
      </c>
      <c r="C2002" s="3" t="str">
        <f>IFERROR(__xludf.DUMMYFUNCTION("GOOGLETRANSLATE(B2002,""id"",""en"")"),"['', 'cave', 'no', 'love', 'rating', 'no', 'rating', 'comments',' no ',' post ',' Telkomsel ',' poor ',' expensive ',' slow ',' pulse ',' run out ',' missing ',' where ',' just ']]")</f>
        <v>['', 'cave', 'no', 'love', 'rating', 'no', 'rating', 'comments',' no ',' post ',' Telkomsel ',' poor ',' expensive ',' slow ',' pulse ',' run out ',' missing ',' where ',' just ']]</v>
      </c>
      <c r="D2002" s="3">
        <v>1.0</v>
      </c>
    </row>
    <row r="2003" ht="15.75" customHeight="1">
      <c r="A2003" s="1">
        <v>2001.0</v>
      </c>
      <c r="B2003" s="3" t="s">
        <v>2004</v>
      </c>
      <c r="C2003" s="3" t="str">
        <f>IFERROR(__xludf.DUMMYFUNCTION("GOOGLETRANSLATE(B2003,""id"",""en"")"),"['Disappointed', 'Very', 'oath', 'Yesterday', 'SMS', 'TELKOM', 'Enter', 'Package', 'Cheap', 'Telkom', 'right', 'Download', ' Wanted ',' already ',' contents', 'pulse']")</f>
        <v>['Disappointed', 'Very', 'oath', 'Yesterday', 'SMS', 'TELKOM', 'Enter', 'Package', 'Cheap', 'Telkom', 'right', 'Download', ' Wanted ',' already ',' contents', 'pulse']</v>
      </c>
      <c r="D2003" s="3">
        <v>1.0</v>
      </c>
    </row>
    <row r="2004" ht="15.75" customHeight="1">
      <c r="A2004" s="1">
        <v>2002.0</v>
      </c>
      <c r="B2004" s="3" t="s">
        <v>2005</v>
      </c>
      <c r="C2004" s="3" t="str">
        <f>IFERROR(__xludf.DUMMYFUNCTION("GOOGLETRANSLATE(B2004,""id"",""en"")"),"['Loginnya', 'difficult', 'complicated', 'convoluted', 'via', 'link', 'sms',' wait ',' linger ',' easy ',' logout ',' automatic ',' Cards', 'SIM', 'Installed', '']")</f>
        <v>['Loginnya', 'difficult', 'complicated', 'convoluted', 'via', 'link', 'sms',' wait ',' linger ',' easy ',' logout ',' automatic ',' Cards', 'SIM', 'Installed', '']</v>
      </c>
      <c r="D2004" s="3">
        <v>1.0</v>
      </c>
    </row>
    <row r="2005" ht="15.75" customHeight="1">
      <c r="A2005" s="1">
        <v>2003.0</v>
      </c>
      <c r="B2005" s="3" t="s">
        <v>2006</v>
      </c>
      <c r="C2005" s="3" t="str">
        <f>IFERROR(__xludf.DUMMYFUNCTION("GOOGLETRANSLATE(B2005,""id"",""en"")"),"['Telkomsel', 'disappointed', 'system', 'Telkomsel', 'buy', 'package', 'night', 'there', 'printed', 'clock', 'morning', 'clock', ' already ',' run out ',' credit ',' events', 'many', 'times',' accountability ',' Telkomsel ',' returning ',' pulses', 'alrea"&amp;"dy', 'ngak', 'right' , 'Telkomsel', '']")</f>
        <v>['Telkomsel', 'disappointed', 'system', 'Telkomsel', 'buy', 'package', 'night', 'there', 'printed', 'clock', 'morning', 'clock', ' already ',' run out ',' credit ',' events', 'many', 'times',' accountability ',' Telkomsel ',' returning ',' pulses', 'already', 'ngak', 'right' , 'Telkomsel', '']</v>
      </c>
      <c r="D2005" s="3">
        <v>1.0</v>
      </c>
    </row>
    <row r="2006" ht="15.75" customHeight="1">
      <c r="A2006" s="1">
        <v>2004.0</v>
      </c>
      <c r="B2006" s="3" t="s">
        <v>2007</v>
      </c>
      <c r="C2006" s="3" t="str">
        <f>IFERROR(__xludf.DUMMYFUNCTION("GOOGLETRANSLATE(B2006,""id"",""en"")"),"['making easier', 'transaction', 'help', 'information', 'data', 'focus',' improvement ',' performance ',' network ',' city ',' Surabaya ',' its network ',' Enter ',' Movers', 'Please', 'Noted']")</f>
        <v>['making easier', 'transaction', 'help', 'information', 'data', 'focus',' improvement ',' performance ',' network ',' city ',' Surabaya ',' its network ',' Enter ',' Movers', 'Please', 'Noted']</v>
      </c>
      <c r="D2006" s="3">
        <v>4.0</v>
      </c>
    </row>
    <row r="2007" ht="15.75" customHeight="1">
      <c r="A2007" s="1">
        <v>2005.0</v>
      </c>
      <c r="B2007" s="3" t="s">
        <v>2008</v>
      </c>
      <c r="C2007" s="3" t="str">
        <f>IFERROR(__xludf.DUMMYFUNCTION("GOOGLETRANSLATE(B2007,""id"",""en"")"),"['Suggestion', 'report', 'Problems',' Please ',' Transaction ',' Credit ',' Package ',' Credit ',' Message ',' Enter ',' Taper ',' Message ',' SMS ',' application ',' Telkomsel ',' fill out ',' credit ',' enter ',' check ',' message ',' proof ',' transact"&amp;"ion ',' confirm ',' where ',' go ' , 'Credit', 'Reduced', 'Enter']")</f>
        <v>['Suggestion', 'report', 'Problems',' Please ',' Transaction ',' Credit ',' Package ',' Credit ',' Message ',' Enter ',' Taper ',' Message ',' SMS ',' application ',' Telkomsel ',' fill out ',' credit ',' enter ',' check ',' message ',' proof ',' transaction ',' confirm ',' where ',' go ' , 'Credit', 'Reduced', 'Enter']</v>
      </c>
      <c r="D2007" s="3">
        <v>4.0</v>
      </c>
    </row>
    <row r="2008" ht="15.75" customHeight="1">
      <c r="A2008" s="1">
        <v>2006.0</v>
      </c>
      <c r="B2008" s="3" t="s">
        <v>2009</v>
      </c>
      <c r="C2008" s="3" t="str">
        <f>IFERROR(__xludf.DUMMYFUNCTION("GOOGLETRANSLATE(B2008,""id"",""en"")"),"['how', 'clay', 'quota', 'omg', 'application', 'buy', 'pulse', 'buy', 'package', 'type', 'request', 'process',' sympathy ',' how ',' customer ',' subscribe ',' card ',' sympathy ',' times', 'already', 'sympathy']")</f>
        <v>['how', 'clay', 'quota', 'omg', 'application', 'buy', 'pulse', 'buy', 'package', 'type', 'request', 'process',' sympathy ',' how ',' customer ',' subscribe ',' card ',' sympathy ',' times', 'already', 'sympathy']</v>
      </c>
      <c r="D2008" s="3">
        <v>1.0</v>
      </c>
    </row>
    <row r="2009" ht="15.75" customHeight="1">
      <c r="A2009" s="1">
        <v>2007.0</v>
      </c>
      <c r="B2009" s="3" t="s">
        <v>2010</v>
      </c>
      <c r="C2009" s="3" t="str">
        <f>IFERROR(__xludf.DUMMYFUNCTION("GOOGLETRANSLATE(B2009,""id"",""en"")"),"['Disappointed', 'really', 'card', 'Perdana', 'Telkomsel', 'UDH', 'Collecting', 'Points', 'Reset', 'Severe', 'Disappointed', 'Really' package ',' malem ',' right ',' clock ',' package ',' main ',' hit ',' system ',' rich ',' what ',' mah ',' udh ',' disap"&amp;"pointed ' , 'very', '']")</f>
        <v>['Disappointed', 'really', 'card', 'Perdana', 'Telkomsel', 'UDH', 'Collecting', 'Points', 'Reset', 'Severe', 'Disappointed', 'Really' package ',' malem ',' right ',' clock ',' package ',' main ',' hit ',' system ',' rich ',' what ',' mah ',' udh ',' disappointed ' , 'very', '']</v>
      </c>
      <c r="D2009" s="3">
        <v>1.0</v>
      </c>
    </row>
    <row r="2010" ht="15.75" customHeight="1">
      <c r="A2010" s="1">
        <v>2008.0</v>
      </c>
      <c r="B2010" s="3" t="s">
        <v>2011</v>
      </c>
      <c r="C2010" s="3" t="str">
        <f>IFERROR(__xludf.DUMMYFUNCTION("GOOGLETRANSLATE(B2010,""id"",""en"")"),"['input', 'customers',' loyal ',' Telkomsel ',' signal ',' Telkomsel ',' slow ',' slow ',' jakarta ',' north ',' exact ',' region ',' Rusun ',' Reservoir ',' Pluit ',' Penjaringan ',' TLG ',' Monitor ',' KOQ ', ""]")</f>
        <v>['input', 'customers',' loyal ',' Telkomsel ',' signal ',' Telkomsel ',' slow ',' slow ',' jakarta ',' north ',' exact ',' region ',' Rusun ',' Reservoir ',' Pluit ',' Penjaringan ',' TLG ',' Monitor ',' KOQ ', "]</v>
      </c>
      <c r="D2010" s="3">
        <v>2.0</v>
      </c>
    </row>
    <row r="2011" ht="15.75" customHeight="1">
      <c r="A2011" s="1">
        <v>2009.0</v>
      </c>
      <c r="B2011" s="3" t="s">
        <v>2012</v>
      </c>
      <c r="C2011" s="3" t="str">
        <f>IFERROR(__xludf.DUMMYFUNCTION("GOOGLETRANSLATE(B2011,""id"",""en"")"),"['Telkomsel', 'Restore', 'Money', 'thousand', 'buy', 'Package', 'Morning', 'Money', 'Transfer', 'Package', 'Enter', 'Severe', ' Telkomsel ',' Heart ',' Hearts', 'Buy', 'Package', 'Data', 'Telkomsel', 'Money', 'Take', 'Package', 'Data', 'Enter']")</f>
        <v>['Telkomsel', 'Restore', 'Money', 'thousand', 'buy', 'Package', 'Morning', 'Money', 'Transfer', 'Package', 'Enter', 'Severe', ' Telkomsel ',' Heart ',' Hearts', 'Buy', 'Package', 'Data', 'Telkomsel', 'Money', 'Take', 'Package', 'Data', 'Enter']</v>
      </c>
      <c r="D2011" s="3">
        <v>1.0</v>
      </c>
    </row>
    <row r="2012" ht="15.75" customHeight="1">
      <c r="A2012" s="1">
        <v>2010.0</v>
      </c>
      <c r="B2012" s="3" t="s">
        <v>2013</v>
      </c>
      <c r="C2012" s="3" t="str">
        <f>IFERROR(__xludf.DUMMYFUNCTION("GOOGLETRANSLATE(B2012,""id"",""en"")"),"['Come', 'signal', 'ugly', 'purchase', 'pulse', 'point', 'point', 'accumulated', 'missing', 'where', 'unfortunate', 'sorry']")</f>
        <v>['Come', 'signal', 'ugly', 'purchase', 'pulse', 'point', 'point', 'accumulated', 'missing', 'where', 'unfortunate', 'sorry']</v>
      </c>
      <c r="D2012" s="3">
        <v>1.0</v>
      </c>
    </row>
    <row r="2013" ht="15.75" customHeight="1">
      <c r="A2013" s="1">
        <v>2011.0</v>
      </c>
      <c r="B2013" s="3" t="s">
        <v>2014</v>
      </c>
      <c r="C2013" s="3" t="str">
        <f>IFERROR(__xludf.DUMMYFUNCTION("GOOGLETRANSLATE(B2013,""id"",""en"")"),"['signal', 'ugly', 'complain', 'call', 'solution', 'answer', 'please', 'outlet', 'call', 'so', 'woyy', 'check', ' Nomers', 'Pay', 'go bankrupt', 'love', 'star', 'minus',' no ',' value ',' star ',' good ',' Telkomsel ', ""]")</f>
        <v>['signal', 'ugly', 'complain', 'call', 'solution', 'answer', 'please', 'outlet', 'call', 'so', 'woyy', 'check', ' Nomers', 'Pay', 'go bankrupt', 'love', 'star', 'minus',' no ',' value ',' star ',' good ',' Telkomsel ', "]</v>
      </c>
      <c r="D2013" s="3">
        <v>1.0</v>
      </c>
    </row>
    <row r="2014" ht="15.75" customHeight="1">
      <c r="A2014" s="1">
        <v>2012.0</v>
      </c>
      <c r="B2014" s="3" t="s">
        <v>2015</v>
      </c>
      <c r="C2014" s="3" t="str">
        <f>IFERROR(__xludf.DUMMYFUNCTION("GOOGLETRANSLATE(B2014,""id"",""en"")"),"['Please', 'repaired', 'Telkomsel', 'like', 'nosein', 'pulse', 'contents',' pulse ',' rb ',' then ',' forget ',' turn it off ',' Data ',' put together ',' right ',' check ',' pulse ',' direct ',' Rp ',' right ',' kecera ',' ']")</f>
        <v>['Please', 'repaired', 'Telkomsel', 'like', 'nosein', 'pulse', 'contents',' pulse ',' rb ',' then ',' forget ',' turn it off ',' Data ',' put together ',' right ',' check ',' pulse ',' direct ',' Rp ',' right ',' kecera ',' ']</v>
      </c>
      <c r="D2014" s="3">
        <v>1.0</v>
      </c>
    </row>
    <row r="2015" ht="15.75" customHeight="1">
      <c r="A2015" s="1">
        <v>2013.0</v>
      </c>
      <c r="B2015" s="3" t="s">
        <v>2016</v>
      </c>
      <c r="C2015" s="3" t="str">
        <f>IFERROR(__xludf.DUMMYFUNCTION("GOOGLETRANSLATE(B2015,""id"",""en"")"),"['', 'how', 'standard', 'good', 'bgus',' ugly ',' ugly ',' resentful ',' signal ',' ilang ',' ujan ',' dlm ',' room ',' Sometimes', 'open', 'yover', 'muter', 'muter', 'yowis',' podo ',' bae ',' ']")</f>
        <v>['', 'how', 'standard', 'good', 'bgus',' ugly ',' ugly ',' resentful ',' signal ',' ilang ',' ujan ',' dlm ',' room ',' Sometimes', 'open', 'yover', 'muter', 'muter', 'yowis',' podo ',' bae ',' ']</v>
      </c>
      <c r="D2015" s="3">
        <v>3.0</v>
      </c>
    </row>
    <row r="2016" ht="15.75" customHeight="1">
      <c r="A2016" s="1">
        <v>2014.0</v>
      </c>
      <c r="B2016" s="3" t="s">
        <v>2017</v>
      </c>
      <c r="C2016" s="3" t="str">
        <f>IFERROR(__xludf.DUMMYFUNCTION("GOOGLETRANSLATE(B2016,""id"",""en"")"),"['', 'how', 'Telkomsel', 'cave', 'entered', 'voucher', 'writing', 'service', 'busy', 'wtf', 'cave', 'try', 'reset ',' Ampe ',' hundreds', 'times',' enter ',' voucher ',' try ',' no ',' action ',' fix ',' kek ',' loss', 'cave', 'buy', 'voucherrr', 'kmprts'"&amp;"]")</f>
        <v>['', 'how', 'Telkomsel', 'cave', 'entered', 'voucher', 'writing', 'service', 'busy', 'wtf', 'cave', 'try', 'reset ',' Ampe ',' hundreds', 'times',' enter ',' voucher ',' try ',' no ',' action ',' fix ',' kek ',' loss', 'cave', 'buy', 'voucherrr', 'kmprts']</v>
      </c>
      <c r="D2016" s="3">
        <v>1.0</v>
      </c>
    </row>
    <row r="2017" ht="15.75" customHeight="1">
      <c r="A2017" s="1">
        <v>2015.0</v>
      </c>
      <c r="B2017" s="3" t="s">
        <v>2018</v>
      </c>
      <c r="C2017" s="3" t="str">
        <f>IFERROR(__xludf.DUMMYFUNCTION("GOOGLETRANSLATE(B2017,""id"",""en"")"),"['Card', 'Telkomsel', 'Dear', 'Price', 'Expensive', 'Card', 'For example', 'Indosat', 'Tri', 'Etc.', 'Wonder', 'Progress',' Telkomsel ',' Rapid ',' remote ',' remote ', ""]")</f>
        <v>['Card', 'Telkomsel', 'Dear', 'Price', 'Expensive', 'Card', 'For example', 'Indosat', 'Tri', 'Etc.', 'Wonder', 'Progress',' Telkomsel ',' Rapid ',' remote ',' remote ', "]</v>
      </c>
      <c r="D2017" s="3">
        <v>1.0</v>
      </c>
    </row>
    <row r="2018" ht="15.75" customHeight="1">
      <c r="A2018" s="1">
        <v>2016.0</v>
      </c>
      <c r="B2018" s="3" t="s">
        <v>2019</v>
      </c>
      <c r="C2018" s="3" t="str">
        <f>IFERROR(__xludf.DUMMYFUNCTION("GOOGLETRANSLATE(B2018,""id"",""en"")"),"['users',' Telkomsel ',' Not bad ',' use ',' Telkomsel ',' get ',' Package ',' Combo ',' Sakti ',' Okay ',' GPP ',' Get ',' package ',' combo ',' right ',' contents', 'package', 'data', 'price', 'expensive', 'price', 'minute', 'price', 'sorted', 'update' "&amp;", 'Telkomsel', 'Points', 'UDH']")</f>
        <v>['users',' Telkomsel ',' Not bad ',' use ',' Telkomsel ',' get ',' Package ',' Combo ',' Sakti ',' Okay ',' GPP ',' Get ',' package ',' combo ',' right ',' contents', 'package', 'data', 'price', 'expensive', 'price', 'minute', 'price', 'sorted', 'update' , 'Telkomsel', 'Points', 'UDH']</v>
      </c>
      <c r="D2018" s="3">
        <v>1.0</v>
      </c>
    </row>
    <row r="2019" ht="15.75" customHeight="1">
      <c r="A2019" s="1">
        <v>2017.0</v>
      </c>
      <c r="B2019" s="3" t="s">
        <v>2020</v>
      </c>
      <c r="C2019" s="3" t="str">
        <f>IFERROR(__xludf.DUMMYFUNCTION("GOOGLETRANSLATE(B2019,""id"",""en"")"),"['Ngecire', 'Lemoottt', 'really', 'Mending', 'Indosat', 'Fredom', 'Internet', 'Kenceng', 'Telkomsel', 'Makain', 'Lemotttt', 'Disappointed', ' Blok ',' ']")</f>
        <v>['Ngecire', 'Lemoottt', 'really', 'Mending', 'Indosat', 'Fredom', 'Internet', 'Kenceng', 'Telkomsel', 'Makain', 'Lemotttt', 'Disappointed', ' Blok ',' ']</v>
      </c>
      <c r="D2019" s="3">
        <v>1.0</v>
      </c>
    </row>
    <row r="2020" ht="15.75" customHeight="1">
      <c r="A2020" s="1">
        <v>2018.0</v>
      </c>
      <c r="B2020" s="3" t="s">
        <v>2021</v>
      </c>
      <c r="C2020" s="3" t="str">
        <f>IFERROR(__xludf.DUMMYFUNCTION("GOOGLETRANSLATE(B2020,""id"",""en"")"),"['fence', 'signal', 'full', 'network', 'slow', 'lose', 'operator', 'next door', 'fence', 'sinynya', 'stable', 'packetan', ' cheap ',' cheap ',' sorry ',' Telkomsel ',' satisfying ',' trima ',' love ']")</f>
        <v>['fence', 'signal', 'full', 'network', 'slow', 'lose', 'operator', 'next door', 'fence', 'sinynya', 'stable', 'packetan', ' cheap ',' cheap ',' sorry ',' Telkomsel ',' satisfying ',' trima ',' love ']</v>
      </c>
      <c r="D2020" s="3">
        <v>1.0</v>
      </c>
    </row>
    <row r="2021" ht="15.75" customHeight="1">
      <c r="A2021" s="1">
        <v>2019.0</v>
      </c>
      <c r="B2021" s="3" t="s">
        <v>2022</v>
      </c>
      <c r="C2021" s="3" t="str">
        <f>IFERROR(__xludf.DUMMYFUNCTION("GOOGLETRANSLATE(B2021,""id"",""en"")"),"['', 'talking', 'down', 'down', 'fix', 'twitter', 'complaint', ""]")</f>
        <v>['', 'talking', 'down', 'down', 'fix', 'twitter', 'complaint', "]</v>
      </c>
      <c r="D2021" s="3">
        <v>1.0</v>
      </c>
    </row>
    <row r="2022" ht="15.75" customHeight="1">
      <c r="A2022" s="1">
        <v>2020.0</v>
      </c>
      <c r="B2022" s="3" t="s">
        <v>2023</v>
      </c>
      <c r="C2022" s="3" t="str">
        <f>IFERROR(__xludf.DUMMYFUNCTION("GOOGLETRANSLATE(B2022,""id"",""en"")"),"['Hadeuhh', 'Signal', 'Severe', 'Price', 'Quality', 'Balanced', 'Repair', 'Lost', 'Laen', ""]")</f>
        <v>['Hadeuhh', 'Signal', 'Severe', 'Price', 'Quality', 'Balanced', 'Repair', 'Lost', 'Laen', "]</v>
      </c>
      <c r="D2022" s="3">
        <v>1.0</v>
      </c>
    </row>
    <row r="2023" ht="15.75" customHeight="1">
      <c r="A2023" s="1">
        <v>2021.0</v>
      </c>
      <c r="B2023" s="3" t="s">
        <v>2024</v>
      </c>
      <c r="C2023" s="3" t="str">
        <f>IFERROR(__xludf.DUMMYFUNCTION("GOOGLETRANSLATE(B2023,""id"",""en"")"),"['Star', 'Addin', 'Severe', 'Sorry', 'User', 'Telokmsel', 'Change', 'Number', 'here', 'Disappointed', 'Network', ""]")</f>
        <v>['Star', 'Addin', 'Severe', 'Sorry', 'User', 'Telokmsel', 'Change', 'Number', 'here', 'Disappointed', 'Network', "]</v>
      </c>
      <c r="D2023" s="3">
        <v>1.0</v>
      </c>
    </row>
    <row r="2024" ht="15.75" customHeight="1">
      <c r="A2024" s="1">
        <v>2022.0</v>
      </c>
      <c r="B2024" s="3" t="s">
        <v>2025</v>
      </c>
      <c r="C2024" s="3" t="str">
        <f>IFERROR(__xludf.DUMMYFUNCTION("GOOGLETRANSLATE(B2024,""id"",""en"")"),"['price', 'package', 'expensive', 'play', 'lag', 'proud of', 'network', 'widest', 'city', 'lag', 'forest', 'thank you', ' Telkomsel ',' Love ',' Youu ']")</f>
        <v>['price', 'package', 'expensive', 'play', 'lag', 'proud of', 'network', 'widest', 'city', 'lag', 'forest', 'thank you', ' Telkomsel ',' Love ',' Youu ']</v>
      </c>
      <c r="D2024" s="3">
        <v>1.0</v>
      </c>
    </row>
    <row r="2025" ht="15.75" customHeight="1">
      <c r="A2025" s="1">
        <v>2023.0</v>
      </c>
      <c r="B2025" s="3" t="s">
        <v>2026</v>
      </c>
      <c r="C2025" s="3" t="str">
        <f>IFERROR(__xludf.DUMMYFUNCTION("GOOGLETRANSLATE(B2025,""id"",""en"")"),"['love', 'star', 'price', 'package', 'internet', 'expensive', 'network', 'kentut', 'fart', 'slow', 'play', 'game', ' Online ',' ping ',' good ',' red ',' network ',' sympathy ',' cem ',' network ',' garbage ',' useful ',' disappointed ',' boss', ""]")</f>
        <v>['love', 'star', 'price', 'package', 'internet', 'expensive', 'network', 'kentut', 'fart', 'slow', 'play', 'game', ' Online ',' ping ',' good ',' red ',' network ',' sympathy ',' cem ',' network ',' garbage ',' useful ',' disappointed ',' boss', "]</v>
      </c>
      <c r="D2025" s="3">
        <v>1.0</v>
      </c>
    </row>
    <row r="2026" ht="15.75" customHeight="1">
      <c r="A2026" s="1">
        <v>2024.0</v>
      </c>
      <c r="B2026" s="3" t="s">
        <v>2027</v>
      </c>
      <c r="C2026" s="3" t="str">
        <f>IFERROR(__xludf.DUMMYFUNCTION("GOOGLETRANSLATE(B2026,""id"",""en"")"),"['Customer', 'loyal', 'Telkomsel', 'number', 'just', 'Review', 'bad', 'ping', 'smarhphone', 'down', 'severe', 'bad', ' ']")</f>
        <v>['Customer', 'loyal', 'Telkomsel', 'number', 'just', 'Review', 'bad', 'ping', 'smarhphone', 'down', 'severe', 'bad', ' ']</v>
      </c>
      <c r="D2026" s="3">
        <v>1.0</v>
      </c>
    </row>
    <row r="2027" ht="15.75" customHeight="1">
      <c r="A2027" s="1">
        <v>2025.0</v>
      </c>
      <c r="B2027" s="3" t="s">
        <v>2028</v>
      </c>
      <c r="C2027" s="3" t="str">
        <f>IFERROR(__xludf.DUMMYFUNCTION("GOOGLETRANSLATE(B2027,""id"",""en"")"),"['', 'see', 'org', 'gubris',' status', 'network', 'hand', 'money', 'results',' service ',' blood ',' family ',' pus ',' Review ',' Discuss', 'Discover', 'Road', 'Constraints',' Infokar ',' Weather ',' Bad ',' Tangerang ',' Disruption ',' Network ',' Respe"&amp;"ct ', 'cust', 'user', 'org', 'abis',' buy ',' data ',' then ',' network ',' because ',' qualified ',' network ',' smart ',' info ', 'communication', '']")</f>
        <v>['', 'see', 'org', 'gubris',' status', 'network', 'hand', 'money', 'results',' service ',' blood ',' family ',' pus ',' Review ',' Discuss', 'Discover', 'Road', 'Constraints',' Infokar ',' Weather ',' Bad ',' Tangerang ',' Disruption ',' Network ',' Respect ', 'cust', 'user', 'org', 'abis',' buy ',' data ',' then ',' network ',' because ',' qualified ',' network ',' smart ',' info ', 'communication', '']</v>
      </c>
      <c r="D2027" s="3">
        <v>1.0</v>
      </c>
    </row>
    <row r="2028" ht="15.75" customHeight="1">
      <c r="A2028" s="1">
        <v>2026.0</v>
      </c>
      <c r="B2028" s="3" t="s">
        <v>2029</v>
      </c>
      <c r="C2028" s="3" t="str">
        <f>IFERROR(__xludf.DUMMYFUNCTION("GOOGLETRANSLATE(B2028,""id"",""en"")"),"['Network', 'ugly', 'really', 'noon', 'night', 'lag', 'tarus', 'signal', 'open', 'status', 'slow', 'really' his signal ',' please ',' improvement ',' signal ',' slow ',' already ',' smooth ',' kasi ',' star ',' deh ',' ']")</f>
        <v>['Network', 'ugly', 'really', 'noon', 'night', 'lag', 'tarus', 'signal', 'open', 'status', 'slow', 'really' his signal ',' please ',' improvement ',' signal ',' slow ',' already ',' smooth ',' kasi ',' star ',' deh ',' ']</v>
      </c>
      <c r="D2028" s="3">
        <v>1.0</v>
      </c>
    </row>
    <row r="2029" ht="15.75" customHeight="1">
      <c r="A2029" s="1">
        <v>2027.0</v>
      </c>
      <c r="B2029" s="3" t="s">
        <v>2030</v>
      </c>
      <c r="C2029" s="3" t="str">
        <f>IFERROR(__xludf.DUMMYFUNCTION("GOOGLETRANSLATE(B2029,""id"",""en"")"),"['Change', 'Card', 'Make', 'Telkomsel', 'Good', 'Severe', 'Network', 'Telkomsel', 'Delete', 'Application', 'Service', 'Good', ' Uda ',' Pay ',' expensive ',' expensive ', ""]")</f>
        <v>['Change', 'Card', 'Make', 'Telkomsel', 'Good', 'Severe', 'Network', 'Telkomsel', 'Delete', 'Application', 'Service', 'Good', ' Uda ',' Pay ',' expensive ',' expensive ', "]</v>
      </c>
      <c r="D2029" s="3">
        <v>1.0</v>
      </c>
    </row>
    <row r="2030" ht="15.75" customHeight="1">
      <c r="A2030" s="1">
        <v>2028.0</v>
      </c>
      <c r="B2030" s="3" t="s">
        <v>2031</v>
      </c>
      <c r="C2030" s="3" t="str">
        <f>IFERROR(__xludf.DUMMYFUNCTION("GOOGLETRANSLATE(B2030,""id"",""en"")"),"['signal', 'ampunnn', 'like', 'slow', 'stay', 'already', 'area', 'city', 'inland', 'forest', 'or', 'mountain', ' Please, 'Fix', 'Quality', 'The Network', 'MAYAL', 'SINYAL', 'LOSE', '']")</f>
        <v>['signal', 'ampunnn', 'like', 'slow', 'stay', 'already', 'area', 'city', 'inland', 'forest', 'or', 'mountain', ' Please, 'Fix', 'Quality', 'The Network', 'MAYAL', 'SINYAL', 'LOSE', '']</v>
      </c>
      <c r="D2030" s="3">
        <v>1.0</v>
      </c>
    </row>
    <row r="2031" ht="15.75" customHeight="1">
      <c r="A2031" s="1">
        <v>2029.0</v>
      </c>
      <c r="B2031" s="3" t="s">
        <v>2032</v>
      </c>
      <c r="C2031" s="3" t="str">
        <f>IFERROR(__xludf.DUMMYFUNCTION("GOOGLETRANSLATE(B2031,""id"",""en"")"),"['user', 'card', 'Hello', 'bill', 'written', 'bln', 'strange', 'right', 'pay', 'bill', 'dwit', 'sorry', ' The star ',' was lacking ',' the network ',' ugly ',' please ',' fix ',' ']")</f>
        <v>['user', 'card', 'Hello', 'bill', 'written', 'bln', 'strange', 'right', 'pay', 'bill', 'dwit', 'sorry', ' The star ',' was lacking ',' the network ',' ugly ',' please ',' fix ',' ']</v>
      </c>
      <c r="D2031" s="3">
        <v>1.0</v>
      </c>
    </row>
    <row r="2032" ht="15.75" customHeight="1">
      <c r="A2032" s="1">
        <v>2030.0</v>
      </c>
      <c r="B2032" s="3" t="s">
        <v>2033</v>
      </c>
      <c r="C2032" s="3" t="str">
        <f>IFERROR(__xludf.DUMMYFUNCTION("GOOGLETRANSLATE(B2032,""id"",""en"")"),"['Hello', 'Kanapa', 'network', 'signal', 'Telkomsel', 'ugly', 'really', 'pay', 'expensive', 'signal', 'ugly', 'quota', ' fast ',' run out ',' Telkomsel ',' already ',' week ',' Telkomsel ',' yesterday ',' yesterday ',' goodbanget ',' signal ',' kayak ',' "&amp;"taik ']")</f>
        <v>['Hello', 'Kanapa', 'network', 'signal', 'Telkomsel', 'ugly', 'really', 'pay', 'expensive', 'signal', 'ugly', 'quota', ' fast ',' run out ',' Telkomsel ',' already ',' week ',' Telkomsel ',' yesterday ',' yesterday ',' goodbanget ',' signal ',' kayak ',' taik ']</v>
      </c>
      <c r="D2032" s="3">
        <v>1.0</v>
      </c>
    </row>
    <row r="2033" ht="15.75" customHeight="1">
      <c r="A2033" s="1">
        <v>2031.0</v>
      </c>
      <c r="B2033" s="3" t="s">
        <v>2034</v>
      </c>
      <c r="C2033" s="3" t="str">
        <f>IFERROR(__xludf.DUMMYFUNCTION("GOOGLETRANSLATE(B2033,""id"",""en"")"),"['Telkomsel', 'identical', 'card', 'sultan', 'Please', 'sorry', 'network', 'dated', 'Badung', 'oath', 'lose', 'Jauuuuuuuhhhhhhhhhhhhhhhhhhhhhhhhhhhhhhhhhhhhhhhhhhhhhhhhhhhhhhhhhhhhhhhhhhhhhhhhhhhh network ',' tri ',' stable ',' network ',' area ',' subang"&amp;" ',' expensive ',' doang ',' network ',' ngilan ',' ngilan ', ""]")</f>
        <v>['Telkomsel', 'identical', 'card', 'sultan', 'Please', 'sorry', 'network', 'dated', 'Badung', 'oath', 'lose', 'Jauuuuuuuhhhhhhhhhhhhhhhhhhhhhhhhhhhhhhhhhhhhhhhhhhhhhhhhhhhhhhhhhhhhhhhhhhhhhhhhhhhh network ',' tri ',' stable ',' network ',' area ',' subang ',' expensive ',' doang ',' network ',' ngilan ',' ngilan ', "]</v>
      </c>
      <c r="D2033" s="3">
        <v>1.0</v>
      </c>
    </row>
    <row r="2034" ht="15.75" customHeight="1">
      <c r="A2034" s="1">
        <v>2032.0</v>
      </c>
      <c r="B2034" s="3" t="s">
        <v>2035</v>
      </c>
      <c r="C2034" s="3" t="str">
        <f>IFERROR(__xludf.DUMMYFUNCTION("GOOGLETRANSLATE(B2034,""id"",""en"")"),"['Amid the middle', 'city', 'signal', 'Nge', 'lag', 'already', 'mode', 'peaut', 'Turn on', 'reset', 'HP', 'Tetep', ' Nge ',' lag ',' intention ',' provider ',' Indihome ',' Nge ',' lag ',' Telkomsel ',' Nge ',' lag ',' price ',' quota ',' expensive ' , 'L"&amp;"iatin', 'buffering', 'muter', 'doang', '']")</f>
        <v>['Amid the middle', 'city', 'signal', 'Nge', 'lag', 'already', 'mode', 'peaut', 'Turn on', 'reset', 'HP', 'Tetep', ' Nge ',' lag ',' intention ',' provider ',' Indihome ',' Nge ',' lag ',' Telkomsel ',' Nge ',' lag ',' price ',' quota ',' expensive ' , 'Liatin', 'buffering', 'muter', 'doang', '']</v>
      </c>
      <c r="D2034" s="3">
        <v>1.0</v>
      </c>
    </row>
    <row r="2035" ht="15.75" customHeight="1">
      <c r="A2035" s="1">
        <v>2033.0</v>
      </c>
      <c r="B2035" s="3" t="s">
        <v>2036</v>
      </c>
      <c r="C2035" s="3" t="str">
        <f>IFERROR(__xludf.DUMMYFUNCTION("GOOGLETRANSLATE(B2035,""id"",""en"")"),"['Network', 'Ter', 'Strong', 'Try', 'Check', 'Quality', 'Network', 'Region', 'Urban', 'Tower', 'GraPARI', 'Telkomsel', ' See ',' Status', 'Difficult', ""]")</f>
        <v>['Network', 'Ter', 'Strong', 'Try', 'Check', 'Quality', 'Network', 'Region', 'Urban', 'Tower', 'GraPARI', 'Telkomsel', ' See ',' Status', 'Difficult', "]</v>
      </c>
      <c r="D2035" s="3">
        <v>1.0</v>
      </c>
    </row>
    <row r="2036" ht="15.75" customHeight="1">
      <c r="A2036" s="1">
        <v>2034.0</v>
      </c>
      <c r="B2036" s="3" t="s">
        <v>2037</v>
      </c>
      <c r="C2036" s="3" t="str">
        <f>IFERROR(__xludf.DUMMYFUNCTION("GOOGLETRANSLATE(B2036,""id"",""en"")"),"['Network', 'ugly', 'really', 'times',' good ',' where ',' place ',' here ',' ugly ',' really ',' Jarinfan ',' Disturbs', ' Really ',' people ',' cool ',' play ',' game ',' Bela ',' IN ',' buy ',' package ',' expensive ',' quality ',' network ',' disappoi"&amp;"nting ' , 'please', 'fix', 'min', 'gini', 'person', 'change', 'service', 'card', 'card', 'signal', 'good', 'rich', ' Gini ',' disappointing ',' field ',' Tetep ',' Ajah ',' ugly ', ""]")</f>
        <v>['Network', 'ugly', 'really', 'times',' good ',' where ',' place ',' here ',' ugly ',' really ',' Jarinfan ',' Disturbs', ' Really ',' people ',' cool ',' play ',' game ',' Bela ',' IN ',' buy ',' package ',' expensive ',' quality ',' network ',' disappointing ' , 'please', 'fix', 'min', 'gini', 'person', 'change', 'service', 'card', 'card', 'signal', 'good', 'rich', ' Gini ',' disappointing ',' field ',' Tetep ',' Ajah ',' ugly ', "]</v>
      </c>
      <c r="D2036" s="3">
        <v>1.0</v>
      </c>
    </row>
    <row r="2037" ht="15.75" customHeight="1">
      <c r="A2037" s="1">
        <v>2035.0</v>
      </c>
      <c r="B2037" s="3" t="s">
        <v>2038</v>
      </c>
      <c r="C2037" s="3" t="str">
        <f>IFERROR(__xludf.DUMMYFUNCTION("GOOGLETRANSLATE(B2037,""id"",""en"")"),"['Please', 'Telkomsel', 'sms',' pop ',' annoying ',' appears', 'many', 'times',' writing ',' subscribe ',' PPnadal ',' want ',' Subscribe ',' Live ',' streaming ',' directly ',' endlive ',' Gara ',' sms', 'annoying', 'promo', 'price', 'expensive', 'networ"&amp;"k', 'severe' , 'Provider', 'ugly', 'Telkomsel']")</f>
        <v>['Please', 'Telkomsel', 'sms',' pop ',' annoying ',' appears', 'many', 'times',' writing ',' subscribe ',' PPnadal ',' want ',' Subscribe ',' Live ',' streaming ',' directly ',' endlive ',' Gara ',' sms', 'annoying', 'promo', 'price', 'expensive', 'network', 'severe' , 'Provider', 'ugly', 'Telkomsel']</v>
      </c>
      <c r="D2037" s="3">
        <v>1.0</v>
      </c>
    </row>
    <row r="2038" ht="15.75" customHeight="1">
      <c r="A2038" s="1">
        <v>2036.0</v>
      </c>
      <c r="B2038" s="3" t="s">
        <v>2039</v>
      </c>
      <c r="C2038" s="3" t="str">
        <f>IFERROR(__xludf.DUMMYFUNCTION("GOOGLETRANSLATE(B2038,""id"",""en"")"),"['Telkomsel', 'Lombok', 'Lombok', 'Network', 'Internet', 'Super', 'Bad', 'Buy', 'Quota', 'OMG', 'LeleeeeeeeeEeet', 'Dead', ' Not ',' Responding ',' Network ',' Internet ',' tired ',' Little ',' Life ',' Turn Off ',' Mode ',' Peswat ',' Network ',' Bad ','"&amp;" Customer ' , 'Switch', 'Operator', 'Please', 'Repaired', 'The Network', 'Thank', 'Love', ""]")</f>
        <v>['Telkomsel', 'Lombok', 'Lombok', 'Network', 'Internet', 'Super', 'Bad', 'Buy', 'Quota', 'OMG', 'LeleeeeeeeeEeet', 'Dead', ' Not ',' Responding ',' Network ',' Internet ',' tired ',' Little ',' Life ',' Turn Off ',' Mode ',' Peswat ',' Network ',' Bad ',' Customer ' , 'Switch', 'Operator', 'Please', 'Repaired', 'The Network', 'Thank', 'Love', "]</v>
      </c>
      <c r="D2038" s="3">
        <v>1.0</v>
      </c>
    </row>
    <row r="2039" ht="15.75" customHeight="1">
      <c r="A2039" s="1">
        <v>2037.0</v>
      </c>
      <c r="B2039" s="3" t="s">
        <v>2040</v>
      </c>
      <c r="C2039" s="3" t="str">
        <f>IFERROR(__xludf.DUMMYFUNCTION("GOOGLETRANSLATE(B2039,""id"",""en"")"),"['application', 'eat', 'power', 'open', 'Telkomsel', 'closed', 'application', 'just', 'button', 'home', 'appears',' status', ' bar ',' application ',' power ',' ']")</f>
        <v>['application', 'eat', 'power', 'open', 'Telkomsel', 'closed', 'application', 'just', 'button', 'home', 'appears',' status', ' bar ',' application ',' power ',' ']</v>
      </c>
      <c r="D2039" s="3">
        <v>1.0</v>
      </c>
    </row>
    <row r="2040" ht="15.75" customHeight="1">
      <c r="A2040" s="1">
        <v>2038.0</v>
      </c>
      <c r="B2040" s="3" t="s">
        <v>2041</v>
      </c>
      <c r="C2040" s="3" t="str">
        <f>IFERROR(__xludf.DUMMYFUNCTION("GOOGLETRANSLATE(B2040,""id"",""en"")"),"['Wonder', 'number', 'use', 'package', 'data', 'list', 'expensive', 'number', 'other', 'prah', 'can', 'promo', ' Whatever ',' HRUS ',' BLI ',' Hundreds ',' hundred ',' thousand ',' pulse ',' quota ',' equivalent ',' number ',' HR, 'RB', ""]")</f>
        <v>['Wonder', 'number', 'use', 'package', 'data', 'list', 'expensive', 'number', 'other', 'prah', 'can', 'promo', ' Whatever ',' HRUS ',' BLI ',' Hundreds ',' hundred ',' thousand ',' pulse ',' quota ',' equivalent ',' number ',' HR, 'RB', "]</v>
      </c>
      <c r="D2040" s="3">
        <v>2.0</v>
      </c>
    </row>
    <row r="2041" ht="15.75" customHeight="1">
      <c r="A2041" s="1">
        <v>2039.0</v>
      </c>
      <c r="B2041" s="3" t="s">
        <v>2042</v>
      </c>
      <c r="C2041" s="3" t="str">
        <f>IFERROR(__xludf.DUMMYFUNCTION("GOOGLETRANSLATE(B2041,""id"",""en"")"),"['Telkomsel', 'wherever', 'signal', 'full', 'slow', 'sway', 'rich', 'pantes',' package ',' cheap ',' network ',' internet ',' Fucked ',' Plis', 'Telkom', 'Restore']")</f>
        <v>['Telkomsel', 'wherever', 'signal', 'full', 'slow', 'sway', 'rich', 'pantes',' package ',' cheap ',' network ',' internet ',' Fucked ',' Plis', 'Telkom', 'Restore']</v>
      </c>
      <c r="D2041" s="3">
        <v>1.0</v>
      </c>
    </row>
    <row r="2042" ht="15.75" customHeight="1">
      <c r="A2042" s="1">
        <v>2040.0</v>
      </c>
      <c r="B2042" s="3" t="s">
        <v>2043</v>
      </c>
      <c r="C2042" s="3" t="str">
        <f>IFERROR(__xludf.DUMMYFUNCTION("GOOGLETRANSLATE(B2042,""id"",""en"")"),"['chaos',' ahh ',' mending ',' see ',' mending ',' signal ',' slow ',' forced ',' setting ',' quota ',' mahhhal ',' really ',' hah ',' patient ',' mending ',' buy ',' internet cafe ',' cheap ',' ']")</f>
        <v>['chaos',' ahh ',' mending ',' see ',' mending ',' signal ',' slow ',' forced ',' setting ',' quota ',' mahhhal ',' really ',' hah ',' patient ',' mending ',' buy ',' internet cafe ',' cheap ',' ']</v>
      </c>
      <c r="D2042" s="3">
        <v>3.0</v>
      </c>
    </row>
    <row r="2043" ht="15.75" customHeight="1">
      <c r="A2043" s="1">
        <v>2041.0</v>
      </c>
      <c r="B2043" s="3" t="s">
        <v>2044</v>
      </c>
      <c r="C2043" s="3" t="str">
        <f>IFERROR(__xludf.DUMMYFUNCTION("GOOGLETRANSLATE(B2043,""id"",""en"")"),"['package', 'expensive', 'network', 'severe', 'pisan', 'ugly', 'package', 'MB', 'minutes',' directly ',' KB ',' appears', ' afternoon ',' really ',' consistent ',' idam ',' nettingam ',' good ']")</f>
        <v>['package', 'expensive', 'network', 'severe', 'pisan', 'ugly', 'package', 'MB', 'minutes',' directly ',' KB ',' appears', ' afternoon ',' really ',' consistent ',' idam ',' nettingam ',' good ']</v>
      </c>
      <c r="D2043" s="3">
        <v>1.0</v>
      </c>
    </row>
    <row r="2044" ht="15.75" customHeight="1">
      <c r="A2044" s="1">
        <v>2042.0</v>
      </c>
      <c r="B2044" s="3" t="s">
        <v>2045</v>
      </c>
      <c r="C2044" s="3" t="str">
        <f>IFERROR(__xludf.DUMMYFUNCTION("GOOGLETRANSLATE(B2044,""id"",""en"")"),"['Telkomsel', 'Yesterday', 'Activein', 'Unlimited', 'chat', 'game', 'right', 'Maketin', 'ilang', 'Telkomsel', 'already', 'Telkomsel', ' Oath ',' Telkomsel ',' ']")</f>
        <v>['Telkomsel', 'Yesterday', 'Activein', 'Unlimited', 'chat', 'game', 'right', 'Maketin', 'ilang', 'Telkomsel', 'already', 'Telkomsel', ' Oath ',' Telkomsel ',' ']</v>
      </c>
      <c r="D2044" s="3">
        <v>1.0</v>
      </c>
    </row>
    <row r="2045" ht="15.75" customHeight="1">
      <c r="A2045" s="1">
        <v>2043.0</v>
      </c>
      <c r="B2045" s="3" t="s">
        <v>2046</v>
      </c>
      <c r="C2045" s="3" t="str">
        <f>IFERROR(__xludf.DUMMYFUNCTION("GOOGLETRANSLATE(B2045,""id"",""en"")"),"['boss', 'how', 'signal', 'Telkomsel', 'Severe', 'really', 'since' Indihome ',' village ',' village ',' severe ',' abisss ',' run ',' operator ',' please ',' info ',' customer ',' disappointed ',' due to ',' eager ',' individual ',' sacan ',' business', '"&amp;"boss',' ']")</f>
        <v>['boss', 'how', 'signal', 'Telkomsel', 'Severe', 'really', 'since' Indihome ',' village ',' village ',' severe ',' abisss ',' run ',' operator ',' please ',' info ',' customer ',' disappointed ',' due to ',' eager ',' individual ',' sacan ',' business', 'boss',' ']</v>
      </c>
      <c r="D2045" s="3">
        <v>1.0</v>
      </c>
    </row>
    <row r="2046" ht="15.75" customHeight="1">
      <c r="A2046" s="1">
        <v>2044.0</v>
      </c>
      <c r="B2046" s="3" t="s">
        <v>2047</v>
      </c>
      <c r="C2046" s="3" t="str">
        <f>IFERROR(__xludf.DUMMYFUNCTION("GOOGLETRANSLATE(B2046,""id"",""en"")"),"['Ouch', 'already', 'really', 'Telkomsel', 'felt', 'Credit', 'Cut', 'then', 'fill', 'pulses',' already ',' Cut ',' already ',' lazy ',' alternating ',' fill in ',' pulse ',' cut ',' then ',' ngeselin ',' fast ',' fix ',' gini ',' then ',' ngerugin ' , '']")</f>
        <v>['Ouch', 'already', 'really', 'Telkomsel', 'felt', 'Credit', 'Cut', 'then', 'fill', 'pulses',' already ',' Cut ',' already ',' lazy ',' alternating ',' fill in ',' pulse ',' cut ',' then ',' ngeselin ',' fast ',' fix ',' gini ',' then ',' ngerugin ' , '']</v>
      </c>
      <c r="D2046" s="3">
        <v>2.0</v>
      </c>
    </row>
    <row r="2047" ht="15.75" customHeight="1">
      <c r="A2047" s="1">
        <v>2045.0</v>
      </c>
      <c r="B2047" s="3" t="s">
        <v>2048</v>
      </c>
      <c r="C2047" s="3" t="str">
        <f>IFERROR(__xludf.DUMMYFUNCTION("GOOGLETRANSLATE(B2047,""id"",""en"")"),"['buy', 'pulse', 'SMS', 'proof', 'purchase', 'enter', 'nominal', 'buy', 'chek', 'telkomsel', 'nominal', 'pulse', ' Stay ',' missing ',' pulse ',' ']")</f>
        <v>['buy', 'pulse', 'SMS', 'proof', 'purchase', 'enter', 'nominal', 'buy', 'chek', 'telkomsel', 'nominal', 'pulse', ' Stay ',' missing ',' pulse ',' ']</v>
      </c>
      <c r="D2047" s="3">
        <v>1.0</v>
      </c>
    </row>
    <row r="2048" ht="15.75" customHeight="1">
      <c r="A2048" s="1">
        <v>2046.0</v>
      </c>
      <c r="B2048" s="3" t="s">
        <v>2049</v>
      </c>
      <c r="C2048" s="3" t="str">
        <f>IFERROR(__xludf.DUMMYFUNCTION("GOOGLETRANSLATE(B2048,""id"",""en"")"),"['', 'feels',' sympathy ',' witness', 'life', 'smpe', 'skrg', 'pny', 'child', 'byk', 'crita', 'dlewatin', 'number ',' witness', 'travel', 'live', 'nemenin', 'trmks',' sympathy ',' msh ',' mainstay ',' ']")</f>
        <v>['', 'feels',' sympathy ',' witness', 'life', 'smpe', 'skrg', 'pny', 'child', 'byk', 'crita', 'dlewatin', 'number ',' witness', 'travel', 'live', 'nemenin', 'trmks',' sympathy ',' msh ',' mainstay ',' ']</v>
      </c>
      <c r="D2048" s="3">
        <v>5.0</v>
      </c>
    </row>
    <row r="2049" ht="15.75" customHeight="1">
      <c r="A2049" s="1">
        <v>2047.0</v>
      </c>
      <c r="B2049" s="3" t="s">
        <v>2050</v>
      </c>
      <c r="C2049" s="3" t="str">
        <f>IFERROR(__xludf.DUMMYFUNCTION("GOOGLETRANSLATE(B2049,""id"",""en"")"),"['Diprank', 'provider', 'quota', 'unlimited', 'omg', 'quota', 'main', 'out', 'unlimited', 'road', 'buy', ' road ',' road ',' buy ',' quota ',' games', 'unlimited', 'Diprank', 'quota', 'main', 'run out', 'games',' open ',' wants' , 'given', 'promo', 'cheer"&amp;"ful', 'GB', 'Network', 'down', 'daritadi', 'leftover', 'pulse', 'sealed', 'disappointed', 'provider', ' dealing ',' moved ',' provider ',' business', 'banking', 'etc.', 'leave']")</f>
        <v>['Diprank', 'provider', 'quota', 'unlimited', 'omg', 'quota', 'main', 'out', 'unlimited', 'road', 'buy', ' road ',' road ',' buy ',' quota ',' games', 'unlimited', 'Diprank', 'quota', 'main', 'run out', 'games',' open ',' wants' , 'given', 'promo', 'cheerful', 'GB', 'Network', 'down', 'daritadi', 'leftover', 'pulse', 'sealed', 'disappointed', 'provider', ' dealing ',' moved ',' provider ',' business', 'banking', 'etc.', 'leave']</v>
      </c>
      <c r="D2049" s="3">
        <v>1.0</v>
      </c>
    </row>
    <row r="2050" ht="15.75" customHeight="1">
      <c r="A2050" s="1">
        <v>2048.0</v>
      </c>
      <c r="B2050" s="3" t="s">
        <v>2051</v>
      </c>
      <c r="C2050" s="3" t="str">
        <f>IFERROR(__xludf.DUMMYFUNCTION("GOOGLETRANSLATE(B2050,""id"",""en"")"),"['Telkomsel', 'severe', 'signal', 'good', 'von', 'cellular', 'Taruk', 'side', 'test', 'von', 'mlah', 'contact', ' busy ',' really ',' Telkomsel ',' sometimes', 'Tibah', 'ilang', 'signal', 'weak', 'paya', 'telkomsel', 'already', 'pay', 'bahal' , 'satisfyin"&amp;"g', 'pelangement', '']")</f>
        <v>['Telkomsel', 'severe', 'signal', 'good', 'von', 'cellular', 'Taruk', 'side', 'test', 'von', 'mlah', 'contact', ' busy ',' really ',' Telkomsel ',' sometimes', 'Tibah', 'ilang', 'signal', 'weak', 'paya', 'telkomsel', 'already', 'pay', 'bahal' , 'satisfying', 'pelangement', '']</v>
      </c>
      <c r="D2050" s="3">
        <v>2.0</v>
      </c>
    </row>
    <row r="2051" ht="15.75" customHeight="1">
      <c r="A2051" s="1">
        <v>2049.0</v>
      </c>
      <c r="B2051" s="3" t="s">
        <v>2052</v>
      </c>
      <c r="C2051" s="3" t="str">
        <f>IFERROR(__xludf.DUMMYFUNCTION("GOOGLETRANSLATE(B2051,""id"",""en"")"),"['Good', 'application', 'this is',' lgi ',' downlod ',' sms', 'sya', 'downlod', 'application', 'telkomsel', 'dlm', 'sya', ' pulses', 'rb', 'bnr', 'hoax', 'ajh']")</f>
        <v>['Good', 'application', 'this is',' lgi ',' downlod ',' sms', 'sya', 'downlod', 'application', 'telkomsel', 'dlm', 'sya', ' pulses', 'rb', 'bnr', 'hoax', 'ajh']</v>
      </c>
      <c r="D2051" s="3">
        <v>2.0</v>
      </c>
    </row>
    <row r="2052" ht="15.75" customHeight="1">
      <c r="A2052" s="1">
        <v>2050.0</v>
      </c>
      <c r="B2052" s="3" t="s">
        <v>2053</v>
      </c>
      <c r="C2052" s="3" t="str">
        <f>IFERROR(__xludf.DUMMYFUNCTION("GOOGLETRANSLATE(B2052,""id"",""en"")"),"['Min', 'ugly', 'really', 'network', 'severe', 'really', 'top', 'network', 'skrng', 'crazy', 'ugly', 'forgiveness']")</f>
        <v>['Min', 'ugly', 'really', 'network', 'severe', 'really', 'top', 'network', 'skrng', 'crazy', 'ugly', 'forgiveness']</v>
      </c>
      <c r="D2052" s="3">
        <v>1.0</v>
      </c>
    </row>
    <row r="2053" ht="15.75" customHeight="1">
      <c r="A2053" s="1">
        <v>2051.0</v>
      </c>
      <c r="B2053" s="3" t="s">
        <v>2054</v>
      </c>
      <c r="C2053" s="3" t="str">
        <f>IFERROR(__xludf.DUMMYFUNCTION("GOOGLETRANSLATE(B2053,""id"",""en"")"),"['Warrior', 'remote', 'city', 'related', 'kluarga', 'friend', 'signal', 'Telkomsel', 'affordable', 'trimakasih', 'Telkomsel', ""]")</f>
        <v>['Warrior', 'remote', 'city', 'related', 'kluarga', 'friend', 'signal', 'Telkomsel', 'affordable', 'trimakasih', 'Telkomsel', "]</v>
      </c>
      <c r="D2053" s="3">
        <v>5.0</v>
      </c>
    </row>
    <row r="2054" ht="15.75" customHeight="1">
      <c r="A2054" s="1">
        <v>2052.0</v>
      </c>
      <c r="B2054" s="3" t="s">
        <v>2055</v>
      </c>
      <c r="C2054" s="3" t="str">
        <f>IFERROR(__xludf.DUMMYFUNCTION("GOOGLETRANSLATE(B2054,""id"",""en"")"),"['network', 'internet', 'slow', 'ugly', 'difficult', 'access',' internet ',' live ',' in order ',' stone ',' network ',' repaired ',' Switch ',' Operator ']")</f>
        <v>['network', 'internet', 'slow', 'ugly', 'difficult', 'access',' internet ',' live ',' in order ',' stone ',' network ',' repaired ',' Switch ',' Operator ']</v>
      </c>
      <c r="D2054" s="3">
        <v>1.0</v>
      </c>
    </row>
    <row r="2055" ht="15.75" customHeight="1">
      <c r="A2055" s="1">
        <v>2053.0</v>
      </c>
      <c r="B2055" s="3" t="s">
        <v>2056</v>
      </c>
      <c r="C2055" s="3" t="str">
        <f>IFERROR(__xludf.DUMMYFUNCTION("GOOGLETRANSLATE(B2055,""id"",""en"")"),"['', 'KNP', 'On', 'data', 'road', 'data', 'leftover', 'giga', 'repeated', 'active', 'Please', 'repair', 'sometimes ',' continuous', 'causes',' move ',' car ',' heart ', ""]")</f>
        <v>['', 'KNP', 'On', 'data', 'road', 'data', 'leftover', 'giga', 'repeated', 'active', 'Please', 'repair', 'sometimes ',' continuous', 'causes',' move ',' car ',' heart ', "]</v>
      </c>
      <c r="D2055" s="3">
        <v>2.0</v>
      </c>
    </row>
    <row r="2056" ht="15.75" customHeight="1">
      <c r="A2056" s="1">
        <v>2054.0</v>
      </c>
      <c r="B2056" s="3" t="s">
        <v>2057</v>
      </c>
      <c r="C2056" s="3" t="str">
        <f>IFERROR(__xludf.DUMMYFUNCTION("GOOGLETRANSLATE(B2056,""id"",""en"")"),"['min', 'connection', 'stable', 'mulu', 'pdhl', 'signal', 'good', 'package', 'already', 'update', 'high school', 'trs',' Try ',' wifi ',' connection ',' stable ',' that's', 'trs',' please ',' fix ',' min ',' ']")</f>
        <v>['min', 'connection', 'stable', 'mulu', 'pdhl', 'signal', 'good', 'package', 'already', 'update', 'high school', 'trs',' Try ',' wifi ',' connection ',' stable ',' that's', 'trs',' please ',' fix ',' min ',' ']</v>
      </c>
      <c r="D2056" s="3">
        <v>4.0</v>
      </c>
    </row>
    <row r="2057" ht="15.75" customHeight="1">
      <c r="A2057" s="1">
        <v>2055.0</v>
      </c>
      <c r="B2057" s="3" t="s">
        <v>2058</v>
      </c>
      <c r="C2057" s="3" t="str">
        <f>IFERROR(__xludf.DUMMYFUNCTION("GOOGLETRANSLATE(B2057,""id"",""en"")"),"['buy', 'card', 'package', 'data', 'Telkomsel', 'plus',' content ',' pulse ',' right ',' download ',' application ',' Telkomsel ',' balance ',' pulse ',' kouta ',' package ',' run out ',' strange ',' until ',' minute ',' buy ',' card ',' package ',' abis'"&amp;", 'kouta' , 'Credit', 'UDH', 'buy', 'expensive', 'expensive', 'disappointed']")</f>
        <v>['buy', 'card', 'package', 'data', 'Telkomsel', 'plus',' content ',' pulse ',' right ',' download ',' application ',' Telkomsel ',' balance ',' pulse ',' kouta ',' package ',' run out ',' strange ',' until ',' minute ',' buy ',' card ',' package ',' abis', 'kouta' , 'Credit', 'UDH', 'buy', 'expensive', 'expensive', 'disappointed']</v>
      </c>
      <c r="D2057" s="3">
        <v>1.0</v>
      </c>
    </row>
    <row r="2058" ht="15.75" customHeight="1">
      <c r="A2058" s="1">
        <v>2056.0</v>
      </c>
      <c r="B2058" s="3" t="s">
        <v>2059</v>
      </c>
      <c r="C2058" s="3" t="str">
        <f>IFERROR(__xludf.DUMMYFUNCTION("GOOGLETRANSLATE(B2058,""id"",""en"")"),"['Come', 'consistent', 'network', 'Telkom', 'already', 'expensive', 'network', 'difficult', 'right', 'taiklah', 'search', 'fortunately', ' Help ',' Fix ',' The Line ',' Kasatan ',' Consumer ',' Gini ',' Hot ',' Batrai ',' Cepet ',' Out ', ""]")</f>
        <v>['Come', 'consistent', 'network', 'Telkom', 'already', 'expensive', 'network', 'difficult', 'right', 'taiklah', 'search', 'fortunately', ' Help ',' Fix ',' The Line ',' Kasatan ',' Consumer ',' Gini ',' Hot ',' Batrai ',' Cepet ',' Out ', "]</v>
      </c>
      <c r="D2058" s="3">
        <v>1.0</v>
      </c>
    </row>
    <row r="2059" ht="15.75" customHeight="1">
      <c r="A2059" s="1">
        <v>2057.0</v>
      </c>
      <c r="B2059" s="3" t="s">
        <v>2060</v>
      </c>
      <c r="C2059" s="3" t="str">
        <f>IFERROR(__xludf.DUMMYFUNCTION("GOOGLETRANSLATE(B2059,""id"",""en"")"),"['disappointed', 'network', 'Telkomsel', 'buy', 'expensive', 'network', 'karuan', 'bad', 'open', 'game', 'quality', 'network', ' Telkomsel ',' downhill ',' bad ',' please ',' response ',' ']")</f>
        <v>['disappointed', 'network', 'Telkomsel', 'buy', 'expensive', 'network', 'karuan', 'bad', 'open', 'game', 'quality', 'network', ' Telkomsel ',' downhill ',' bad ',' please ',' response ',' ']</v>
      </c>
      <c r="D2059" s="3">
        <v>1.0</v>
      </c>
    </row>
    <row r="2060" ht="15.75" customHeight="1">
      <c r="A2060" s="1">
        <v>2058.0</v>
      </c>
      <c r="B2060" s="3" t="s">
        <v>2061</v>
      </c>
      <c r="C2060" s="3" t="str">
        <f>IFERROR(__xludf.DUMMYFUNCTION("GOOGLETRANSLATE(B2060,""id"",""en"")"),"['Telkomsel', 'network', 'internet', 'ugly', 'really', 'area', 'kepahiang', 'bengkulu', 'price', 'package', 'expensive', 'universe', ' TPI ',' Network ',' ugly ',' Abis', 'Lost', 'Speed', 'Card', 'Telkomsel', 'Leet', 'Really', 'Dech', 'Telkomsel', 'banned"&amp;"' , 'Family', 'Telkomsel', 'Quality', 'Network', 'ugly', 'ugly', 'ugly']")</f>
        <v>['Telkomsel', 'network', 'internet', 'ugly', 'really', 'area', 'kepahiang', 'bengkulu', 'price', 'package', 'expensive', 'universe', ' TPI ',' Network ',' ugly ',' Abis', 'Lost', 'Speed', 'Card', 'Telkomsel', 'Leet', 'Really', 'Dech', 'Telkomsel', 'banned' , 'Family', 'Telkomsel', 'Quality', 'Network', 'ugly', 'ugly', 'ugly']</v>
      </c>
      <c r="D2060" s="3">
        <v>1.0</v>
      </c>
    </row>
    <row r="2061" ht="15.75" customHeight="1">
      <c r="A2061" s="1">
        <v>2059.0</v>
      </c>
      <c r="B2061" s="3" t="s">
        <v>2062</v>
      </c>
      <c r="C2061" s="3" t="str">
        <f>IFERROR(__xludf.DUMMYFUNCTION("GOOGLETRANSLATE(B2061,""id"",""en"")"),"['Telkomsel', 'network', 'internet', 'ugly', 'already', 'package', 'internet', 'expensive', 'network', 'setabilia', 'kalustion', 'mending', ' Nyari ',' Network ',' ']")</f>
        <v>['Telkomsel', 'network', 'internet', 'ugly', 'already', 'package', 'internet', 'expensive', 'network', 'setabilia', 'kalustion', 'mending', ' Nyari ',' Network ',' ']</v>
      </c>
      <c r="D2061" s="3">
        <v>1.0</v>
      </c>
    </row>
    <row r="2062" ht="15.75" customHeight="1">
      <c r="A2062" s="1">
        <v>2060.0</v>
      </c>
      <c r="B2062" s="3" t="s">
        <v>2063</v>
      </c>
      <c r="C2062" s="3" t="str">
        <f>IFERROR(__xludf.DUMMYFUNCTION("GOOGLETRANSLATE(B2062,""id"",""en"")"),"['Telkomsel', 'bad', 'quality', 'lose', 'provider', 'rich', 'Indosat', 'udh', 'so', 'price', 'expensive', 'really' Russy ',' buy ',' Telkomsel ',' Mending ',' Change ',' Provider ',' Paraaaahh ',' Uninstall ',' APK ']")</f>
        <v>['Telkomsel', 'bad', 'quality', 'lose', 'provider', 'rich', 'Indosat', 'udh', 'so', 'price', 'expensive', 'really' Russy ',' buy ',' Telkomsel ',' Mending ',' Change ',' Provider ',' Paraaaahh ',' Uninstall ',' APK ']</v>
      </c>
      <c r="D2062" s="3">
        <v>1.0</v>
      </c>
    </row>
    <row r="2063" ht="15.75" customHeight="1">
      <c r="A2063" s="1">
        <v>2061.0</v>
      </c>
      <c r="B2063" s="3" t="s">
        <v>2064</v>
      </c>
      <c r="C2063" s="3" t="str">
        <f>IFERROR(__xludf.DUMMYFUNCTION("GOOGLETRANSLATE(B2063,""id"",""en"")"),"['Please', 'relief', 'convenience', 'customers',' Telkomsel ',' subscribe ',' Telkomsel ',' price ',' quota ',' expensive ',' collapsed ',' price ',' Kasian ',' duwit ',' mah ',' no ',' network ',' bad ',' no ',' comfortable ',' really ',' beg ',' underst"&amp;"anding ']")</f>
        <v>['Please', 'relief', 'convenience', 'customers',' Telkomsel ',' subscribe ',' Telkomsel ',' price ',' quota ',' expensive ',' collapsed ',' price ',' Kasian ',' duwit ',' mah ',' no ',' network ',' bad ',' no ',' comfortable ',' really ',' beg ',' understanding ']</v>
      </c>
      <c r="D2063" s="3">
        <v>1.0</v>
      </c>
    </row>
    <row r="2064" ht="15.75" customHeight="1">
      <c r="A2064" s="1">
        <v>2062.0</v>
      </c>
      <c r="B2064" s="3" t="s">
        <v>2065</v>
      </c>
      <c r="C2064" s="3" t="str">
        <f>IFERROR(__xludf.DUMMYFUNCTION("GOOGLETRANSLATE(B2064,""id"",""en"")"),"['use', 'card', 'hello', 'because', 'watch', 'watch', 'Drakor', 'disappointing', 'APP', 'MaxStream', 'application', 'quality', ' kek ',' that's', 'already', 'slow', 'network', 'ugly', 'buy', 'package', 'access',' kayak ',' direct ',' access', 'Viu' , 'Dir"&amp;"ect', 'access', 'Viu', 'no', 'card', 'migration', 'hello']")</f>
        <v>['use', 'card', 'hello', 'because', 'watch', 'watch', 'Drakor', 'disappointing', 'APP', 'MaxStream', 'application', 'quality', ' kek ',' that's', 'already', 'slow', 'network', 'ugly', 'buy', 'package', 'access',' kayak ',' direct ',' access', 'Viu' , 'Direct', 'access', 'Viu', 'no', 'card', 'migration', 'hello']</v>
      </c>
      <c r="D2064" s="3">
        <v>1.0</v>
      </c>
    </row>
    <row r="2065" ht="15.75" customHeight="1">
      <c r="A2065" s="1">
        <v>2063.0</v>
      </c>
      <c r="B2065" s="3" t="s">
        <v>2066</v>
      </c>
      <c r="C2065" s="3" t="str">
        <f>IFERROR(__xludf.DUMMYFUNCTION("GOOGLETRANSLATE(B2065,""id"",""en"")"),"['play', 'game', 'online', 'card', 'Telkomsel', 'amidst', 'game', 'signal', 'ugly', 'lost', 'user', 'game', ' Online ',' Disight ',' Friends', 'Team', 'Please', 'Handling', '']")</f>
        <v>['play', 'game', 'online', 'card', 'Telkomsel', 'amidst', 'game', 'signal', 'ugly', 'lost', 'user', 'game', ' Online ',' Disight ',' Friends', 'Team', 'Please', 'Handling', '']</v>
      </c>
      <c r="D2065" s="3">
        <v>1.0</v>
      </c>
    </row>
    <row r="2066" ht="15.75" customHeight="1">
      <c r="A2066" s="1">
        <v>2064.0</v>
      </c>
      <c r="B2066" s="3" t="s">
        <v>2067</v>
      </c>
      <c r="C2066" s="3" t="str">
        <f>IFERROR(__xludf.DUMMYFUNCTION("GOOGLETRANSLATE(B2066,""id"",""en"")"),"['sucked', 'pulse', 'squeezed', 'TDI', 'malem', 'contents', 'pulse', 'buy', 'quota', 'to' mb ',' hbs ',' quota ',' ketengaa ',' abis ',' lgsg ',' die ',' data ',' morning ',' check ',' pulse ',' buy ',' quota ',' to 'stay' , 'Learning', 'Quota', 'Learning"&amp;"', 'CHT', 'Doang']")</f>
        <v>['sucked', 'pulse', 'squeezed', 'TDI', 'malem', 'contents', 'pulse', 'buy', 'quota', 'to' mb ',' hbs ',' quota ',' ketengaa ',' abis ',' lgsg ',' die ',' data ',' morning ',' check ',' pulse ',' buy ',' quota ',' to 'stay' , 'Learning', 'Quota', 'Learning', 'CHT', 'Doang']</v>
      </c>
      <c r="D2066" s="3">
        <v>1.0</v>
      </c>
    </row>
    <row r="2067" ht="15.75" customHeight="1">
      <c r="A2067" s="1">
        <v>2065.0</v>
      </c>
      <c r="B2067" s="3" t="s">
        <v>2068</v>
      </c>
      <c r="C2067" s="3" t="str">
        <f>IFERROR(__xludf.DUMMYFUNCTION("GOOGLETRANSLATE(B2067,""id"",""en"")"),"['function', 'easy', 'choice', 'package', 'quota', 'package', 'phone', 'lot', 'promo', 'quota', 'price', 'hope', ' Leading ',' Maintain ',' Best ']")</f>
        <v>['function', 'easy', 'choice', 'package', 'quota', 'package', 'phone', 'lot', 'promo', 'quota', 'price', 'hope', ' Leading ',' Maintain ',' Best ']</v>
      </c>
      <c r="D2067" s="3">
        <v>4.0</v>
      </c>
    </row>
    <row r="2068" ht="15.75" customHeight="1">
      <c r="A2068" s="1">
        <v>2066.0</v>
      </c>
      <c r="B2068" s="3" t="s">
        <v>2069</v>
      </c>
      <c r="C2068" s="3" t="str">
        <f>IFERROR(__xludf.DUMMYFUNCTION("GOOGLETRANSLATE(B2068,""id"",""en"")"),"['Telkomsel', 'buy', 'package', 'Call', 'Internet', 'number', 'appears',' sorry ',' buy ',' product ',' buy ',' package ',' Save ',' Costs', 'Credit', 'Boss',' Buy ',' Package ',' Credit ',' Alog ',' Diamond ',' Buy ',' Pay ',' Direct ',' Bon ' , 'owe', '"&amp;"beg', 'sorry', 'annoyed', 'need', 'solution', ""]")</f>
        <v>['Telkomsel', 'buy', 'package', 'Call', 'Internet', 'number', 'appears',' sorry ',' buy ',' product ',' buy ',' package ',' Save ',' Costs', 'Credit', 'Boss',' Buy ',' Package ',' Credit ',' Alog ',' Diamond ',' Buy ',' Pay ',' Direct ',' Bon ' , 'owe', 'beg', 'sorry', 'annoyed', 'need', 'solution', "]</v>
      </c>
      <c r="D2068" s="3">
        <v>1.0</v>
      </c>
    </row>
    <row r="2069" ht="15.75" customHeight="1">
      <c r="A2069" s="1">
        <v>2067.0</v>
      </c>
      <c r="B2069" s="3" t="s">
        <v>2070</v>
      </c>
      <c r="C2069" s="3" t="str">
        <f>IFERROR(__xludf.DUMMYFUNCTION("GOOGLETRANSLATE(B2069,""id"",""en"")"),"['Dear', 'Telkomsel', 'have', 'customers', 'tissue', 'Indonesia', 'disappointed', 'service', 'situation', 'Genting', 'village', 'due to' Earthquakes', 'Earth', 'Network', 'Telkomsel', 'Down', 'Accessible', 'Network', 'Call', 'Contributions',' Peribared ',"&amp;"' Mama ',' contributions', 'amidst' , 'Disaster', 'Benefit', 'chase', 'Didan', 'family', 'smapai', 'this is', 'BLM', 'Get', 'Reported', ""]")</f>
        <v>['Dear', 'Telkomsel', 'have', 'customers', 'tissue', 'Indonesia', 'disappointed', 'service', 'situation', 'Genting', 'village', 'due to' Earthquakes', 'Earth', 'Network', 'Telkomsel', 'Down', 'Accessible', 'Network', 'Call', 'Contributions',' Peribared ',' Mama ',' contributions', 'amidst' , 'Disaster', 'Benefit', 'chase', 'Didan', 'family', 'smapai', 'this is', 'BLM', 'Get', 'Reported', "]</v>
      </c>
      <c r="D2069" s="3">
        <v>1.0</v>
      </c>
    </row>
    <row r="2070" ht="15.75" customHeight="1">
      <c r="A2070" s="1">
        <v>2068.0</v>
      </c>
      <c r="B2070" s="3" t="s">
        <v>2071</v>
      </c>
      <c r="C2070" s="3" t="str">
        <f>IFERROR(__xludf.DUMMYFUNCTION("GOOGLETRANSLATE(B2070,""id"",""en"")"),"['Telkomsel', 'package', 'expensive', 'package', 'data', 'SMS', 'Call', 'etc.', 'solution', 'community', 'network', 'bad', ' The package is', 'as cheap as',' Axis', 'IM', 'Theree', 'Please', 'Society', 'Enjoy', 'Package', 'Cheap', 'Disappointed', 'Telkoms"&amp;"el', 'strangling' , 'public', '']")</f>
        <v>['Telkomsel', 'package', 'expensive', 'package', 'data', 'SMS', 'Call', 'etc.', 'solution', 'community', 'network', 'bad', ' The package is', 'as cheap as',' Axis', 'IM', 'Theree', 'Please', 'Society', 'Enjoy', 'Package', 'Cheap', 'Disappointed', 'Telkomsel', 'strangling' , 'public', '']</v>
      </c>
      <c r="D2070" s="3">
        <v>1.0</v>
      </c>
    </row>
    <row r="2071" ht="15.75" customHeight="1">
      <c r="A2071" s="1">
        <v>2069.0</v>
      </c>
      <c r="B2071" s="3" t="s">
        <v>2072</v>
      </c>
      <c r="C2071" s="3" t="str">
        <f>IFERROR(__xludf.DUMMYFUNCTION("GOOGLETRANSLATE(B2071,""id"",""en"")"),"['already', 'steady', 'obstacles',' entry ',' use ',' power ',' develop ',' application ',' Telkomsel ',' makes it easy ',' users', ' thank you', '']")</f>
        <v>['already', 'steady', 'obstacles',' entry ',' use ',' power ',' develop ',' application ',' Telkomsel ',' makes it easy ',' users', ' thank you', '']</v>
      </c>
      <c r="D2071" s="3">
        <v>5.0</v>
      </c>
    </row>
    <row r="2072" ht="15.75" customHeight="1">
      <c r="A2072" s="1">
        <v>2070.0</v>
      </c>
      <c r="B2072" s="3" t="s">
        <v>2073</v>
      </c>
      <c r="C2072" s="3" t="str">
        <f>IFERROR(__xludf.DUMMYFUNCTION("GOOGLETRANSLATE(B2072,""id"",""en"")"),"['strange', 'Package', 'Combo', 'Sakti', 'Number', 'Telkomsel', 'Husband', 'Combo', 'Sakti', 'APL', 'Husband', ' Promotion ',' Please ',' Fix ']")</f>
        <v>['strange', 'Package', 'Combo', 'Sakti', 'Number', 'Telkomsel', 'Husband', 'Combo', 'Sakti', 'APL', 'Husband', ' Promotion ',' Please ',' Fix ']</v>
      </c>
      <c r="D2072" s="3">
        <v>1.0</v>
      </c>
    </row>
    <row r="2073" ht="15.75" customHeight="1">
      <c r="A2073" s="1">
        <v>2071.0</v>
      </c>
      <c r="B2073" s="3" t="s">
        <v>2074</v>
      </c>
      <c r="C2073" s="3" t="str">
        <f>IFERROR(__xludf.DUMMYFUNCTION("GOOGLETRANSLATE(B2073,""id"",""en"")"),"['please', 'access',' web ',' repaired ',' expanded ',' closed ',' access', 'web', 'useful', 'cook', 'yes',' space ',' Teacher ',' hit ',' internet ',' child ',' study ',' please ',' Think ',' Block ',' site ', ""]")</f>
        <v>['please', 'access',' web ',' repaired ',' expanded ',' closed ',' access', 'web', 'useful', 'cook', 'yes',' space ',' Teacher ',' hit ',' internet ',' child ',' study ',' please ',' Think ',' Block ',' site ', "]</v>
      </c>
      <c r="D2073" s="3">
        <v>1.0</v>
      </c>
    </row>
    <row r="2074" ht="15.75" customHeight="1">
      <c r="A2074" s="1">
        <v>2072.0</v>
      </c>
      <c r="B2074" s="3" t="s">
        <v>2075</v>
      </c>
      <c r="C2074" s="3" t="str">
        <f>IFERROR(__xludf.DUMMYFUNCTION("GOOGLETRANSLATE(B2074,""id"",""en"")"),"['Quality', 'Memurun', 'Transition', 'Signal', 'Signal', 'Notif', 'Bar', 'Signal', 'Access', 'Internet', ""]")</f>
        <v>['Quality', 'Memurun', 'Transition', 'Signal', 'Signal', 'Notif', 'Bar', 'Signal', 'Access', 'Internet', "]</v>
      </c>
      <c r="D2074" s="3">
        <v>1.0</v>
      </c>
    </row>
    <row r="2075" ht="15.75" customHeight="1">
      <c r="A2075" s="1">
        <v>2073.0</v>
      </c>
      <c r="B2075" s="3" t="s">
        <v>2076</v>
      </c>
      <c r="C2075" s="3" t="str">
        <f>IFERROR(__xludf.DUMMYFUNCTION("GOOGLETRANSLATE(B2075,""id"",""en"")"),"['Steady', 'Telkomsel', 'Kauta', 'Cheap', 'Thank "",' Love ',' Telkomsel ',' Darling ',' Update ',' Memory ',' HPQ ',' Uklum ',' Occupational ',' ']")</f>
        <v>['Steady', 'Telkomsel', 'Kauta', 'Cheap', 'Thank ",' Love ',' Telkomsel ',' Darling ',' Update ',' Memory ',' HPQ ',' Uklum ',' Occupational ',' ']</v>
      </c>
      <c r="D2075" s="3">
        <v>5.0</v>
      </c>
    </row>
    <row r="2076" ht="15.75" customHeight="1">
      <c r="A2076" s="1">
        <v>2074.0</v>
      </c>
      <c r="B2076" s="3" t="s">
        <v>2077</v>
      </c>
      <c r="C2076" s="3" t="str">
        <f>IFERROR(__xludf.DUMMYFUNCTION("GOOGLETRANSLATE(B2076,""id"",""en"")"),"['Customer', 'Telkomsel', 'blur', 'please', 'fix', 'in the future', 'bad', 'Telkomsel', 'network', 'package', 'already', 'expensive', ' signal ',' bad ',' thank ',' love ']")</f>
        <v>['Customer', 'Telkomsel', 'blur', 'please', 'fix', 'in the future', 'bad', 'Telkomsel', 'network', 'package', 'already', 'expensive', ' signal ',' bad ',' thank ',' love ']</v>
      </c>
      <c r="D2076" s="3">
        <v>1.0</v>
      </c>
    </row>
    <row r="2077" ht="15.75" customHeight="1">
      <c r="A2077" s="1">
        <v>2075.0</v>
      </c>
      <c r="B2077" s="3" t="s">
        <v>2078</v>
      </c>
      <c r="C2077" s="3" t="str">
        <f>IFERROR(__xludf.DUMMYFUNCTION("GOOGLETRANSLATE(B2077,""id"",""en"")"),"['It's easy', 'Min', 'app', 'since' since 'update', 'open', 'buy', 'package', 'please', 'help', 'min']")</f>
        <v>['It's easy', 'Min', 'app', 'since' since 'update', 'open', 'buy', 'package', 'please', 'help', 'min']</v>
      </c>
      <c r="D2077" s="3">
        <v>5.0</v>
      </c>
    </row>
    <row r="2078" ht="15.75" customHeight="1">
      <c r="A2078" s="1">
        <v>2076.0</v>
      </c>
      <c r="B2078" s="3" t="s">
        <v>2079</v>
      </c>
      <c r="C2078" s="3" t="str">
        <f>IFERROR(__xludf.DUMMYFUNCTION("GOOGLETRANSLATE(B2078,""id"",""en"")"),"['Love', 'Bintang', 'because', 'Signal', 'Telkomsel', 'Support', 'Priority', 'Support', 'Glite', ""]")</f>
        <v>['Love', 'Bintang', 'because', 'Signal', 'Telkomsel', 'Support', 'Priority', 'Support', 'Glite', "]</v>
      </c>
      <c r="D2078" s="3">
        <v>1.0</v>
      </c>
    </row>
    <row r="2079" ht="15.75" customHeight="1">
      <c r="A2079" s="1">
        <v>2077.0</v>
      </c>
      <c r="B2079" s="3" t="s">
        <v>2080</v>
      </c>
      <c r="C2079" s="3" t="str">
        <f>IFERROR(__xludf.DUMMYFUNCTION("GOOGLETRANSLATE(B2079,""id"",""en"")"),"['Operator', 'Ocean', 'Activate', 'Package', 'Data', 'Credit', 'Cut "",' The reason ',' signal ',' Sinyal ',' Hoping ',' Cust ',' buy ',' pulse ',' pulses', 'run out', 'truncated', 'hopefully', 'halal', 'blessing', 'his fortune', ""]")</f>
        <v>['Operator', 'Ocean', 'Activate', 'Package', 'Data', 'Credit', 'Cut ",' The reason ',' signal ',' Sinyal ',' Hoping ',' Cust ',' buy ',' pulse ',' pulses', 'run out', 'truncated', 'hopefully', 'halal', 'blessing', 'his fortune', "]</v>
      </c>
      <c r="D2079" s="3">
        <v>1.0</v>
      </c>
    </row>
    <row r="2080" ht="15.75" customHeight="1">
      <c r="A2080" s="1">
        <v>2078.0</v>
      </c>
      <c r="B2080" s="3" t="s">
        <v>2081</v>
      </c>
      <c r="C2080" s="3" t="str">
        <f>IFERROR(__xludf.DUMMYFUNCTION("GOOGLETRANSLATE(B2080,""id"",""en"")"),"['please', 'Telkomsel', 'fix', 'signal', 'satisfied', 'service', 'network', 'stable', 'disappointed', 'buy', 'expensive', ' package ',' quota ',' signal ']")</f>
        <v>['please', 'Telkomsel', 'fix', 'signal', 'satisfied', 'service', 'network', 'stable', 'disappointed', 'buy', 'expensive', ' package ',' quota ',' signal ']</v>
      </c>
      <c r="D2080" s="3">
        <v>1.0</v>
      </c>
    </row>
    <row r="2081" ht="15.75" customHeight="1">
      <c r="A2081" s="1">
        <v>2079.0</v>
      </c>
      <c r="B2081" s="3" t="s">
        <v>2082</v>
      </c>
      <c r="C2081" s="3" t="str">
        <f>IFERROR(__xludf.DUMMYFUNCTION("GOOGLETRANSLATE(B2081,""id"",""en"")"),"['Severe', 'buy', 'package', 'expensive', 'signal', 'ilang', 'open', 'web', 'job', 'inhibits',' work ',' as a result ',' replace ',' card ',' open ',' web ',' buy ',' package ',' monthly ',' ']")</f>
        <v>['Severe', 'buy', 'package', 'expensive', 'signal', 'ilang', 'open', 'web', 'job', 'inhibits',' work ',' as a result ',' replace ',' card ',' open ',' web ',' buy ',' package ',' monthly ',' ']</v>
      </c>
      <c r="D2081" s="3">
        <v>1.0</v>
      </c>
    </row>
    <row r="2082" ht="15.75" customHeight="1">
      <c r="A2082" s="1">
        <v>2080.0</v>
      </c>
      <c r="B2082" s="3" t="s">
        <v>2083</v>
      </c>
      <c r="C2082" s="3" t="str">
        <f>IFERROR(__xludf.DUMMYFUNCTION("GOOGLETRANSLATE(B2082,""id"",""en"")"),"['Telkomsel', 'Package', 'Different', 'Region', 'Move', 'Location', 'Card', 'Discard', 'Service', 'Kayak', 'That's',' Ribet ',' Telkomsel ',' Ribet ',' Mending ',' Card ',' Telkomsel ',' Discard ']")</f>
        <v>['Telkomsel', 'Package', 'Different', 'Region', 'Move', 'Location', 'Card', 'Discard', 'Service', 'Kayak', 'That's',' Ribet ',' Telkomsel ',' Ribet ',' Mending ',' Card ',' Telkomsel ',' Discard ']</v>
      </c>
      <c r="D2082" s="3">
        <v>1.0</v>
      </c>
    </row>
    <row r="2083" ht="15.75" customHeight="1">
      <c r="A2083" s="1">
        <v>2081.0</v>
      </c>
      <c r="B2083" s="3" t="s">
        <v>2084</v>
      </c>
      <c r="C2083" s="3" t="str">
        <f>IFERROR(__xludf.DUMMYFUNCTION("GOOGLETRANSLATE(B2083,""id"",""en"")"),"['slow', 'download', 'data', 'MB', 'Nampil', 'cellphone', 'hot', 'application', 'actually', 'rating', 'given', 'minus',' Application ',' Rating ',' Minus', 'Telkomsel', 'That Sege', 'Great', 'Renters',' Developer ',' Application ',' Good ', ""]")</f>
        <v>['slow', 'download', 'data', 'MB', 'Nampil', 'cellphone', 'hot', 'application', 'actually', 'rating', 'given', 'minus',' Application ',' Rating ',' Minus', 'Telkomsel', 'That Sege', 'Great', 'Renters',' Developer ',' Application ',' Good ', "]</v>
      </c>
      <c r="D2083" s="3">
        <v>1.0</v>
      </c>
    </row>
    <row r="2084" ht="15.75" customHeight="1">
      <c r="A2084" s="1">
        <v>2082.0</v>
      </c>
      <c r="B2084" s="3" t="s">
        <v>2085</v>
      </c>
      <c r="C2084" s="3" t="str">
        <f>IFERROR(__xludf.DUMMYFUNCTION("GOOGLETRANSLATE(B2084,""id"",""en"")"),"['Alhamdulillah', 'replace', 'provider', 'smartfren', 'result', 'disappointing', 'community', 'moved', 'provider', 'good', 'nge', 'because' Network ',' Telkomsel ',' Immediately ',' Move ',' Provider ',' Bagus', 'Kota', 'Destruction', 'You']")</f>
        <v>['Alhamdulillah', 'replace', 'provider', 'smartfren', 'result', 'disappointing', 'community', 'moved', 'provider', 'good', 'nge', 'because' Network ',' Telkomsel ',' Immediately ',' Move ',' Provider ',' Bagus', 'Kota', 'Destruction', 'You']</v>
      </c>
      <c r="D2084" s="3">
        <v>1.0</v>
      </c>
    </row>
    <row r="2085" ht="15.75" customHeight="1">
      <c r="A2085" s="1">
        <v>2083.0</v>
      </c>
      <c r="B2085" s="3" t="s">
        <v>2086</v>
      </c>
      <c r="C2085" s="3" t="str">
        <f>IFERROR(__xludf.DUMMYFUNCTION("GOOGLETRANSLATE(B2085,""id"",""en"")"),"['', 'sympathy', 'ugly', 'play', 'game', 'severe', 'game', 'duellink', 'connects',' muter ',' then ',' use ',' provider ',' outside ',' cell ',' mAh ',' login ',' game ',' Yugioh ',' address', 'Nyari', 'provider', ""]")</f>
        <v>['', 'sympathy', 'ugly', 'play', 'game', 'severe', 'game', 'duellink', 'connects',' muter ',' then ',' use ',' provider ',' outside ',' cell ',' mAh ',' login ',' game ',' Yugioh ',' address', 'Nyari', 'provider', "]</v>
      </c>
      <c r="D2085" s="3">
        <v>1.0</v>
      </c>
    </row>
    <row r="2086" ht="15.75" customHeight="1">
      <c r="A2086" s="1">
        <v>2084.0</v>
      </c>
      <c r="B2086" s="3" t="s">
        <v>2087</v>
      </c>
      <c r="C2086" s="3" t="str">
        <f>IFERROR(__xludf.DUMMYFUNCTION("GOOGLETRANSLATE(B2086,""id"",""en"")"),"['quota', 'data', 'telkoms', 'yesterday', 'buy', 'network', 'destroyed', 'city', 'expensive', 'service', 'bad', 'bean']")</f>
        <v>['quota', 'data', 'telkoms', 'yesterday', 'buy', 'network', 'destroyed', 'city', 'expensive', 'service', 'bad', 'bean']</v>
      </c>
      <c r="D2086" s="3">
        <v>1.0</v>
      </c>
    </row>
    <row r="2087" ht="15.75" customHeight="1">
      <c r="A2087" s="1">
        <v>2085.0</v>
      </c>
      <c r="B2087" s="3" t="s">
        <v>2088</v>
      </c>
      <c r="C2087" s="3" t="str">
        <f>IFERROR(__xludf.DUMMYFUNCTION("GOOGLETRANSLATE(B2087,""id"",""en"")"),"['Telkomsel', 'severe', 'price', 'pulses',' Telkomsel ',' palm ',' expensive ',' people ',' price ',' cheap ',' example ',' package ',' OMG ',' GB ',' Rp ',' Package ',' OMG ',' GB ',' Rp ',' Telkomsel ',' Severe ']")</f>
        <v>['Telkomsel', 'severe', 'price', 'pulses',' Telkomsel ',' palm ',' expensive ',' people ',' price ',' cheap ',' example ',' package ',' OMG ',' GB ',' Rp ',' Package ',' OMG ',' GB ',' Rp ',' Telkomsel ',' Severe ']</v>
      </c>
      <c r="D2087" s="3">
        <v>1.0</v>
      </c>
    </row>
    <row r="2088" ht="15.75" customHeight="1">
      <c r="A2088" s="1">
        <v>2086.0</v>
      </c>
      <c r="B2088" s="3" t="s">
        <v>2089</v>
      </c>
      <c r="C2088" s="3" t="str">
        <f>IFERROR(__xludf.DUMMYFUNCTION("GOOGLETRANSLATE(B2088,""id"",""en"")"),"['Program', 'promo', 'apk', 'expensive', 'combo', 'magic', 'friend', 'please', 'complete', ""]")</f>
        <v>['Program', 'promo', 'apk', 'expensive', 'combo', 'magic', 'friend', 'please', 'complete', "]</v>
      </c>
      <c r="D2088" s="3">
        <v>4.0</v>
      </c>
    </row>
    <row r="2089" ht="15.75" customHeight="1">
      <c r="A2089" s="1">
        <v>2087.0</v>
      </c>
      <c r="B2089" s="3" t="s">
        <v>2090</v>
      </c>
      <c r="C2089" s="3" t="str">
        <f>IFERROR(__xludf.DUMMYFUNCTION("GOOGLETRANSLATE(B2089,""id"",""en"")"),"['oath', 'Bener', 'Rin', 'Sinyal', 'Severe', 'It's better', 'sell', 'Ajh', 'card', 'cheap', 'package', 'Udh', ' Not bad ',' expensive ',' bought ',' signal ',' Bener ',' Rin ',' Ush ',' Sell ',' Mending ',' Smartfren ',' Current ',' Severe ',' Disappointe"&amp;"d ' , 'bngt', 'sympathy', 'mlhan', 'giantin', '']")</f>
        <v>['oath', 'Bener', 'Rin', 'Sinyal', 'Severe', 'It's better', 'sell', 'Ajh', 'card', 'cheap', 'package', 'Udh', ' Not bad ',' expensive ',' bought ',' signal ',' Bener ',' Rin ',' Ush ',' Sell ',' Mending ',' Smartfren ',' Current ',' Severe ',' Disappointed ' , 'bngt', 'sympathy', 'mlhan', 'giantin', '']</v>
      </c>
      <c r="D2089" s="3">
        <v>1.0</v>
      </c>
    </row>
    <row r="2090" ht="15.75" customHeight="1">
      <c r="A2090" s="1">
        <v>2088.0</v>
      </c>
      <c r="B2090" s="3" t="s">
        <v>2091</v>
      </c>
      <c r="C2090" s="3" t="str">
        <f>IFERROR(__xludf.DUMMYFUNCTION("GOOGLETRANSLATE(B2090,""id"",""en"")"),"['Suff', 'package', 'expensive', 'Suff', 'because', 'signal', 'bad', 'please', 'network', 'fix', 'difficult', 'access',' Whatever ',' network ',' bad ',' ']")</f>
        <v>['Suff', 'package', 'expensive', 'Suff', 'because', 'signal', 'bad', 'please', 'network', 'fix', 'difficult', 'access',' Whatever ',' network ',' bad ',' ']</v>
      </c>
      <c r="D2090" s="3">
        <v>1.0</v>
      </c>
    </row>
    <row r="2091" ht="15.75" customHeight="1">
      <c r="A2091" s="1">
        <v>2089.0</v>
      </c>
      <c r="B2091" s="3" t="s">
        <v>2092</v>
      </c>
      <c r="C2091" s="3" t="str">
        <f>IFERROR(__xludf.DUMMYFUNCTION("GOOGLETRANSLATE(B2091,""id"",""en"")"),"['signal', 'baguusss', 'beneaanann', 'Beninese', 'jeeleeeeeeekkkkkkkkkkkk', 'saampaahhhh']")</f>
        <v>['signal', 'baguusss', 'beneaanann', 'Beninese', 'jeeleeeeeeekkkkkkkkkkkk', 'saampaahhhh']</v>
      </c>
      <c r="D2091" s="3">
        <v>1.0</v>
      </c>
    </row>
    <row r="2092" ht="15.75" customHeight="1">
      <c r="A2092" s="1">
        <v>2090.0</v>
      </c>
      <c r="B2092" s="3" t="s">
        <v>2093</v>
      </c>
      <c r="C2092" s="3" t="str">
        <f>IFERROR(__xludf.DUMMYFUNCTION("GOOGLETRANSLATE(B2092,""id"",""en"")"),"['Severe', 'Yesterday', 'Buy', 'Package', 'Games',' Max ',' Mobile ',' Legend ',' Code ',' Voucher ',' Diamondnya ',' Please ',' Acquired ',' Naises', ""]")</f>
        <v>['Severe', 'Yesterday', 'Buy', 'Package', 'Games',' Max ',' Mobile ',' Legend ',' Code ',' Voucher ',' Diamondnya ',' Please ',' Acquired ',' Naises', "]</v>
      </c>
      <c r="D2092" s="3">
        <v>1.0</v>
      </c>
    </row>
    <row r="2093" ht="15.75" customHeight="1">
      <c r="A2093" s="1">
        <v>2091.0</v>
      </c>
      <c r="B2093" s="3" t="s">
        <v>2094</v>
      </c>
      <c r="C2093" s="3" t="str">
        <f>IFERROR(__xludf.DUMMYFUNCTION("GOOGLETRANSLATE(B2093,""id"",""en"")"),"['Telkomsel', 'signal', 'good', 'slow down', 'as fast', 'improvement', 'please', 'information', 'thank you', ""]")</f>
        <v>['Telkomsel', 'signal', 'good', 'slow down', 'as fast', 'improvement', 'please', 'information', 'thank you', "]</v>
      </c>
      <c r="D2093" s="3">
        <v>5.0</v>
      </c>
    </row>
    <row r="2094" ht="15.75" customHeight="1">
      <c r="A2094" s="1">
        <v>2092.0</v>
      </c>
      <c r="B2094" s="3" t="s">
        <v>2095</v>
      </c>
      <c r="C2094" s="3" t="str">
        <f>IFERROR(__xludf.DUMMYFUNCTION("GOOGLETRANSLATE(B2094,""id"",""en"")"),"['Please', 'Fix', 'Signal', 'MOVER', 'SIMPATI', 'Telkomsel', 'Signal', 'Good', 'Rain', 'Severe', 'Change', 'Provider', ' ']")</f>
        <v>['Please', 'Fix', 'Signal', 'MOVER', 'SIMPATI', 'Telkomsel', 'Signal', 'Good', 'Rain', 'Severe', 'Change', 'Provider', ' ']</v>
      </c>
      <c r="D2094" s="3">
        <v>2.0</v>
      </c>
    </row>
    <row r="2095" ht="15.75" customHeight="1">
      <c r="A2095" s="1">
        <v>2093.0</v>
      </c>
      <c r="B2095" s="3" t="s">
        <v>2096</v>
      </c>
      <c r="C2095" s="3" t="str">
        <f>IFERROR(__xludf.DUMMYFUNCTION("GOOGLETRANSLATE(B2095,""id"",""en"")"),"['Telkomsel', 'koq', 'signal', 'slow', 'really', 'stay', 'urban', 'area', 'karawang', 'interior', 'hello', 'hello']")</f>
        <v>['Telkomsel', 'koq', 'signal', 'slow', 'really', 'stay', 'urban', 'area', 'karawang', 'interior', 'hello', 'hello']</v>
      </c>
      <c r="D2095" s="3">
        <v>2.0</v>
      </c>
    </row>
    <row r="2096" ht="15.75" customHeight="1">
      <c r="A2096" s="1">
        <v>2094.0</v>
      </c>
      <c r="B2096" s="3" t="s">
        <v>2097</v>
      </c>
      <c r="C2096" s="3" t="str">
        <f>IFERROR(__xludf.DUMMYFUNCTION("GOOGLETRANSLATE(B2096,""id"",""en"")"),"['Pocer', 'Unlimited', 'Apps',' Please ',' Pocer ',' Quota ',' A Year ',' Unlimited ',' Boss', 'Apps',' Indonesia ',' Then ',' Wear ',' Telkomsel ']")</f>
        <v>['Pocer', 'Unlimited', 'Apps',' Please ',' Pocer ',' Quota ',' A Year ',' Unlimited ',' Boss', 'Apps',' Indonesia ',' Then ',' Wear ',' Telkomsel ']</v>
      </c>
      <c r="D2096" s="3">
        <v>5.0</v>
      </c>
    </row>
    <row r="2097" ht="15.75" customHeight="1">
      <c r="A2097" s="1">
        <v>2095.0</v>
      </c>
      <c r="B2097" s="3" t="s">
        <v>2098</v>
      </c>
      <c r="C2097" s="3" t="str">
        <f>IFERROR(__xludf.DUMMYFUNCTION("GOOGLETRANSLATE(B2097,""id"",""en"")"),"['Ribet', 'really', 'enter', 'application', 'verification', 'SMS', 'Magic', 'Link', 'Enter', 'Auto', 'Save', 'Device', ' Troublesome ',' Need ',' Fast ',' Contents', 'Quota', '']")</f>
        <v>['Ribet', 'really', 'enter', 'application', 'verification', 'SMS', 'Magic', 'Link', 'Enter', 'Auto', 'Save', 'Device', ' Troublesome ',' Need ',' Fast ',' Contents', 'Quota', '']</v>
      </c>
      <c r="D2097" s="3">
        <v>2.0</v>
      </c>
    </row>
    <row r="2098" ht="15.75" customHeight="1">
      <c r="A2098" s="1">
        <v>2096.0</v>
      </c>
      <c r="B2098" s="3" t="s">
        <v>2099</v>
      </c>
      <c r="C2098" s="3" t="str">
        <f>IFERROR(__xludf.DUMMYFUNCTION("GOOGLETRANSLATE(B2098,""id"",""en"")"),"['buy', 'quota', 'code', 'dial', 'writing', 'thank you', 'request', 'process',' please ',' fix ',' hope ',' officer ',' Telkomsel ',' Read ',' Review ',' Thank you ']")</f>
        <v>['buy', 'quota', 'code', 'dial', 'writing', 'thank you', 'request', 'process',' please ',' fix ',' hope ',' officer ',' Telkomsel ',' Read ',' Review ',' Thank you ']</v>
      </c>
      <c r="D2098" s="3">
        <v>2.0</v>
      </c>
    </row>
    <row r="2099" ht="15.75" customHeight="1">
      <c r="A2099" s="1">
        <v>2097.0</v>
      </c>
      <c r="B2099" s="3" t="s">
        <v>2100</v>
      </c>
      <c r="C2099" s="3" t="str">
        <f>IFERROR(__xludf.DUMMYFUNCTION("GOOGLETRANSLATE(B2099,""id"",""en"")"),"['Please', 'fix', 'network', 'in the area', 'Majene', 'pamboang', 'kel', 'lalampanua', 'bgus',' check ',' data ',' Telkomsel ',' Difficult ',' Severe ',' Good ',' ']")</f>
        <v>['Please', 'fix', 'network', 'in the area', 'Majene', 'pamboang', 'kel', 'lalampanua', 'bgus',' check ',' data ',' Telkomsel ',' Difficult ',' Severe ',' Good ',' ']</v>
      </c>
      <c r="D2099" s="3">
        <v>1.0</v>
      </c>
    </row>
    <row r="2100" ht="15.75" customHeight="1">
      <c r="A2100" s="1">
        <v>2098.0</v>
      </c>
      <c r="B2100" s="3" t="s">
        <v>2101</v>
      </c>
      <c r="C2100" s="3" t="str">
        <f>IFERROR(__xludf.DUMMYFUNCTION("GOOGLETRANSLATE(B2100,""id"",""en"")"),"['Sorry', 'Kasi', 'Star', 'Times',' Click ',' Link ',' No ',' Enter ',' Sousal ',' Change ',' Access', 'Internet', ' Whatever ',' difficult ',' hopefully ',' in the future ',' quality ',' signal ',' noticed ',' in the area ',' remote ',' Telkomsel ',' onl"&amp;"y ',' provider ',' service ' ]")</f>
        <v>['Sorry', 'Kasi', 'Star', 'Times',' Click ',' Link ',' No ',' Enter ',' Sousal ',' Change ',' Access', 'Internet', ' Whatever ',' difficult ',' hopefully ',' in the future ',' quality ',' signal ',' noticed ',' in the area ',' remote ',' Telkomsel ',' only ',' provider ',' service ' ]</v>
      </c>
      <c r="D2100" s="3">
        <v>2.0</v>
      </c>
    </row>
    <row r="2101" ht="15.75" customHeight="1">
      <c r="A2101" s="1">
        <v>2099.0</v>
      </c>
      <c r="B2101" s="3" t="s">
        <v>2102</v>
      </c>
      <c r="C2101" s="3" t="str">
        <f>IFERROR(__xludf.DUMMYFUNCTION("GOOGLETRANSLATE(B2101,""id"",""en"")"),"['Telkomsel', 'Severe', 'Fill', 'City', 'Out', 'Souses',' Abis', 'Clock', 'Segini', 'Udh', 'Abis',' Credit ',' Sumpot ',' Abis', 'Disappointed', 'Telkomsel', 'Use', 'Greb', 'Doang', 'Disorders', ""]")</f>
        <v>['Telkomsel', 'Severe', 'Fill', 'City', 'Out', 'Souses',' Abis', 'Clock', 'Segini', 'Udh', 'Abis',' Credit ',' Sumpot ',' Abis', 'Disappointed', 'Telkomsel', 'Use', 'Greb', 'Doang', 'Disorders', "]</v>
      </c>
      <c r="D2101" s="3">
        <v>1.0</v>
      </c>
    </row>
    <row r="2102" ht="15.75" customHeight="1">
      <c r="A2102" s="1">
        <v>2100.0</v>
      </c>
      <c r="B2102" s="3" t="s">
        <v>2103</v>
      </c>
      <c r="C2102" s="3" t="str">
        <f>IFERROR(__xludf.DUMMYFUNCTION("GOOGLETRANSLATE(B2102,""id"",""en"")"),"['Please', 'Kelen', 'Fix', 'Quality', 'Network', 'Telkomsel', 'Sprune', 'Network', 'Bad', 'Kayak', 'Gini', 'Shy', ' Providers', 'good', 'nets',' vain ',' pay ',' expensive ',' ']")</f>
        <v>['Please', 'Kelen', 'Fix', 'Quality', 'Network', 'Telkomsel', 'Sprune', 'Network', 'Bad', 'Kayak', 'Gini', 'Shy', ' Providers', 'good', 'nets',' vain ',' pay ',' expensive ',' ']</v>
      </c>
      <c r="D2102" s="3">
        <v>1.0</v>
      </c>
    </row>
    <row r="2103" ht="15.75" customHeight="1">
      <c r="A2103" s="1">
        <v>2101.0</v>
      </c>
      <c r="B2103" s="3" t="s">
        <v>2104</v>
      </c>
      <c r="C2103" s="3" t="str">
        <f>IFERROR(__xludf.DUMMYFUNCTION("GOOGLETRANSLATE(B2103,""id"",""en"")"),"['Telkomsel', 'signal', 'poor', 'really', 'kyk', 'Telkomsel', 'signal', 'slow', 'support', 'play', 'game', 'lag', ' Sinya ',' Disappointed ',' Telkomsel ',' Package ',' Data ',' Expensive ',' Quality ',' Sousal ',' Dropppp ',' Lost ',' Operator ',' Telkom"&amp;"sel ',' fast ' , 'Sinyal', 'Disappointed', '']")</f>
        <v>['Telkomsel', 'signal', 'poor', 'really', 'kyk', 'Telkomsel', 'signal', 'slow', 'support', 'play', 'game', 'lag', ' Sinya ',' Disappointed ',' Telkomsel ',' Package ',' Data ',' Expensive ',' Quality ',' Sousal ',' Dropppp ',' Lost ',' Operator ',' Telkomsel ',' fast ' , 'Sinyal', 'Disappointed', '']</v>
      </c>
      <c r="D2103" s="3">
        <v>1.0</v>
      </c>
    </row>
    <row r="2104" ht="15.75" customHeight="1">
      <c r="A2104" s="1">
        <v>2102.0</v>
      </c>
      <c r="B2104" s="3" t="s">
        <v>2105</v>
      </c>
      <c r="C2104" s="3" t="str">
        <f>IFERROR(__xludf.DUMMYFUNCTION("GOOGLETRANSLATE(B2104,""id"",""en"")"),"['Application', 'BURIK', 'Open', 'Loading', 'Loading', 'Nyedot', 'Data', 'Mount', 'Appearing', 'Information', 'Package', 'Already', ' Delete ',' Data ',' Chache ',' ']")</f>
        <v>['Application', 'BURIK', 'Open', 'Loading', 'Loading', 'Nyedot', 'Data', 'Mount', 'Appearing', 'Information', 'Package', 'Already', ' Delete ',' Data ',' Chache ',' ']</v>
      </c>
      <c r="D2104" s="3">
        <v>1.0</v>
      </c>
    </row>
    <row r="2105" ht="15.75" customHeight="1">
      <c r="A2105" s="1">
        <v>2103.0</v>
      </c>
      <c r="B2105" s="3" t="s">
        <v>2106</v>
      </c>
      <c r="C2105" s="3" t="str">
        <f>IFERROR(__xludf.DUMMYFUNCTION("GOOGLETRANSLATE(B2105,""id"",""en"")"),"['network', 'lose', 'competitiveness',' provider ',' service ',' fast ',' cheap ',' disappointed ',' card ',' increase ',' just ',' monopoly ',' market', '']")</f>
        <v>['network', 'lose', 'competitiveness',' provider ',' service ',' fast ',' cheap ',' disappointed ',' card ',' increase ',' just ',' monopoly ',' market', '']</v>
      </c>
      <c r="D2105" s="3">
        <v>1.0</v>
      </c>
    </row>
    <row r="2106" ht="15.75" customHeight="1">
      <c r="A2106" s="1">
        <v>2104.0</v>
      </c>
      <c r="B2106" s="3" t="s">
        <v>2107</v>
      </c>
      <c r="C2106" s="3" t="str">
        <f>IFERROR(__xludf.DUMMYFUNCTION("GOOGLETRANSLATE(B2106,""id"",""en"")"),"['', 'Telkomsel', 'down', 'please', 'Telkomselll', 'Please', 'repaired', 'signal', 'learn', 'online', 'signal', 'sometimes',' ugly ',' Haduuuh ',' Severe ',' Hopefully ',' Fast ',' Fix ',' ']")</f>
        <v>['', 'Telkomsel', 'down', 'please', 'Telkomselll', 'Please', 'repaired', 'signal', 'learn', 'online', 'signal', 'sometimes',' ugly ',' Haduuuh ',' Severe ',' Hopefully ',' Fast ',' Fix ',' ']</v>
      </c>
      <c r="D2106" s="3">
        <v>2.0</v>
      </c>
    </row>
    <row r="2107" ht="15.75" customHeight="1">
      <c r="A2107" s="1">
        <v>2105.0</v>
      </c>
      <c r="B2107" s="3" t="s">
        <v>2108</v>
      </c>
      <c r="C2107" s="3" t="str">
        <f>IFERROR(__xludf.DUMMYFUNCTION("GOOGLETRANSLATE(B2107,""id"",""en"")"),"['Package', 'Combosakti', 'RB', 'RB', 'quota', 'GB', 'check', 'Activate', 'skrg', 'mytelkomsel', 'outlet', 'bits',' mtsel ',' SKB ',' check ',' Telkomsel ',' like ',' lie ',' heart ',' heart ',' Telkomsel ',' cheating ',' customers', ""]")</f>
        <v>['Package', 'Combosakti', 'RB', 'RB', 'quota', 'GB', 'check', 'Activate', 'skrg', 'mytelkomsel', 'outlet', 'bits',' mtsel ',' SKB ',' check ',' Telkomsel ',' like ',' lie ',' heart ',' heart ',' Telkomsel ',' cheating ',' customers', "]</v>
      </c>
      <c r="D2107" s="3">
        <v>1.0</v>
      </c>
    </row>
    <row r="2108" ht="15.75" customHeight="1">
      <c r="A2108" s="1">
        <v>2106.0</v>
      </c>
      <c r="B2108" s="3" t="s">
        <v>2109</v>
      </c>
      <c r="C2108" s="3" t="str">
        <f>IFERROR(__xludf.DUMMYFUNCTION("GOOGLETRANSLATE(B2108,""id"",""en"")"),"['Enter', 'number', 'reset', 'enter', 'sometimes',' difficult ',' enter ',' please ',' fix ',' app ',' signal ',' ngelaggg ',' Pay ',' expensive ']")</f>
        <v>['Enter', 'number', 'reset', 'enter', 'sometimes',' difficult ',' enter ',' please ',' fix ',' app ',' signal ',' ngelaggg ',' Pay ',' expensive ']</v>
      </c>
      <c r="D2108" s="3">
        <v>1.0</v>
      </c>
    </row>
    <row r="2109" ht="15.75" customHeight="1">
      <c r="A2109" s="1">
        <v>2107.0</v>
      </c>
      <c r="B2109" s="3" t="s">
        <v>2110</v>
      </c>
      <c r="C2109" s="3" t="str">
        <f>IFERROR(__xludf.DUMMYFUNCTION("GOOGLETRANSLATE(B2109,""id"",""en"")"),"['Dear', 'Network', 'Telkomsel', 'Lelet', 'Taste', 'Kirain', 'Kayak', 'GTU', 'Telkomsel', 'ugly', 'already', 'Telkomsel', ' emng ',' dlu ',' network ',' adapt ',' wherever ',' place ',' Bener ',' Bner ',' Duagaan ',' Tlong ',' comfort ',' response ',' pos"&amp;"itive ' , 'Related', 'network', 'bner', 'bner', 'down', '']")</f>
        <v>['Dear', 'Network', 'Telkomsel', 'Lelet', 'Taste', 'Kirain', 'Kayak', 'GTU', 'Telkomsel', 'ugly', 'already', 'Telkomsel', ' emng ',' dlu ',' network ',' adapt ',' wherever ',' place ',' Bener ',' Bner ',' Duagaan ',' Tlong ',' comfort ',' response ',' positive ' , 'Related', 'network', 'bner', 'bner', 'down', '']</v>
      </c>
      <c r="D2109" s="3">
        <v>1.0</v>
      </c>
    </row>
    <row r="2110" ht="15.75" customHeight="1">
      <c r="A2110" s="1">
        <v>2108.0</v>
      </c>
      <c r="B2110" s="3" t="s">
        <v>2111</v>
      </c>
      <c r="C2110" s="3" t="str">
        <f>IFERROR(__xludf.DUMMYFUNCTION("GOOGLETRANSLATE(B2110,""id"",""en"")"),"['Please', 'Enhanced', 'Service', 'Network', 'Telkomsel', 'Network', 'Telkomsel', 'Satisfied', 'Use', 'Network', 'Internet', 'Network' Phone ',' cellular ',' Please ',' Enhanced ',' BPK ',' User ',' Network ',' Complaining ',' Thanks', ""]")</f>
        <v>['Please', 'Enhanced', 'Service', 'Network', 'Telkomsel', 'Network', 'Telkomsel', 'Satisfied', 'Use', 'Network', 'Internet', 'Network' Phone ',' cellular ',' Please ',' Enhanced ',' BPK ',' User ',' Network ',' Complaining ',' Thanks', "]</v>
      </c>
      <c r="D2110" s="3">
        <v>1.0</v>
      </c>
    </row>
    <row r="2111" ht="15.75" customHeight="1">
      <c r="A2111" s="1">
        <v>2109.0</v>
      </c>
      <c r="B2111" s="3" t="s">
        <v>2112</v>
      </c>
      <c r="C2111" s="3" t="str">
        <f>IFERROR(__xludf.DUMMYFUNCTION("GOOGLETRANSLATE(B2111,""id"",""en"")"),"['Severe', 'Telkomsel', 'killing', 'pulse', 'quota', 'balance', 'used', 'access',' internet ',' data ',' sim ',' provider ',' Appearing ',' SMS ',' Access', 'Internet', 'Rates',' Non ',' Package ',' Info ',' Tsel ',' Data ',' Rates', 'Save', 'Buy' , 'Pack"&amp;"age', 'Internet', 'Tsel', '']")</f>
        <v>['Severe', 'Telkomsel', 'killing', 'pulse', 'quota', 'balance', 'used', 'access',' internet ',' data ',' sim ',' provider ',' Appearing ',' SMS ',' Access', 'Internet', 'Rates',' Non ',' Package ',' Info ',' Tsel ',' Data ',' Rates', 'Save', 'Buy' , 'Package', 'Internet', 'Tsel', '']</v>
      </c>
      <c r="D2111" s="3">
        <v>1.0</v>
      </c>
    </row>
    <row r="2112" ht="15.75" customHeight="1">
      <c r="A2112" s="1">
        <v>2110.0</v>
      </c>
      <c r="B2112" s="3" t="s">
        <v>2113</v>
      </c>
      <c r="C2112" s="3" t="str">
        <f>IFERROR(__xludf.DUMMYFUNCTION("GOOGLETRANSLATE(B2112,""id"",""en"")"),"['already', 'signal', 'ugly', 'contents',' pulse ',' ngeta ',' ngepain ',' sumps', 'writing', 'price', 'thousand', 'thousand', ' Posts', 'Consuming', 'just', 'Bener', 'Woy', 'His name', 'Fraud', 'Reasoning', 'Ngeluh', ""]")</f>
        <v>['already', 'signal', 'ugly', 'contents',' pulse ',' ngeta ',' ngepain ',' sumps', 'writing', 'price', 'thousand', 'thousand', ' Posts', 'Consuming', 'just', 'Bener', 'Woy', 'His name', 'Fraud', 'Reasoning', 'Ngeluh', "]</v>
      </c>
      <c r="D2112" s="3">
        <v>1.0</v>
      </c>
    </row>
    <row r="2113" ht="15.75" customHeight="1">
      <c r="A2113" s="1">
        <v>2111.0</v>
      </c>
      <c r="B2113" s="3" t="s">
        <v>2114</v>
      </c>
      <c r="C2113" s="3" t="str">
        <f>IFERROR(__xludf.DUMMYFUNCTION("GOOGLETRANSLATE(B2113,""id"",""en"")"),"['Please', 'card', 'UDH', 'Disable', 'pulse', 'tekurkan', 'apasi', 'printed', 'January', 'use', 'card', 'die', ' Nge ',' bug ',' severe ',' troubling ',' dri ',' yesterday ',' pulse ',' rb ',' eee ',' side ',' ']")</f>
        <v>['Please', 'card', 'UDH', 'Disable', 'pulse', 'tekurkan', 'apasi', 'printed', 'January', 'use', 'card', 'die', ' Nge ',' bug ',' severe ',' troubling ',' dri ',' yesterday ',' pulse ',' rb ',' eee ',' side ',' ']</v>
      </c>
      <c r="D2113" s="3">
        <v>2.0</v>
      </c>
    </row>
    <row r="2114" ht="15.75" customHeight="1">
      <c r="A2114" s="1">
        <v>2112.0</v>
      </c>
      <c r="B2114" s="3" t="s">
        <v>2115</v>
      </c>
      <c r="C2114" s="3" t="str">
        <f>IFERROR(__xludf.DUMMYFUNCTION("GOOGLETRANSLATE(B2114,""id"",""en"")"),"['Please', 'Telkomsel', 'Plusin', 'Features',' Top ',' Game ',' Karna ',' Application ',' Features', 'Top', 'Game', 'Please', ' Telkomsel ',' Plusin ',' ']")</f>
        <v>['Please', 'Telkomsel', 'Plusin', 'Features',' Top ',' Game ',' Karna ',' Application ',' Features', 'Top', 'Game', 'Please', ' Telkomsel ',' Plusin ',' ']</v>
      </c>
      <c r="D2114" s="3">
        <v>4.0</v>
      </c>
    </row>
    <row r="2115" ht="15.75" customHeight="1">
      <c r="A2115" s="1">
        <v>2113.0</v>
      </c>
      <c r="B2115" s="3" t="s">
        <v>2116</v>
      </c>
      <c r="C2115" s="3" t="str">
        <f>IFERROR(__xludf.DUMMYFUNCTION("GOOGLETRANSLATE(B2115,""id"",""en"")"),"['Heh', 'please', 'kouta', 'unlimited', 'multimedia', 'sosmed', 'games',' chat ',' music ',' youtube ',' kouta ',' see ',' Sumpot ',' kouta ',' please ',' woy ',' buy ',' multimedia ']")</f>
        <v>['Heh', 'please', 'kouta', 'unlimited', 'multimedia', 'sosmed', 'games',' chat ',' music ',' youtube ',' kouta ',' see ',' Sumpot ',' kouta ',' please ',' woy ',' buy ',' multimedia ']</v>
      </c>
      <c r="D2115" s="3">
        <v>1.0</v>
      </c>
    </row>
    <row r="2116" ht="15.75" customHeight="1">
      <c r="A2116" s="1">
        <v>2114.0</v>
      </c>
      <c r="B2116" s="3" t="s">
        <v>2117</v>
      </c>
      <c r="C2116" s="3" t="str">
        <f>IFERROR(__xludf.DUMMYFUNCTION("GOOGLETRANSLATE(B2116,""id"",""en"")"),"['Service', 'Telkomsel', 'Enjoy', 'Enjoy', 'Choice', 'Package', 'Variative', 'Affordable', 'Jga', 'Byk', 'Promo', 'Pokonya', ' Telkomsel ',' Top ',' Deh ',' Thank you ',' Telkomsel ',' spirit ', ""]")</f>
        <v>['Service', 'Telkomsel', 'Enjoy', 'Enjoy', 'Choice', 'Package', 'Variative', 'Affordable', 'Jga', 'Byk', 'Promo', 'Pokonya', ' Telkomsel ',' Top ',' Deh ',' Thank you ',' Telkomsel ',' spirit ', "]</v>
      </c>
      <c r="D2116" s="3">
        <v>5.0</v>
      </c>
    </row>
    <row r="2117" ht="15.75" customHeight="1">
      <c r="A2117" s="1">
        <v>2115.0</v>
      </c>
      <c r="B2117" s="3" t="s">
        <v>2118</v>
      </c>
      <c r="C2117" s="3" t="str">
        <f>IFERROR(__xludf.DUMMYFUNCTION("GOOGLETRANSLATE(B2117,""id"",""en"")"),"['Network', 'ugly', 'Please', 'Increase', 'Nyak', 'complain', 'Kenap', 'Paked', 'Call', 'Sobmhal', 'Use', ""]")</f>
        <v>['Network', 'ugly', 'Please', 'Increase', 'Nyak', 'complain', 'Kenap', 'Paked', 'Call', 'Sobmhal', 'Use', "]</v>
      </c>
      <c r="D2117" s="3">
        <v>1.0</v>
      </c>
    </row>
    <row r="2118" ht="15.75" customHeight="1">
      <c r="A2118" s="1">
        <v>2116.0</v>
      </c>
      <c r="B2118" s="3" t="s">
        <v>2119</v>
      </c>
      <c r="C2118" s="3" t="str">
        <f>IFERROR(__xludf.DUMMYFUNCTION("GOOGLETRANSLATE(B2118,""id"",""en"")"),"['Good', 'service', 'promo', 'buy', 'reply', 'connection', 'fail', 'please', 'try', 'try', 'ttp', ""]")</f>
        <v>['Good', 'service', 'promo', 'buy', 'reply', 'connection', 'fail', 'please', 'try', 'try', 'ttp', "]</v>
      </c>
      <c r="D2118" s="3">
        <v>3.0</v>
      </c>
    </row>
    <row r="2119" ht="15.75" customHeight="1">
      <c r="A2119" s="1">
        <v>2117.0</v>
      </c>
      <c r="B2119" s="3" t="s">
        <v>2120</v>
      </c>
      <c r="C2119" s="3" t="str">
        <f>IFERROR(__xludf.DUMMYFUNCTION("GOOGLETRANSLATE(B2119,""id"",""en"")"),"['package', 'unlimited', 'quota', 'quota', 'run out', 'signal', 'difficult', 'bgttttttttttt', 'turn', 'package', 'unlimited', 'quota', ' quota ',' run out ',' easy ',' signal ',' yaa ',' sales', 'marketing', 'kek', 'so', '']")</f>
        <v>['package', 'unlimited', 'quota', 'quota', 'run out', 'signal', 'difficult', 'bgttttttttttt', 'turn', 'package', 'unlimited', 'quota', ' quota ',' run out ',' easy ',' signal ',' yaa ',' sales', 'marketing', 'kek', 'so', '']</v>
      </c>
      <c r="D2119" s="3">
        <v>1.0</v>
      </c>
    </row>
    <row r="2120" ht="15.75" customHeight="1">
      <c r="A2120" s="1">
        <v>2118.0</v>
      </c>
      <c r="B2120" s="3" t="s">
        <v>2121</v>
      </c>
      <c r="C2120" s="3" t="str">
        <f>IFERROR(__xludf.DUMMYFUNCTION("GOOGLETRANSLATE(B2120,""id"",""en"")"),"['Disappointed', 'heavy', 'right', 'BLM', 'pulse', 'price', 'promo', 'cheap', 'pulse', 'contents',' buy ',' package ',' Price ',' Changed ',' Expensive ',' Promo ',' Lost ',' Deceived ']")</f>
        <v>['Disappointed', 'heavy', 'right', 'BLM', 'pulse', 'price', 'promo', 'cheap', 'pulse', 'contents',' buy ',' package ',' Price ',' Changed ',' Expensive ',' Promo ',' Lost ',' Deceived ']</v>
      </c>
      <c r="D2120" s="3">
        <v>3.0</v>
      </c>
    </row>
    <row r="2121" ht="15.75" customHeight="1">
      <c r="A2121" s="1">
        <v>2119.0</v>
      </c>
      <c r="B2121" s="3" t="s">
        <v>2122</v>
      </c>
      <c r="C2121" s="3" t="str">
        <f>IFERROR(__xludf.DUMMYFUNCTION("GOOGLETRANSLATE(B2121,""id"",""en"")"),"['fit', 'updated', 'login', 'right', 'love', 'enter', 'number', 'login', 'try', 'input', 'number', 'Link', ' Login ',' click ',' Link ',' enter ',' difficult ',' yaaah ',' like ',' apk ',' my apk ',' disappointing ',' try ',' bgmana ',' nich ' , 'given', "&amp;"'Review', 'responded', 'Login', 'Writing', 'Your', 'Season', 'Has',' Expired ',' Please ',' Login ',' Again ',' right ',' update ',' appears', '']")</f>
        <v>['fit', 'updated', 'login', 'right', 'love', 'enter', 'number', 'login', 'try', 'input', 'number', 'Link', ' Login ',' click ',' Link ',' enter ',' difficult ',' yaaah ',' like ',' apk ',' my apk ',' disappointing ',' try ',' bgmana ',' nich ' , 'given', 'Review', 'responded', 'Login', 'Writing', 'Your', 'Season', 'Has',' Expired ',' Please ',' Login ',' Again ',' right ',' update ',' appears', '']</v>
      </c>
      <c r="D2121" s="3">
        <v>1.0</v>
      </c>
    </row>
    <row r="2122" ht="15.75" customHeight="1">
      <c r="A2122" s="1">
        <v>2120.0</v>
      </c>
      <c r="B2122" s="3" t="s">
        <v>2123</v>
      </c>
      <c r="C2122" s="3" t="str">
        <f>IFERROR(__xludf.DUMMYFUNCTION("GOOGLETRANSLATE(B2122,""id"",""en"")"),"['Naturally', 'interested', 'quota', 'lapse', 'youtube', 'price', 'cheap', 'dipake', 'youtube', 'opened', 'turn', 'buy', ' quota ',' internet ',' regular ',' open ',' youtube ',' smooth ',' please ',' lied to ',' consumer ',' promo ',' bhongan ',' price '"&amp;",' package ' , 'cheap', 'promo', 'deleted', 'list', '']")</f>
        <v>['Naturally', 'interested', 'quota', 'lapse', 'youtube', 'price', 'cheap', 'dipake', 'youtube', 'opened', 'turn', 'buy', ' quota ',' internet ',' regular ',' open ',' youtube ',' smooth ',' please ',' lied to ',' consumer ',' promo ',' bhongan ',' price ',' package ' , 'cheap', 'promo', 'deleted', 'list', '']</v>
      </c>
      <c r="D2122" s="3">
        <v>1.0</v>
      </c>
    </row>
    <row r="2123" ht="15.75" customHeight="1">
      <c r="A2123" s="1">
        <v>2121.0</v>
      </c>
      <c r="B2123" s="3" t="s">
        <v>2124</v>
      </c>
      <c r="C2123" s="3" t="str">
        <f>IFERROR(__xludf.DUMMYFUNCTION("GOOGLETRANSLATE(B2123,""id"",""en"")"),"['Please', 'just', 'Read', 'Fix', 'Kenda', 'Network', 'Please', 'Fast', 'Response', 'Slow', 'laun', 'Customer', ' disappointed', '']")</f>
        <v>['Please', 'just', 'Read', 'Fix', 'Kenda', 'Network', 'Please', 'Fast', 'Response', 'Slow', 'laun', 'Customer', ' disappointed', '']</v>
      </c>
      <c r="D2123" s="3">
        <v>2.0</v>
      </c>
    </row>
    <row r="2124" ht="15.75" customHeight="1">
      <c r="A2124" s="1">
        <v>2122.0</v>
      </c>
      <c r="B2124" s="3" t="s">
        <v>2125</v>
      </c>
      <c r="C2124" s="3" t="str">
        <f>IFERROR(__xludf.DUMMYFUNCTION("GOOGLETRANSLATE(B2124,""id"",""en"")"),"['Disappointed', 'Telkomsel', 'promo', 'quota', 'internet', 'expensive', 'expensive', 'user', 'loyal', 'Telkomsel', 'cook', 'given', ' Promo ',' expensive ',' ']")</f>
        <v>['Disappointed', 'Telkomsel', 'promo', 'quota', 'internet', 'expensive', 'expensive', 'user', 'loyal', 'Telkomsel', 'cook', 'given', ' Promo ',' expensive ',' ']</v>
      </c>
      <c r="D2124" s="3">
        <v>1.0</v>
      </c>
    </row>
    <row r="2125" ht="15.75" customHeight="1">
      <c r="A2125" s="1">
        <v>2123.0</v>
      </c>
      <c r="B2125" s="3" t="s">
        <v>2126</v>
      </c>
      <c r="C2125" s="3" t="str">
        <f>IFERROR(__xludf.DUMMYFUNCTION("GOOGLETRANSLATE(B2125,""id"",""en"")"),"['expensive', 'sometimes',' difficult ',' signal ',' pulse ',' sumps', 'use', 'wake up', 'sleep', 'pulse', 'already', 'ilang', ' zero ',' zero ',' zero ',' nyesek ']")</f>
        <v>['expensive', 'sometimes',' difficult ',' signal ',' pulse ',' sumps', 'use', 'wake up', 'sleep', 'pulse', 'already', 'ilang', ' zero ',' zero ',' zero ',' nyesek ']</v>
      </c>
      <c r="D2125" s="3">
        <v>1.0</v>
      </c>
    </row>
    <row r="2126" ht="15.75" customHeight="1">
      <c r="A2126" s="1">
        <v>2124.0</v>
      </c>
      <c r="B2126" s="3" t="s">
        <v>2127</v>
      </c>
      <c r="C2126" s="3" t="str">
        <f>IFERROR(__xludf.DUMMYFUNCTION("GOOGLETRANSLATE(B2126,""id"",""en"")"),"['difficult', 'log', 'account', 'price', 'signal', 'lose', 'compete', 'feature', 'makadian', 'please', 'fix', ""]")</f>
        <v>['difficult', 'log', 'account', 'price', 'signal', 'lose', 'compete', 'feature', 'makadian', 'please', 'fix', "]</v>
      </c>
      <c r="D2126" s="3">
        <v>1.0</v>
      </c>
    </row>
    <row r="2127" ht="15.75" customHeight="1">
      <c r="A2127" s="1">
        <v>2125.0</v>
      </c>
      <c r="B2127" s="3" t="s">
        <v>2128</v>
      </c>
      <c r="C2127" s="3" t="str">
        <f>IFERROR(__xludf.DUMMYFUNCTION("GOOGLETRANSLATE(B2127,""id"",""en"")"),"['Telkomsel', 'Jembutttt', 'a week', 'network', 'slow', 'price', 'quota', 'expensive', 'network', 'repaired', 'employees',' intention ',' No ',' it works', 'eat', 'salary', 'blind', 'employees',' misuse ',' network ',' signal ',' yrs', 'customer', 'times'"&amp;",' complain ' , 'SPRTI', 'Telkomsel']")</f>
        <v>['Telkomsel', 'Jembutttt', 'a week', 'network', 'slow', 'price', 'quota', 'expensive', 'network', 'repaired', 'employees',' intention ',' No ',' it works', 'eat', 'salary', 'blind', 'employees',' misuse ',' network ',' signal ',' yrs', 'customer', 'times',' complain ' , 'SPRTI', 'Telkomsel']</v>
      </c>
      <c r="D2127" s="3">
        <v>1.0</v>
      </c>
    </row>
    <row r="2128" ht="15.75" customHeight="1">
      <c r="A2128" s="1">
        <v>2126.0</v>
      </c>
      <c r="B2128" s="3" t="s">
        <v>2129</v>
      </c>
      <c r="C2128" s="3" t="str">
        <f>IFERROR(__xludf.DUMMYFUNCTION("GOOGLETRANSLATE(B2128,""id"",""en"")"),"['reason', 'love', 'star', 'provider', 'Telkomel', 'bad', 'signal', 'down', 'losing', 'signal', 'connection', 'other' Services', 'Telkomsel', 'Bad', 'Compare', 'Provider']")</f>
        <v>['reason', 'love', 'star', 'provider', 'Telkomel', 'bad', 'signal', 'down', 'losing', 'signal', 'connection', 'other' Services', 'Telkomsel', 'Bad', 'Compare', 'Provider']</v>
      </c>
      <c r="D2128" s="3">
        <v>2.0</v>
      </c>
    </row>
    <row r="2129" ht="15.75" customHeight="1">
      <c r="A2129" s="1">
        <v>2127.0</v>
      </c>
      <c r="B2129" s="3" t="s">
        <v>2130</v>
      </c>
      <c r="C2129" s="3" t="str">
        <f>IFERROR(__xludf.DUMMYFUNCTION("GOOGLETRANSLATE(B2129,""id"",""en"")"),"['buy', 'quota', 'InternetMax', 'noon', 'smooth', 'smooth', 'night', 'quota', 'use', 'quota', 'remaining', 'loss']")</f>
        <v>['buy', 'quota', 'InternetMax', 'noon', 'smooth', 'smooth', 'night', 'quota', 'use', 'quota', 'remaining', 'loss']</v>
      </c>
      <c r="D2129" s="3">
        <v>1.0</v>
      </c>
    </row>
    <row r="2130" ht="15.75" customHeight="1">
      <c r="A2130" s="1">
        <v>2128.0</v>
      </c>
      <c r="B2130" s="3" t="s">
        <v>2131</v>
      </c>
      <c r="C2130" s="3" t="str">
        <f>IFERROR(__xludf.DUMMYFUNCTION("GOOGLETRANSLATE(B2130,""id"",""en"")"),"['Disappointed', 'Telkomsel', 'Severe', 'NSP', 'Active', 'Registered', 'Click', 'Register', 'Distent', 'Button', 'Whatever', 'Phone', ' patience ',' patient ',' check ',' credited ',' blum ',' dikbrin ',' klu ',' called ',' patient ',' number ',' beautifu"&amp;"l ',' klu ',' fill ' , 'pulse', 'lsung', 'run out', 'because' lsung ',' automatically ',' extend ',' nsp ',' kaga ',' contents ',' pulse ',' nsp ',' Active ',' Yuk ',' Rame ',' Card ',' ']")</f>
        <v>['Disappointed', 'Telkomsel', 'Severe', 'NSP', 'Active', 'Registered', 'Click', 'Register', 'Distent', 'Button', 'Whatever', 'Phone', ' patience ',' patient ',' check ',' credited ',' blum ',' dikbrin ',' klu ',' called ',' patient ',' number ',' beautiful ',' klu ',' fill ' , 'pulse', 'lsung', 'run out', 'because' lsung ',' automatically ',' extend ',' nsp ',' kaga ',' contents ',' pulse ',' nsp ',' Active ',' Yuk ',' Rame ',' Card ',' ']</v>
      </c>
      <c r="D2130" s="3">
        <v>1.0</v>
      </c>
    </row>
    <row r="2131" ht="15.75" customHeight="1">
      <c r="A2131" s="1">
        <v>2129.0</v>
      </c>
      <c r="B2131" s="3" t="s">
        <v>2132</v>
      </c>
      <c r="C2131" s="3" t="str">
        <f>IFERROR(__xludf.DUMMYFUNCTION("GOOGLETRANSLATE(B2131,""id"",""en"")"),"['Package', 'unlimited', 'max', 'ilang', 'make', 'Telkomsel', 'make', 'right', 'ilangin', 'kenpa', 'gabisa', 'activated', ' package ',' GB ',' told ',' Activein ',' GB ',' Please ',' Fix ',' Telkomsel ',' Nitian ',' Indonesia ',' Most ',' Please ',' Harga"&amp;"n "" , 'Customer', 'Sampe', 'Maki', 'Rich', 'Provider', 'Next to', 'Ahhhh']")</f>
        <v>['Package', 'unlimited', 'max', 'ilang', 'make', 'Telkomsel', 'make', 'right', 'ilangin', 'kenpa', 'gabisa', 'activated', ' package ',' GB ',' told ',' Activein ',' GB ',' Please ',' Fix ',' Telkomsel ',' Nitian ',' Indonesia ',' Most ',' Please ',' Hargan " , 'Customer', 'Sampe', 'Maki', 'Rich', 'Provider', 'Next to', 'Ahhhh']</v>
      </c>
      <c r="D2131" s="3">
        <v>1.0</v>
      </c>
    </row>
    <row r="2132" ht="15.75" customHeight="1">
      <c r="A2132" s="1">
        <v>2130.0</v>
      </c>
      <c r="B2132" s="3" t="s">
        <v>2133</v>
      </c>
      <c r="C2132" s="3" t="str">
        <f>IFERROR(__xludf.DUMMYFUNCTION("GOOGLETRANSLATE(B2132,""id"",""en"")"),"['Please', 'Package', 'Extra', 'Unilimed', 'Try', 'Jngn', 'Until', 'Lost', 'Safety', 'Comfort', 'People', 'Trying', ' Survive ',' Card ',' Telkomsel ',' Over ',' Thank you ', ""]")</f>
        <v>['Please', 'Package', 'Extra', 'Unilimed', 'Try', 'Jngn', 'Until', 'Lost', 'Safety', 'Comfort', 'People', 'Trying', ' Survive ',' Card ',' Telkomsel ',' Over ',' Thank you ', "]</v>
      </c>
      <c r="D2132" s="3">
        <v>5.0</v>
      </c>
    </row>
    <row r="2133" ht="15.75" customHeight="1">
      <c r="A2133" s="1">
        <v>2131.0</v>
      </c>
      <c r="B2133" s="3" t="s">
        <v>2134</v>
      </c>
      <c r="C2133" s="3" t="str">
        <f>IFERROR(__xludf.DUMMYFUNCTION("GOOGLETRANSLATE(B2133,""id"",""en"")"),"['reasons', 'cave', 'download', 'application', 'because', 'cave', 'access', 'cave', 'try', 'appear', 'writing', 'special' Users', 'loop', 'card', 'cave', 'loop', 'that's',' ']")</f>
        <v>['reasons', 'cave', 'download', 'application', 'because', 'cave', 'access', 'cave', 'try', 'appear', 'writing', 'special' Users', 'loop', 'card', 'cave', 'loop', 'that's',' ']</v>
      </c>
      <c r="D2133" s="3">
        <v>2.0</v>
      </c>
    </row>
    <row r="2134" ht="15.75" customHeight="1">
      <c r="A2134" s="1">
        <v>2132.0</v>
      </c>
      <c r="B2134" s="3" t="s">
        <v>2135</v>
      </c>
      <c r="C2134" s="3" t="str">
        <f>IFERROR(__xludf.DUMMYFUNCTION("GOOGLETRANSLATE(B2134,""id"",""en"")"),"['Severe', 'Itele', 'Komsel', 'Cave', 'Love', 'Star', 'Read', 'Network', 'Data', 'Kek', 'NT', 'Clock', ' morning ',' ampe ',' hours', 'malem', 'slow', 'really', 'until', 'check', 'package', 'itele', 'komsel', 'difficult', 'loading' , 'Mulu', 'already', 'h"&amp;"am', 'malem', 'Not bad', 'smooth', 'Kek', 'emang', 'setting', 'itele', 'komsel', 'noon', ' kbps', 'stated', 'service', 'completely', 'name', 'severe', 'really', 'dech', 'staple', 'severe', '']")</f>
        <v>['Severe', 'Itele', 'Komsel', 'Cave', 'Love', 'Star', 'Read', 'Network', 'Data', 'Kek', 'NT', 'Clock', ' morning ',' ampe ',' hours', 'malem', 'slow', 'really', 'until', 'check', 'package', 'itele', 'komsel', 'difficult', 'loading' , 'Mulu', 'already', 'ham', 'malem', 'Not bad', 'smooth', 'Kek', 'emang', 'setting', 'itele', 'komsel', 'noon', ' kbps', 'stated', 'service', 'completely', 'name', 'severe', 'really', 'dech', 'staple', 'severe', '']</v>
      </c>
      <c r="D2134" s="3">
        <v>5.0</v>
      </c>
    </row>
    <row r="2135" ht="15.75" customHeight="1">
      <c r="A2135" s="1">
        <v>2133.0</v>
      </c>
      <c r="B2135" s="3" t="s">
        <v>2136</v>
      </c>
      <c r="C2135" s="3" t="str">
        <f>IFERROR(__xludf.DUMMYFUNCTION("GOOGLETRANSLATE(B2135,""id"",""en"")"),"['GMNA', 'fill', 'pulse', 'package', 'Thousand', 'thousand', 'GB', 'MSH', 'leftover', 'quota', 'MB', ' Credit ',' The rest ',' ilang ',' Ouch ',' chaotic ',' please ',' fix ',' Gosha ', ""]")</f>
        <v>['GMNA', 'fill', 'pulse', 'package', 'Thousand', 'thousand', 'GB', 'MSH', 'leftover', 'quota', 'MB', ' Credit ',' The rest ',' ilang ',' Ouch ',' chaotic ',' please ',' fix ',' Gosha ', "]</v>
      </c>
      <c r="D2135" s="3">
        <v>2.0</v>
      </c>
    </row>
    <row r="2136" ht="15.75" customHeight="1">
      <c r="A2136" s="1">
        <v>2134.0</v>
      </c>
      <c r="B2136" s="3" t="s">
        <v>2137</v>
      </c>
      <c r="C2136" s="3" t="str">
        <f>IFERROR(__xludf.DUMMYFUNCTION("GOOGLETRANSLATE(B2136,""id"",""en"")"),"['Price', 'expensive', 'quota', 'standard', 'signal', 'stable', 'reasons',' template ',' beg ',' sorry ',' kak ',' repair ',' improvement ',' network ',' expensive ',' service ',' good ',' udh ',' expensive ',' TPI ',' service ',' zero ',' oiya ',' jgan '"&amp;",' obsessed ' , 'Network', 'standard', 'quality', 'frequency', 'admit', ""]")</f>
        <v>['Price', 'expensive', 'quota', 'standard', 'signal', 'stable', 'reasons',' template ',' beg ',' sorry ',' kak ',' repair ',' improvement ',' network ',' expensive ',' service ',' good ',' udh ',' expensive ',' TPI ',' service ',' zero ',' oiya ',' jgan ',' obsessed ' , 'Network', 'standard', 'quality', 'frequency', 'admit', "]</v>
      </c>
      <c r="D2136" s="3">
        <v>1.0</v>
      </c>
    </row>
    <row r="2137" ht="15.75" customHeight="1">
      <c r="A2137" s="1">
        <v>2135.0</v>
      </c>
      <c r="B2137" s="3" t="s">
        <v>2138</v>
      </c>
      <c r="C2137" s="3" t="str">
        <f>IFERROR(__xludf.DUMMYFUNCTION("GOOGLETRANSLATE(B2137,""id"",""en"")"),"['already', 'Telkomsel', 'network', 'standard', 'sometimes',' fast ',' sometimes', 'slow', 'times',' disappointed ',' point ',' point ',' The rest of ',' Points', 'Lost', 'Where', 'TimeTttt']")</f>
        <v>['already', 'Telkomsel', 'network', 'standard', 'sometimes',' fast ',' sometimes', 'slow', 'times',' disappointed ',' point ',' point ',' The rest of ',' Points', 'Lost', 'Where', 'TimeTttt']</v>
      </c>
      <c r="D2137" s="3">
        <v>1.0</v>
      </c>
    </row>
    <row r="2138" ht="15.75" customHeight="1">
      <c r="A2138" s="1">
        <v>2136.0</v>
      </c>
      <c r="B2138" s="3" t="s">
        <v>2139</v>
      </c>
      <c r="C2138" s="3" t="str">
        <f>IFERROR(__xludf.DUMMYFUNCTION("GOOGLETRANSLATE(B2138,""id"",""en"")"),"['extra', 'unlimited', 'missing', 'use', 'save', 'missing', 'that's',' like ',' sleep ',' already ',' buy ',' pulses', ' Confused ',' please ',' fixed ',' plis', 'really', 'save', 'wasteful', 'extra', 'unlimited', 'missing', ""]")</f>
        <v>['extra', 'unlimited', 'missing', 'use', 'save', 'missing', 'that's',' like ',' sleep ',' already ',' buy ',' pulses', ' Confused ',' please ',' fixed ',' plis', 'really', 'save', 'wasteful', 'extra', 'unlimited', 'missing', "]</v>
      </c>
      <c r="D2138" s="3">
        <v>1.0</v>
      </c>
    </row>
    <row r="2139" ht="15.75" customHeight="1">
      <c r="A2139" s="1">
        <v>2137.0</v>
      </c>
      <c r="B2139" s="3" t="s">
        <v>2140</v>
      </c>
      <c r="C2139" s="3" t="str">
        <f>IFERROR(__xludf.DUMMYFUNCTION("GOOGLETRANSLATE(B2139,""id"",""en"")"),"['oath', 'intent', 'Telkomsel', 'times',' pulse ',' suck ',' rb ',' right ',' fill ',' pulse ',' buy ',' quata ',' According to ',' cook ',' right ',' pulse ',' sms', 'trimah', 'love', 'andah', 'return', 'credit', 'emergency', 'rb', 'kpn' , 'Minjam', 'Sev"&amp;"ere', 'Telkomsel', 'Silent', 'Tipu', 'Jga', 'Application', 'Suck', 'Credit', 'Please', 'comen', 'Liad', ' Admin ',' Telkomsel ',' complaints', 'trimah']")</f>
        <v>['oath', 'intent', 'Telkomsel', 'times',' pulse ',' suck ',' rb ',' right ',' fill ',' pulse ',' buy ',' quata ',' According to ',' cook ',' right ',' pulse ',' sms', 'trimah', 'love', 'andah', 'return', 'credit', 'emergency', 'rb', 'kpn' , 'Minjam', 'Severe', 'Telkomsel', 'Silent', 'Tipu', 'Jga', 'Application', 'Suck', 'Credit', 'Please', 'comen', 'Liad', ' Admin ',' Telkomsel ',' complaints', 'trimah']</v>
      </c>
      <c r="D2139" s="3">
        <v>1.0</v>
      </c>
    </row>
    <row r="2140" ht="15.75" customHeight="1">
      <c r="A2140" s="1">
        <v>2138.0</v>
      </c>
      <c r="B2140" s="3" t="s">
        <v>2141</v>
      </c>
      <c r="C2140" s="3" t="str">
        <f>IFERROR(__xludf.DUMMYFUNCTION("GOOGLETRANSLATE(B2140,""id"",""en"")"),"['activation', 'package', 'pulse', 'truncated', 'package', 'active', 'data', 'transaction', 'the next', 'application', 'refresh', 'package', ' Activate ',' Lost ',' Data ',' Transaction ',' Lost ',' Credit ',' Out ',' Karna ',' Open ',' Telkomsel ',' Plea"&amp;"se ',' class', 'name' , 'Telkomsel', 'App', 'bug', 'detrimental', '']")</f>
        <v>['activation', 'package', 'pulse', 'truncated', 'package', 'active', 'data', 'transaction', 'the next', 'application', 'refresh', 'package', ' Activate ',' Lost ',' Data ',' Transaction ',' Lost ',' Credit ',' Out ',' Karna ',' Open ',' Telkomsel ',' Please ',' class', 'name' , 'Telkomsel', 'App', 'bug', 'detrimental', '']</v>
      </c>
      <c r="D2140" s="3">
        <v>3.0</v>
      </c>
    </row>
    <row r="2141" ht="15.75" customHeight="1">
      <c r="A2141" s="1">
        <v>2139.0</v>
      </c>
      <c r="B2141" s="3" t="s">
        <v>2142</v>
      </c>
      <c r="C2141" s="3" t="str">
        <f>IFERROR(__xludf.DUMMYFUNCTION("GOOGLETRANSLATE(B2141,""id"",""en"")"),"['super', 'slow', 'forgiveness',' quota ',' expensive ',' according to ',' network ',' guarantee ',' signal ',' clearsssss', 'super', 'slow', ' Hello ',' Telkomsel ',' really ',' signal ',' slow ',' Ampunnnnn ',' ']")</f>
        <v>['super', 'slow', 'forgiveness',' quota ',' expensive ',' according to ',' network ',' guarantee ',' signal ',' clearsssss', 'super', 'slow', ' Hello ',' Telkomsel ',' really ',' signal ',' slow ',' Ampunnnnn ',' ']</v>
      </c>
      <c r="D2141" s="3">
        <v>1.0</v>
      </c>
    </row>
    <row r="2142" ht="15.75" customHeight="1">
      <c r="A2142" s="1">
        <v>2140.0</v>
      </c>
      <c r="B2142" s="3" t="s">
        <v>2143</v>
      </c>
      <c r="C2142" s="3" t="str">
        <f>IFERROR(__xludf.DUMMYFUNCTION("GOOGLETRANSLATE(B2142,""id"",""en"")"),"['hope', 'card', 'first', 'Telkomsel', 'package', 'internet', 'cheap', 'dream', 'expensive', 'signal', 'ugly', ""]")</f>
        <v>['hope', 'card', 'first', 'Telkomsel', 'package', 'internet', 'cheap', 'dream', 'expensive', 'signal', 'ugly', "]</v>
      </c>
      <c r="D2142" s="3">
        <v>5.0</v>
      </c>
    </row>
    <row r="2143" ht="15.75" customHeight="1">
      <c r="A2143" s="1">
        <v>2141.0</v>
      </c>
      <c r="B2143" s="3" t="s">
        <v>2144</v>
      </c>
      <c r="C2143" s="3" t="str">
        <f>IFERROR(__xludf.DUMMYFUNCTION("GOOGLETRANSLATE(B2143,""id"",""en"")"),"['Knp', 'entry', 'already', 'update', 'enter', 'directly', 'tried', 'many', 'times',' trs', 'oath', 'ugly', ' Please 'repair']")</f>
        <v>['Knp', 'entry', 'already', 'update', 'enter', 'directly', 'tried', 'many', 'times',' trs', 'oath', 'ugly', ' Please 'repair']</v>
      </c>
      <c r="D2143" s="3">
        <v>2.0</v>
      </c>
    </row>
    <row r="2144" ht="15.75" customHeight="1">
      <c r="A2144" s="1">
        <v>2142.0</v>
      </c>
      <c r="B2144" s="3" t="s">
        <v>2145</v>
      </c>
      <c r="C2144" s="3" t="str">
        <f>IFERROR(__xludf.DUMMYFUNCTION("GOOGLETRANSLATE(B2144,""id"",""en"")"),"['Since', 'Entering', 'Network', 'Telkomsel', 'Severe', 'oath', 'annoyed', 'provider', 'honest', 'network', 'annoying', 'user', ' Android ',' ']")</f>
        <v>['Since', 'Entering', 'Network', 'Telkomsel', 'Severe', 'oath', 'annoyed', 'provider', 'honest', 'network', 'annoying', 'user', ' Android ',' ']</v>
      </c>
      <c r="D2144" s="3">
        <v>1.0</v>
      </c>
    </row>
    <row r="2145" ht="15.75" customHeight="1">
      <c r="A2145" s="1">
        <v>2143.0</v>
      </c>
      <c r="B2145" s="3" t="s">
        <v>2146</v>
      </c>
      <c r="C2145" s="3" t="str">
        <f>IFERROR(__xludf.DUMMYFUNCTION("GOOGLETRANSLATE(B2145,""id"",""en"")"),"['Mending', 'use', 'card', 'IM', 'Network', 'Good', 'Wear', 'Card', 'Telkomsel', 'Network', 'Cap', 'the widest', ' expensive ',' ugly network ',' ugly ',' moved ',' card ',' IM ',' signal ',' Telkomsel ',' ugly ',' play ',' game ',' application ',' Mutar "&amp;"' , 'Telkomsel', 'poor', 'era', 'network', 'widest']")</f>
        <v>['Mending', 'use', 'card', 'IM', 'Network', 'Good', 'Wear', 'Card', 'Telkomsel', 'Network', 'Cap', 'the widest', ' expensive ',' ugly network ',' ugly ',' moved ',' card ',' IM ',' signal ',' Telkomsel ',' ugly ',' play ',' game ',' application ',' Mutar ' , 'Telkomsel', 'poor', 'era', 'network', 'widest']</v>
      </c>
      <c r="D2145" s="3">
        <v>1.0</v>
      </c>
    </row>
    <row r="2146" ht="15.75" customHeight="1">
      <c r="A2146" s="1">
        <v>2144.0</v>
      </c>
      <c r="B2146" s="3" t="s">
        <v>2147</v>
      </c>
      <c r="C2146" s="3" t="str">
        <f>IFERROR(__xludf.DUMMYFUNCTION("GOOGLETRANSLATE(B2146,""id"",""en"")"),"['Telkomsel', 'network', 'potatoes',' network ',' good ',' disappointing ',' clay ',' twigs', 'MyTelkomsel', 'Play', 'Store', 'star', ' Bingtang ',' Disappointed ',' Telkomsel ',' fix ',' network ',' Support ',' Customer ', ""]")</f>
        <v>['Telkomsel', 'network', 'potatoes',' network ',' good ',' disappointing ',' clay ',' twigs', 'MyTelkomsel', 'Play', 'Store', 'star', ' Bingtang ',' Disappointed ',' Telkomsel ',' fix ',' network ',' Support ',' Customer ', "]</v>
      </c>
      <c r="D2146" s="3">
        <v>1.0</v>
      </c>
    </row>
    <row r="2147" ht="15.75" customHeight="1">
      <c r="A2147" s="1">
        <v>2145.0</v>
      </c>
      <c r="B2147" s="3" t="s">
        <v>2148</v>
      </c>
      <c r="C2147" s="3" t="str">
        <f>IFERROR(__xludf.DUMMYFUNCTION("GOOGLETRANSLATE(B2147,""id"",""en"")"),"['price', 'package', 'expensive', 'network', 'kenceng', 'severe', 'internet', 'smooth', 'clock', 'the rest', 'buffering', 'doang', ' Please ',' Seltekomsell ',' Ngecewain ',' Customer ']")</f>
        <v>['price', 'package', 'expensive', 'network', 'kenceng', 'severe', 'internet', 'smooth', 'clock', 'the rest', 'buffering', 'doang', ' Please ',' Seltekomsell ',' Ngecewain ',' Customer ']</v>
      </c>
      <c r="D2147" s="3">
        <v>1.0</v>
      </c>
    </row>
    <row r="2148" ht="15.75" customHeight="1">
      <c r="A2148" s="1">
        <v>2146.0</v>
      </c>
      <c r="B2148" s="3" t="s">
        <v>2149</v>
      </c>
      <c r="C2148" s="3" t="str">
        <f>IFERROR(__xludf.DUMMYFUNCTION("GOOGLETRANSLATE(B2148,""id"",""en"")"),"['Care', 'cave', 'combo', 'Sakti', 'Kek', 'combo', 'shaman', 'kek', 'network', 'gapernah', 'stable', 'pakek', ' play ',' game ',' oath ',' indoor ',' pakek ',' rich ',' dlu ',' stability ',' severe ',' tri ',' rain ',' lost ',' tsel ' , 'tri', 'good', 'se"&amp;"vere', 'tri']")</f>
        <v>['Care', 'cave', 'combo', 'Sakti', 'Kek', 'combo', 'shaman', 'kek', 'network', 'gapernah', 'stable', 'pakek', ' play ',' game ',' oath ',' indoor ',' pakek ',' rich ',' dlu ',' stability ',' severe ',' tri ',' rain ',' lost ',' tsel ' , 'tri', 'good', 'severe', 'tri']</v>
      </c>
      <c r="D2148" s="3">
        <v>1.0</v>
      </c>
    </row>
    <row r="2149" ht="15.75" customHeight="1">
      <c r="A2149" s="1">
        <v>2147.0</v>
      </c>
      <c r="B2149" s="3" t="s">
        <v>2150</v>
      </c>
      <c r="C2149" s="3" t="str">
        <f>IFERROR(__xludf.DUMMYFUNCTION("GOOGLETRANSLATE(B2149,""id"",""en"")"),"['', 'migration', 'card', 'Hello', 'disappointing', 'quota', 'internet', 'msh', 'byk', 'dpakai', 'limit', 'use', 'increases ',' BYK ',' Mubazir ',' Tel ',' SMS ',' KPAKE ',' Prepaid ',' GMN ', ""]")</f>
        <v>['', 'migration', 'card', 'Hello', 'disappointing', 'quota', 'internet', 'msh', 'byk', 'dpakai', 'limit', 'use', 'increases ',' BYK ',' Mubazir ',' Tel ',' SMS ',' KPAKE ',' Prepaid ',' GMN ', "]</v>
      </c>
      <c r="D2149" s="3">
        <v>1.0</v>
      </c>
    </row>
    <row r="2150" ht="15.75" customHeight="1">
      <c r="A2150" s="1">
        <v>2148.0</v>
      </c>
      <c r="B2150" s="3" t="s">
        <v>2151</v>
      </c>
      <c r="C2150" s="3" t="str">
        <f>IFERROR(__xludf.DUMMYFUNCTION("GOOGLETRANSLATE(B2150,""id"",""en"")"),"['Officer', 'Telkomsel', 'Please', 'Definition', 'Signal', 'Province', 'Kalimantan', 'South', 'Kab', 'City', 'Kec', 'Island', ' sea ​​',' south ',' Tanjung ',' Seloka ',' morning ',' afternoon ',' network ',' slow ',' night ',' smooth ',' night ',' please"&amp;" ',' fix ' , 'System', 'Network', 'Tower', 'Region', 'Wrong', 'Please', 'Sorry']")</f>
        <v>['Officer', 'Telkomsel', 'Please', 'Definition', 'Signal', 'Province', 'Kalimantan', 'South', 'Kab', 'City', 'Kec', 'Island', ' sea ​​',' south ',' Tanjung ',' Seloka ',' morning ',' afternoon ',' network ',' slow ',' night ',' smooth ',' night ',' please ',' fix ' , 'System', 'Network', 'Tower', 'Region', 'Wrong', 'Please', 'Sorry']</v>
      </c>
      <c r="D2150" s="3">
        <v>1.0</v>
      </c>
    </row>
    <row r="2151" ht="15.75" customHeight="1">
      <c r="A2151" s="1">
        <v>2149.0</v>
      </c>
      <c r="B2151" s="3" t="s">
        <v>2152</v>
      </c>
      <c r="C2151" s="3" t="str">
        <f>IFERROR(__xludf.DUMMYFUNCTION("GOOGLETRANSLATE(B2151,""id"",""en"")"),"['Telkomsel', 'APK', 'opened', 'already', 'network', 'smooth', 'stay', 'APK', 'opened', 'please', 'fast', 'repaired', ' Buy ',' Package ',' APK ',' Telkomsel ',' already ',' repaired ',' love ',' star ', ""]")</f>
        <v>['Telkomsel', 'APK', 'opened', 'already', 'network', 'smooth', 'stay', 'APK', 'opened', 'please', 'fast', 'repaired', ' Buy ',' Package ',' APK ',' Telkomsel ',' already ',' repaired ',' love ',' star ', "]</v>
      </c>
      <c r="D2151" s="3">
        <v>3.0</v>
      </c>
    </row>
    <row r="2152" ht="15.75" customHeight="1">
      <c r="A2152" s="1">
        <v>2150.0</v>
      </c>
      <c r="B2152" s="3" t="s">
        <v>2153</v>
      </c>
      <c r="C2152" s="3" t="str">
        <f>IFERROR(__xludf.DUMMYFUNCTION("GOOGLETRANSLATE(B2152,""id"",""en"")"),"['Please', 'Telkomsel', 'Telkomsel', 'Network', 'slow', 'software', 'Ketulungan', 'Position', 'Tower', 'Telkomsel', 'Display', 'Call', ' Related ',' sampek ',' bored ', ""]")</f>
        <v>['Please', 'Telkomsel', 'Telkomsel', 'Network', 'slow', 'software', 'Ketulungan', 'Position', 'Tower', 'Telkomsel', 'Display', 'Call', ' Related ',' sampek ',' bored ', "]</v>
      </c>
      <c r="D2152" s="3">
        <v>1.0</v>
      </c>
    </row>
    <row r="2153" ht="15.75" customHeight="1">
      <c r="A2153" s="1">
        <v>2151.0</v>
      </c>
      <c r="B2153" s="3" t="s">
        <v>2154</v>
      </c>
      <c r="C2153" s="3" t="str">
        <f>IFERROR(__xludf.DUMMYFUNCTION("GOOGLETRANSLATE(B2153,""id"",""en"")"),"['Telkomsel', 'Lock', 'Lock', 'Credit', 'No', 'avoid', 'use', 'pulse', 'access',' internet ',' kmrn ',' already ',' Buy ',' Package ',' Internet ',' Credit ',' Remnant ',' RBAN ',' SMS ',' Info ',' KLW ',' Credit ',' Access', 'Internet', 'Suggested' , 'We"&amp;"ar', 'package', 'emergency', 'paid', 'fit', 'checked', 'package', 'internet', 'quota', 'GB', 'right', 'check', ' usage ',' pulse ',' kepakai ',' access', 'internet', 'situ', 'company', 'thief', 'smpai', 'employee', 'mkn', 'salary', 'haram' ]")</f>
        <v>['Telkomsel', 'Lock', 'Lock', 'Credit', 'No', 'avoid', 'use', 'pulse', 'access',' internet ',' kmrn ',' already ',' Buy ',' Package ',' Internet ',' Credit ',' Remnant ',' RBAN ',' SMS ',' Info ',' KLW ',' Credit ',' Access', 'Internet', 'Suggested' , 'Wear', 'package', 'emergency', 'paid', 'fit', 'checked', 'package', 'internet', 'quota', 'GB', 'right', 'check', ' usage ',' pulse ',' kepakai ',' access', 'internet', 'situ', 'company', 'thief', 'smpai', 'employee', 'mkn', 'salary', 'haram' ]</v>
      </c>
      <c r="D2153" s="3">
        <v>1.0</v>
      </c>
    </row>
    <row r="2154" ht="15.75" customHeight="1">
      <c r="A2154" s="1">
        <v>2152.0</v>
      </c>
      <c r="B2154" s="3" t="s">
        <v>2155</v>
      </c>
      <c r="C2154" s="3" t="str">
        <f>IFERROR(__xludf.DUMMYFUNCTION("GOOGLETRANSLATE(B2154,""id"",""en"")"),"['check', 'quota', 'failed', 'taik', 'dileding', 'offer', 'nge', 'internet', 'letoy', 'pliss',' Lahh ',' check ',' quota ',' difficult ',' njink ']")</f>
        <v>['check', 'quota', 'failed', 'taik', 'dileding', 'offer', 'nge', 'internet', 'letoy', 'pliss',' Lahh ',' check ',' quota ',' difficult ',' njink ']</v>
      </c>
      <c r="D2154" s="3">
        <v>1.0</v>
      </c>
    </row>
    <row r="2155" ht="15.75" customHeight="1">
      <c r="A2155" s="1">
        <v>2153.0</v>
      </c>
      <c r="B2155" s="3" t="s">
        <v>2156</v>
      </c>
      <c r="C2155" s="3" t="str">
        <f>IFERROR(__xludf.DUMMYFUNCTION("GOOGLETRANSLATE(B2155,""id"",""en"")"),"['network', 'strong', 'urban', 'cook', 'signal', 'inland', 'secondly', 'use', 'simcard', 'Telkomsel', 'disappointed', 'network', ' Internet ',' Telkomsel ',' Network ',' Internet ',' Telkomsel ',' Disappointing ',' Down ',' ']")</f>
        <v>['network', 'strong', 'urban', 'cook', 'signal', 'inland', 'secondly', 'use', 'simcard', 'Telkomsel', 'disappointed', 'network', ' Internet ',' Telkomsel ',' Network ',' Internet ',' Telkomsel ',' Disappointing ',' Down ',' ']</v>
      </c>
      <c r="D2155" s="3">
        <v>2.0</v>
      </c>
    </row>
    <row r="2156" ht="15.75" customHeight="1">
      <c r="A2156" s="1">
        <v>2154.0</v>
      </c>
      <c r="B2156" s="3" t="s">
        <v>2157</v>
      </c>
      <c r="C2156" s="3" t="str">
        <f>IFERROR(__xludf.DUMMYFUNCTION("GOOGLETRANSLATE(B2156,""id"",""en"")"),"['rotten', 'bbed', 'signal', 'open', 'application', 'mytelkomsel', 'slow', 'forgiveness',' pdhal ',' above ',' network ',' slow ',' Telkomsel ',' Win ',' expensive ',' Doank ', ""]")</f>
        <v>['rotten', 'bbed', 'signal', 'open', 'application', 'mytelkomsel', 'slow', 'forgiveness',' pdhal ',' above ',' network ',' slow ',' Telkomsel ',' Win ',' expensive ',' Doank ', "]</v>
      </c>
      <c r="D2156" s="3">
        <v>1.0</v>
      </c>
    </row>
    <row r="2157" ht="15.75" customHeight="1">
      <c r="A2157" s="1">
        <v>2155.0</v>
      </c>
      <c r="B2157" s="3" t="s">
        <v>2158</v>
      </c>
      <c r="C2157" s="3" t="str">
        <f>IFERROR(__xludf.DUMMYFUNCTION("GOOGLETRANSLATE(B2157,""id"",""en"")"),"['Network', 'internet', 'reach', 'Islands',' masalcembu ',' kab ',' Sumenep ',' East Java ',' government ',' press', 'education', 'walk', ' Pandemic ',' Via ',' Online ',' Online ',' Leader ',' Telkomsel ',' Please ',' Enhanced ',' Quality ',' Signal ',' "&amp;"Internet ',' Indonesia ', ""]")</f>
        <v>['Network', 'internet', 'reach', 'Islands',' masalcembu ',' kab ',' Sumenep ',' East Java ',' government ',' press', 'education', 'walk', ' Pandemic ',' Via ',' Online ',' Online ',' Leader ',' Telkomsel ',' Please ',' Enhanced ',' Quality ',' Signal ',' Internet ',' Indonesia ', "]</v>
      </c>
      <c r="D2157" s="3">
        <v>3.0</v>
      </c>
    </row>
    <row r="2158" ht="15.75" customHeight="1">
      <c r="A2158" s="1">
        <v>2156.0</v>
      </c>
      <c r="B2158" s="3" t="s">
        <v>2159</v>
      </c>
      <c r="C2158" s="3" t="str">
        <f>IFERROR(__xludf.DUMMYFUNCTION("GOOGLETRANSLATE(B2158,""id"",""en"")"),"['', 'contents',' credit ',' Labgsung ',' blocked ',' Telkomsel ',' forced ',' really ',' contents', 'pulse', 'contents',' teronahhh ',' the culminationnnnn ',' ']")</f>
        <v>['', 'contents',' credit ',' Labgsung ',' blocked ',' Telkomsel ',' forced ',' really ',' contents', 'pulse', 'contents',' teronahhh ',' the culminationnnnn ',' ']</v>
      </c>
      <c r="D2158" s="3">
        <v>2.0</v>
      </c>
    </row>
    <row r="2159" ht="15.75" customHeight="1">
      <c r="A2159" s="1">
        <v>2157.0</v>
      </c>
      <c r="B2159" s="3" t="s">
        <v>2160</v>
      </c>
      <c r="C2159" s="3" t="str">
        <f>IFERROR(__xludf.DUMMYFUNCTION("GOOGLETRANSLATE(B2159,""id"",""en"")"),"['Gunain', 'Card', 'Telkomsel', 'Please', 'Sorry', 'Network', 'Constraints',' Main ',' Lemot ',' Please ',' Fix ',' Accept ',' Love ',' Telkomsel ',' Moga ',' Acc ']")</f>
        <v>['Gunain', 'Card', 'Telkomsel', 'Please', 'Sorry', 'Network', 'Constraints',' Main ',' Lemot ',' Please ',' Fix ',' Accept ',' Love ',' Telkomsel ',' Moga ',' Acc ']</v>
      </c>
      <c r="D2159" s="3">
        <v>3.0</v>
      </c>
    </row>
    <row r="2160" ht="15.75" customHeight="1">
      <c r="A2160" s="1">
        <v>2158.0</v>
      </c>
      <c r="B2160" s="3" t="s">
        <v>2161</v>
      </c>
      <c r="C2160" s="3" t="str">
        <f>IFERROR(__xludf.DUMMYFUNCTION("GOOGLETRANSLATE(B2160,""id"",""en"")"),"['Telkomsel', 'stingy', 'yes',' dialy ',' login ',' missing ',' right ',' can ',' package ',' Telkomsel ',' Please ',' return ',' pulses', 'take', 'package', 'emergency', 'contents',' pulse ',' mal ',' sumps', 'please', 'return', 'pulse', 'Telkomsel', ""]")</f>
        <v>['Telkomsel', 'stingy', 'yes',' dialy ',' login ',' missing ',' right ',' can ',' package ',' Telkomsel ',' Please ',' return ',' pulses', 'take', 'package', 'emergency', 'contents',' pulse ',' mal ',' sumps', 'please', 'return', 'pulse', 'Telkomsel', "]</v>
      </c>
      <c r="D2160" s="3">
        <v>1.0</v>
      </c>
    </row>
    <row r="2161" ht="15.75" customHeight="1">
      <c r="A2161" s="1">
        <v>2159.0</v>
      </c>
      <c r="B2161" s="3" t="s">
        <v>2162</v>
      </c>
      <c r="C2161" s="3" t="str">
        <f>IFERROR(__xludf.DUMMYFUNCTION("GOOGLETRANSLATE(B2161,""id"",""en"")"),"['network', 'super', 'slow', 'above it', 'super', 'ugly', 'network', 'Telkomsel', 'for days',' good ',' replace ',' operator ',' pretty good', '']")</f>
        <v>['network', 'super', 'slow', 'above it', 'super', 'ugly', 'network', 'Telkomsel', 'for days',' good ',' replace ',' operator ',' pretty good', '']</v>
      </c>
      <c r="D2161" s="3">
        <v>1.0</v>
      </c>
    </row>
    <row r="2162" ht="15.75" customHeight="1">
      <c r="A2162" s="1">
        <v>2160.0</v>
      </c>
      <c r="B2162" s="3" t="s">
        <v>2163</v>
      </c>
      <c r="C2162" s="3" t="str">
        <f>IFERROR(__xludf.DUMMYFUNCTION("GOOGLETRANSLATE(B2162,""id"",""en"")"),"['signal', 'please', 'Increase', 'promo', 'doang', 'gorge', 'gorgeous',' customer ',' complains', 'bot', 'told', 'bales',' Employees', 'Telkomsel', 'Delegated', 'Bot', '']")</f>
        <v>['signal', 'please', 'Increase', 'promo', 'doang', 'gorge', 'gorgeous',' customer ',' complains', 'bot', 'told', 'bales',' Employees', 'Telkomsel', 'Delegated', 'Bot', '']</v>
      </c>
      <c r="D2162" s="3">
        <v>1.0</v>
      </c>
    </row>
    <row r="2163" ht="15.75" customHeight="1">
      <c r="A2163" s="1">
        <v>2161.0</v>
      </c>
      <c r="B2163" s="3" t="s">
        <v>2164</v>
      </c>
      <c r="C2163" s="3" t="str">
        <f>IFERROR(__xludf.DUMMYFUNCTION("GOOGLETRANSLATE(B2163,""id"",""en"")"),"['person', 'counter', 'card', 'prime', 'buy', 'special', 'territory', 'Jabodetabek', 'signal', 'internet', 'rich', 'mountain', ' ']")</f>
        <v>['person', 'counter', 'card', 'prime', 'buy', 'special', 'territory', 'Jabodetabek', 'signal', 'internet', 'rich', 'mountain', ' ']</v>
      </c>
      <c r="D2163" s="3">
        <v>1.0</v>
      </c>
    </row>
    <row r="2164" ht="15.75" customHeight="1">
      <c r="A2164" s="1">
        <v>2162.0</v>
      </c>
      <c r="B2164" s="3" t="s">
        <v>2165</v>
      </c>
      <c r="C2164" s="3" t="str">
        <f>IFERROR(__xludf.DUMMYFUNCTION("GOOGLETRANSLATE(B2164,""id"",""en"")"),"['price', 'package', 'expensive', 'according to', 'network', 'good', 'price', 'mahalin', 'internet', 'stable', 'ping', 'area', ' Tangerang ',' Severe ',' Enter ',' City ',' ']")</f>
        <v>['price', 'package', 'expensive', 'according to', 'network', 'good', 'price', 'mahalin', 'internet', 'stable', 'ping', 'area', ' Tangerang ',' Severe ',' Enter ',' City ',' ']</v>
      </c>
      <c r="D2164" s="3">
        <v>1.0</v>
      </c>
    </row>
    <row r="2165" ht="15.75" customHeight="1">
      <c r="A2165" s="1">
        <v>2163.0</v>
      </c>
      <c r="B2165" s="3" t="s">
        <v>2166</v>
      </c>
      <c r="C2165" s="3" t="str">
        <f>IFERROR(__xludf.DUMMYFUNCTION("GOOGLETRANSLATE(B2165,""id"",""en"")"),"['Ntah', 'knp', 'signal', 'Telkomsel', 'bad', 'date', 'December', 'signal', 'destroyed', 'sgt', 'annoying', 'communication', ' business', 'buy', 'package', 'data', 'expensive', 'wasted', 'vain', 'vain', 'email', 'telkomsel', 'tlg', 'responded', 'complaint"&amp;"' , 'signal', 'Telkomsel', 'Msh', 'destroyed', 'SPRTI', 'Moving', 'Provider', 'Krna', 'Telkomsel', 'Worth', ""]")</f>
        <v>['Ntah', 'knp', 'signal', 'Telkomsel', 'bad', 'date', 'December', 'signal', 'destroyed', 'sgt', 'annoying', 'communication', ' business', 'buy', 'package', 'data', 'expensive', 'wasted', 'vain', 'vain', 'email', 'telkomsel', 'tlg', 'responded', 'complaint' , 'signal', 'Telkomsel', 'Msh', 'destroyed', 'SPRTI', 'Moving', 'Provider', 'Krna', 'Telkomsel', 'Worth', "]</v>
      </c>
      <c r="D2165" s="3">
        <v>1.0</v>
      </c>
    </row>
    <row r="2166" ht="15.75" customHeight="1">
      <c r="A2166" s="1">
        <v>2164.0</v>
      </c>
      <c r="B2166" s="3" t="s">
        <v>2167</v>
      </c>
      <c r="C2166" s="3" t="str">
        <f>IFERROR(__xludf.DUMMYFUNCTION("GOOGLETRANSLATE(B2166,""id"",""en"")"),"['package', 'expensive', 'network', 'slow', 'loss',' already ',' era ',' network ',' rich ',' gni ',' it seems', 'replace', ' SIM ',' Cread ',' GB ',' Not bad ',' Network ',' Good ',' Help ',' Liat ',' Bintang ',' BRBACTURE ']")</f>
        <v>['package', 'expensive', 'network', 'slow', 'loss',' already ',' era ',' network ',' rich ',' gni ',' it seems', 'replace', ' SIM ',' Cread ',' GB ',' Not bad ',' Network ',' Good ',' Help ',' Liat ',' Bintang ',' BRBACTURE ']</v>
      </c>
      <c r="D2166" s="3">
        <v>1.0</v>
      </c>
    </row>
    <row r="2167" ht="15.75" customHeight="1">
      <c r="A2167" s="1">
        <v>2165.0</v>
      </c>
      <c r="B2167" s="3" t="s">
        <v>2168</v>
      </c>
      <c r="C2167" s="3" t="str">
        <f>IFERROR(__xludf.DUMMYFUNCTION("GOOGLETRANSLATE(B2167,""id"",""en"")"),"['bad', 'buy', 'quota', 'expensive', 'signal', 'uda', 'uda', 'a month', 'switch', 'regret', 'play', 'game', ' signal ',' zero ',' turn ',' signal ',' solution ',' donk ',' min ',' ']")</f>
        <v>['bad', 'buy', 'quota', 'expensive', 'signal', 'uda', 'uda', 'a month', 'switch', 'regret', 'play', 'game', ' signal ',' zero ',' turn ',' signal ',' solution ',' donk ',' min ',' ']</v>
      </c>
      <c r="D2167" s="3">
        <v>1.0</v>
      </c>
    </row>
    <row r="2168" ht="15.75" customHeight="1">
      <c r="A2168" s="1">
        <v>2166.0</v>
      </c>
      <c r="B2168" s="3" t="s">
        <v>2169</v>
      </c>
      <c r="C2168" s="3" t="str">
        <f>IFERROR(__xludf.DUMMYFUNCTION("GOOGLETRANSLATE(B2168,""id"",""en"")"),"['thank', 'love', 'Telkomsel', 'already', 'accompany', 'network', 'slow', 'pandemic', 'search', 'money', 'difficult', 'package', ' Data ',' promo ',' ']")</f>
        <v>['thank', 'love', 'Telkomsel', 'already', 'accompany', 'network', 'slow', 'pandemic', 'search', 'money', 'difficult', 'package', ' Data ',' promo ',' ']</v>
      </c>
      <c r="D2168" s="3">
        <v>2.0</v>
      </c>
    </row>
    <row r="2169" ht="15.75" customHeight="1">
      <c r="A2169" s="1">
        <v>2167.0</v>
      </c>
      <c r="B2169" s="3" t="s">
        <v>2170</v>
      </c>
      <c r="C2169" s="3" t="str">
        <f>IFERROR(__xludf.DUMMYFUNCTION("GOOGLETRANSLATE(B2169,""id"",""en"")"),"['Signal', 'Severe', 'Tanggerang', 'Allah', 'Difficult', 'Internet', 'Main', 'Games',' Loading ',' Expensive ',' Doang ',' Paketan ',' Change ',' card ',' already ',' Telkomsel ',' Lahh ', ""]")</f>
        <v>['Signal', 'Severe', 'Tanggerang', 'Allah', 'Difficult', 'Internet', 'Main', 'Games',' Loading ',' Expensive ',' Doang ',' Paketan ',' Change ',' card ',' already ',' Telkomsel ',' Lahh ', "]</v>
      </c>
      <c r="D2169" s="3">
        <v>1.0</v>
      </c>
    </row>
    <row r="2170" ht="15.75" customHeight="1">
      <c r="A2170" s="1">
        <v>2168.0</v>
      </c>
      <c r="B2170" s="3" t="s">
        <v>2171</v>
      </c>
      <c r="C2170" s="3" t="str">
        <f>IFERROR(__xludf.DUMMYFUNCTION("GOOGLETRANSLATE(B2170,""id"",""en"")"),"['promotion', 'purchase', 'given', 'limited', 'features', 'pulses', 'sumps', 'shortcomings', 'signal', 'good']")</f>
        <v>['promotion', 'purchase', 'given', 'limited', 'features', 'pulses', 'sumps', 'shortcomings', 'signal', 'good']</v>
      </c>
      <c r="D2170" s="3">
        <v>3.0</v>
      </c>
    </row>
    <row r="2171" ht="15.75" customHeight="1">
      <c r="A2171" s="1">
        <v>2169.0</v>
      </c>
      <c r="B2171" s="3" t="s">
        <v>2172</v>
      </c>
      <c r="C2171" s="3" t="str">
        <f>IFERROR(__xludf.DUMMYFUNCTION("GOOGLETRANSLATE(B2171,""id"",""en"")"),"['Ngga', 'APK', 'Good', 'No "",' Blum ',' Cobain ',' Dowloand ',' then ',' just ',' star ',' APK ',' Good ',' Add it ',' star ',' ']")</f>
        <v>['Ngga', 'APK', 'Good', 'No ",' Blum ',' Cobain ',' Dowloand ',' then ',' just ',' star ',' APK ',' Good ',' Add it ',' star ',' ']</v>
      </c>
      <c r="D2171" s="3">
        <v>1.0</v>
      </c>
    </row>
    <row r="2172" ht="15.75" customHeight="1">
      <c r="A2172" s="1">
        <v>2170.0</v>
      </c>
      <c r="B2172" s="3" t="s">
        <v>2173</v>
      </c>
      <c r="C2172" s="3" t="str">
        <f>IFERROR(__xludf.DUMMYFUNCTION("GOOGLETRANSLATE(B2172,""id"",""en"")"),"['application', 'Telkomsel', 'disorder', 'gatau', 'Telkomsel', 'network', 'rich', 'card', 'friendly', 'really', 'get', 'difficult', ' Pay ',' Paketan ',' Expensive ',' Gabisa ',' Connect ',' ']")</f>
        <v>['application', 'Telkomsel', 'disorder', 'gatau', 'Telkomsel', 'network', 'rich', 'card', 'friendly', 'really', 'get', 'difficult', ' Pay ',' Paketan ',' Expensive ',' Gabisa ',' Connect ',' ']</v>
      </c>
      <c r="D2172" s="3">
        <v>1.0</v>
      </c>
    </row>
    <row r="2173" ht="15.75" customHeight="1">
      <c r="A2173" s="1">
        <v>2171.0</v>
      </c>
      <c r="B2173" s="3" t="s">
        <v>2174</v>
      </c>
      <c r="C2173" s="3" t="str">
        <f>IFERROR(__xludf.DUMMYFUNCTION("GOOGLETRANSLATE(B2173,""id"",""en"")"),"['Severe', 'Support', 'Signal', 'Mulu', 'Restore', 'Signal', 'Package', 'GameSmax', 'Game', 'Enter', 'Gamenya', 'Lazy' Pakek ',' Telkomsel ',' Signal ',' Kayak ',' Gini ']")</f>
        <v>['Severe', 'Support', 'Signal', 'Mulu', 'Restore', 'Signal', 'Package', 'GameSmax', 'Game', 'Enter', 'Gamenya', 'Lazy' Pakek ',' Telkomsel ',' Signal ',' Kayak ',' Gini ']</v>
      </c>
      <c r="D2173" s="3">
        <v>1.0</v>
      </c>
    </row>
    <row r="2174" ht="15.75" customHeight="1">
      <c r="A2174" s="1">
        <v>2172.0</v>
      </c>
      <c r="B2174" s="3" t="s">
        <v>2175</v>
      </c>
      <c r="C2174" s="3" t="str">
        <f>IFERROR(__xludf.DUMMYFUNCTION("GOOGLETRANSLATE(B2174,""id"",""en"")"),"['BANGJE', 'Telkomsel', 'poor', 'Uda', 'contents',' pulse ',' tuk ',' exchange ',' promo ',' unlimited ',' ehh ',' pulza ',' Cutting ',' Ngga ',' Activate ',' Data ',' Whatever ',' WiFi ',' Tuk ',' Activate ',' Promo ',' Cutting ',' Costs', 'Transaction',"&amp;" 'Anjayyyyy' , 'work', 'honest', 'love', 'explanation', 'truncated', ""]")</f>
        <v>['BANGJE', 'Telkomsel', 'poor', 'Uda', 'contents',' pulse ',' tuk ',' exchange ',' promo ',' unlimited ',' ehh ',' pulza ',' Cutting ',' Ngga ',' Activate ',' Data ',' Whatever ',' WiFi ',' Tuk ',' Activate ',' Promo ',' Cutting ',' Costs', 'Transaction', 'Anjayyyyy' , 'work', 'honest', 'love', 'explanation', 'truncated', "]</v>
      </c>
      <c r="D2174" s="3">
        <v>1.0</v>
      </c>
    </row>
    <row r="2175" ht="15.75" customHeight="1">
      <c r="A2175" s="1">
        <v>2173.0</v>
      </c>
      <c r="B2175" s="3" t="s">
        <v>2176</v>
      </c>
      <c r="C2175" s="3" t="str">
        <f>IFERROR(__xludf.DUMMYFUNCTION("GOOGLETRANSLATE(B2175,""id"",""en"")"),"['package', 'unlimited', 'play', 'pub', 'quota', 'gemya', 'play', 'doang', 'play', 'pub', 'please', 'repair', ' Love ',' Bintang ',' Thank you ']")</f>
        <v>['package', 'unlimited', 'play', 'pub', 'quota', 'gemya', 'play', 'doang', 'play', 'pub', 'please', 'repair', ' Love ',' Bintang ',' Thank you ']</v>
      </c>
      <c r="D2175" s="3">
        <v>1.0</v>
      </c>
    </row>
    <row r="2176" ht="15.75" customHeight="1">
      <c r="A2176" s="1">
        <v>2174.0</v>
      </c>
      <c r="B2176" s="3" t="s">
        <v>2177</v>
      </c>
      <c r="C2176" s="3" t="str">
        <f>IFERROR(__xludf.DUMMYFUNCTION("GOOGLETRANSLATE(B2176,""id"",""en"")"),"['application', 'Telkomsel', 'good', 'offer', 'price', 'cheap', 'package', 'internet', 'increase', 'network', 'access',' internet ',' people ',' use ',' application ',' complain ',' trmks', '']")</f>
        <v>['application', 'Telkomsel', 'good', 'offer', 'price', 'cheap', 'package', 'internet', 'increase', 'network', 'access',' internet ',' people ',' use ',' application ',' complain ',' trmks', '']</v>
      </c>
      <c r="D2176" s="3">
        <v>4.0</v>
      </c>
    </row>
    <row r="2177" ht="15.75" customHeight="1">
      <c r="A2177" s="1">
        <v>2175.0</v>
      </c>
      <c r="B2177" s="3" t="s">
        <v>2178</v>
      </c>
      <c r="C2177" s="3" t="str">
        <f>IFERROR(__xludf.DUMMYFUNCTION("GOOGLETRANSLATE(B2177,""id"",""en"")"),"['application', 'good', 'recommendation', 'love', 'rating', 'rendang', 'signal', 'ugly', 'please', 'idiot', 'signal', 'ugly', ' Complaints', 'Telkomsel', 'Network', 'App', 'Maki', 'Maki', 'Connect', 'Cuk']")</f>
        <v>['application', 'good', 'recommendation', 'love', 'rating', 'rendang', 'signal', 'ugly', 'please', 'idiot', 'signal', 'ugly', ' Complaints', 'Telkomsel', 'Network', 'App', 'Maki', 'Maki', 'Connect', 'Cuk']</v>
      </c>
      <c r="D2177" s="3">
        <v>5.0</v>
      </c>
    </row>
    <row r="2178" ht="15.75" customHeight="1">
      <c r="A2178" s="1">
        <v>2176.0</v>
      </c>
      <c r="B2178" s="3" t="s">
        <v>2179</v>
      </c>
      <c r="C2178" s="3" t="str">
        <f>IFERROR(__xludf.DUMMYFUNCTION("GOOGLETRANSLATE(B2178,""id"",""en"")"),"['Telkomsel', 'boong', 'yes', 'yes', 'yes', 'yes', 'telkomsel', 'buy', 'diamond', 'hahai']")</f>
        <v>['Telkomsel', 'boong', 'yes', 'yes', 'yes', 'yes', 'telkomsel', 'buy', 'diamond', 'hahai']</v>
      </c>
      <c r="D2178" s="3">
        <v>5.0</v>
      </c>
    </row>
    <row r="2179" ht="15.75" customHeight="1">
      <c r="A2179" s="1">
        <v>2177.0</v>
      </c>
      <c r="B2179" s="3" t="s">
        <v>2180</v>
      </c>
      <c r="C2179" s="3" t="str">
        <f>IFERROR(__xludf.DUMMYFUNCTION("GOOGLETRANSLATE(B2179,""id"",""en"")"),"['Aduhhh', 'Telkomsel', 'signal', 'no', 'stable', 'no', 'like', 'no', 'stable', 'please', 'Telkomsel', 'fix', ' Sousal ',' ']")</f>
        <v>['Aduhhh', 'Telkomsel', 'signal', 'no', 'stable', 'no', 'like', 'no', 'stable', 'please', 'Telkomsel', 'fix', ' Sousal ',' ']</v>
      </c>
      <c r="D2179" s="3">
        <v>1.0</v>
      </c>
    </row>
    <row r="2180" ht="15.75" customHeight="1">
      <c r="A2180" s="1">
        <v>2178.0</v>
      </c>
      <c r="B2180" s="3" t="s">
        <v>2181</v>
      </c>
      <c r="C2180" s="3" t="str">
        <f>IFERROR(__xludf.DUMMYFUNCTION("GOOGLETRANSLATE(B2180,""id"",""en"")"),"['Please', 'Collapin', 'Price', 'Quota', 'Internet', 'Weekly', 'Telkomsel', 'Karna', 'Pandemic', 'Nyari', 'Money', 'Difficult', ' Please, 'quota', 'internet cafe', 'clock', 'makes it easy', 'please', 'feature', 'key', 'pulse', 'left', 'application', 'used"&amp;"', 'finished' , 'forget', 'disable', 'data', 'cellular', '']")</f>
        <v>['Please', 'Collapin', 'Price', 'Quota', 'Internet', 'Weekly', 'Telkomsel', 'Karna', 'Pandemic', 'Nyari', 'Money', 'Difficult', ' Please, 'quota', 'internet cafe', 'clock', 'makes it easy', 'please', 'feature', 'key', 'pulse', 'left', 'application', 'used', 'finished' , 'forget', 'disable', 'data', 'cellular', '']</v>
      </c>
      <c r="D2180" s="3">
        <v>2.0</v>
      </c>
    </row>
    <row r="2181" ht="15.75" customHeight="1">
      <c r="A2181" s="1">
        <v>2179.0</v>
      </c>
      <c r="B2181" s="3" t="s">
        <v>2182</v>
      </c>
      <c r="C2181" s="3" t="str">
        <f>IFERROR(__xludf.DUMMYFUNCTION("GOOGLETRANSLATE(B2181,""id"",""en"")"),"['Application', 'Assessment', 'Standby', 'NMR', 'Access',' Clear ',' Data ',' Enter ',' reset ',' repeated ',' accessed ',' update ',' Complaints', 'above', 'Reduced']")</f>
        <v>['Application', 'Assessment', 'Standby', 'NMR', 'Access',' Clear ',' Data ',' Enter ',' reset ',' repeated ',' accessed ',' update ',' Complaints', 'above', 'Reduced']</v>
      </c>
      <c r="D2181" s="3">
        <v>3.0</v>
      </c>
    </row>
    <row r="2182" ht="15.75" customHeight="1">
      <c r="A2182" s="1">
        <v>2180.0</v>
      </c>
      <c r="B2182" s="3" t="s">
        <v>2183</v>
      </c>
      <c r="C2182" s="3" t="str">
        <f>IFERROR(__xludf.DUMMYFUNCTION("GOOGLETRANSLATE(B2182,""id"",""en"")"),"['Telkomsel', 'bankrupt', 'money', 'money', 'customer', 'embedded', 'fix', 'service', 'network', 'price', 'rates',' star ',' Services ',' class ',' feet ',' gift ',' point ',' garbage ',' gift ',' point ',' fix it ',' rich ',' company ',' amateur ',' tug "&amp;""" , 'luck', 'doang', 'thinking', 'service', 'Bengini', 'moved', 'BUMN', 'money', 'people', 'capital', 'company', 'work' professional']")</f>
        <v>['Telkomsel', 'bankrupt', 'money', 'money', 'customer', 'embedded', 'fix', 'service', 'network', 'price', 'rates',' star ',' Services ',' class ',' feet ',' gift ',' point ',' garbage ',' gift ',' point ',' fix it ',' rich ',' company ',' amateur ',' tug " , 'luck', 'doang', 'thinking', 'service', 'Bengini', 'moved', 'BUMN', 'money', 'people', 'capital', 'company', 'work' professional']</v>
      </c>
      <c r="D2182" s="3">
        <v>1.0</v>
      </c>
    </row>
    <row r="2183" ht="15.75" customHeight="1">
      <c r="A2183" s="1">
        <v>2181.0</v>
      </c>
      <c r="B2183" s="3" t="s">
        <v>2184</v>
      </c>
      <c r="C2183" s="3" t="str">
        <f>IFERROR(__xludf.DUMMYFUNCTION("GOOGLETRANSLATE(B2183,""id"",""en"")"),"['How', 'Package', 'RB', 'GB', 'Unlimited', 'YouTube', 'Tetep', 'get', 'quota', 'main', 'tip', 'run out', ' YouTube ',' Download ',' beg ',' love ',' explanation ']")</f>
        <v>['How', 'Package', 'RB', 'GB', 'Unlimited', 'YouTube', 'Tetep', 'get', 'quota', 'main', 'tip', 'run out', ' YouTube ',' Download ',' beg ',' love ',' explanation ']</v>
      </c>
      <c r="D2183" s="3">
        <v>1.0</v>
      </c>
    </row>
    <row r="2184" ht="15.75" customHeight="1">
      <c r="A2184" s="1">
        <v>2182.0</v>
      </c>
      <c r="B2184" s="3" t="s">
        <v>2185</v>
      </c>
      <c r="C2184" s="3" t="str">
        <f>IFERROR(__xludf.DUMMYFUNCTION("GOOGLETRANSLATE(B2184,""id"",""en"")"),"['users',' Telkomsel ',' buy ',' package ',' signal ',' skrng ',' gapernah ',' stable ',' please ',' pay attention ',' sampe ',' user ',' Telkomsel ',' moved ',' service ',' provider ',' ']")</f>
        <v>['users',' Telkomsel ',' buy ',' package ',' signal ',' skrng ',' gapernah ',' stable ',' please ',' pay attention ',' sampe ',' user ',' Telkomsel ',' moved ',' service ',' provider ',' ']</v>
      </c>
      <c r="D2184" s="3">
        <v>1.0</v>
      </c>
    </row>
    <row r="2185" ht="15.75" customHeight="1">
      <c r="A2185" s="1">
        <v>2183.0</v>
      </c>
      <c r="B2185" s="3" t="s">
        <v>2186</v>
      </c>
      <c r="C2185" s="3" t="str">
        <f>IFERROR(__xludf.DUMMYFUNCTION("GOOGLETRANSLATE(B2185,""id"",""en"")"),"['bad', 'service', 'internet', 'Telkomsel', 'slow', 'missing', 'connection', 'fix', 'customer', 'switch', 'service', 'network', ' disappointing', '']")</f>
        <v>['bad', 'service', 'internet', 'Telkomsel', 'slow', 'missing', 'connection', 'fix', 'customer', 'switch', 'service', 'network', ' disappointing', '']</v>
      </c>
      <c r="D2185" s="3">
        <v>1.0</v>
      </c>
    </row>
    <row r="2186" ht="15.75" customHeight="1">
      <c r="A2186" s="1">
        <v>2184.0</v>
      </c>
      <c r="B2186" s="3" t="s">
        <v>2187</v>
      </c>
      <c r="C2186" s="3" t="str">
        <f>IFERROR(__xludf.DUMMYFUNCTION("GOOGLETRANSLATE(B2186,""id"",""en"")"),"['Sorry', 'star', 'Since', 'network', 'slow', 'love', 'please', 'fix', 'ntar', 'pelangan', 'blur']")</f>
        <v>['Sorry', 'star', 'Since', 'network', 'slow', 'love', 'please', 'fix', 'ntar', 'pelangan', 'blur']</v>
      </c>
      <c r="D2186" s="3">
        <v>3.0</v>
      </c>
    </row>
    <row r="2187" ht="15.75" customHeight="1">
      <c r="A2187" s="1">
        <v>2185.0</v>
      </c>
      <c r="B2187" s="3" t="s">
        <v>2188</v>
      </c>
      <c r="C2187" s="3" t="str">
        <f>IFERROR(__xludf.DUMMYFUNCTION("GOOGLETRANSLATE(B2187,""id"",""en"")"),"['Min', 'ask', 'Method', 'Payment', 'Telkomsel', 'Posts', 'Available', 'I mean', 'Please', 'Chaada', ""]")</f>
        <v>['Min', 'ask', 'Method', 'Payment', 'Telkomsel', 'Posts', 'Available', 'I mean', 'Please', 'Chaada', "]</v>
      </c>
      <c r="D2187" s="3">
        <v>4.0</v>
      </c>
    </row>
    <row r="2188" ht="15.75" customHeight="1">
      <c r="A2188" s="1">
        <v>2186.0</v>
      </c>
      <c r="B2188" s="3" t="s">
        <v>2189</v>
      </c>
      <c r="C2188" s="3" t="str">
        <f>IFERROR(__xludf.DUMMYFUNCTION("GOOGLETRANSLATE(B2188,""id"",""en"")"),"['Signal', 'Telkomsel', 'Where', 'Like', 'Delivers', 'Directions', 'Kirain', 'Signal', 'Ribet', 'Like', 'Did "",' Please ',' Telkomsel ',' fix ',' signal ',' network ',' internet ',' quota ',' buy ',' free ',' free ',' it's up ',' signal ',' network ',' u"&amp;"gly ' , 'quota', 'buy', 'free', 'counter', '']")</f>
        <v>['Signal', 'Telkomsel', 'Where', 'Like', 'Delivers', 'Directions', 'Kirain', 'Signal', 'Ribet', 'Like', 'Did ",' Please ',' Telkomsel ',' fix ',' signal ',' network ',' internet ',' quota ',' buy ',' free ',' free ',' it's up ',' signal ',' network ',' ugly ' , 'quota', 'buy', 'free', 'counter', '']</v>
      </c>
      <c r="D2188" s="3">
        <v>1.0</v>
      </c>
    </row>
    <row r="2189" ht="15.75" customHeight="1">
      <c r="A2189" s="1">
        <v>2187.0</v>
      </c>
      <c r="B2189" s="3" t="s">
        <v>2190</v>
      </c>
      <c r="C2189" s="3" t="str">
        <f>IFERROR(__xludf.DUMMYFUNCTION("GOOGLETRANSLATE(B2189,""id"",""en"")"),"['Buy', 'Vouch', 'Difficult', 'Enter', 'Code', 'Sorry', 'System', 'Busy', 'Install', 'Telkomsel', 'Loading', 'Telkomsel', ' Lite ',' Choose ',' contents', 'reset', 'data', 'application', 'stop', 'expensive', 'disappointing', 'Telkomsel', 'rival', 'feature"&amp;"s',' app ' , 'complete', 'easy', 'contents',' package ',' data ',' bonus', 'pulse', 'save', 'etc.', 'Telkomsel', 'customer', 'blur', ' disappointing']")</f>
        <v>['Buy', 'Vouch', 'Difficult', 'Enter', 'Code', 'Sorry', 'System', 'Busy', 'Install', 'Telkomsel', 'Loading', 'Telkomsel', ' Lite ',' Choose ',' contents', 'reset', 'data', 'application', 'stop', 'expensive', 'disappointing', 'Telkomsel', 'rival', 'features',' app ' , 'complete', 'easy', 'contents',' package ',' data ',' bonus', 'pulse', 'save', 'etc.', 'Telkomsel', 'customer', 'blur', ' disappointing']</v>
      </c>
      <c r="D2189" s="3">
        <v>1.0</v>
      </c>
    </row>
    <row r="2190" ht="15.75" customHeight="1">
      <c r="A2190" s="1">
        <v>2188.0</v>
      </c>
      <c r="B2190" s="3" t="s">
        <v>2191</v>
      </c>
      <c r="C2190" s="3" t="str">
        <f>IFERROR(__xludf.DUMMYFUNCTION("GOOGLETRANSLATE(B2190,""id"",""en"")"),"['Package', 'call', 'Telkomsel', 'expensive', 'cook', 'call', 'second', 'spend', 'Telkomsel', 'Different', 'second', 'according to', ' needs', 'that's',' people ',' paid ',' spele ',' money ',' what ',' farmers', 'poor', 'add', 'make it difficult', '']")</f>
        <v>['Package', 'call', 'Telkomsel', 'expensive', 'cook', 'call', 'second', 'spend', 'Telkomsel', 'Different', 'second', 'according to', ' needs', 'that's',' people ',' paid ',' spele ',' money ',' what ',' farmers', 'poor', 'add', 'make it difficult', '']</v>
      </c>
      <c r="D2190" s="3">
        <v>1.0</v>
      </c>
    </row>
    <row r="2191" ht="15.75" customHeight="1">
      <c r="A2191" s="1">
        <v>2189.0</v>
      </c>
      <c r="B2191" s="3" t="s">
        <v>2192</v>
      </c>
      <c r="C2191" s="3" t="str">
        <f>IFERROR(__xludf.DUMMYFUNCTION("GOOGLETRANSLATE(B2191,""id"",""en"")"),"['pulse', 'regular', 'package', 'quota', 'internet', 'contents',' pulse ',' regular ',' access', 'internet', 'used', 'pulses',' Regular ',' non ',' package ',' package ',' internet ',' beg ',' explanation ']")</f>
        <v>['pulse', 'regular', 'package', 'quota', 'internet', 'contents',' pulse ',' regular ',' access', 'internet', 'used', 'pulses',' Regular ',' non ',' package ',' package ',' internet ',' beg ',' explanation ']</v>
      </c>
      <c r="D2191" s="3">
        <v>4.0</v>
      </c>
    </row>
    <row r="2192" ht="15.75" customHeight="1">
      <c r="A2192" s="1">
        <v>2190.0</v>
      </c>
      <c r="B2192" s="3" t="s">
        <v>2193</v>
      </c>
      <c r="C2192" s="3" t="str">
        <f>IFERROR(__xludf.DUMMYFUNCTION("GOOGLETRANSLATE(B2192,""id"",""en"")"),"['Abbreviation', 'Popular', 'Foreign', 'Earned', 'in', 'Application', 'Org', 'Senior', 'Need', 'Tiktok', 'Apps',' Need ',' Quota ',' main ',' ']")</f>
        <v>['Abbreviation', 'Popular', 'Foreign', 'Earned', 'in', 'Application', 'Org', 'Senior', 'Need', 'Tiktok', 'Apps',' Need ',' Quota ',' main ',' ']</v>
      </c>
      <c r="D2192" s="3">
        <v>1.0</v>
      </c>
    </row>
    <row r="2193" ht="15.75" customHeight="1">
      <c r="A2193" s="1">
        <v>2191.0</v>
      </c>
      <c r="B2193" s="3" t="s">
        <v>2194</v>
      </c>
      <c r="C2193" s="3" t="str">
        <f>IFERROR(__xludf.DUMMYFUNCTION("GOOGLETRANSLATE(B2193,""id"",""en"")"),"['Telkomsel', 'teach', 'steal', 'pulse', 'package', 'internet', 'automatic', 'extend', 'pulse', 'should', 'renewal', 'internet', ' rb ',' pulse ',' rb ',' name ',' steal ',' Telkomsel ',' fortunate ',' provider ',' Telkomsel ',' leave ',' ']")</f>
        <v>['Telkomsel', 'teach', 'steal', 'pulse', 'package', 'internet', 'automatic', 'extend', 'pulse', 'should', 'renewal', 'internet', ' rb ',' pulse ',' rb ',' name ',' steal ',' Telkomsel ',' fortunate ',' provider ',' Telkomsel ',' leave ',' ']</v>
      </c>
      <c r="D2193" s="3">
        <v>1.0</v>
      </c>
    </row>
    <row r="2194" ht="15.75" customHeight="1">
      <c r="A2194" s="1">
        <v>2192.0</v>
      </c>
      <c r="B2194" s="3" t="s">
        <v>2195</v>
      </c>
      <c r="C2194" s="3" t="str">
        <f>IFERROR(__xludf.DUMMYFUNCTION("GOOGLETRANSLATE(B2194,""id"",""en"")"),"['easy', 'good', 'already', 'Telkomsel', 'signal', 'Telkomsel', 'in place', 'difficult', 'telephone', 'regular', 'difficult', 'Please', ' Checked ',' obstacles', 'thank you']")</f>
        <v>['easy', 'good', 'already', 'Telkomsel', 'signal', 'Telkomsel', 'in place', 'difficult', 'telephone', 'regular', 'difficult', 'Please', ' Checked ',' obstacles', 'thank you']</v>
      </c>
      <c r="D2194" s="3">
        <v>5.0</v>
      </c>
    </row>
    <row r="2195" ht="15.75" customHeight="1">
      <c r="A2195" s="1">
        <v>2193.0</v>
      </c>
      <c r="B2195" s="3" t="s">
        <v>2196</v>
      </c>
      <c r="C2195" s="3" t="str">
        <f>IFERROR(__xludf.DUMMYFUNCTION("GOOGLETRANSLATE(B2195,""id"",""en"")"),"['signal', 'card', 'expensive', 'TPI', 'signal', 'rotten', 'already', 'Telkomsel', 'Kasi', 'signal', 'rotten', 'Benerin', ' Woyy ',' People ',' Activities', 'Need', 'Signal', '']")</f>
        <v>['signal', 'card', 'expensive', 'TPI', 'signal', 'rotten', 'already', 'Telkomsel', 'Kasi', 'signal', 'rotten', 'Benerin', ' Woyy ',' People ',' Activities', 'Need', 'Signal', '']</v>
      </c>
      <c r="D2195" s="3">
        <v>1.0</v>
      </c>
    </row>
    <row r="2196" ht="15.75" customHeight="1">
      <c r="A2196" s="1">
        <v>2194.0</v>
      </c>
      <c r="B2196" s="3" t="s">
        <v>2197</v>
      </c>
      <c r="C2196" s="3" t="str">
        <f>IFERROR(__xludf.DUMMYFUNCTION("GOOGLETRANSLATE(B2196,""id"",""en"")"),"['Pademangan', 'Jakarta', 'North', 'signal', 'good', 'connection', 'internet', 'pulp', 'already', 'call', 'follow', 'continue', ' Game ',' Good ',' Indosat ',' Package ',' Cheap ',' Reverse ',' Expensive ',' Suits', 'Cuk']")</f>
        <v>['Pademangan', 'Jakarta', 'North', 'signal', 'good', 'connection', 'internet', 'pulp', 'already', 'call', 'follow', 'continue', ' Game ',' Good ',' Indosat ',' Package ',' Cheap ',' Reverse ',' Expensive ',' Suits', 'Cuk']</v>
      </c>
      <c r="D2196" s="3">
        <v>1.0</v>
      </c>
    </row>
    <row r="2197" ht="15.75" customHeight="1">
      <c r="A2197" s="1">
        <v>2195.0</v>
      </c>
      <c r="B2197" s="3" t="s">
        <v>2198</v>
      </c>
      <c r="C2197" s="3" t="str">
        <f>IFERROR(__xludf.DUMMYFUNCTION("GOOGLETRANSLATE(B2197,""id"",""en"")"),"['send', 'pulse', 'pulse', 'leftover', 'send', 'no', 'right', 'send', 'nominal', 'reduced', 'rupiah', 'mode', ' plane ',' Package ',' chat ',' omg ',' right ',' data ',' pulse ',' cheek ',' telkom ',' take ',' luck ',' kebangeretan ', ""]")</f>
        <v>['send', 'pulse', 'pulse', 'leftover', 'send', 'no', 'right', 'send', 'nominal', 'reduced', 'rupiah', 'mode', ' plane ',' Package ',' chat ',' omg ',' right ',' data ',' pulse ',' cheek ',' telkom ',' take ',' luck ',' kebangeretan ', "]</v>
      </c>
      <c r="D2197" s="3">
        <v>1.0</v>
      </c>
    </row>
    <row r="2198" ht="15.75" customHeight="1">
      <c r="A2198" s="1">
        <v>2196.0</v>
      </c>
      <c r="B2198" s="3" t="s">
        <v>2199</v>
      </c>
      <c r="C2198" s="3" t="str">
        <f>IFERROR(__xludf.DUMMYFUNCTION("GOOGLETRANSLATE(B2198,""id"",""en"")"),"['Fix', 'bug', 'network', 'quota', 'gamemax', 'login', 'nggk', 'play', 'download', 'data', 'mentok', 'dilected', ' Doang ',' Matchmaking ',' GB ',' Login ',' Ama ',' Mantengin ',' Loby ',' Taik ',' Actually ',' Package ',' Gamemax ',' Disted ',' Nggk ' , "&amp;"'release', '']")</f>
        <v>['Fix', 'bug', 'network', 'quota', 'gamemax', 'login', 'nggk', 'play', 'download', 'data', 'mentok', 'dilected', ' Doang ',' Matchmaking ',' GB ',' Login ',' Ama ',' Mantengin ',' Loby ',' Taik ',' Actually ',' Package ',' Gamemax ',' Disted ',' Nggk ' , 'release', '']</v>
      </c>
      <c r="D2198" s="3">
        <v>1.0</v>
      </c>
    </row>
    <row r="2199" ht="15.75" customHeight="1">
      <c r="A2199" s="1">
        <v>2197.0</v>
      </c>
      <c r="B2199" s="3" t="s">
        <v>2200</v>
      </c>
      <c r="C2199" s="3" t="str">
        <f>IFERROR(__xludf.DUMMYFUNCTION("GOOGLETRANSLATE(B2199,""id"",""en"")"),"['Telkomsel', 'slow', 'rain', 'a little', 'already', 'disorder', 'open', 'open', 'already', 'difficult', 'already', 'rain', ' Please, 'Telkomsel', 'Search', 'solution']")</f>
        <v>['Telkomsel', 'slow', 'rain', 'a little', 'already', 'disorder', 'open', 'open', 'already', 'difficult', 'already', 'rain', ' Please, 'Telkomsel', 'Search', 'solution']</v>
      </c>
      <c r="D2199" s="3">
        <v>3.0</v>
      </c>
    </row>
    <row r="2200" ht="15.75" customHeight="1">
      <c r="A2200" s="1">
        <v>2198.0</v>
      </c>
      <c r="B2200" s="3" t="s">
        <v>2201</v>
      </c>
      <c r="C2200" s="3" t="str">
        <f>IFERROR(__xludf.DUMMYFUNCTION("GOOGLETRANSLATE(B2200,""id"",""en"")"),"['signal', 'ugly', 'really', 'where', 'expensive', 'mah', 'tetep', 'expensive', 'lose', 'love', 'price', 'cheap', ' The signal ',' improved ',' Tsel ', ""]")</f>
        <v>['signal', 'ugly', 'really', 'where', 'expensive', 'mah', 'tetep', 'expensive', 'lose', 'love', 'price', 'cheap', ' The signal ',' improved ',' Tsel ', "]</v>
      </c>
      <c r="D2200" s="3">
        <v>1.0</v>
      </c>
    </row>
    <row r="2201" ht="15.75" customHeight="1">
      <c r="A2201" s="1">
        <v>2199.0</v>
      </c>
      <c r="B2201" s="3" t="s">
        <v>2202</v>
      </c>
      <c r="C2201" s="3" t="str">
        <f>IFERROR(__xludf.DUMMYFUNCTION("GOOGLETRANSLATE(B2201,""id"",""en"")"),"['signal', 'ugly', 'really', 'original', 'card', 'sympathy', 'ugly', 'telkomsel', 'tumben', 'worse', 'replace', 'card', ' slow ',' kint ',' forgiveness', '']")</f>
        <v>['signal', 'ugly', 'really', 'original', 'card', 'sympathy', 'ugly', 'telkomsel', 'tumben', 'worse', 'replace', 'card', ' slow ',' kint ',' forgiveness', '']</v>
      </c>
      <c r="D2201" s="3">
        <v>1.0</v>
      </c>
    </row>
    <row r="2202" ht="15.75" customHeight="1">
      <c r="A2202" s="1">
        <v>2200.0</v>
      </c>
      <c r="B2202" s="3" t="s">
        <v>2203</v>
      </c>
      <c r="C2202" s="3" t="str">
        <f>IFERROR(__xludf.DUMMYFUNCTION("GOOGLETRANSLATE(B2202,""id"",""en"")"),"['Application', 'Activate', 'Package', 'answer', 'pulse', 'taik', 'taik', 'application', 'ampassss']")</f>
        <v>['Application', 'Activate', 'Package', 'answer', 'pulse', 'taik', 'taik', 'application', 'ampassss']</v>
      </c>
      <c r="D2202" s="3">
        <v>1.0</v>
      </c>
    </row>
    <row r="2203" ht="15.75" customHeight="1">
      <c r="A2203" s="1">
        <v>2201.0</v>
      </c>
      <c r="B2203" s="3" t="s">
        <v>2204</v>
      </c>
      <c r="C2203" s="3" t="str">
        <f>IFERROR(__xludf.DUMMYFUNCTION("GOOGLETRANSLATE(B2203,""id"",""en"")"),"['hay', 'kaka', 'sorry', 'love', 'star', 'right', 'right', 'loss',' pulse ',' sumps', 'take', 'update', ' Locking ',' pulse ',' sucked ',' take ',' thank you ']")</f>
        <v>['hay', 'kaka', 'sorry', 'love', 'star', 'right', 'right', 'loss',' pulse ',' sumps', 'take', 'update', ' Locking ',' pulse ',' sucked ',' take ',' thank you ']</v>
      </c>
      <c r="D2203" s="3">
        <v>3.0</v>
      </c>
    </row>
    <row r="2204" ht="15.75" customHeight="1">
      <c r="A2204" s="1">
        <v>2202.0</v>
      </c>
      <c r="B2204" s="3" t="s">
        <v>2205</v>
      </c>
      <c r="C2204" s="3" t="str">
        <f>IFERROR(__xludf.DUMMYFUNCTION("GOOGLETRANSLATE(B2204,""id"",""en"")"),"['Telkomsel', 'sucked', 'balance', 'pulse', 'mulu', 'already', 'leftover', 'balance', 'balanced', 'abis',' think ',' kepake ',' then ',' forget ',' events', 'please', 'fix']")</f>
        <v>['Telkomsel', 'sucked', 'balance', 'pulse', 'mulu', 'already', 'leftover', 'balance', 'balanced', 'abis',' think ',' kepake ',' then ',' forget ',' events', 'please', 'fix']</v>
      </c>
      <c r="D2204" s="3">
        <v>1.0</v>
      </c>
    </row>
    <row r="2205" ht="15.75" customHeight="1">
      <c r="A2205" s="1">
        <v>2203.0</v>
      </c>
      <c r="B2205" s="3" t="s">
        <v>2206</v>
      </c>
      <c r="C2205" s="3" t="str">
        <f>IFERROR(__xludf.DUMMYFUNCTION("GOOGLETRANSLATE(B2205,""id"",""en"")"),"['Tesel', 'gymna', 'signal', 'ugly', ""]")</f>
        <v>['Tesel', 'gymna', 'signal', 'ugly', "]</v>
      </c>
      <c r="D2205" s="3">
        <v>1.0</v>
      </c>
    </row>
    <row r="2206" ht="15.75" customHeight="1">
      <c r="A2206" s="1">
        <v>2204.0</v>
      </c>
      <c r="B2206" s="3" t="s">
        <v>2207</v>
      </c>
      <c r="C2206" s="3" t="str">
        <f>IFERROR(__xludf.DUMMYFUNCTION("GOOGLETRANSLATE(B2206,""id"",""en"")"),"['Provider', 'bad', 'signal', 'kagak', 'quota', 'expensive', 'tired', 'paid', 'expensive', 'poor', 'signal', 'nggk', ' believe ',' Nggk ',' repaired ',' guaranteed ',' down ',' reputation ',' Telkomsel ',' bad ']")</f>
        <v>['Provider', 'bad', 'signal', 'kagak', 'quota', 'expensive', 'tired', 'paid', 'expensive', 'poor', 'signal', 'nggk', ' believe ',' Nggk ',' repaired ',' guaranteed ',' down ',' reputation ',' Telkomsel ',' bad ']</v>
      </c>
      <c r="D2206" s="3">
        <v>1.0</v>
      </c>
    </row>
    <row r="2207" ht="15.75" customHeight="1">
      <c r="A2207" s="1">
        <v>2205.0</v>
      </c>
      <c r="B2207" s="3" t="s">
        <v>2208</v>
      </c>
      <c r="C2207" s="3" t="str">
        <f>IFERROR(__xludf.DUMMYFUNCTION("GOOGLETRANSLATE(B2207,""id"",""en"")"),"['Price', 'expensive', 'quality', 'pulp', 'yes',' city ',' network ',' ilang ',' gara ',' gara ',' telkomsel ',' cave ',' Nge ',' game ',' AFK ',' yes', 'game', 'network', 'ilang', 'please', 'fix', 'price', 'comparable', 'quality']")</f>
        <v>['Price', 'expensive', 'quality', 'pulp', 'yes',' city ',' network ',' ilang ',' gara ',' gara ',' telkomsel ',' cave ',' Nge ',' game ',' AFK ',' yes', 'game', 'network', 'ilang', 'please', 'fix', 'price', 'comparable', 'quality']</v>
      </c>
      <c r="D2207" s="3">
        <v>1.0</v>
      </c>
    </row>
    <row r="2208" ht="15.75" customHeight="1">
      <c r="A2208" s="1">
        <v>2206.0</v>
      </c>
      <c r="B2208" s="3" t="s">
        <v>2209</v>
      </c>
      <c r="C2208" s="3" t="str">
        <f>IFERROR(__xludf.DUMMYFUNCTION("GOOGLETRANSLATE(B2208,""id"",""en"")"),"['Sinyinya', 'Telkomsel', 'Ampass',' Sometimes', 'Lost', 'Network', 'Ngak', 'Stable', 'Amid', 'City', 'Lined', 'Ngeluh', ' signal ',' what ',' they ',' there ',' enter ',' season ',' rainy ',' bye ',' bye ',' ']")</f>
        <v>['Sinyinya', 'Telkomsel', 'Ampass',' Sometimes', 'Lost', 'Network', 'Ngak', 'Stable', 'Amid', 'City', 'Lined', 'Ngeluh', ' signal ',' what ',' they ',' there ',' enter ',' season ',' rainy ',' bye ',' bye ',' ']</v>
      </c>
      <c r="D2208" s="3">
        <v>1.0</v>
      </c>
    </row>
    <row r="2209" ht="15.75" customHeight="1">
      <c r="A2209" s="1">
        <v>2207.0</v>
      </c>
      <c r="B2209" s="3" t="s">
        <v>2210</v>
      </c>
      <c r="C2209" s="3" t="str">
        <f>IFERROR(__xludf.DUMMYFUNCTION("GOOGLETRANSLATE(B2209,""id"",""en"")"),"['Screenshoot', 'proof', 'network', 'PKE', 'Telkomsel', 'Bener', 'Buriiikk', 'quota', 'waste', 'Gara', 'She', 'network', ' Buriik ',' keuang ',' vain ',' vain ',' run out ',' quota ',' internet ',' following ',' active ',' card ',' mending ', ""]")</f>
        <v>['Screenshoot', 'proof', 'network', 'PKE', 'Telkomsel', 'Bener', 'Buriiikk', 'quota', 'waste', 'Gara', 'She', 'network', ' Buriik ',' keuang ',' vain ',' vain ',' run out ',' quota ',' internet ',' following ',' active ',' card ',' mending ', "]</v>
      </c>
      <c r="D2209" s="3">
        <v>1.0</v>
      </c>
    </row>
    <row r="2210" ht="15.75" customHeight="1">
      <c r="A2210" s="1">
        <v>2208.0</v>
      </c>
      <c r="B2210" s="3" t="s">
        <v>2211</v>
      </c>
      <c r="C2210" s="3" t="str">
        <f>IFERROR(__xludf.DUMMYFUNCTION("GOOGLETRANSLATE(B2210,""id"",""en"")"),"['Network', 'slow', 'package', 'expensive', 'guarantee', 'quality', 'good', 'easily', 'forced', 'use', 'Telkomsel']")</f>
        <v>['Network', 'slow', 'package', 'expensive', 'guarantee', 'quality', 'good', 'easily', 'forced', 'use', 'Telkomsel']</v>
      </c>
      <c r="D2210" s="3">
        <v>1.0</v>
      </c>
    </row>
    <row r="2211" ht="15.75" customHeight="1">
      <c r="A2211" s="1">
        <v>2209.0</v>
      </c>
      <c r="B2211" s="3" t="s">
        <v>2212</v>
      </c>
      <c r="C2211" s="3" t="str">
        <f>IFERROR(__xludf.DUMMYFUNCTION("GOOGLETRANSLATE(B2211,""id"",""en"")"),"['connection', 'internet', 'bad', 'Telkomsel', 'Bela', 'package', 'expensive', 'smooth', 'actions', '']")</f>
        <v>['connection', 'internet', 'bad', 'Telkomsel', 'Bela', 'package', 'expensive', 'smooth', 'actions', '']</v>
      </c>
      <c r="D2211" s="3">
        <v>2.0</v>
      </c>
    </row>
    <row r="2212" ht="15.75" customHeight="1">
      <c r="A2212" s="1">
        <v>2210.0</v>
      </c>
      <c r="B2212" s="3" t="s">
        <v>2213</v>
      </c>
      <c r="C2212" s="3" t="str">
        <f>IFERROR(__xludf.DUMMYFUNCTION("GOOGLETRANSLATE(B2212,""id"",""en"")"),"['Telkomsel', 'threat', 'card', 'expensive', 'network', 'ugly', 'please', 'repaired', 'anything', 'comfortable', 'because' net ',' slow ',' bad ',' closed ',' closed ']")</f>
        <v>['Telkomsel', 'threat', 'card', 'expensive', 'network', 'ugly', 'please', 'repaired', 'anything', 'comfortable', 'because' net ',' slow ',' bad ',' closed ',' closed ']</v>
      </c>
      <c r="D2212" s="3">
        <v>1.0</v>
      </c>
    </row>
    <row r="2213" ht="15.75" customHeight="1">
      <c r="A2213" s="1">
        <v>2211.0</v>
      </c>
      <c r="B2213" s="3" t="s">
        <v>2214</v>
      </c>
      <c r="C2213" s="3" t="str">
        <f>IFERROR(__xludf.DUMMYFUNCTION("GOOGLETRANSLATE(B2213,""id"",""en"")"),"['already', 'Telkomsel', 'already', 'already', 'really', 'number', 'kerinj', 'Telkomsel', 'already', 'rich', 'signal', 'ugly', ' really ',' good ',' please ',' admin ',' fix ',' network ',' lazy ',' ngeta ',' ngepain ',' maen ',' games', 'lazy', 'moet' , "&amp;"'please', 'fix', '']")</f>
        <v>['already', 'Telkomsel', 'already', 'already', 'really', 'number', 'kerinj', 'Telkomsel', 'already', 'rich', 'signal', 'ugly', ' really ',' good ',' please ',' admin ',' fix ',' network ',' lazy ',' ngeta ',' ngepain ',' maen ',' games', 'lazy', 'moet' , 'please', 'fix', '']</v>
      </c>
      <c r="D2213" s="3">
        <v>5.0</v>
      </c>
    </row>
    <row r="2214" ht="15.75" customHeight="1">
      <c r="A2214" s="1">
        <v>2212.0</v>
      </c>
      <c r="B2214" s="3" t="s">
        <v>2215</v>
      </c>
      <c r="C2214" s="3" t="str">
        <f>IFERROR(__xludf.DUMMYFUNCTION("GOOGLETRANSLATE(B2214,""id"",""en"")"),"['package', 'doang', 'expensive', 'quality', 'signal', 'threat', 'severe', 'already', 'Telkomsel', 'play', 'game', 'online', ' ping ',' already ',' that's', 'gave', 'promo', 'package', 'cheap', 'mending', 'change', 'provider', 'deh']")</f>
        <v>['package', 'doang', 'expensive', 'quality', 'signal', 'threat', 'severe', 'already', 'Telkomsel', 'play', 'game', 'online', ' ping ',' already ',' that's', 'gave', 'promo', 'package', 'cheap', 'mending', 'change', 'provider', 'deh']</v>
      </c>
      <c r="D2214" s="3">
        <v>1.0</v>
      </c>
    </row>
    <row r="2215" ht="15.75" customHeight="1">
      <c r="A2215" s="1">
        <v>2213.0</v>
      </c>
      <c r="B2215" s="3" t="s">
        <v>2216</v>
      </c>
      <c r="C2215" s="3" t="str">
        <f>IFERROR(__xludf.DUMMYFUNCTION("GOOGLETRANSLATE(B2215,""id"",""en"")"),"['Open', 'application', 'wifi', 'loading', 'open', 'open', 'signal', 'ugly', 'macem', 'strange', 'application', 'obsolete', ' Money ',' Application ',' Stale ',' Loading ',' Wonder ',' Delete ',' then ',' Install ',' Tetep ',' Damaged ',' work ',' The ope"&amp;"rator ']")</f>
        <v>['Open', 'application', 'wifi', 'loading', 'open', 'open', 'signal', 'ugly', 'macem', 'strange', 'application', 'obsolete', ' Money ',' Application ',' Stale ',' Loading ',' Wonder ',' Delete ',' then ',' Install ',' Tetep ',' Damaged ',' work ',' The operator ']</v>
      </c>
      <c r="D2215" s="3">
        <v>1.0</v>
      </c>
    </row>
    <row r="2216" ht="15.75" customHeight="1">
      <c r="A2216" s="1">
        <v>2214.0</v>
      </c>
      <c r="B2216" s="3" t="s">
        <v>2217</v>
      </c>
      <c r="C2216" s="3" t="str">
        <f>IFERROR(__xludf.DUMMYFUNCTION("GOOGLETRANSLATE(B2216,""id"",""en"")"),"['ten', 'use', 'Telkomsel', 'here', 'signal', 'ugly', 'slow', 'lose', 'provider', 'waste', 'card', 'dear', ' Dumped ',' Honey ',' Money ',' Mubadziiiir ',' Recommended ']")</f>
        <v>['ten', 'use', 'Telkomsel', 'here', 'signal', 'ugly', 'slow', 'lose', 'provider', 'waste', 'card', 'dear', ' Dumped ',' Honey ',' Money ',' Mubadziiiir ',' Recommended ']</v>
      </c>
      <c r="D2216" s="3">
        <v>1.0</v>
      </c>
    </row>
    <row r="2217" ht="15.75" customHeight="1">
      <c r="A2217" s="1">
        <v>2215.0</v>
      </c>
      <c r="B2217" s="3" t="s">
        <v>2218</v>
      </c>
      <c r="C2217" s="3" t="str">
        <f>IFERROR(__xludf.DUMMYFUNCTION("GOOGLETRANSLATE(B2217,""id"",""en"")"),"['Assalamualaikum', 'Telkomsel', 'belongs',' Indonesia ',' network ',' stingy ',' please ',' Expand ',' residents', 'Indonesia', 'Note', 'Citizens',' Stay ',' village ',' need ',' signal ',' communicate ',' thank you ', ""]")</f>
        <v>['Assalamualaikum', 'Telkomsel', 'belongs',' Indonesia ',' network ',' stingy ',' please ',' Expand ',' residents', 'Indonesia', 'Note', 'Citizens',' Stay ',' village ',' need ',' signal ',' communicate ',' thank you ', "]</v>
      </c>
      <c r="D2217" s="3">
        <v>2.0</v>
      </c>
    </row>
    <row r="2218" ht="15.75" customHeight="1">
      <c r="A2218" s="1">
        <v>2216.0</v>
      </c>
      <c r="B2218" s="3" t="s">
        <v>2219</v>
      </c>
      <c r="C2218" s="3" t="str">
        <f>IFERROR(__xludf.DUMMYFUNCTION("GOOGLETRANSLATE(B2218,""id"",""en"")"),"['Network', 'good', 'network', 'bad', 'night', 'clock', 'hour', 'bad', 'kayak', 'already', 'ration', 'bad', ' Please, 'Fix', 'Network', 'Package', 'Data']")</f>
        <v>['Network', 'good', 'network', 'bad', 'night', 'clock', 'hour', 'bad', 'kayak', 'already', 'ration', 'bad', ' Please, 'Fix', 'Network', 'Package', 'Data']</v>
      </c>
      <c r="D2218" s="3">
        <v>1.0</v>
      </c>
    </row>
    <row r="2219" ht="15.75" customHeight="1">
      <c r="A2219" s="1">
        <v>2217.0</v>
      </c>
      <c r="B2219" s="3" t="s">
        <v>2220</v>
      </c>
      <c r="C2219" s="3" t="str">
        <f>IFERROR(__xludf.DUMMYFUNCTION("GOOGLETRANSLATE(B2219,""id"",""en"")"),"['sii', 'signal', 'Telkomsel', 'slow', 'rich', 'snail', 'disappointed', 'rich', 'super', 'speeding', 'rich', 'jet', ' rich ',' bajaj ',' please ',' fix ',' signal ',' unlimitet ',' rich ',' gini ',' love ',' star ',' please ',' repair ',' ']")</f>
        <v>['sii', 'signal', 'Telkomsel', 'slow', 'rich', 'snail', 'disappointed', 'rich', 'super', 'speeding', 'rich', 'jet', ' rich ',' bajaj ',' please ',' fix ',' signal ',' unlimitet ',' rich ',' gini ',' love ',' star ',' please ',' repair ',' ']</v>
      </c>
      <c r="D2219" s="3">
        <v>5.0</v>
      </c>
    </row>
    <row r="2220" ht="15.75" customHeight="1">
      <c r="A2220" s="1">
        <v>2218.0</v>
      </c>
      <c r="B2220" s="3" t="s">
        <v>2221</v>
      </c>
      <c r="C2220" s="3" t="str">
        <f>IFERROR(__xludf.DUMMYFUNCTION("GOOGLETRANSLATE(B2220,""id"",""en"")"),"['Telkomsel', 'network', 'slow', 'setabilia', 'youtube', 'jammed', 'buy', 'paketan', 'unlimited', 'youtube', 'browser', 'slow', ' Forgiveness', 'Males',' Telkomsel ',' The network ',' Rich ',' Gini ',' Mending ',' Change ',' Card ',' Delicious', 'Network'"&amp;", 'Leet', 'Card' , '']")</f>
        <v>['Telkomsel', 'network', 'slow', 'setabilia', 'youtube', 'jammed', 'buy', 'paketan', 'unlimited', 'youtube', 'browser', 'slow', ' Forgiveness', 'Males',' Telkomsel ',' The network ',' Rich ',' Gini ',' Mending ',' Change ',' Card ',' Delicious', 'Network', 'Leet', 'Card' , '']</v>
      </c>
      <c r="D2220" s="3">
        <v>1.0</v>
      </c>
    </row>
    <row r="2221" ht="15.75" customHeight="1">
      <c r="A2221" s="1">
        <v>2219.0</v>
      </c>
      <c r="B2221" s="3" t="s">
        <v>2222</v>
      </c>
      <c r="C2221" s="3" t="str">
        <f>IFERROR(__xludf.DUMMYFUNCTION("GOOGLETRANSLATE(B2221,""id"",""en"")"),"['Telkomsel', 'Where', 'Sousal', 'Jauntkah', 'Place', 'Plosok', 'Sousal', 'Good', 'Here', 'Nidak', 'Andelin', ""]")</f>
        <v>['Telkomsel', 'Where', 'Sousal', 'Jauntkah', 'Place', 'Plosok', 'Sousal', 'Good', 'Here', 'Nidak', 'Andelin', "]</v>
      </c>
      <c r="D2221" s="3">
        <v>1.0</v>
      </c>
    </row>
    <row r="2222" ht="15.75" customHeight="1">
      <c r="A2222" s="1">
        <v>2220.0</v>
      </c>
      <c r="B2222" s="3" t="s">
        <v>2223</v>
      </c>
      <c r="C2222" s="3" t="str">
        <f>IFERROR(__xludf.DUMMYFUNCTION("GOOGLETRANSLATE(B2222,""id"",""en"")"),"['loss',' buy ',' quota ',' expensive ',' expensive ',' quota ',' main ',' GB ',' GB ',' quota ',' local ',' use ',' alias', 'signal', 'ugly', 'quota', 'unlimited', 'requirements',' quota ',' run out ',' location ',' activation ',' card ',' tetep ',' ugly"&amp;" ' , 'signal', 'already', 'contact', 'chat', 'bot', 'muter', 'explanation', 'help', 'already', 'try', 'suggestion', 'gada', ' Successful ',' told ',' Move ',' Priority ',' Network ',' Move ',' SIM ',' SIM ',' Move ',' Active ',' Off ',' Mode ',' Plane ' ,"&amp;" 'Gada', 'ngebar', 'disappointed']")</f>
        <v>['loss',' buy ',' quota ',' expensive ',' expensive ',' quota ',' main ',' GB ',' GB ',' quota ',' local ',' use ',' alias', 'signal', 'ugly', 'quota', 'unlimited', 'requirements',' quota ',' run out ',' location ',' activation ',' card ',' tetep ',' ugly ' , 'signal', 'already', 'contact', 'chat', 'bot', 'muter', 'explanation', 'help', 'already', 'try', 'suggestion', 'gada', ' Successful ',' told ',' Move ',' Priority ',' Network ',' Move ',' SIM ',' SIM ',' Move ',' Active ',' Off ',' Mode ',' Plane ' , 'Gada', 'ngebar', 'disappointed']</v>
      </c>
      <c r="D2222" s="3">
        <v>1.0</v>
      </c>
    </row>
    <row r="2223" ht="15.75" customHeight="1">
      <c r="A2223" s="1">
        <v>2221.0</v>
      </c>
      <c r="B2223" s="3" t="s">
        <v>2224</v>
      </c>
      <c r="C2223" s="3" t="str">
        <f>IFERROR(__xludf.DUMMYFUNCTION("GOOGLETRANSLATE(B2223,""id"",""en"")"),"['Ujan', 'Ujan', 'Tetep', 'slow', 'package', 'expensive', 'according to', 'internet', 'slow', 'ngayameung', 'aka', 'buffering', ' Pay ',' hundreds', 'thousand', 'poor', 'intention', 'Benerin', '']")</f>
        <v>['Ujan', 'Ujan', 'Tetep', 'slow', 'package', 'expensive', 'according to', 'internet', 'slow', 'ngayameung', 'aka', 'buffering', ' Pay ',' hundreds', 'thousand', 'poor', 'intention', 'Benerin', '']</v>
      </c>
      <c r="D2223" s="3">
        <v>1.0</v>
      </c>
    </row>
    <row r="2224" ht="15.75" customHeight="1">
      <c r="A2224" s="1">
        <v>2222.0</v>
      </c>
      <c r="B2224" s="3" t="s">
        <v>2225</v>
      </c>
      <c r="C2224" s="3" t="str">
        <f>IFERROR(__xludf.DUMMYFUNCTION("GOOGLETRANSLATE(B2224,""id"",""en"")"),"['Enter', 'Network', 'Telkomsel', 'Taik', 'Operator', 'Network', 'Fastest', 'Indonesia', 'Network', 'Full', 'Open', 'Sttus',' Martar ',' then ',' ngegame ',' ngelag ',' pleaseggglh ',' fix ',' network ',' quota ',' quota ',' quota ',' expensive ',' networ"&amp;"k ',' rich ' , 'Taik', ""]")</f>
        <v>['Enter', 'Network', 'Telkomsel', 'Taik', 'Operator', 'Network', 'Fastest', 'Indonesia', 'Network', 'Full', 'Open', 'Sttus',' Martar ',' then ',' ngegame ',' ngelag ',' pleaseggglh ',' fix ',' network ',' quota ',' quota ',' quota ',' expensive ',' network ',' rich ' , 'Taik', "]</v>
      </c>
      <c r="D2224" s="3">
        <v>1.0</v>
      </c>
    </row>
    <row r="2225" ht="15.75" customHeight="1">
      <c r="A2225" s="1">
        <v>2223.0</v>
      </c>
      <c r="B2225" s="3" t="s">
        <v>2226</v>
      </c>
      <c r="C2225" s="3" t="str">
        <f>IFERROR(__xludf.DUMMYFUNCTION("GOOGLETRANSLATE(B2225,""id"",""en"")"),"['application', 'error', 'login', 'tab', 'dialy', 'check', 'disappear', 'repeat', 'login', 'umpteenth', 'time', '']")</f>
        <v>['application', 'error', 'login', 'tab', 'dialy', 'check', 'disappear', 'repeat', 'login', 'umpteenth', 'time', '']</v>
      </c>
      <c r="D2225" s="3">
        <v>1.0</v>
      </c>
    </row>
    <row r="2226" ht="15.75" customHeight="1">
      <c r="A2226" s="1">
        <v>2224.0</v>
      </c>
      <c r="B2226" s="3" t="s">
        <v>2227</v>
      </c>
      <c r="C2226" s="3" t="str">
        <f>IFERROR(__xludf.DUMMYFUNCTION("GOOGLETRANSLATE(B2226,""id"",""en"")"),"['Network', 'Application', 'MyTelkomsel', 'Benerin', 'Application', 'Nyedot', 'Quota', 'Very', 'Mbps',' Open ',' Application ',' MyTelkomsel ',' Merestrart ',' hot ',' open ',' application ',' doang ']")</f>
        <v>['Network', 'Application', 'MyTelkomsel', 'Benerin', 'Application', 'Nyedot', 'Quota', 'Very', 'Mbps',' Open ',' Application ',' MyTelkomsel ',' Merestrart ',' hot ',' open ',' application ',' doang ']</v>
      </c>
      <c r="D2226" s="3">
        <v>1.0</v>
      </c>
    </row>
    <row r="2227" ht="15.75" customHeight="1">
      <c r="A2227" s="1">
        <v>2225.0</v>
      </c>
      <c r="B2227" s="3" t="s">
        <v>2228</v>
      </c>
      <c r="C2227" s="3" t="str">
        <f>IFERROR(__xludf.DUMMYFUNCTION("GOOGLETRANSLATE(B2227,""id"",""en"")"),"['Telkomsel', 'ugly', 'the network', 'pay', 'expensive', 'quality', 'service', 'handler', 'open', 'difficult', 'network', 'worker', ' Try ',' recruit ',' workers', 'quality', 'recruit', 'workers',' closed ',' company ',' ']")</f>
        <v>['Telkomsel', 'ugly', 'the network', 'pay', 'expensive', 'quality', 'service', 'handler', 'open', 'difficult', 'network', 'worker', ' Try ',' recruit ',' workers', 'quality', 'recruit', 'workers',' closed ',' company ',' ']</v>
      </c>
      <c r="D2227" s="3">
        <v>1.0</v>
      </c>
    </row>
    <row r="2228" ht="15.75" customHeight="1">
      <c r="A2228" s="1">
        <v>2226.0</v>
      </c>
      <c r="B2228" s="3" t="s">
        <v>2229</v>
      </c>
      <c r="C2228" s="3" t="str">
        <f>IFERROR(__xludf.DUMMYFUNCTION("GOOGLETRANSLATE(B2228,""id"",""en"")"),"['original', 'looks',' lie ',' buy ',' package ',' package ',' GB ',' TPI ',' Package ',' enter ',' pulse ',' suck ',' Credit ',' Report ',' Package ',' Enter ',' Credit ',' Report ',' Credit ',' Adequate ',' Buy ',' Package ',' Combo ',' GB ',' Looks' , "&amp;"'lie', '']")</f>
        <v>['original', 'looks',' lie ',' buy ',' package ',' package ',' GB ',' TPI ',' Package ',' enter ',' pulse ',' suck ',' Credit ',' Report ',' Package ',' Enter ',' Credit ',' Report ',' Credit ',' Adequate ',' Buy ',' Package ',' Combo ',' GB ',' Looks' , 'lie', '']</v>
      </c>
      <c r="D2228" s="3">
        <v>1.0</v>
      </c>
    </row>
    <row r="2229" ht="15.75" customHeight="1">
      <c r="A2229" s="1">
        <v>2227.0</v>
      </c>
      <c r="B2229" s="3" t="s">
        <v>2230</v>
      </c>
      <c r="C2229" s="3" t="str">
        <f>IFERROR(__xludf.DUMMYFUNCTION("GOOGLETRANSLATE(B2229,""id"",""en"")"),"['Help', 'signal', 'repaired', 'area', 'Cikarang', 'south', 'bekasi', 'internet', 'slow', 'bengeettttt', 'pay', 'expensive', ' slow', '']")</f>
        <v>['Help', 'signal', 'repaired', 'area', 'Cikarang', 'south', 'bekasi', 'internet', 'slow', 'bengeettttt', 'pay', 'expensive', ' slow', '']</v>
      </c>
      <c r="D2229" s="3">
        <v>1.0</v>
      </c>
    </row>
    <row r="2230" ht="15.75" customHeight="1">
      <c r="A2230" s="1">
        <v>2228.0</v>
      </c>
      <c r="B2230" s="3" t="s">
        <v>2231</v>
      </c>
      <c r="C2230" s="3" t="str">
        <f>IFERROR(__xludf.DUMMYFUNCTION("GOOGLETRANSLATE(B2230,""id"",""en"")"),"['purpose', 'goals',' divide ',' quota ',' local ',' quota ',' internet ',' work ',' city ',' quota ',' local ',' used ',' Help ',' users', 'Telkomsel', 'quota', 'local', 'quota', 'internet', 'quota', 'local', 'edge', 'disappointed', 'severe', 'disappoint"&amp;"ing' , 'Auto', 'Change', 'Provider']")</f>
        <v>['purpose', 'goals',' divide ',' quota ',' local ',' quota ',' internet ',' work ',' city ',' quota ',' local ',' used ',' Help ',' users', 'Telkomsel', 'quota', 'local', 'quota', 'internet', 'quota', 'local', 'edge', 'disappointed', 'severe', 'disappointing' , 'Auto', 'Change', 'Provider']</v>
      </c>
      <c r="D2230" s="3">
        <v>1.0</v>
      </c>
    </row>
    <row r="2231" ht="15.75" customHeight="1">
      <c r="A2231" s="1">
        <v>2229.0</v>
      </c>
      <c r="B2231" s="3" t="s">
        <v>2232</v>
      </c>
      <c r="C2231" s="3" t="str">
        <f>IFERROR(__xludf.DUMMYFUNCTION("GOOGLETRANSLATE(B2231,""id"",""en"")"),"['Wonder', 'application', 'enter', 'login', 'already', 'login', 'already', 'loading', 'slow', 'expensive', 'yes',' network ',' Burik ',' Telkomsel ',' Telkomsel ',' ']")</f>
        <v>['Wonder', 'application', 'enter', 'login', 'already', 'login', 'already', 'loading', 'slow', 'expensive', 'yes',' network ',' Burik ',' Telkomsel ',' Telkomsel ',' ']</v>
      </c>
      <c r="D2231" s="3">
        <v>1.0</v>
      </c>
    </row>
    <row r="2232" ht="15.75" customHeight="1">
      <c r="A2232" s="1">
        <v>2230.0</v>
      </c>
      <c r="B2232" s="3" t="s">
        <v>2233</v>
      </c>
      <c r="C2232" s="3" t="str">
        <f>IFERROR(__xludf.DUMMYFUNCTION("GOOGLETRANSLATE(B2232,""id"",""en"")"),"['Thnks',' Telkomsel ',' Telkomsel ',' provides', 'Features',' loan ',' pulses', 'Pay', 'Kredivo', 'Program', 'Priority', 'Customer', ' Users', 'Loyal', 'Telkomsel', 'Terms',' Examples', 'Terms',' Customer ',' Faithful ',' Telkomsel ',' Use ',' Card ',' U"&amp;"ser ',' Duration ' ]")</f>
        <v>['Thnks',' Telkomsel ',' Telkomsel ',' provides', 'Features',' loan ',' pulses', 'Pay', 'Kredivo', 'Program', 'Priority', 'Customer', ' Users', 'Loyal', 'Telkomsel', 'Terms',' Examples', 'Terms',' Customer ',' Faithful ',' Telkomsel ',' Use ',' Card ',' User ',' Duration ' ]</v>
      </c>
      <c r="D2232" s="3">
        <v>5.0</v>
      </c>
    </row>
    <row r="2233" ht="15.75" customHeight="1">
      <c r="A2233" s="1">
        <v>2231.0</v>
      </c>
      <c r="B2233" s="3" t="s">
        <v>2234</v>
      </c>
      <c r="C2233" s="3" t="str">
        <f>IFERROR(__xludf.DUMMYFUNCTION("GOOGLETRANSLATE(B2233,""id"",""en"")"),"['Concern', 'Bund', 'Telkomsel', 'Buy', 'Package', 'Wait', 'Minutes',' Suggestion ',' Hopefully ',' Telkomsel ',' Choice ',' Best ',' Society ',' Indonesia ',' Love ',' You ',' But ',' Hate ',' You ',' Telkomsel ']")</f>
        <v>['Concern', 'Bund', 'Telkomsel', 'Buy', 'Package', 'Wait', 'Minutes',' Suggestion ',' Hopefully ',' Telkomsel ',' Choice ',' Best ',' Society ',' Indonesia ',' Love ',' You ',' But ',' Hate ',' You ',' Telkomsel ']</v>
      </c>
      <c r="D2233" s="3">
        <v>5.0</v>
      </c>
    </row>
    <row r="2234" ht="15.75" customHeight="1">
      <c r="A2234" s="1">
        <v>2232.0</v>
      </c>
      <c r="B2234" s="3" t="s">
        <v>2235</v>
      </c>
      <c r="C2234" s="3" t="str">
        <f>IFERROR(__xludf.DUMMYFUNCTION("GOOGLETRANSLATE(B2234,""id"",""en"")"),"['eehh', 'intention', 'internet', 'expensive', 'buy', 'package', 'signal', 'ugly', 'fix', 'lahh', 'already', 'learn', ' online ',' signal ',' BURIK ',' arghhh ',' gausah ',' card ',' deh ',' signal ',' gini ',' troubling ',' citizen ',' replace ',' card '"&amp;" , 'oath', 'sad', 'bat', 'learn', 'kah', 'entry']")</f>
        <v>['eehh', 'intention', 'internet', 'expensive', 'buy', 'package', 'signal', 'ugly', 'fix', 'lahh', 'already', 'learn', ' online ',' signal ',' BURIK ',' arghhh ',' gausah ',' card ',' deh ',' signal ',' gini ',' troubling ',' citizen ',' replace ',' card ' , 'oath', 'sad', 'bat', 'learn', 'kah', 'entry']</v>
      </c>
      <c r="D2234" s="3">
        <v>1.0</v>
      </c>
    </row>
    <row r="2235" ht="15.75" customHeight="1">
      <c r="A2235" s="1">
        <v>2233.0</v>
      </c>
      <c r="B2235" s="3" t="s">
        <v>2236</v>
      </c>
      <c r="C2235" s="3" t="str">
        <f>IFERROR(__xludf.DUMMYFUNCTION("GOOGLETRANSLATE(B2235,""id"",""en"")"),"['already', 'update', 'application', 'no', 'open', 'knp', 'jdi', 'screen', 'white', 'trs',' abis', 'please', ' HRS ',' Delete ',' Download ',' reset ',' ']")</f>
        <v>['already', 'update', 'application', 'no', 'open', 'knp', 'jdi', 'screen', 'white', 'trs',' abis', 'please', ' HRS ',' Delete ',' Download ',' reset ',' ']</v>
      </c>
      <c r="D2235" s="3">
        <v>5.0</v>
      </c>
    </row>
    <row r="2236" ht="15.75" customHeight="1">
      <c r="A2236" s="1">
        <v>2234.0</v>
      </c>
      <c r="B2236" s="3" t="s">
        <v>2237</v>
      </c>
      <c r="C2236" s="3" t="str">
        <f>IFERROR(__xludf.DUMMYFUNCTION("GOOGLETRANSLATE(B2236,""id"",""en"")"),"['Soree', 'Mimin', 'Quality', 'Telkomsel', 'Skrng', 'Orng', 'Telkomsel', 'Price', 'Provider', 'Times',' HandPhone ',' Thn ',' Cards', 'Telkomsel', 'Skrng', 'Change', 'Change', 'Number', 'Telfkomsel', 'Sumbin', 'Sumbin', 'Expensive', 'Knpa', 'expensive', '"&amp;"skrng' , 'according to', 'quality', 'net', 'thanks', 'hope', 'suggestion', 'criticism', 'quality', 'first']")</f>
        <v>['Soree', 'Mimin', 'Quality', 'Telkomsel', 'Skrng', 'Orng', 'Telkomsel', 'Price', 'Provider', 'Times',' HandPhone ',' Thn ',' Cards', 'Telkomsel', 'Skrng', 'Change', 'Change', 'Number', 'Telfkomsel', 'Sumbin', 'Sumbin', 'Expensive', 'Knpa', 'expensive', 'skrng' , 'according to', 'quality', 'net', 'thanks', 'hope', 'suggestion', 'criticism', 'quality', 'first']</v>
      </c>
      <c r="D2236" s="3">
        <v>1.0</v>
      </c>
    </row>
    <row r="2237" ht="15.75" customHeight="1">
      <c r="A2237" s="1">
        <v>2235.0</v>
      </c>
      <c r="B2237" s="3" t="s">
        <v>2238</v>
      </c>
      <c r="C2237" s="3" t="str">
        <f>IFERROR(__xludf.DUMMYFUNCTION("GOOGLETRANSLATE(B2237,""id"",""en"")"),"['signal', 'ugly', 'difficult', 'slow', 'disappointed', 'bngt', 'card', 'sultan', 'card', 'good', 'gini', 'right', ' ugly ',' right ',' good ']")</f>
        <v>['signal', 'ugly', 'difficult', 'slow', 'disappointed', 'bngt', 'card', 'sultan', 'card', 'good', 'gini', 'right', ' ugly ',' right ',' good ']</v>
      </c>
      <c r="D2237" s="3">
        <v>1.0</v>
      </c>
    </row>
    <row r="2238" ht="15.75" customHeight="1">
      <c r="A2238" s="1">
        <v>2236.0</v>
      </c>
      <c r="B2238" s="3" t="s">
        <v>2239</v>
      </c>
      <c r="C2238" s="3" t="str">
        <f>IFERROR(__xludf.DUMMYFUNCTION("GOOGLETRANSLATE(B2238,""id"",""en"")"),"['promo', 'buy', 'expiration', 'bought', 'Looks',' purchase ',' process', 'mulu', 'how', 'Telkomsel', 'gini', 'me', ' Loss', 'already', 'TOP', 'pulse', 'buy']")</f>
        <v>['promo', 'buy', 'expiration', 'bought', 'Looks',' purchase ',' process', 'mulu', 'how', 'Telkomsel', 'gini', 'me', ' Loss', 'already', 'TOP', 'pulse', 'buy']</v>
      </c>
      <c r="D2238" s="3">
        <v>1.0</v>
      </c>
    </row>
    <row r="2239" ht="15.75" customHeight="1">
      <c r="A2239" s="1">
        <v>2237.0</v>
      </c>
      <c r="B2239" s="3" t="s">
        <v>2240</v>
      </c>
      <c r="C2239" s="3" t="str">
        <f>IFERROR(__xludf.DUMMYFUNCTION("GOOGLETRANSLATE(B2239,""id"",""en"")"),"['What', 'UDH', 'buy', 'quota', 'lap', 'Tiktok', 'unlimited', 'data', 'trs',' right ',' see ',' Tiktok ',' Credit ',' Sumpot ',' Please ',' Help ',' Thank you ', ""]")</f>
        <v>['What', 'UDH', 'buy', 'quota', 'lap', 'Tiktok', 'unlimited', 'data', 'trs',' right ',' see ',' Tiktok ',' Credit ',' Sumpot ',' Please ',' Help ',' Thank you ', "]</v>
      </c>
      <c r="D2239" s="3">
        <v>2.0</v>
      </c>
    </row>
    <row r="2240" ht="15.75" customHeight="1">
      <c r="A2240" s="1">
        <v>2238.0</v>
      </c>
      <c r="B2240" s="3" t="s">
        <v>2241</v>
      </c>
      <c r="C2240" s="3" t="str">
        <f>IFERROR(__xludf.DUMMYFUNCTION("GOOGLETRANSLATE(B2240,""id"",""en"")"),"['application', 'Telkomsel', 'good', 'disappointed', 'Telkomsel', 'quota', 'internet', 'expensive', 'network', 'internet', 'destroyed', 'open', ' Internet ',' home ',' network ',' outside ',' home ',' destroyed ',' home ',' hope ',' customers', 'Telkomsel"&amp;"', 'missing', 'switch', 'card' , '']")</f>
        <v>['application', 'Telkomsel', 'good', 'disappointed', 'Telkomsel', 'quota', 'internet', 'expensive', 'network', 'internet', 'destroyed', 'open', ' Internet ',' home ',' network ',' outside ',' home ',' destroyed ',' home ',' hope ',' customers', 'Telkomsel', 'missing', 'switch', 'card' , '']</v>
      </c>
      <c r="D2240" s="3">
        <v>1.0</v>
      </c>
    </row>
    <row r="2241" ht="15.75" customHeight="1">
      <c r="A2241" s="1">
        <v>2239.0</v>
      </c>
      <c r="B2241" s="3" t="s">
        <v>2242</v>
      </c>
      <c r="C2241" s="3" t="str">
        <f>IFERROR(__xludf.DUMMYFUNCTION("GOOGLETRANSLATE(B2241,""id"",""en"")"),"['Woe', 'Telkomsel', 'Try', 'Network', 'Connection', 'Internet', 'Stabilin', 'Signal', 'Good', 'Stable', 'Severe', 'Forgiveness',' Gara ',' Gara ',' Telkomsel ',' Value ',' Lessons', 'Mines',' He Restored ',' Meng ',' Attend ',' Lesson ',' Online ',' Kaya"&amp;"k ',' Gini ' , 'Anggab', 'skip', 'school', 'online']")</f>
        <v>['Woe', 'Telkomsel', 'Try', 'Network', 'Connection', 'Internet', 'Stabilin', 'Signal', 'Good', 'Stable', 'Severe', 'Forgiveness',' Gara ',' Gara ',' Telkomsel ',' Value ',' Lessons', 'Mines',' He Restored ',' Meng ',' Attend ',' Lesson ',' Online ',' Kayak ',' Gini ' , 'Anggab', 'skip', 'school', 'online']</v>
      </c>
      <c r="D2241" s="3">
        <v>1.0</v>
      </c>
    </row>
    <row r="2242" ht="15.75" customHeight="1">
      <c r="A2242" s="1">
        <v>2240.0</v>
      </c>
      <c r="B2242" s="3" t="s">
        <v>2243</v>
      </c>
      <c r="C2242" s="3" t="str">
        <f>IFERROR(__xludf.DUMMYFUNCTION("GOOGLETRANSLATE(B2242,""id"",""en"")"),"['Good', 'signal', 'promo', 'buy', 'package', 'promo', 'like', 'constrained', 'purchase', 'process',' sms', 'confirm', ' Package ',' fast ',' sprti ',' ']")</f>
        <v>['Good', 'signal', 'promo', 'buy', 'package', 'promo', 'like', 'constrained', 'purchase', 'process',' sms', 'confirm', ' Package ',' fast ',' sprti ',' ']</v>
      </c>
      <c r="D2242" s="3">
        <v>4.0</v>
      </c>
    </row>
    <row r="2243" ht="15.75" customHeight="1">
      <c r="A2243" s="1">
        <v>2241.0</v>
      </c>
      <c r="B2243" s="3" t="s">
        <v>2244</v>
      </c>
      <c r="C2243" s="3" t="str">
        <f>IFERROR(__xludf.DUMMYFUNCTION("GOOGLETRANSLATE(B2243,""id"",""en"")"),"['application', 'good', 'satisfied', 'service', 'thank', 'love', 'mytelkomsel', 'hope', 'success', 'service', ""]")</f>
        <v>['application', 'good', 'satisfied', 'service', 'thank', 'love', 'mytelkomsel', 'hope', 'success', 'service', "]</v>
      </c>
      <c r="D2243" s="3">
        <v>5.0</v>
      </c>
    </row>
    <row r="2244" ht="15.75" customHeight="1">
      <c r="A2244" s="1">
        <v>2242.0</v>
      </c>
      <c r="B2244" s="3" t="s">
        <v>2245</v>
      </c>
      <c r="C2244" s="3" t="str">
        <f>IFERROR(__xludf.DUMMYFUNCTION("GOOGLETRANSLATE(B2244,""id"",""en"")"),"['', 'Telkomsel', 'difficult', 'open', 'loading', 'turn', 'already', 'say it', 'application', 'respond', 'fix', 'signal', 'difficult ',' really ',' open ',' the application ',' please ',' fix ',' ']")</f>
        <v>['', 'Telkomsel', 'difficult', 'open', 'loading', 'turn', 'already', 'say it', 'application', 'respond', 'fix', 'signal', 'difficult ',' really ',' open ',' the application ',' please ',' fix ',' ']</v>
      </c>
      <c r="D2244" s="3">
        <v>1.0</v>
      </c>
    </row>
    <row r="2245" ht="15.75" customHeight="1">
      <c r="A2245" s="1">
        <v>2243.0</v>
      </c>
      <c r="B2245" s="3" t="s">
        <v>2246</v>
      </c>
      <c r="C2245" s="3" t="str">
        <f>IFERROR(__xludf.DUMMYFUNCTION("GOOGLETRANSLATE(B2245,""id"",""en"")"),"['Telkomsel', 'signal', 'stable', 'ads',' original ',' ugly ',' area ',' cikarang ',' maen ',' game ',' open ',' app ',' Telkomsel ',' Haris', 'Minjem', 'WiFi', 'Caffe', 'already', 'lag', 'compensation', 'check', 'try', 'area', 'cikarang', 'what' , 'signa"&amp;"l', 'thx']")</f>
        <v>['Telkomsel', 'signal', 'stable', 'ads',' original ',' ugly ',' area ',' cikarang ',' maen ',' game ',' open ',' app ',' Telkomsel ',' Haris', 'Minjem', 'WiFi', 'Caffe', 'already', 'lag', 'compensation', 'check', 'try', 'area', 'cikarang', 'what' , 'signal', 'thx']</v>
      </c>
      <c r="D2245" s="3">
        <v>1.0</v>
      </c>
    </row>
    <row r="2246" ht="15.75" customHeight="1">
      <c r="A2246" s="1">
        <v>2244.0</v>
      </c>
      <c r="B2246" s="3" t="s">
        <v>2247</v>
      </c>
      <c r="C2246" s="3" t="str">
        <f>IFERROR(__xludf.DUMMYFUNCTION("GOOGLETRANSLATE(B2246,""id"",""en"")"),"['', 'APK', 'slow', 'contents',' reset ',' disorder ',' say it ',' fail ',' Try ',' told ',' repeat ',' transaction ',' right ',' repeated ',' Taunya ',' UDH ',' Transaction ',' Please ',' Increase ',' Quality ',' Lemot ',' Disorders', ""]")</f>
        <v>['', 'APK', 'slow', 'contents',' reset ',' disorder ',' say it ',' fail ',' Try ',' told ',' repeat ',' transaction ',' right ',' repeated ',' Taunya ',' UDH ',' Transaction ',' Please ',' Increase ',' Quality ',' Lemot ',' Disorders', "]</v>
      </c>
      <c r="D2246" s="3">
        <v>3.0</v>
      </c>
    </row>
    <row r="2247" ht="15.75" customHeight="1">
      <c r="A2247" s="1">
        <v>2245.0</v>
      </c>
      <c r="B2247" s="3" t="s">
        <v>2248</v>
      </c>
      <c r="C2247" s="3" t="str">
        <f>IFERROR(__xludf.DUMMYFUNCTION("GOOGLETRANSLATE(B2247,""id"",""en"")"),"['use', 'Telkomsel', 'promo', 'promo', 'please', 'quota', 'local', 'card', 'Telkomsel', 'buy', 'use', 'buy', ' quota ',' rumahh ',' use ',' pulse ',' please ',' fix ']")</f>
        <v>['use', 'Telkomsel', 'promo', 'promo', 'please', 'quota', 'local', 'card', 'Telkomsel', 'buy', 'use', 'buy', ' quota ',' rumahh ',' use ',' pulse ',' please ',' fix ']</v>
      </c>
      <c r="D2247" s="3">
        <v>3.0</v>
      </c>
    </row>
    <row r="2248" ht="15.75" customHeight="1">
      <c r="A2248" s="1">
        <v>2246.0</v>
      </c>
      <c r="B2248" s="3" t="s">
        <v>2249</v>
      </c>
      <c r="C2248" s="3" t="str">
        <f>IFERROR(__xludf.DUMMYFUNCTION("GOOGLETRANSLATE(B2248,""id"",""en"")"),"['application', 'ugly', 'promo', 'little', 'expensive', 'all', 'please', 'ksih', 'promo', 'pity', 'person', 'subordinate', ' Want ',' Buy ',' Package ',' Learning ',' Keminkbud ',' Expensive ',' Expensive ',' Bonus', 'Unlimited', 'Region', 'Medan', 'Pekan"&amp;"baru', 'Please' , 'relief', 'citizens', 'subordinate']")</f>
        <v>['application', 'ugly', 'promo', 'little', 'expensive', 'all', 'please', 'ksih', 'promo', 'pity', 'person', 'subordinate', ' Want ',' Buy ',' Package ',' Learning ',' Keminkbud ',' Expensive ',' Expensive ',' Bonus', 'Unlimited', 'Region', 'Medan', 'Pekanbaru', 'Please' , 'relief', 'citizens', 'subordinate']</v>
      </c>
      <c r="D2248" s="3">
        <v>1.0</v>
      </c>
    </row>
    <row r="2249" ht="15.75" customHeight="1">
      <c r="A2249" s="1">
        <v>2247.0</v>
      </c>
      <c r="B2249" s="3" t="s">
        <v>2250</v>
      </c>
      <c r="C2249" s="3" t="str">
        <f>IFERROR(__xludf.DUMMYFUNCTION("GOOGLETRANSLATE(B2249,""id"",""en"")"),"['already', 'disappointed', 'Telkomsel', 'Sampe', 'buy', 'provider', 'activation', 'internet', 'can', 'promo', 'package', 'cheering', ' For ',' contents ',' credit ',' activation ',' package ',' cheerful ',' package ',' unlimited ',' youtube ',' all day '"&amp;",' for 'credit', 'msh' , 'leftover', 'eeeeh', 'use', 'open', 'youtube', 'brief', 'opened', 'check', 'leftover', 'pulse', 'already', 'disease', ' Lost ',' Where ',' PDHL ',' Lost ',' Donk ',' ']")</f>
        <v>['already', 'disappointed', 'Telkomsel', 'Sampe', 'buy', 'provider', 'activation', 'internet', 'can', 'promo', 'package', 'cheering', ' For ',' contents ',' credit ',' activation ',' package ',' cheerful ',' package ',' unlimited ',' youtube ',' all day ',' for 'credit', 'msh' , 'leftover', 'eeeeh', 'use', 'open', 'youtube', 'brief', 'opened', 'check', 'leftover', 'pulse', 'already', 'disease', ' Lost ',' Where ',' PDHL ',' Lost ',' Donk ',' ']</v>
      </c>
      <c r="D2249" s="3">
        <v>1.0</v>
      </c>
    </row>
    <row r="2250" ht="15.75" customHeight="1">
      <c r="A2250" s="1">
        <v>2248.0</v>
      </c>
      <c r="B2250" s="3" t="s">
        <v>2251</v>
      </c>
      <c r="C2250" s="3" t="str">
        <f>IFERROR(__xludf.DUMMYFUNCTION("GOOGLETRANSLATE(B2250,""id"",""en"")"),"['Disappointed', 'Service', 'Buy', 'Vocer', 'Redem', 'Vocer', 'System', 'Busy', 'Efforts',' Do ',' Access', 'Media', ' TELKOM ',' Ngresson ',' bot ',' already ',' buy ',' Vocer ',' umpteenth ',' times', 'disappointed', '']")</f>
        <v>['Disappointed', 'Service', 'Buy', 'Vocer', 'Redem', 'Vocer', 'System', 'Busy', 'Efforts',' Do ',' Access', 'Media', ' TELKOM ',' Ngresson ',' bot ',' already ',' buy ',' Vocer ',' umpteenth ',' times', 'disappointed', '']</v>
      </c>
      <c r="D2250" s="3">
        <v>1.0</v>
      </c>
    </row>
    <row r="2251" ht="15.75" customHeight="1">
      <c r="A2251" s="1">
        <v>2249.0</v>
      </c>
      <c r="B2251" s="3" t="s">
        <v>2252</v>
      </c>
      <c r="C2251" s="3" t="str">
        <f>IFERROR(__xludf.DUMMYFUNCTION("GOOGLETRANSLATE(B2251,""id"",""en"")"),"['Telkomsel', 'Dear', 'Network', 'home', 'ugly', 'network', 'smooth', 'zoom', 'metting', 'Connect', 'discussion', 'school', ' Please, 'network', 'fix', 'as fast']")</f>
        <v>['Telkomsel', 'Dear', 'Network', 'home', 'ugly', 'network', 'smooth', 'zoom', 'metting', 'Connect', 'discussion', 'school', ' Please, 'network', 'fix', 'as fast']</v>
      </c>
      <c r="D2251" s="3">
        <v>1.0</v>
      </c>
    </row>
    <row r="2252" ht="15.75" customHeight="1">
      <c r="A2252" s="1">
        <v>2250.0</v>
      </c>
      <c r="B2252" s="3" t="s">
        <v>2253</v>
      </c>
      <c r="C2252" s="3" t="str">
        <f>IFERROR(__xludf.DUMMYFUNCTION("GOOGLETRANSLATE(B2252,""id"",""en"")"),"['quota', 'GB', 'Dipake', 'Credit', 'Please', 'Bener', 'Mending', 'Indosat', 'Network', 'Quality', 'Medium', 'Snedot', ' pulses', 'people', 'minutes',' contents', 'pulses',' udh ',' sumps', 'right', 'rich', 'gini', 'eat', 'money', ""]")</f>
        <v>['quota', 'GB', 'Dipake', 'Credit', 'Please', 'Bener', 'Mending', 'Indosat', 'Network', 'Quality', 'Medium', 'Snedot', ' pulses', 'people', 'minutes',' contents', 'pulses',' udh ',' sumps', 'right', 'rich', 'gini', 'eat', 'money', "]</v>
      </c>
      <c r="D2252" s="3">
        <v>1.0</v>
      </c>
    </row>
    <row r="2253" ht="15.75" customHeight="1">
      <c r="A2253" s="1">
        <v>2251.0</v>
      </c>
      <c r="B2253" s="3" t="s">
        <v>2254</v>
      </c>
      <c r="C2253" s="3" t="str">
        <f>IFERROR(__xludf.DUMMYFUNCTION("GOOGLETRANSLATE(B2253,""id"",""en"")"),"['report', 'udeh', 'improvement', 'nye', 'kgk', 'signal', 'tenggelem', 'package', 'doang', 'removed', 'related', 'job', ' Nye ',' can ',' mending ',' closed ',' ']")</f>
        <v>['report', 'udeh', 'improvement', 'nye', 'kgk', 'signal', 'tenggelem', 'package', 'doang', 'removed', 'related', 'job', ' Nye ',' can ',' mending ',' closed ',' ']</v>
      </c>
      <c r="D2253" s="3">
        <v>1.0</v>
      </c>
    </row>
    <row r="2254" ht="15.75" customHeight="1">
      <c r="A2254" s="1">
        <v>2252.0</v>
      </c>
      <c r="B2254" s="3" t="s">
        <v>2255</v>
      </c>
      <c r="C2254" s="3" t="str">
        <f>IFERROR(__xludf.DUMMYFUNCTION("GOOGLETRANSLATE(B2254,""id"",""en"")"),"['please', 'activate', 'voucher', 'for days',' no ',' fix ',' breathe ',' already ',' package ',' price ',' god ',' mending ',' Kayak ',' smooth ',' tasty ',' sometimes', 'crew', 'play', 'game', 'missing', 'fix']")</f>
        <v>['please', 'activate', 'voucher', 'for days',' no ',' fix ',' breathe ',' already ',' package ',' price ',' god ',' mending ',' Kayak ',' smooth ',' tasty ',' sometimes', 'crew', 'play', 'game', 'missing', 'fix']</v>
      </c>
      <c r="D2254" s="3">
        <v>1.0</v>
      </c>
    </row>
    <row r="2255" ht="15.75" customHeight="1">
      <c r="A2255" s="1">
        <v>2253.0</v>
      </c>
      <c r="B2255" s="3" t="s">
        <v>2256</v>
      </c>
      <c r="C2255" s="3" t="str">
        <f>IFERROR(__xludf.DUMMYFUNCTION("GOOGLETRANSLATE(B2255,""id"",""en"")"),"['Telkomsel', 'strange', 'Network', 'Not bad', 'Sometimes',' missing ',' times', 'strange', 'buy', 'package', 'the application', 'codenya', ' UDH ',' Try ',' Success', 'Write it', 'Process',' Buy ',' Quota ',' Telkomsel ',' Write ',' Process', 'Enter', 'Q"&amp;"uotes',' Pulses' , 'Ngur', 'ang', 'strange', 'please', 'fix', 'udh', 'tensing', 'thousand', 'money', 'missing', ""]")</f>
        <v>['Telkomsel', 'strange', 'Network', 'Not bad', 'Sometimes',' missing ',' times', 'strange', 'buy', 'package', 'the application', 'codenya', ' UDH ',' Try ',' Success', 'Write it', 'Process',' Buy ',' Quota ',' Telkomsel ',' Write ',' Process', 'Enter', 'Quotes',' Pulses' , 'Ngur', 'ang', 'strange', 'please', 'fix', 'udh', 'tensing', 'thousand', 'money', 'missing', "]</v>
      </c>
      <c r="D2255" s="3">
        <v>3.0</v>
      </c>
    </row>
    <row r="2256" ht="15.75" customHeight="1">
      <c r="A2256" s="1">
        <v>2254.0</v>
      </c>
      <c r="B2256" s="3" t="s">
        <v>2257</v>
      </c>
      <c r="C2256" s="3" t="str">
        <f>IFERROR(__xludf.DUMMYFUNCTION("GOOGLETRANSLATE(B2256,""id"",""en"")"),"['network', 'city', 'whole', 'GB', 'yaa', 'open', 'difficult', 'ram', 'like', 'no', 'signal', 'fix it', ' The constraints', 'Please', 'Change', 'Darling', 'Gajelas',' Emng ',' Signal ',' Tsel ', ""]")</f>
        <v>['network', 'city', 'whole', 'GB', 'yaa', 'open', 'difficult', 'ram', 'like', 'no', 'signal', 'fix it', ' The constraints', 'Please', 'Change', 'Darling', 'Gajelas',' Emng ',' Signal ',' Tsel ', "]</v>
      </c>
      <c r="D2256" s="3">
        <v>2.0</v>
      </c>
    </row>
    <row r="2257" ht="15.75" customHeight="1">
      <c r="A2257" s="1">
        <v>2255.0</v>
      </c>
      <c r="B2257" s="3" t="s">
        <v>2258</v>
      </c>
      <c r="C2257" s="3" t="str">
        <f>IFERROR(__xludf.DUMMYFUNCTION("GOOGLETRANSLATE(B2257,""id"",""en"")"),"['experience', 'constraints',' login ',' application ',' please ',' fix ',' application ',' login ',' complicated ',' gini ',' how ',' forward ',' ']")</f>
        <v>['experience', 'constraints',' login ',' application ',' please ',' fix ',' application ',' login ',' complicated ',' gini ',' how ',' forward ',' ']</v>
      </c>
      <c r="D2257" s="3">
        <v>1.0</v>
      </c>
    </row>
    <row r="2258" ht="15.75" customHeight="1">
      <c r="A2258" s="1">
        <v>2256.0</v>
      </c>
      <c r="B2258" s="3" t="s">
        <v>2259</v>
      </c>
      <c r="C2258" s="3" t="str">
        <f>IFERROR(__xludf.DUMMYFUNCTION("GOOGLETRANSLATE(B2258,""id"",""en"")"),"['Please', 'Telkomsel', 'fix', 'network', 'outside', 'city', 'network', 'Indonesia', 'proof', 'Mao', 'abandoned', 'Costumer', ' The network is', 'SNAGAT', 'UGK', 'NOTE', '']")</f>
        <v>['Please', 'Telkomsel', 'fix', 'network', 'outside', 'city', 'network', 'Indonesia', 'proof', 'Mao', 'abandoned', 'Costumer', ' The network is', 'SNAGAT', 'UGK', 'NOTE', '']</v>
      </c>
      <c r="D2258" s="3">
        <v>1.0</v>
      </c>
    </row>
    <row r="2259" ht="15.75" customHeight="1">
      <c r="A2259" s="1">
        <v>2257.0</v>
      </c>
      <c r="B2259" s="3" t="s">
        <v>2260</v>
      </c>
      <c r="C2259" s="3" t="str">
        <f>IFERROR(__xludf.DUMMYFUNCTION("GOOGLETRANSLATE(B2259,""id"",""en"")"),"['Please', 'sorry', 'love', 'star', 'buy', 'package', 'GB', 'bought', 'clock', 'night', 'right', 'morning', ' the package ',' run out ',' clock ',' night ',' turn off ',' data ',' run out ',' package ',' night ',' morning ',' package ',' expensive ',' Tel"&amp;"komsel ' , 'Slow', 'Please', 'Sorry', 'Thank', 'Love', ""]")</f>
        <v>['Please', 'sorry', 'love', 'star', 'buy', 'package', 'GB', 'bought', 'clock', 'night', 'right', 'morning', ' the package ',' run out ',' clock ',' night ',' turn off ',' data ',' run out ',' package ',' night ',' morning ',' package ',' expensive ',' Telkomsel ' , 'Slow', 'Please', 'Sorry', 'Thank', 'Love', "]</v>
      </c>
      <c r="D2259" s="3">
        <v>1.0</v>
      </c>
    </row>
    <row r="2260" ht="15.75" customHeight="1">
      <c r="A2260" s="1">
        <v>2258.0</v>
      </c>
      <c r="B2260" s="3" t="s">
        <v>2261</v>
      </c>
      <c r="C2260" s="3" t="str">
        <f>IFERROR(__xludf.DUMMYFUNCTION("GOOGLETRANSLATE(B2260,""id"",""en"")"),"['Lost', 'Giga', 'Gara', 'Rare', 'Should', 'Suggestions',' Considered ',' Accumulation ',' On ',' Package ',' Data ',' Take ',' package ',' loss', 'as',' user ',' quota ',' expensive ',' given ',' active ', ""]")</f>
        <v>['Lost', 'Giga', 'Gara', 'Rare', 'Should', 'Suggestions',' Considered ',' Accumulation ',' On ',' Package ',' Data ',' Take ',' package ',' loss', 'as',' user ',' quota ',' expensive ',' given ',' active ', "]</v>
      </c>
      <c r="D2260" s="3">
        <v>1.0</v>
      </c>
    </row>
    <row r="2261" ht="15.75" customHeight="1">
      <c r="A2261" s="1">
        <v>2259.0</v>
      </c>
      <c r="B2261" s="3" t="s">
        <v>2262</v>
      </c>
      <c r="C2261" s="3" t="str">
        <f>IFERROR(__xludf.DUMMYFUNCTION("GOOGLETRANSLATE(B2261,""id"",""en"")"),"['Paketan', 'Out', 'Credit', 'Out', 'Thousand', 'Please', 'Package', 'Out', 'Suck', 'Credit', 'Males',' Mending ',' Search ',' card ',' late ',' waste ',' ngak ',' subscription ',' already ',' Sebel ',' Sebel ',' Sebel ']")</f>
        <v>['Paketan', 'Out', 'Credit', 'Out', 'Thousand', 'Please', 'Package', 'Out', 'Suck', 'Credit', 'Males',' Mending ',' Search ',' card ',' late ',' waste ',' ngak ',' subscription ',' already ',' Sebel ',' Sebel ',' Sebel ']</v>
      </c>
      <c r="D2261" s="3">
        <v>2.0</v>
      </c>
    </row>
    <row r="2262" ht="15.75" customHeight="1">
      <c r="A2262" s="1">
        <v>2260.0</v>
      </c>
      <c r="B2262" s="3" t="s">
        <v>2263</v>
      </c>
      <c r="C2262" s="3" t="str">
        <f>IFERROR(__xludf.DUMMYFUNCTION("GOOGLETRANSLATE(B2262,""id"",""en"")"),"['What', 'Packagein', 'Dimy', 'Telkomsel', 'Terms',' SMS ',' Proof ',' Proof ',' Credit ',' BLM ',' Tacking ',' Package ',' Kouta ',' Direct ',' Suda ',' Update ',' The Application ',' What ',' ']")</f>
        <v>['What', 'Packagein', 'Dimy', 'Telkomsel', 'Terms',' SMS ',' Proof ',' Proof ',' Credit ',' BLM ',' Tacking ',' Package ',' Kouta ',' Direct ',' Suda ',' Update ',' The Application ',' What ',' ']</v>
      </c>
      <c r="D2262" s="3">
        <v>1.0</v>
      </c>
    </row>
    <row r="2263" ht="15.75" customHeight="1">
      <c r="A2263" s="1">
        <v>2261.0</v>
      </c>
      <c r="B2263" s="3" t="s">
        <v>2264</v>
      </c>
      <c r="C2263" s="3" t="str">
        <f>IFERROR(__xludf.DUMMYFUNCTION("GOOGLETRANSLATE(B2263,""id"",""en"")"),"['fooling', 'guided', 'needs',' community ',' package ',' internet ',' run out ',' late ',' sms', 'worn', 'cost', 'non', ' Package ',' You ',' Credit ',' Opens', 'Application', 'Minutes',' Out ',' ']")</f>
        <v>['fooling', 'guided', 'needs',' community ',' package ',' internet ',' run out ',' late ',' sms', 'worn', 'cost', 'non', ' Package ',' You ',' Credit ',' Opens', 'Application', 'Minutes',' Out ',' ']</v>
      </c>
      <c r="D2263" s="3">
        <v>1.0</v>
      </c>
    </row>
    <row r="2264" ht="15.75" customHeight="1">
      <c r="A2264" s="1">
        <v>2262.0</v>
      </c>
      <c r="B2264" s="3" t="s">
        <v>2265</v>
      </c>
      <c r="C2264" s="3" t="str">
        <f>IFERROR(__xludf.DUMMYFUNCTION("GOOGLETRANSLATE(B2264,""id"",""en"")"),"['Telkomsel', 'disorder', 'disappointed', 'quota', 'expensive', 'skrang', 'disorder', 'dlu', 'smooth', 'skrang', 'slow', 'forgiveness',' Use ',' Telkomsel ',' Sepe ',' Skrang ',' Network ',' Jngan ',' Blame ',' Customer ',' Klu ',' Move ',' Network ',' fi"&amp;"nish ']")</f>
        <v>['Telkomsel', 'disorder', 'disappointed', 'quota', 'expensive', 'skrang', 'disorder', 'dlu', 'smooth', 'skrang', 'slow', 'forgiveness',' Use ',' Telkomsel ',' Sepe ',' Skrang ',' Network ',' Jngan ',' Blame ',' Customer ',' Klu ',' Move ',' Network ',' finish ']</v>
      </c>
      <c r="D2264" s="3">
        <v>1.0</v>
      </c>
    </row>
    <row r="2265" ht="15.75" customHeight="1">
      <c r="A2265" s="1">
        <v>2263.0</v>
      </c>
      <c r="B2265" s="3" t="s">
        <v>2266</v>
      </c>
      <c r="C2265" s="3" t="str">
        <f>IFERROR(__xludf.DUMMYFUNCTION("GOOGLETRANSLATE(B2265,""id"",""en"")"),"['slow', 'open', 'the application', 'really', 'disappointed', 'use', 'application', 'application', 'please', 'updated', 'open', 'the application', ' Fast ',' Telkomael ',' Good ',' Reality ',' Slow ',' STAli ']")</f>
        <v>['slow', 'open', 'the application', 'really', 'disappointed', 'use', 'application', 'application', 'please', 'updated', 'open', 'the application', ' Fast ',' Telkomael ',' Good ',' Reality ',' Slow ',' STAli ']</v>
      </c>
      <c r="D2265" s="3">
        <v>1.0</v>
      </c>
    </row>
    <row r="2266" ht="15.75" customHeight="1">
      <c r="A2266" s="1">
        <v>2264.0</v>
      </c>
      <c r="B2266" s="3" t="s">
        <v>2267</v>
      </c>
      <c r="C2266" s="3" t="str">
        <f>IFERROR(__xludf.DUMMYFUNCTION("GOOGLETRANSLATE(B2266,""id"",""en"")"),"['Network', 'Where', 'Min', 'Gada', 'Network', 'Liat', 'Story', 'WhatsApp', 'Buffering', 'Mulu', 'Severe', 'Very', ' Dead ',' Lights', 'Network', 'Tetep', 'Kenceng', 'Dead', 'Lights',' Network ',' Slow ',' Pas', 'Dead', 'Lamp', 'Gada' , 'Network', 'expens"&amp;"ive', 'package', 'poor']")</f>
        <v>['Network', 'Where', 'Min', 'Gada', 'Network', 'Liat', 'Story', 'WhatsApp', 'Buffering', 'Mulu', 'Severe', 'Very', ' Dead ',' Lights', 'Network', 'Tetep', 'Kenceng', 'Dead', 'Lights',' Network ',' Slow ',' Pas', 'Dead', 'Lamp', 'Gada' , 'Network', 'expensive', 'package', 'poor']</v>
      </c>
      <c r="D2266" s="3">
        <v>2.0</v>
      </c>
    </row>
    <row r="2267" ht="15.75" customHeight="1">
      <c r="A2267" s="1">
        <v>2265.0</v>
      </c>
      <c r="B2267" s="3" t="s">
        <v>2268</v>
      </c>
      <c r="C2267" s="3" t="str">
        <f>IFERROR(__xludf.DUMMYFUNCTION("GOOGLETRANSLATE(B2267,""id"",""en"")"),"['cave', 'love', 'star', 'because', 'cave', 'can', 'purchase', 'package', 'Telkomsel', 'package', 'sometimes',' missing ',' Date ',' Customer ',' servicenya ',' told ',' Wait ',' Wait ',' Wait ',' Hour ',' hunting ',' promo ',' run out ',' sorry ',' love "&amp;"' , 'Bintang', 'Karna', 'Disappointed', 'Service', 'Telkomsel']")</f>
        <v>['cave', 'love', 'star', 'because', 'cave', 'can', 'purchase', 'package', 'Telkomsel', 'package', 'sometimes',' missing ',' Date ',' Customer ',' servicenya ',' told ',' Wait ',' Wait ',' Wait ',' Hour ',' hunting ',' promo ',' run out ',' sorry ',' love ' , 'Bintang', 'Karna', 'Disappointed', 'Service', 'Telkomsel']</v>
      </c>
      <c r="D2267" s="3">
        <v>1.0</v>
      </c>
    </row>
    <row r="2268" ht="15.75" customHeight="1">
      <c r="A2268" s="1">
        <v>2266.0</v>
      </c>
      <c r="B2268" s="3" t="s">
        <v>2269</v>
      </c>
      <c r="C2268" s="3" t="str">
        <f>IFERROR(__xludf.DUMMYFUNCTION("GOOGLETRANSLATE(B2268,""id"",""en"")"),"['dead', 'lights',' rain ',' clock ',' night ',' connection ',' iternet ',' slow ',' buy ',' package ',' expensive ',' ngeegame ',' Loss', 'emotion', 'sick', 'heart', 'Telkomsel', 'many years',' ']")</f>
        <v>['dead', 'lights',' rain ',' clock ',' night ',' connection ',' iternet ',' slow ',' buy ',' package ',' expensive ',' ngeegame ',' Loss', 'emotion', 'sick', 'heart', 'Telkomsel', 'many years',' ']</v>
      </c>
      <c r="D2268" s="3">
        <v>1.0</v>
      </c>
    </row>
    <row r="2269" ht="15.75" customHeight="1">
      <c r="A2269" s="1">
        <v>2267.0</v>
      </c>
      <c r="B2269" s="3" t="s">
        <v>2270</v>
      </c>
      <c r="C2269" s="3" t="str">
        <f>IFERROR(__xludf.DUMMYFUNCTION("GOOGLETRANSLATE(B2269,""id"",""en"")"),"['fit', 'see', 'tick', 'tok', 'signal', 'good', 'good', 'TPI', 'right', 'Maen', 'game', 'online', ' his signal ',' stable ',' missing ',' Bener ',' Bener ',' strange ',' please ',' developer ',' repaired ', ""]")</f>
        <v>['fit', 'see', 'tick', 'tok', 'signal', 'good', 'good', 'TPI', 'right', 'Maen', 'game', 'online', ' his signal ',' stable ',' missing ',' Bener ',' Bener ',' strange ',' please ',' developer ',' repaired ', "]</v>
      </c>
      <c r="D2269" s="3">
        <v>1.0</v>
      </c>
    </row>
    <row r="2270" ht="15.75" customHeight="1">
      <c r="A2270" s="1">
        <v>2268.0</v>
      </c>
      <c r="B2270" s="3" t="s">
        <v>2271</v>
      </c>
      <c r="C2270" s="3" t="str">
        <f>IFERROR(__xludf.DUMMYFUNCTION("GOOGLETRANSLATE(B2270,""id"",""en"")"),"['Benerin', 'The network', 'MAYAL', 'Doang', 'Sad', 'Telkomsel', 'strange', 'signal', 'full', 'network', 'slow', 'no', ' stable', '']")</f>
        <v>['Benerin', 'The network', 'MAYAL', 'Doang', 'Sad', 'Telkomsel', 'strange', 'signal', 'full', 'network', 'slow', 'no', ' stable', '']</v>
      </c>
      <c r="D2270" s="3">
        <v>1.0</v>
      </c>
    </row>
    <row r="2271" ht="15.75" customHeight="1">
      <c r="A2271" s="1">
        <v>2269.0</v>
      </c>
      <c r="B2271" s="3" t="s">
        <v>2272</v>
      </c>
      <c r="C2271" s="3" t="str">
        <f>IFERROR(__xludf.DUMMYFUNCTION("GOOGLETRANSLATE(B2271,""id"",""en"")"),"['Hello', 'Telkomsel', 'no', 'Telkomsel', 'finishing', 'regarding', 'number', 'easy', 'hijacked', 'traced', 'that's',' no ',' Enter ',' Message ',' Spam ',' number ',' used ',' fraud ',' card ',' Please ',' Task ',' Telkomsel ',' number ',' spam ',' gini "&amp;"' , 'Please', 'Pisan', 'Acquired', 'Continue', ""]")</f>
        <v>['Hello', 'Telkomsel', 'no', 'Telkomsel', 'finishing', 'regarding', 'number', 'easy', 'hijacked', 'traced', 'that's',' no ',' Enter ',' Message ',' Spam ',' number ',' used ',' fraud ',' card ',' Please ',' Task ',' Telkomsel ',' number ',' spam ',' gini ' , 'Please', 'Pisan', 'Acquired', 'Continue', "]</v>
      </c>
      <c r="D2271" s="3">
        <v>5.0</v>
      </c>
    </row>
    <row r="2272" ht="15.75" customHeight="1">
      <c r="A2272" s="1">
        <v>2270.0</v>
      </c>
      <c r="B2272" s="3" t="s">
        <v>2273</v>
      </c>
      <c r="C2272" s="3" t="str">
        <f>IFERROR(__xludf.DUMMYFUNCTION("GOOGLETRANSLATE(B2272,""id"",""en"")"),"['Telkomsel', 'connection', 'internet', 'poor', 'bangettt', 'lose', 'high school', 'card', 'fast', 'internet', 'Telkomsel', 'slow', ' bngett ',' difficult ',' kya ',' that's', 'already', 'mah', 'package', 'quota', 'expensive', 'loyal', 'bget', 'card', '']")</f>
        <v>['Telkomsel', 'connection', 'internet', 'poor', 'bangettt', 'lose', 'high school', 'card', 'fast', 'internet', 'Telkomsel', 'slow', ' bngett ',' difficult ',' kya ',' that's', 'already', 'mah', 'package', 'quota', 'expensive', 'loyal', 'bget', 'card', '']</v>
      </c>
      <c r="D2272" s="3">
        <v>1.0</v>
      </c>
    </row>
    <row r="2273" ht="15.75" customHeight="1">
      <c r="A2273" s="1">
        <v>2271.0</v>
      </c>
      <c r="B2273" s="3" t="s">
        <v>2274</v>
      </c>
      <c r="C2273" s="3" t="str">
        <f>IFERROR(__xludf.DUMMYFUNCTION("GOOGLETRANSLATE(B2273,""id"",""en"")"),"['Telkomsel', 'Taik', 'network', 'Kayak', 'defecate', 'times',' network ',' closed ',' uda ',' company ',' telephone ',' disappointed ',' "", 'crew', 'network', 'please', 'good', 'can', 'close', 'ajh',""]")</f>
        <v>['Telkomsel', 'Taik', 'network', 'Kayak', 'defecate', 'times',' network ',' closed ',' uda ',' company ',' telephone ',' disappointed ',' ", 'crew', 'network', 'please', 'good', 'can', 'close', 'ajh',"]</v>
      </c>
      <c r="D2273" s="3">
        <v>1.0</v>
      </c>
    </row>
    <row r="2274" ht="15.75" customHeight="1">
      <c r="A2274" s="1">
        <v>2272.0</v>
      </c>
      <c r="B2274" s="3" t="s">
        <v>2275</v>
      </c>
      <c r="C2274" s="3" t="str">
        <f>IFERROR(__xludf.DUMMYFUNCTION("GOOGLETRANSLATE(B2274,""id"",""en"")"),"['Network', 'Telkomsel', 'JLEK', 'BANGET', 'Buy', 'Package', 'Signal', 'JLEK', 'VAUT', 'PACKAGE', 'LITH', 'Mending', ' Buy ',' Package ',' Indosat ',' ']")</f>
        <v>['Network', 'Telkomsel', 'JLEK', 'BANGET', 'Buy', 'Package', 'Signal', 'JLEK', 'VAUT', 'PACKAGE', 'LITH', 'Mending', ' Buy ',' Package ',' Indosat ',' ']</v>
      </c>
      <c r="D2274" s="3">
        <v>1.0</v>
      </c>
    </row>
    <row r="2275" ht="15.75" customHeight="1">
      <c r="A2275" s="1">
        <v>2273.0</v>
      </c>
      <c r="B2275" s="3" t="s">
        <v>2276</v>
      </c>
      <c r="C2275" s="3" t="str">
        <f>IFERROR(__xludf.DUMMYFUNCTION("GOOGLETRANSLATE(B2275,""id"",""en"")"),"['Star', 'None', 'Suitable', 'Telkomsel', 'Allah', 'signal', 'slow', 'snail', 'emotion', 'quota', 'belik', 'expensive', ' Mostored ',' tip ',' keuang ',' Krna ',' signal ',' slow ',' already ',' contact ',' email ',' jugak ',' put ',' woyyy ',' regret ' ,"&amp;" 'buy', 'quota', 'expensive', 'Lahh', 'buy', 'forgiveness', 'loss']")</f>
        <v>['Star', 'None', 'Suitable', 'Telkomsel', 'Allah', 'signal', 'slow', 'snail', 'emotion', 'quota', 'belik', 'expensive', ' Mostored ',' tip ',' keuang ',' Krna ',' signal ',' slow ',' already ',' contact ',' email ',' jugak ',' put ',' woyyy ',' regret ' , 'buy', 'quota', 'expensive', 'Lahh', 'buy', 'forgiveness', 'loss']</v>
      </c>
      <c r="D2275" s="3">
        <v>1.0</v>
      </c>
    </row>
    <row r="2276" ht="15.75" customHeight="1">
      <c r="A2276" s="1">
        <v>2274.0</v>
      </c>
      <c r="B2276" s="3" t="s">
        <v>2277</v>
      </c>
      <c r="C2276" s="3" t="str">
        <f>IFERROR(__xludf.DUMMYFUNCTION("GOOGLETRANSLATE(B2276,""id"",""en"")"),"['entry', 'the application', 'connection', 'slow', 'enter', 'list', 'package', 'blm', 'list', 'pulse', 'udh', 'sumps',' thousand ',' minutes', 'crazy']")</f>
        <v>['entry', 'the application', 'connection', 'slow', 'enter', 'list', 'package', 'blm', 'list', 'pulse', 'udh', 'sumps',' thousand ',' minutes', 'crazy']</v>
      </c>
      <c r="D2276" s="3">
        <v>1.0</v>
      </c>
    </row>
    <row r="2277" ht="15.75" customHeight="1">
      <c r="A2277" s="1">
        <v>2275.0</v>
      </c>
      <c r="B2277" s="3" t="s">
        <v>2278</v>
      </c>
      <c r="C2277" s="3" t="str">
        <f>IFERROR(__xludf.DUMMYFUNCTION("GOOGLETRANSLATE(B2277,""id"",""en"")"),"['Pulp', 'really', 'Telkomsel', 'win', 'expensive', 'Doang', 'signal', 'difficult', 'really', 'love', 'drizzle', 'a little', ' Direct ',' difficult ',' really ',' signal ',' please ',' fix ']")</f>
        <v>['Pulp', 'really', 'Telkomsel', 'win', 'expensive', 'Doang', 'signal', 'difficult', 'really', 'love', 'drizzle', 'a little', ' Direct ',' difficult ',' really ',' signal ',' please ',' fix ']</v>
      </c>
      <c r="D2277" s="3">
        <v>1.0</v>
      </c>
    </row>
    <row r="2278" ht="15.75" customHeight="1">
      <c r="A2278" s="1">
        <v>2276.0</v>
      </c>
      <c r="B2278" s="3" t="s">
        <v>2279</v>
      </c>
      <c r="C2278" s="3" t="str">
        <f>IFERROR(__xludf.DUMMYFUNCTION("GOOGLETRANSLATE(B2278,""id"",""en"")"),"['ilang', 'then', 'pulse', 'dipake', 'biodiversity', 'Telkomsel', 'intentionally', 'I', 'activated', 'quota', 'ilang', 'quota', ' ',' Danger ',' Dipake ',' ilang ',' subscription ',' anything ', ""]")</f>
        <v>['ilang', 'then', 'pulse', 'dipake', 'biodiversity', 'Telkomsel', 'intentionally', 'I', 'activated', 'quota', 'ilang', 'quota', ' ',' Danger ',' Dipake ',' ilang ',' subscription ',' anything ', "]</v>
      </c>
      <c r="D2278" s="3">
        <v>1.0</v>
      </c>
    </row>
    <row r="2279" ht="15.75" customHeight="1">
      <c r="A2279" s="1">
        <v>2277.0</v>
      </c>
      <c r="B2279" s="3" t="s">
        <v>2280</v>
      </c>
      <c r="C2279" s="3" t="str">
        <f>IFERROR(__xludf.DUMMYFUNCTION("GOOGLETRANSLATE(B2279,""id"",""en"")"),"['application', 'MyTelkomsel', 'defective', 'slow', 'have', 'really', 'developer', 'Telkomsel', 'consumer', 'disappointing', '']")</f>
        <v>['application', 'MyTelkomsel', 'defective', 'slow', 'have', 'really', 'developer', 'Telkomsel', 'consumer', 'disappointing', '']</v>
      </c>
      <c r="D2279" s="3">
        <v>1.0</v>
      </c>
    </row>
    <row r="2280" ht="15.75" customHeight="1">
      <c r="A2280" s="1">
        <v>2278.0</v>
      </c>
      <c r="B2280" s="3" t="s">
        <v>2281</v>
      </c>
      <c r="C2280" s="3" t="str">
        <f>IFERROR(__xludf.DUMMYFUNCTION("GOOGLETRANSLATE(B2280,""id"",""en"")"),"['network', 'internet', 'slow', 'call', 'Try', 'internet', 'ugly', 'network', 'call', 'the network', 'lost']")</f>
        <v>['network', 'internet', 'slow', 'call', 'Try', 'internet', 'ugly', 'network', 'call', 'the network', 'lost']</v>
      </c>
      <c r="D2280" s="3">
        <v>1.0</v>
      </c>
    </row>
    <row r="2281" ht="15.75" customHeight="1">
      <c r="A2281" s="1">
        <v>2279.0</v>
      </c>
      <c r="B2281" s="3" t="s">
        <v>2282</v>
      </c>
      <c r="C2281" s="3" t="str">
        <f>IFERROR(__xludf.DUMMYFUNCTION("GOOGLETRANSLATE(B2281,""id"",""en"")"),"['signal', 'like', 'ugly', 'in my opinion', 'no', 'just', 'Iya', 'dead', 'lights',' like ',' empty ',' that's', ' gada ',' none ',' network ',' then ',' buy ',' package ',' unlimited ',' maen ',' game ',' yesterday ',' please ',' fix ',' min ' , 'MFF', 'b"&amp;"ags',' students', 'skarang', 'financial', 'critical', 'please', 'play', 'game', 'pretty', 'quota', 'Abis',' Play ',' Game ',' Thx ',' Hope ',' Mimin ',' Read ', ""]")</f>
        <v>['signal', 'like', 'ugly', 'in my opinion', 'no', 'just', 'Iya', 'dead', 'lights',' like ',' empty ',' that's', ' gada ',' none ',' network ',' then ',' buy ',' package ',' unlimited ',' maen ',' game ',' yesterday ',' please ',' fix ',' min ' , 'MFF', 'bags',' students', 'skarang', 'financial', 'critical', 'please', 'play', 'game', 'pretty', 'quota', 'Abis',' Play ',' Game ',' Thx ',' Hope ',' Mimin ',' Read ', "]</v>
      </c>
      <c r="D2281" s="3">
        <v>4.0</v>
      </c>
    </row>
    <row r="2282" ht="15.75" customHeight="1">
      <c r="A2282" s="1">
        <v>2280.0</v>
      </c>
      <c r="B2282" s="3" t="s">
        <v>2283</v>
      </c>
      <c r="C2282" s="3" t="str">
        <f>IFERROR(__xludf.DUMMYFUNCTION("GOOGLETRANSLATE(B2282,""id"",""en"")"),"['Telkomsel', 'consistent', 'activated', 'package', 'unlimited', 'pke', 'a month', 'then', 'cook', 'active', 'already', 'bende', ' right ',' check ',' date ',' changed ',' gmna ',' continued ',' CMA ',' price ',' was changed ', ""]")</f>
        <v>['Telkomsel', 'consistent', 'activated', 'package', 'unlimited', 'pke', 'a month', 'then', 'cook', 'active', 'already', 'bende', ' right ',' check ',' date ',' changed ',' gmna ',' continued ',' CMA ',' price ',' was changed ', "]</v>
      </c>
      <c r="D2282" s="3">
        <v>3.0</v>
      </c>
    </row>
    <row r="2283" ht="15.75" customHeight="1">
      <c r="A2283" s="1">
        <v>2281.0</v>
      </c>
      <c r="B2283" s="3" t="s">
        <v>2284</v>
      </c>
      <c r="C2283" s="3" t="str">
        <f>IFERROR(__xludf.DUMMYFUNCTION("GOOGLETRANSLATE(B2283,""id"",""en"")"),"['operator', 'Telkomsel', 'Worth', 'Plus', 'minus', 'at the top', 'Telkomsel', 'signal', 'bar', 'Its', 'because' signal ',' friend ',' friend ',' make ',' operator ',' missing ',' in the city ',' good ',' besmen ',' skali ',' make ',' Telkomsel ',' confus"&amp;"ed ',' really ' , 'Telkomsel', 'ugly', ""]")</f>
        <v>['operator', 'Telkomsel', 'Worth', 'Plus', 'minus', 'at the top', 'Telkomsel', 'signal', 'bar', 'Its', 'because' signal ',' friend ',' friend ',' make ',' operator ',' missing ',' in the city ',' good ',' besmen ',' skali ',' make ',' Telkomsel ',' confused ',' really ' , 'Telkomsel', 'ugly', "]</v>
      </c>
      <c r="D2283" s="3">
        <v>5.0</v>
      </c>
    </row>
    <row r="2284" ht="15.75" customHeight="1">
      <c r="A2284" s="1">
        <v>2282.0</v>
      </c>
      <c r="B2284" s="3" t="s">
        <v>2285</v>
      </c>
      <c r="C2284" s="3" t="str">
        <f>IFERROR(__xludf.DUMMYFUNCTION("GOOGLETRANSLATE(B2284,""id"",""en"")"),"['already', 'contents',' pulse ',' right ',' check ',' buy ',' package ',' quota ',' pulse ',' sufficient ',' check ',' pulses', ' buy ',' package ',' credit ',' sufficient ',' check ',' pulse ',' how ',' please ',' fix ',' ']")</f>
        <v>['already', 'contents',' pulse ',' right ',' check ',' buy ',' package ',' quota ',' pulse ',' sufficient ',' check ',' pulses', ' buy ',' package ',' credit ',' sufficient ',' check ',' pulse ',' how ',' please ',' fix ',' ']</v>
      </c>
      <c r="D2284" s="3">
        <v>1.0</v>
      </c>
    </row>
    <row r="2285" ht="15.75" customHeight="1">
      <c r="A2285" s="1">
        <v>2283.0</v>
      </c>
      <c r="B2285" s="3" t="s">
        <v>2286</v>
      </c>
      <c r="C2285" s="3" t="str">
        <f>IFERROR(__xludf.DUMMYFUNCTION("GOOGLETRANSLATE(B2285,""id"",""en"")"),"['knp', 'network', 'internet', 'Tembagapura', 'ugly', 'slow', 'sometimes',' pending ',' beg ',' fix ',' DMN ',' Tembagapura ',' Help ',' Email ',' Mimin ',' Mimin ',' Call ',' Network ',' Internet ',' Tembagapura ',' Fix ',' ']")</f>
        <v>['knp', 'network', 'internet', 'Tembagapura', 'ugly', 'slow', 'sometimes',' pending ',' beg ',' fix ',' DMN ',' Tembagapura ',' Help ',' Email ',' Mimin ',' Mimin ',' Call ',' Network ',' Internet ',' Tembagapura ',' Fix ',' ']</v>
      </c>
      <c r="D2285" s="3">
        <v>4.0</v>
      </c>
    </row>
    <row r="2286" ht="15.75" customHeight="1">
      <c r="A2286" s="1">
        <v>2284.0</v>
      </c>
      <c r="B2286" s="3" t="s">
        <v>2287</v>
      </c>
      <c r="C2286" s="3" t="str">
        <f>IFERROR(__xludf.DUMMYFUNCTION("GOOGLETRANSLATE(B2286,""id"",""en"")"),"['', 'area', 'village', 'really', 'kab', 'bojoneegoro', 'jatim', 'signal', 'telkomsel', 'bnget', 'ilang', 'applg', 'You ',' Tube ',' worship ',' severe ',' bnget ',' muter ',' video ',' apalgi ',' palibg ',' annoyed ',' staple ',' please ',' strength ', '"&amp;"The network', 'area', 'mksih']")</f>
        <v>['', 'area', 'village', 'really', 'kab', 'bojoneegoro', 'jatim', 'signal', 'telkomsel', 'bnget', 'ilang', 'applg', 'You ',' Tube ',' worship ',' severe ',' bnget ',' muter ',' video ',' apalgi ',' palibg ',' annoyed ',' staple ',' please ',' strength ', 'The network', 'area', 'mksih']</v>
      </c>
      <c r="D2286" s="3">
        <v>1.0</v>
      </c>
    </row>
    <row r="2287" ht="15.75" customHeight="1">
      <c r="A2287" s="1">
        <v>2285.0</v>
      </c>
      <c r="B2287" s="3" t="s">
        <v>2288</v>
      </c>
      <c r="C2287" s="3" t="str">
        <f>IFERROR(__xludf.DUMMYFUNCTION("GOOGLETRANSLATE(B2287,""id"",""en"")"),"['Hello', 'Points',' Lost ',' Points', 'Points',' See ',' Tomorrow ',' Please ',' Terms', 'Laris',' Used ',' Terbimah ',' love']")</f>
        <v>['Hello', 'Points',' Lost ',' Points', 'Points',' See ',' Tomorrow ',' Please ',' Terms', 'Laris',' Used ',' Terbimah ',' love']</v>
      </c>
      <c r="D2287" s="3">
        <v>1.0</v>
      </c>
    </row>
    <row r="2288" ht="15.75" customHeight="1">
      <c r="A2288" s="1">
        <v>2286.0</v>
      </c>
      <c r="B2288" s="3" t="s">
        <v>2289</v>
      </c>
      <c r="C2288" s="3" t="str">
        <f>IFERROR(__xludf.DUMMYFUNCTION("GOOGLETRANSLATE(B2288,""id"",""en"")"),"['What', 'Bela', 'Belain', 'Delete', 'Tiktok', 'Instagram', 'Download', 'APK', 'Telkomsel', 'Login', 'Email', 'Ngga', ' Used ',' already ',' repeated ',' Many ',' times', 'until', 'connected', 'Tetep', 'Login', 'intention', 'APK', ""]")</f>
        <v>['What', 'Bela', 'Belain', 'Delete', 'Tiktok', 'Instagram', 'Download', 'APK', 'Telkomsel', 'Login', 'Email', 'Ngga', ' Used ',' already ',' repeated ',' Many ',' times', 'until', 'connected', 'Tetep', 'Login', 'intention', 'APK', "]</v>
      </c>
      <c r="D2288" s="3">
        <v>2.0</v>
      </c>
    </row>
    <row r="2289" ht="15.75" customHeight="1">
      <c r="A2289" s="1">
        <v>2287.0</v>
      </c>
      <c r="B2289" s="3" t="s">
        <v>2290</v>
      </c>
      <c r="C2289" s="3" t="str">
        <f>IFERROR(__xludf.DUMMYFUNCTION("GOOGLETRANSLATE(B2289,""id"",""en"")"),"['Severe', 'swear', 'Telkomsel', 'era', 'now', 'support', 'network', 'priority', 'LTE', 'problematic', 'try', 'Simcard', ' Weve ',' network ',' th ',' use ',' Telkomsel ',' feels', 'disappointed', 'really', 'oath', 'package', 'data', 'expensive', 'buy' , "&amp;"'expensive', 'expensive', 'network', '']")</f>
        <v>['Severe', 'swear', 'Telkomsel', 'era', 'now', 'support', 'network', 'priority', 'LTE', 'problematic', 'try', 'Simcard', ' Weve ',' network ',' th ',' use ',' Telkomsel ',' feels', 'disappointed', 'really', 'oath', 'package', 'data', 'expensive', 'buy' , 'expensive', 'expensive', 'network', '']</v>
      </c>
      <c r="D2289" s="3">
        <v>1.0</v>
      </c>
    </row>
    <row r="2290" ht="15.75" customHeight="1">
      <c r="A2290" s="1">
        <v>2288.0</v>
      </c>
      <c r="B2290" s="3" t="s">
        <v>2291</v>
      </c>
      <c r="C2290" s="3" t="str">
        <f>IFERROR(__xludf.DUMMYFUNCTION("GOOGLETRANSLATE(B2290,""id"",""en"")"),"['Signal', 'Bad', 'Telkomsel', 'already', 'cave', 'Anggep', 'girlfriend', 'home', 'cave', 'signal', 'signal', 'Telkomsel', ' Lose ',' friend ',' Smatpren ',' please ',' fix ',' your signal ']")</f>
        <v>['Signal', 'Bad', 'Telkomsel', 'already', 'cave', 'Anggep', 'girlfriend', 'home', 'cave', 'signal', 'signal', 'Telkomsel', ' Lose ',' friend ',' Smatpren ',' please ',' fix ',' your signal ']</v>
      </c>
      <c r="D2290" s="3">
        <v>1.0</v>
      </c>
    </row>
    <row r="2291" ht="15.75" customHeight="1">
      <c r="A2291" s="1">
        <v>2289.0</v>
      </c>
      <c r="B2291" s="3" t="s">
        <v>2292</v>
      </c>
      <c r="C2291" s="3" t="str">
        <f>IFERROR(__xludf.DUMMYFUNCTION("GOOGLETRANSLATE(B2291,""id"",""en"")"),"['already', 'buy', 'package', 'internet', 'expensive', 'connection', 'internet', 'bad', 'ping', 'signal', 'please', 'fix', ' Telekomsel ',' ']")</f>
        <v>['already', 'buy', 'package', 'internet', 'expensive', 'connection', 'internet', 'bad', 'ping', 'signal', 'please', 'fix', ' Telekomsel ',' ']</v>
      </c>
      <c r="D2291" s="3">
        <v>2.0</v>
      </c>
    </row>
    <row r="2292" ht="15.75" customHeight="1">
      <c r="A2292" s="1">
        <v>2290.0</v>
      </c>
      <c r="B2292" s="3" t="s">
        <v>2293</v>
      </c>
      <c r="C2292" s="3" t="str">
        <f>IFERROR(__xludf.DUMMYFUNCTION("GOOGLETRANSLATE(B2292,""id"",""en"")"),"['The network', 'bad', 'bar', 'signal', 'full', 'play', 'game', 'online', 'ping', 'above', 'speed', 'download', ' KB ',' signal ',' full ',' embarrassing ']")</f>
        <v>['The network', 'bad', 'bar', 'signal', 'full', 'play', 'game', 'online', 'ping', 'above', 'speed', 'download', ' KB ',' signal ',' full ',' embarrassing ']</v>
      </c>
      <c r="D2292" s="3">
        <v>1.0</v>
      </c>
    </row>
    <row r="2293" ht="15.75" customHeight="1">
      <c r="A2293" s="1">
        <v>2291.0</v>
      </c>
      <c r="B2293" s="3" t="s">
        <v>2294</v>
      </c>
      <c r="C2293" s="3" t="str">
        <f>IFERROR(__xludf.DUMMYFUNCTION("GOOGLETRANSLATE(B2293,""id"",""en"")"),"['bad', 'used', 'decent', 'ugly', 'signal', 'detrimental', 'rich', 'package', 'contact', 'customer', 'service', 'action', ' Please ',' Repaired ',' Region ',' Signal ',' Telkom ',' Function ',' ']")</f>
        <v>['bad', 'used', 'decent', 'ugly', 'signal', 'detrimental', 'rich', 'package', 'contact', 'customer', 'service', 'action', ' Please ',' Repaired ',' Region ',' Signal ',' Telkom ',' Function ',' ']</v>
      </c>
      <c r="D2293" s="3">
        <v>1.0</v>
      </c>
    </row>
    <row r="2294" ht="15.75" customHeight="1">
      <c r="A2294" s="1">
        <v>2292.0</v>
      </c>
      <c r="B2294" s="3" t="s">
        <v>2295</v>
      </c>
      <c r="C2294" s="3" t="str">
        <f>IFERROR(__xludf.DUMMYFUNCTION("GOOGLETRANSLATE(B2294,""id"",""en"")"),"['complain', 'signal', 'application', 'relationship', 'signal', 'review', 'Performance', 'Application', 'BTW', 'The application', 'makes it easy', ""]")</f>
        <v>['complain', 'signal', 'application', 'relationship', 'signal', 'review', 'Performance', 'Application', 'BTW', 'The application', 'makes it easy', "]</v>
      </c>
      <c r="D2294" s="3">
        <v>5.0</v>
      </c>
    </row>
    <row r="2295" ht="15.75" customHeight="1">
      <c r="A2295" s="1">
        <v>2293.0</v>
      </c>
      <c r="B2295" s="3" t="s">
        <v>2296</v>
      </c>
      <c r="C2295" s="3" t="str">
        <f>IFERROR(__xludf.DUMMYFUNCTION("GOOGLETRANSLATE(B2295,""id"",""en"")"),"['already', 'apk', 'Telkomsel', 'right', 'opened', 'opened', 'android', 'anything', 'just', 'delete', 'the application', 'Udh', ' Wait ',' gabisa ',' opened ',' ']")</f>
        <v>['already', 'apk', 'Telkomsel', 'right', 'opened', 'opened', 'android', 'anything', 'just', 'delete', 'the application', 'Udh', ' Wait ',' gabisa ',' opened ',' ']</v>
      </c>
      <c r="D2295" s="3">
        <v>1.0</v>
      </c>
    </row>
    <row r="2296" ht="15.75" customHeight="1">
      <c r="A2296" s="1">
        <v>2294.0</v>
      </c>
      <c r="B2296" s="3" t="s">
        <v>2297</v>
      </c>
      <c r="C2296" s="3" t="str">
        <f>IFERROR(__xludf.DUMMYFUNCTION("GOOGLETRANSLATE(B2296,""id"",""en"")"),"['already', 'signal', 'Telkomsel', 'slow', 'really', 'region', 'Cengkareng', 'jakarta', 'West', 'oath', 'slow', 'really', ' Please ',' Telkomsel ',' repaired ',' Darling ',' Change ',' card ',' UDH ',' use ',' Telkomsel ']")</f>
        <v>['already', 'signal', 'Telkomsel', 'slow', 'really', 'region', 'Cengkareng', 'jakarta', 'West', 'oath', 'slow', 'really', ' Please ',' Telkomsel ',' repaired ',' Darling ',' Change ',' card ',' UDH ',' use ',' Telkomsel ']</v>
      </c>
      <c r="D2296" s="3">
        <v>1.0</v>
      </c>
    </row>
    <row r="2297" ht="15.75" customHeight="1">
      <c r="A2297" s="1">
        <v>2295.0</v>
      </c>
      <c r="B2297" s="3" t="s">
        <v>2298</v>
      </c>
      <c r="C2297" s="3" t="str">
        <f>IFERROR(__xludf.DUMMYFUNCTION("GOOGLETRANSLATE(B2297,""id"",""en"")"),"['ugly', 'network', 'internet', 'Telkomsel', 'expensive', 'doang', 'quality', 'no', 'regret', 'survive', 'Telkomsel', 'network', ' Survive ',' Telkomsel ',' Kirain ',' Change ',' Change ',' Number ',' Telkomsel ',' Family ', ""]")</f>
        <v>['ugly', 'network', 'internet', 'Telkomsel', 'expensive', 'doang', 'quality', 'no', 'regret', 'survive', 'Telkomsel', 'network', ' Survive ',' Telkomsel ',' Kirain ',' Change ',' Change ',' Number ',' Telkomsel ',' Family ', "]</v>
      </c>
      <c r="D2297" s="3">
        <v>1.0</v>
      </c>
    </row>
    <row r="2298" ht="15.75" customHeight="1">
      <c r="A2298" s="1">
        <v>2296.0</v>
      </c>
      <c r="B2298" s="3" t="s">
        <v>2299</v>
      </c>
      <c r="C2298" s="3" t="str">
        <f>IFERROR(__xludf.DUMMYFUNCTION("GOOGLETRANSLATE(B2298,""id"",""en"")"),"['Update', 'Open', 'Application', 'Telkomsel', 'Mobile', 'Lansung', 'Heng', 'Application', 'Telkomsel', 'Opened', 'Please', 'Fix', ' ']")</f>
        <v>['Update', 'Open', 'Application', 'Telkomsel', 'Mobile', 'Lansung', 'Heng', 'Application', 'Telkomsel', 'Opened', 'Please', 'Fix', ' ']</v>
      </c>
      <c r="D2298" s="3">
        <v>1.0</v>
      </c>
    </row>
    <row r="2299" ht="15.75" customHeight="1">
      <c r="A2299" s="1">
        <v>2297.0</v>
      </c>
      <c r="B2299" s="3" t="s">
        <v>2300</v>
      </c>
      <c r="C2299" s="3" t="str">
        <f>IFERROR(__xludf.DUMMYFUNCTION("GOOGLETRANSLATE(B2299,""id"",""en"")"),"['Kirain', 'just', 'cave', 'network', 'slow', 'users',' Telkomsel ',' experience ',' fate ',' please ',' Telkomsel ',' quality ',' The network is', 'Fix', 'Klau', 'Cave', 'Switch', 'Other', ""]")</f>
        <v>['Kirain', 'just', 'cave', 'network', 'slow', 'users',' Telkomsel ',' experience ',' fate ',' please ',' Telkomsel ',' quality ',' The network is', 'Fix', 'Klau', 'Cave', 'Switch', 'Other', "]</v>
      </c>
      <c r="D2299" s="3">
        <v>1.0</v>
      </c>
    </row>
    <row r="2300" ht="15.75" customHeight="1">
      <c r="A2300" s="1">
        <v>2298.0</v>
      </c>
      <c r="B2300" s="3" t="s">
        <v>2301</v>
      </c>
      <c r="C2300" s="3" t="str">
        <f>IFERROR(__xludf.DUMMYFUNCTION("GOOGLETRANSLATE(B2300,""id"",""en"")"),"['Disappointed', 'Telkomsel', 'Telkomsel', 'The network', 'stable', 'Sometimes',' Good ',' Most ',' ugly ',' work ',' moved ',' City ',' Tetep ',' The network ',' Needs it ',' because ',' thought ',' Sunday ',' already ',' Moor ',' Please ',' Sorry ',' Se"&amp;"arch ',' Option ',' Card ' , 'Perdana', 'Good', '']")</f>
        <v>['Disappointed', 'Telkomsel', 'Telkomsel', 'The network', 'stable', 'Sometimes',' Good ',' Most ',' ugly ',' work ',' moved ',' City ',' Tetep ',' The network ',' Needs it ',' because ',' thought ',' Sunday ',' already ',' Moor ',' Please ',' Sorry ',' Search ',' Option ',' Card ' , 'Perdana', 'Good', '']</v>
      </c>
      <c r="D2300" s="3">
        <v>1.0</v>
      </c>
    </row>
    <row r="2301" ht="15.75" customHeight="1">
      <c r="A2301" s="1">
        <v>2299.0</v>
      </c>
      <c r="B2301" s="3" t="s">
        <v>2302</v>
      </c>
      <c r="C2301" s="3" t="str">
        <f>IFERROR(__xludf.DUMMYFUNCTION("GOOGLETRANSLATE(B2301,""id"",""en"")"),"['card', 'changed', 'card', 'hello', 'price', 'package', 'expensive', 'yaa', 'already', 'buy', 'package', 'combo', ' Sakti ',' unlimited ',' kmren ',' fit ',' called ',' info ',' customer ',' moved ',' card ',' hello ',' price ',' package ',' purchase ' ,"&amp;" 'package', 'gini', 'expensive', 'buy', 'package', 'combo', 'mending', 'gausah', 'switch', 'karu', 'sympathy', 'card', ' Hello ',' ']")</f>
        <v>['card', 'changed', 'card', 'hello', 'price', 'package', 'expensive', 'yaa', 'already', 'buy', 'package', 'combo', ' Sakti ',' unlimited ',' kmren ',' fit ',' called ',' info ',' customer ',' moved ',' card ',' hello ',' price ',' package ',' purchase ' , 'package', 'gini', 'expensive', 'buy', 'package', 'combo', 'mending', 'gausah', 'switch', 'karu', 'sympathy', 'card', ' Hello ',' ']</v>
      </c>
      <c r="D2301" s="3">
        <v>1.0</v>
      </c>
    </row>
    <row r="2302" ht="15.75" customHeight="1">
      <c r="A2302" s="1">
        <v>2300.0</v>
      </c>
      <c r="B2302" s="3" t="s">
        <v>2303</v>
      </c>
      <c r="C2302" s="3" t="str">
        <f>IFERROR(__xludf.DUMMYFUNCTION("GOOGLETRANSLATE(B2302,""id"",""en"")"),"['Telkomsel', 'already', 'rich', 'Kenceng', 'slow', 'forgiveness',' network ',' signal ',' slow ',' forgiveness', 'maen', 'game', ' Instagram ',' Youtube ',' sosmed ',' ngeleg ',' road ',' mending ',' moved ',' card ',' according to ',' price ',' network "&amp;"',' bangus', 'Telkomsel' , 'already', 'expensive', 'slow', 'cave', 'want', 'rich', 'era', 'Telkomsel', ""]")</f>
        <v>['Telkomsel', 'already', 'rich', 'Kenceng', 'slow', 'forgiveness',' network ',' signal ',' slow ',' forgiveness', 'maen', 'game', ' Instagram ',' Youtube ',' sosmed ',' ngeleg ',' road ',' mending ',' moved ',' card ',' according to ',' price ',' network ',' bangus', 'Telkomsel' , 'already', 'expensive', 'slow', 'cave', 'want', 'rich', 'era', 'Telkomsel', "]</v>
      </c>
      <c r="D2302" s="3">
        <v>1.0</v>
      </c>
    </row>
    <row r="2303" ht="15.75" customHeight="1">
      <c r="A2303" s="1">
        <v>2301.0</v>
      </c>
      <c r="B2303" s="3" t="s">
        <v>2304</v>
      </c>
      <c r="C2303" s="3" t="str">
        <f>IFERROR(__xludf.DUMMYFUNCTION("GOOGLETRANSLATE(B2303,""id"",""en"")"),"['good', 'signal', 'good', 'internet', 'fast', 'down', 'collect', 'task', 'lecture', 'late', 'gara', 'internet', ' slow ',' zoom ',' its network ',' missing ',' please ',' repaired ',' convenience ',' user ']")</f>
        <v>['good', 'signal', 'good', 'internet', 'fast', 'down', 'collect', 'task', 'lecture', 'late', 'gara', 'internet', ' slow ',' zoom ',' its network ',' missing ',' please ',' repaired ',' convenience ',' user ']</v>
      </c>
      <c r="D2303" s="3">
        <v>1.0</v>
      </c>
    </row>
    <row r="2304" ht="15.75" customHeight="1">
      <c r="A2304" s="1">
        <v>2302.0</v>
      </c>
      <c r="B2304" s="3" t="s">
        <v>2305</v>
      </c>
      <c r="C2304" s="3" t="str">
        <f>IFERROR(__xludf.DUMMYFUNCTION("GOOGLETRANSLATE(B2304,""id"",""en"")"),"['Sorry', 'package', 'cheap', 'really', 'cheerful', 'GB', 'GB', 'all', 'net', 'GB', 'min', 'hr', ' RB ',' Activate ',' Package ',' Reply ',' buy ',' sms', 'click', 'Tsel', 'hotoffer', 'week', 'subscribe']")</f>
        <v>['Sorry', 'package', 'cheap', 'really', 'cheerful', 'GB', 'GB', 'all', 'net', 'GB', 'min', 'hr', ' RB ',' Activate ',' Package ',' Reply ',' buy ',' sms', 'click', 'Tsel', 'hotoffer', 'week', 'subscribe']</v>
      </c>
      <c r="D2304" s="3">
        <v>1.0</v>
      </c>
    </row>
    <row r="2305" ht="15.75" customHeight="1">
      <c r="A2305" s="1">
        <v>2303.0</v>
      </c>
      <c r="B2305" s="3" t="s">
        <v>2306</v>
      </c>
      <c r="C2305" s="3" t="str">
        <f>IFERROR(__xludf.DUMMYFUNCTION("GOOGLETRANSLATE(B2305,""id"",""en"")"),"['Sorry', 'move', 'axis', 'because' stable ',' network ',' internet ',' special ',' bitung ',' sulut ',' ugly ',' dlm ',' The room ',' network ',' JDI ',' pesi ',' britikir ',' NMR ',' use ',' old ',' TPI ',' Karna ',' internet ',' dilapidated ',' sorry '"&amp;" , 'move', '']")</f>
        <v>['Sorry', 'move', 'axis', 'because' stable ',' network ',' internet ',' special ',' bitung ',' sulut ',' ugly ',' dlm ',' The room ',' network ',' JDI ',' pesi ',' britikir ',' NMR ',' use ',' old ',' TPI ',' Karna ',' internet ',' dilapidated ',' sorry ' , 'move', '']</v>
      </c>
      <c r="D2305" s="3">
        <v>1.0</v>
      </c>
    </row>
    <row r="2306" ht="15.75" customHeight="1">
      <c r="A2306" s="1">
        <v>2304.0</v>
      </c>
      <c r="B2306" s="3" t="s">
        <v>2307</v>
      </c>
      <c r="C2306" s="3" t="str">
        <f>IFERROR(__xludf.DUMMYFUNCTION("GOOGLETRANSLATE(B2306,""id"",""en"")"),"['Telkomsel', 'bad', 'connection', 'play', 'game', 'lag', 'ping', 'game', 'severe', 'different', 'tetep', 'fast', ' Now ',' lag ',' game ',' Play ',' Disappointed ',' ']")</f>
        <v>['Telkomsel', 'bad', 'connection', 'play', 'game', 'lag', 'ping', 'game', 'severe', 'different', 'tetep', 'fast', ' Now ',' lag ',' game ',' Play ',' Disappointed ',' ']</v>
      </c>
      <c r="D2306" s="3">
        <v>1.0</v>
      </c>
    </row>
    <row r="2307" ht="15.75" customHeight="1">
      <c r="A2307" s="1">
        <v>2305.0</v>
      </c>
      <c r="B2307" s="3" t="s">
        <v>2308</v>
      </c>
      <c r="C2307" s="3" t="str">
        <f>IFERROR(__xludf.DUMMYFUNCTION("GOOGLETRANSLATE(B2307,""id"",""en"")"),"['Telkomsel', 'already', 'weak', 'pandemic', 'gini', 'Telkomsel', 'thinking', 'customer', 'disappointed', 'slow', 'spray', 'internet', ' Stable ',' ']")</f>
        <v>['Telkomsel', 'already', 'weak', 'pandemic', 'gini', 'Telkomsel', 'thinking', 'customer', 'disappointed', 'slow', 'spray', 'internet', ' Stable ',' ']</v>
      </c>
      <c r="D2307" s="3">
        <v>1.0</v>
      </c>
    </row>
    <row r="2308" ht="15.75" customHeight="1">
      <c r="A2308" s="1">
        <v>2306.0</v>
      </c>
      <c r="B2308" s="3" t="s">
        <v>2309</v>
      </c>
      <c r="C2308" s="3" t="str">
        <f>IFERROR(__xludf.DUMMYFUNCTION("GOOGLETRANSLATE(B2308,""id"",""en"")"),"['expensive', 'get', 'promo', 'just', 'right', 'yesterday', 'lottery', 'got', 'coupon', 'pretty', 'tetep', 'get', ' Severe ',' package ',' expensive ',' ']")</f>
        <v>['expensive', 'get', 'promo', 'just', 'right', 'yesterday', 'lottery', 'got', 'coupon', 'pretty', 'tetep', 'get', ' Severe ',' package ',' expensive ',' ']</v>
      </c>
      <c r="D2308" s="3">
        <v>1.0</v>
      </c>
    </row>
    <row r="2309" ht="15.75" customHeight="1">
      <c r="A2309" s="1">
        <v>2307.0</v>
      </c>
      <c r="B2309" s="3" t="s">
        <v>2310</v>
      </c>
      <c r="C2309" s="3" t="str">
        <f>IFERROR(__xludf.DUMMYFUNCTION("GOOGLETRANSLATE(B2309,""id"",""en"")"),"['Paketan', 'expensive', 'try', 'love', 'choice', 'price', 'package', 'kek', 'according to', 'contents',' wallet ',' people ',' Buy ',' Package ',' expensive ',' ']")</f>
        <v>['Paketan', 'expensive', 'try', 'love', 'choice', 'price', 'package', 'kek', 'according to', 'contents',' wallet ',' people ',' Buy ',' Package ',' expensive ',' ']</v>
      </c>
      <c r="D2309" s="3">
        <v>2.0</v>
      </c>
    </row>
    <row r="2310" ht="15.75" customHeight="1">
      <c r="A2310" s="1">
        <v>2308.0</v>
      </c>
      <c r="B2310" s="3" t="s">
        <v>2311</v>
      </c>
      <c r="C2310" s="3" t="str">
        <f>IFERROR(__xludf.DUMMYFUNCTION("GOOGLETRANSLATE(B2310,""id"",""en"")"),"['Sya', 'dlu', 'buy', 'pulse', 'card', 'telkomsel', 'blm', 'sendin', 'sya', 'buy', 'blm', 'ngrimin', ' Please ',' Turnover ',' Money ',' Dlu ',' Sya ',' Love ',' Bintang ',' Dlu ', ""]")</f>
        <v>['Sya', 'dlu', 'buy', 'pulse', 'card', 'telkomsel', 'blm', 'sendin', 'sya', 'buy', 'blm', 'ngrimin', ' Please ',' Turnover ',' Money ',' Dlu ',' Sya ',' Love ',' Bintang ',' Dlu ', "]</v>
      </c>
      <c r="D2310" s="3">
        <v>1.0</v>
      </c>
    </row>
    <row r="2311" ht="15.75" customHeight="1">
      <c r="A2311" s="1">
        <v>2309.0</v>
      </c>
      <c r="B2311" s="3" t="s">
        <v>2312</v>
      </c>
      <c r="C2311" s="3" t="str">
        <f>IFERROR(__xludf.DUMMYFUNCTION("GOOGLETRANSLATE(B2311,""id"",""en"")"),"['Log', 'Out', 'Login', 'Canal', 'APK', 'Login', 'In the future', 'Log']")</f>
        <v>['Log', 'Out', 'Login', 'Canal', 'APK', 'Login', 'In the future', 'Log']</v>
      </c>
      <c r="D2311" s="3">
        <v>2.0</v>
      </c>
    </row>
    <row r="2312" ht="15.75" customHeight="1">
      <c r="A2312" s="1">
        <v>2310.0</v>
      </c>
      <c r="B2312" s="3" t="s">
        <v>2313</v>
      </c>
      <c r="C2312" s="3" t="str">
        <f>IFERROR(__xludf.DUMMYFUNCTION("GOOGLETRANSLATE(B2312,""id"",""en"")"),"['Disappointed', 'Telkomsel', 'Package', 'Internet', 'Max', 'Buy', 'Maap', 'Location', 'Suitable', '']")</f>
        <v>['Disappointed', 'Telkomsel', 'Package', 'Internet', 'Max', 'Buy', 'Maap', 'Location', 'Suitable', '']</v>
      </c>
      <c r="D2312" s="3">
        <v>1.0</v>
      </c>
    </row>
    <row r="2313" ht="15.75" customHeight="1">
      <c r="A2313" s="1">
        <v>2311.0</v>
      </c>
      <c r="B2313" s="3" t="s">
        <v>2314</v>
      </c>
      <c r="C2313" s="3" t="str">
        <f>IFERROR(__xludf.DUMMYFUNCTION("GOOGLETRANSLATE(B2313,""id"",""en"")"),"['strange', 'really', 'buy', 'package', 'youtube', 'knp', 'package', 'buy', 'dtg', 'sms',' ktnya ',' use ',' Internet ',' Non ',' Package ',' Pulsaku ',' Sumpot ',' GIMN ',' Buy ',' Package ',' GIMN ']")</f>
        <v>['strange', 'really', 'buy', 'package', 'youtube', 'knp', 'package', 'buy', 'dtg', 'sms',' ktnya ',' use ',' Internet ',' Non ',' Package ',' Pulsaku ',' Sumpot ',' GIMN ',' Buy ',' Package ',' GIMN ']</v>
      </c>
      <c r="D2313" s="3">
        <v>1.0</v>
      </c>
    </row>
    <row r="2314" ht="15.75" customHeight="1">
      <c r="A2314" s="1">
        <v>2312.0</v>
      </c>
      <c r="B2314" s="3" t="s">
        <v>2315</v>
      </c>
      <c r="C2314" s="3" t="str">
        <f>IFERROR(__xludf.DUMMYFUNCTION("GOOGLETRANSLATE(B2314,""id"",""en"")"),"['LEG', 'Telkomsel', 'cost', 'expensive', 'network', 'slow', 'Setabik', 'smooth', 'use', 'network', 'smartfren', 'slow', ' LEG ',' Telkomsel ',' Please ',' Fees', 'Fill', 'Customers',' Customize ',' Lower ',' Expensive ',' City ',' LEG ',' Sorry ',' Lower"&amp;" ' , 'star', '']")</f>
        <v>['LEG', 'Telkomsel', 'cost', 'expensive', 'network', 'slow', 'Setabik', 'smooth', 'use', 'network', 'smartfren', 'slow', ' LEG ',' Telkomsel ',' Please ',' Fees', 'Fill', 'Customers',' Customize ',' Lower ',' Expensive ',' City ',' LEG ',' Sorry ',' Lower ' , 'star', '']</v>
      </c>
      <c r="D2314" s="3">
        <v>1.0</v>
      </c>
    </row>
    <row r="2315" ht="15.75" customHeight="1">
      <c r="A2315" s="1">
        <v>2313.0</v>
      </c>
      <c r="B2315" s="3" t="s">
        <v>2316</v>
      </c>
      <c r="C2315" s="3" t="str">
        <f>IFERROR(__xludf.DUMMYFUNCTION("GOOGLETRANSLATE(B2315,""id"",""en"")"),"['disappointing', 'use', 'Telkomsel', 'already', 'signal', 'error', 'then', 'tutt', 'tutt', 'then', 'packetan', 'soar', ' GGI ',' Price ',' Please ',' Mind ',' Fix ',' Gratings', 'Fix', 'Price', 'Package', 'Duank', ""]")</f>
        <v>['disappointing', 'use', 'Telkomsel', 'already', 'signal', 'error', 'then', 'tutt', 'tutt', 'then', 'packetan', 'soar', ' GGI ',' Price ',' Please ',' Mind ',' Fix ',' Gratings', 'Fix', 'Price', 'Package', 'Duank', "]</v>
      </c>
      <c r="D2315" s="3">
        <v>2.0</v>
      </c>
    </row>
    <row r="2316" ht="15.75" customHeight="1">
      <c r="A2316" s="1">
        <v>2314.0</v>
      </c>
      <c r="B2316" s="3" t="s">
        <v>2317</v>
      </c>
      <c r="C2316" s="3" t="str">
        <f>IFERROR(__xludf.DUMMYFUNCTION("GOOGLETRANSLATE(B2316,""id"",""en"")"),"['Registration', 'HUGININ', 'TAMPE', 'MEAR', 'TIME', 'TIME', 'Try', 'Registration', 'Sorry', 'Request', 'Process',' Please ',' Try ',' Periodically ',' already ',' Try ',' Periodic ',' The answer ',' Hadeh ',' Males', 'Buy', 'Provider', ""]")</f>
        <v>['Registration', 'HUGININ', 'TAMPE', 'MEAR', 'TIME', 'TIME', 'Try', 'Registration', 'Sorry', 'Request', 'Process',' Please ',' Try ',' Periodically ',' already ',' Try ',' Periodic ',' The answer ',' Hadeh ',' Males', 'Buy', 'Provider', "]</v>
      </c>
      <c r="D2316" s="3">
        <v>1.0</v>
      </c>
    </row>
    <row r="2317" ht="15.75" customHeight="1">
      <c r="A2317" s="1">
        <v>2315.0</v>
      </c>
      <c r="B2317" s="3" t="s">
        <v>2318</v>
      </c>
      <c r="C2317" s="3" t="str">
        <f>IFERROR(__xludf.DUMMYFUNCTION("GOOGLETRANSLATE(B2317,""id"",""en"")"),"['Alhamdulillah', 'Good', 'Keep', 'Signal', 'Provider', 'Stable', 'Problems', 'Split', 'Sousal', 'Good', 'Strong', 'Look "",' Signal ',' please ',' repaired ', ""]")</f>
        <v>['Alhamdulillah', 'Good', 'Keep', 'Signal', 'Provider', 'Stable', 'Problems', 'Split', 'Sousal', 'Good', 'Strong', 'Look ",' Signal ',' please ',' repaired ', "]</v>
      </c>
      <c r="D2317" s="3">
        <v>5.0</v>
      </c>
    </row>
    <row r="2318" ht="15.75" customHeight="1">
      <c r="A2318" s="1">
        <v>2316.0</v>
      </c>
      <c r="B2318" s="3" t="s">
        <v>2319</v>
      </c>
      <c r="C2318" s="3" t="str">
        <f>IFERROR(__xludf.DUMMYFUNCTION("GOOGLETRANSLATE(B2318,""id"",""en"")"),"['', 'Telkomsel', 'year', 'bad', 'disappointed', 'provider', 'Telkomsel', 'expensive', 'package', 'internet', 'comparable', 'quality', "" ]")</f>
        <v>['', 'Telkomsel', 'year', 'bad', 'disappointed', 'provider', 'Telkomsel', 'expensive', 'package', 'internet', 'comparable', 'quality', " ]</v>
      </c>
      <c r="D2318" s="3">
        <v>1.0</v>
      </c>
    </row>
    <row r="2319" ht="15.75" customHeight="1">
      <c r="A2319" s="1">
        <v>2317.0</v>
      </c>
      <c r="B2319" s="3" t="s">
        <v>2320</v>
      </c>
      <c r="C2319" s="3" t="str">
        <f>IFERROR(__xludf.DUMMYFUNCTION("GOOGLETRANSLATE(B2319,""id"",""en"")"),"['disappointing', 'experience', 'drop', 'quota', 'data', 'package', 'internet', 'missing', 'notification', 'anything', 'sms',' application ',' MyTelkomsel ',' Try ',' Contact ',' Customer ',' Service ',' Repair ',' Quota ',' Lost ']")</f>
        <v>['disappointing', 'experience', 'drop', 'quota', 'data', 'package', 'internet', 'missing', 'notification', 'anything', 'sms',' application ',' MyTelkomsel ',' Try ',' Contact ',' Customer ',' Service ',' Repair ',' Quota ',' Lost ']</v>
      </c>
      <c r="D2319" s="3">
        <v>1.0</v>
      </c>
    </row>
    <row r="2320" ht="15.75" customHeight="1">
      <c r="A2320" s="1">
        <v>2318.0</v>
      </c>
      <c r="B2320" s="3" t="s">
        <v>2321</v>
      </c>
      <c r="C2320" s="3" t="str">
        <f>IFERROR(__xludf.DUMMYFUNCTION("GOOGLETRANSLATE(B2320,""id"",""en"")"),"['Telkomsel', 'disappointing', 'signal', 'slow', 'already', 'buy', 'package', 'data', 'expensive', 'slow', 'damn', 'package', ' data ',' quota ',' extra ',' unlimited ',' telkomsel ',' see ',' noh ',' operator ',' love ',' promo ',' udh ',' cheap ',' pack"&amp;"age ' , 'Data', 'like', 'gini', 'mending', 'turned', 'operator', 'bnyak', 'cheap', 'network', 'good', 'already', 'yook', ' in congregation ',' replace ',' provider ',' Telkomsel ',' win ',' expensive ',' doang ']")</f>
        <v>['Telkomsel', 'disappointing', 'signal', 'slow', 'already', 'buy', 'package', 'data', 'expensive', 'slow', 'damn', 'package', ' data ',' quota ',' extra ',' unlimited ',' telkomsel ',' see ',' noh ',' operator ',' love ',' promo ',' udh ',' cheap ',' package ' , 'Data', 'like', 'gini', 'mending', 'turned', 'operator', 'bnyak', 'cheap', 'network', 'good', 'already', 'yook', ' in congregation ',' replace ',' provider ',' Telkomsel ',' win ',' expensive ',' doang ']</v>
      </c>
      <c r="D2320" s="3">
        <v>1.0</v>
      </c>
    </row>
    <row r="2321" ht="15.75" customHeight="1">
      <c r="A2321" s="1">
        <v>2319.0</v>
      </c>
      <c r="B2321" s="3" t="s">
        <v>2322</v>
      </c>
      <c r="C2321" s="3" t="str">
        <f>IFERROR(__xludf.DUMMYFUNCTION("GOOGLETRANSLATE(B2321,""id"",""en"")"),"['buy', 'package', 'internet', 'clock', 'description', 'process',' telephone ',' call ',' center ',' got ',' charge ',' call ',' Center ',' get ',' Costs', 'Service', 'Bad', '']")</f>
        <v>['buy', 'package', 'internet', 'clock', 'description', 'process',' telephone ',' call ',' center ',' got ',' charge ',' call ',' Center ',' get ',' Costs', 'Service', 'Bad', '']</v>
      </c>
      <c r="D2321" s="3">
        <v>1.0</v>
      </c>
    </row>
    <row r="2322" ht="15.75" customHeight="1">
      <c r="A2322" s="1">
        <v>2320.0</v>
      </c>
      <c r="B2322" s="3" t="s">
        <v>2323</v>
      </c>
      <c r="C2322" s="3" t="str">
        <f>IFERROR(__xludf.DUMMYFUNCTION("GOOGLETRANSLATE(B2322,""id"",""en"")"),"['Disappointed', 'Telkomsel', 'Cook', 'buy', 'pulse', 'outlet', 'closest', 'buy', 'package', 'data', 'Telkomsel', 'pulses',' Sucked ',' hotspot ',' enter ',' application ',' Telkomsel ',' pulse ',' sucked ',' disappointed ',' disappointed ']")</f>
        <v>['Disappointed', 'Telkomsel', 'Cook', 'buy', 'pulse', 'outlet', 'closest', 'buy', 'package', 'data', 'Telkomsel', 'pulses',' Sucked ',' hotspot ',' enter ',' application ',' Telkomsel ',' pulse ',' sucked ',' disappointed ',' disappointed ']</v>
      </c>
      <c r="D2322" s="3">
        <v>1.0</v>
      </c>
    </row>
    <row r="2323" ht="15.75" customHeight="1">
      <c r="A2323" s="1">
        <v>2321.0</v>
      </c>
      <c r="B2323" s="3" t="s">
        <v>2324</v>
      </c>
      <c r="C2323" s="3" t="str">
        <f>IFERROR(__xludf.DUMMYFUNCTION("GOOGLETRANSLATE(B2323,""id"",""en"")"),"['', 'love', 'star', 'disappointed', 'cheated', 'application', 'buy', 'quota', 'deskts',' GB ',' unlimited ',' multimedia ',' already ',' That's', 'price', 'expensive', 'right', 'Dipake', 'Facebook', 'YouTube', 'Tetep', 'Bae', 'quota', 'main', 'Sumpot', '"&amp;"Unlimited', '']")</f>
        <v>['', 'love', 'star', 'disappointed', 'cheated', 'application', 'buy', 'quota', 'deskts',' GB ',' unlimited ',' multimedia ',' already ',' That's', 'price', 'expensive', 'right', 'Dipake', 'Facebook', 'YouTube', 'Tetep', 'Bae', 'quota', 'main', 'Sumpot', 'Unlimited', '']</v>
      </c>
      <c r="D2323" s="3">
        <v>1.0</v>
      </c>
    </row>
    <row r="2324" ht="15.75" customHeight="1">
      <c r="A2324" s="1">
        <v>2322.0</v>
      </c>
      <c r="B2324" s="3" t="s">
        <v>2325</v>
      </c>
      <c r="C2324" s="3" t="str">
        <f>IFERROR(__xludf.DUMMYFUNCTION("GOOGLETRANSLATE(B2324,""id"",""en"")"),"['please', 'Telkomsel', 'Knp', 'right', 'buy', 'kouta', 'lap', 'youtube', 'then', 'right', 'open', 'youtube', ' minutes', 'that's',' notification ',' pulse ',' run out ',' pulse ',' leftover ',' funny ',' please ',' repaired ',' already ',' times', ""]")</f>
        <v>['please', 'Telkomsel', 'Knp', 'right', 'buy', 'kouta', 'lap', 'youtube', 'then', 'right', 'open', 'youtube', ' minutes', 'that's',' notification ',' pulse ',' run out ',' pulse ',' leftover ',' funny ',' please ',' repaired ',' already ',' times', "]</v>
      </c>
      <c r="D2324" s="3">
        <v>1.0</v>
      </c>
    </row>
    <row r="2325" ht="15.75" customHeight="1">
      <c r="A2325" s="1">
        <v>2323.0</v>
      </c>
      <c r="B2325" s="3" t="s">
        <v>2326</v>
      </c>
      <c r="C2325" s="3" t="str">
        <f>IFERROR(__xludf.DUMMYFUNCTION("GOOGLETRANSLATE(B2325,""id"",""en"")"),"['Telkomsel', 'Provider', 'Quality', 'Network', 'Worst', 'Indonesia', 'Kayak', 'Indonesia', 'Moving', 'Products',' Quality ',' Bad ',' good']")</f>
        <v>['Telkomsel', 'Provider', 'Quality', 'Network', 'Worst', 'Indonesia', 'Kayak', 'Indonesia', 'Moving', 'Products',' Quality ',' Bad ',' good']</v>
      </c>
      <c r="D2325" s="3">
        <v>1.0</v>
      </c>
    </row>
    <row r="2326" ht="15.75" customHeight="1">
      <c r="A2326" s="1">
        <v>2324.0</v>
      </c>
      <c r="B2326" s="3" t="s">
        <v>2327</v>
      </c>
      <c r="C2326" s="3" t="str">
        <f>IFERROR(__xludf.DUMMYFUNCTION("GOOGLETRANSLATE(B2326,""id"",""en"")"),"['menu', 'application', 'network', 'ugly', 'replaced', 'Sometimes',' slow ',' offer ',' migration ',' hello ',' kt ',' can ',' Priority ',' network ',' LBH ',' Good ',' Change ',' Speed ​​',' Signal ',' Internet ',' Region ',' Nge ', ""]")</f>
        <v>['menu', 'application', 'network', 'ugly', 'replaced', 'Sometimes',' slow ',' offer ',' migration ',' hello ',' kt ',' can ',' Priority ',' network ',' LBH ',' Good ',' Change ',' Speed ​​',' Signal ',' Internet ',' Region ',' Nge ', "]</v>
      </c>
      <c r="D2326" s="3">
        <v>3.0</v>
      </c>
    </row>
    <row r="2327" ht="15.75" customHeight="1">
      <c r="A2327" s="1">
        <v>2325.0</v>
      </c>
      <c r="B2327" s="3" t="s">
        <v>2328</v>
      </c>
      <c r="C2327" s="3" t="str">
        <f>IFERROR(__xludf.DUMMYFUNCTION("GOOGLETRANSLATE(B2327,""id"",""en"")"),"['Disappointed', 'LIAT', 'Application', 'Already', 'Login', 'Login', 'Login', 'Application', 'Damaged', 'Uninstall', 'Taik']")</f>
        <v>['Disappointed', 'LIAT', 'Application', 'Already', 'Login', 'Login', 'Login', 'Application', 'Damaged', 'Uninstall', 'Taik']</v>
      </c>
      <c r="D2327" s="3">
        <v>1.0</v>
      </c>
    </row>
    <row r="2328" ht="15.75" customHeight="1">
      <c r="A2328" s="1">
        <v>2326.0</v>
      </c>
      <c r="B2328" s="3" t="s">
        <v>2329</v>
      </c>
      <c r="C2328" s="3" t="str">
        <f>IFERROR(__xludf.DUMMYFUNCTION("GOOGLETRANSLATE(B2328,""id"",""en"")"),"['Telkomsel', 'joking', 'already', 'buy', 'quota', 'unlimited', 'slow', 'forgiveness',' cook ',' card ',' Next ',' smooth ',' expensive ',' choose ',' sympathy ',' because of his 'signal', 'qualified', 'down', 'provider']")</f>
        <v>['Telkomsel', 'joking', 'already', 'buy', 'quota', 'unlimited', 'slow', 'forgiveness',' cook ',' card ',' Next ',' smooth ',' expensive ',' choose ',' sympathy ',' because of his 'signal', 'qualified', 'down', 'provider']</v>
      </c>
      <c r="D2328" s="3">
        <v>1.0</v>
      </c>
    </row>
    <row r="2329" ht="15.75" customHeight="1">
      <c r="A2329" s="1">
        <v>2327.0</v>
      </c>
      <c r="B2329" s="3" t="s">
        <v>2330</v>
      </c>
      <c r="C2329" s="3" t="str">
        <f>IFERROR(__xludf.DUMMYFUNCTION("GOOGLETRANSLATE(B2329,""id"",""en"")"),"['service', 'good', 'network', 'problem', 'comfortable', 'thank', 'love', 'theam', '']")</f>
        <v>['service', 'good', 'network', 'problem', 'comfortable', 'thank', 'love', 'theam', '']</v>
      </c>
      <c r="D2329" s="3">
        <v>5.0</v>
      </c>
    </row>
    <row r="2330" ht="15.75" customHeight="1">
      <c r="A2330" s="1">
        <v>2328.0</v>
      </c>
      <c r="B2330" s="3" t="s">
        <v>2331</v>
      </c>
      <c r="C2330" s="3" t="str">
        <f>IFERROR(__xludf.DUMMYFUNCTION("GOOGLETRANSLATE(B2330,""id"",""en"")"),"['yaa', 'kak', 'card', 'difficult', 'package', 'right', 'press',' his writing ',' thank you ',' request ',' process', 'yaaa', ' reload phone credit']")</f>
        <v>['yaa', 'kak', 'card', 'difficult', 'package', 'right', 'press',' his writing ',' thank you ',' request ',' process', 'yaaa', ' reload phone credit']</v>
      </c>
      <c r="D2330" s="3">
        <v>1.0</v>
      </c>
    </row>
    <row r="2331" ht="15.75" customHeight="1">
      <c r="A2331" s="1">
        <v>2329.0</v>
      </c>
      <c r="B2331" s="3" t="s">
        <v>2332</v>
      </c>
      <c r="C2331" s="3" t="str">
        <f>IFERROR(__xludf.DUMMYFUNCTION("GOOGLETRANSLATE(B2331,""id"",""en"")"),"['Please', 'Network', 'Fix', 'Bandung', 'Majalaya', 'Network', 'Kacow', 'Maen', 'Games',' Online ',' Network ',' ugly ',' then ',' believe ',' loss', 'coin', 'please', 'fix', 'solution', 'gati', 'card', 'kauow', 'network', 'kangini', 'trs' , 'please', 'fi"&amp;"x']")</f>
        <v>['Please', 'Network', 'Fix', 'Bandung', 'Majalaya', 'Network', 'Kacow', 'Maen', 'Games',' Online ',' Network ',' ugly ',' then ',' believe ',' loss', 'coin', 'please', 'fix', 'solution', 'gati', 'card', 'kauow', 'network', 'kangini', 'trs' , 'please', 'fix']</v>
      </c>
      <c r="D2331" s="3">
        <v>1.0</v>
      </c>
    </row>
    <row r="2332" ht="15.75" customHeight="1">
      <c r="A2332" s="1">
        <v>2330.0</v>
      </c>
      <c r="B2332" s="3" t="s">
        <v>2333</v>
      </c>
      <c r="C2332" s="3" t="str">
        <f>IFERROR(__xludf.DUMMYFUNCTION("GOOGLETRANSLATE(B2332,""id"",""en"")"),"['card', 'package', 'unlimited', 'already', 'use', 'card', 'get it', 'policy', 'Telkomsel', 'disappointed', 'times', ""]")</f>
        <v>['card', 'package', 'unlimited', 'already', 'use', 'card', 'get it', 'policy', 'Telkomsel', 'disappointed', 'times', "]</v>
      </c>
      <c r="D2332" s="3">
        <v>1.0</v>
      </c>
    </row>
    <row r="2333" ht="15.75" customHeight="1">
      <c r="A2333" s="1">
        <v>2331.0</v>
      </c>
      <c r="B2333" s="3" t="s">
        <v>2334</v>
      </c>
      <c r="C2333" s="3" t="str">
        <f>IFERROR(__xludf.DUMMYFUNCTION("GOOGLETRANSLATE(B2333,""id"",""en"")"),"['apk', 'ugly', 'really', 'hayu']")</f>
        <v>['apk', 'ugly', 'really', 'hayu']</v>
      </c>
      <c r="D2333" s="3">
        <v>1.0</v>
      </c>
    </row>
    <row r="2334" ht="15.75" customHeight="1">
      <c r="A2334" s="1">
        <v>2332.0</v>
      </c>
      <c r="B2334" s="3" t="s">
        <v>2335</v>
      </c>
      <c r="C2334" s="3" t="str">
        <f>IFERROR(__xludf.DUMMYFUNCTION("GOOGLETRANSLATE(B2334,""id"",""en"")"),"['Please', 'min', 'already', 'frustrated', 'work', 'task', 'repeated', 'many', 'times',' just ',' Krna ',' network ',' slow ',' JaieSan ',' JLK ',' down ',' website ',' load ',' reset ',' fill ',' task ',' many ',' times', 'Rolong', 'min' , 'Increase', 'T"&amp;"ask']")</f>
        <v>['Please', 'min', 'already', 'frustrated', 'work', 'task', 'repeated', 'many', 'times',' just ',' Krna ',' network ',' slow ',' JaieSan ',' JLK ',' down ',' website ',' load ',' reset ',' fill ',' task ',' many ',' times', 'Rolong', 'min' , 'Increase', 'Task']</v>
      </c>
      <c r="D2334" s="3">
        <v>1.0</v>
      </c>
    </row>
    <row r="2335" ht="15.75" customHeight="1">
      <c r="A2335" s="1">
        <v>2333.0</v>
      </c>
      <c r="B2335" s="3" t="s">
        <v>2336</v>
      </c>
      <c r="C2335" s="3" t="str">
        <f>IFERROR(__xludf.DUMMYFUNCTION("GOOGLETRANSLATE(B2335,""id"",""en"")"),"['Try', 'Quota', 'promo', 'unlimited', 'youtube', 'reality', 'right', 'open', 'youtube', 'terata', 'quota', 'run out', ' used ',' unlimited ',' youtube ',' use ',' suck ',' pulse ',' sympathy ',' already ',' expensive ',' service ',' exposed ',' support '"&amp;",' service ' , 'Best', 'Makasi']")</f>
        <v>['Try', 'Quota', 'promo', 'unlimited', 'youtube', 'reality', 'right', 'open', 'youtube', 'terata', 'quota', 'run out', ' used ',' unlimited ',' youtube ',' use ',' suck ',' pulse ',' sympathy ',' already ',' expensive ',' service ',' exposed ',' support ',' service ' , 'Best', 'Makasi']</v>
      </c>
      <c r="D2335" s="3">
        <v>1.0</v>
      </c>
    </row>
    <row r="2336" ht="15.75" customHeight="1">
      <c r="A2336" s="1">
        <v>2334.0</v>
      </c>
      <c r="B2336" s="3" t="s">
        <v>2337</v>
      </c>
      <c r="C2336" s="3" t="str">
        <f>IFERROR(__xludf.DUMMYFUNCTION("GOOGLETRANSLATE(B2336,""id"",""en"")"),"['Migration', 'Hello', 'Sangaaaattt', 'Super', 'Disappointed', 'Migration', 'Tempted', 'Access',' Disney ',' Plis', 'Hotstar', 'Unlimited', ' quota ',' main ',' run out ',' lie ',' quota ',' main ',' run out ',' speed ',' internet ',' support ',' Disney '"&amp;",' hotstar ',' already ' , 'Wait', 'Wait', 'Loading', 'Sampe', 'Clock', 'A second', 'Film', 'Walking', 'What's',' Try ',' sincere ',' already ',' Prepaid ',' ']")</f>
        <v>['Migration', 'Hello', 'Sangaaaattt', 'Super', 'Disappointed', 'Migration', 'Tempted', 'Access',' Disney ',' Plis', 'Hotstar', 'Unlimited', ' quota ',' main ',' run out ',' lie ',' quota ',' main ',' run out ',' speed ',' internet ',' support ',' Disney ',' hotstar ',' already ' , 'Wait', 'Wait', 'Loading', 'Sampe', 'Clock', 'A second', 'Film', 'Walking', 'What's',' Try ',' sincere ',' already ',' Prepaid ',' ']</v>
      </c>
      <c r="D2336" s="3">
        <v>1.0</v>
      </c>
    </row>
    <row r="2337" ht="15.75" customHeight="1">
      <c r="A2337" s="1">
        <v>2335.0</v>
      </c>
      <c r="B2337" s="3" t="s">
        <v>2338</v>
      </c>
      <c r="C2337" s="3" t="str">
        <f>IFERROR(__xludf.DUMMYFUNCTION("GOOGLETRANSLATE(B2337,""id"",""en"")"),"['Please', 'Registration', 'Card', 'Miss',' Registration ',' Card ',' Registered ',' Web ',' Special ',' Registration ',' Unregistration ',' GraPARI ',' The distance ',' complicated ',' registration ',' via ',' online ',' scan ',' KTP ',' data ',' misused"&amp;" ',' person ', ""]")</f>
        <v>['Please', 'Registration', 'Card', 'Miss',' Registration ',' Card ',' Registered ',' Web ',' Special ',' Registration ',' Unregistration ',' GraPARI ',' The distance ',' complicated ',' registration ',' via ',' online ',' scan ',' KTP ',' data ',' misused ',' person ', "]</v>
      </c>
      <c r="D2337" s="3">
        <v>1.0</v>
      </c>
    </row>
    <row r="2338" ht="15.75" customHeight="1">
      <c r="A2338" s="1">
        <v>2336.0</v>
      </c>
      <c r="B2338" s="3" t="s">
        <v>2339</v>
      </c>
      <c r="C2338" s="3" t="str">
        <f>IFERROR(__xludf.DUMMYFUNCTION("GOOGLETRANSLATE(B2338,""id"",""en"")"),"['Porous',' really ',' signal ',' Kouta ',' Speed ​​',' Network ',' Download ',' just ',' MB ',' Upload ',' just ',' KB ',' already ',' replace ',' APN ',' APN ',' default ',' Stuck ',' update ',' APK ',' just ',' Stuck ',' Gede ',' Speed ​​',' Kb ' , 'ar"&amp;"ea', 'Jabar', 'sukabumi']")</f>
        <v>['Porous',' really ',' signal ',' Kouta ',' Speed ​​',' Network ',' Download ',' just ',' MB ',' Upload ',' just ',' KB ',' already ',' replace ',' APN ',' APN ',' default ',' Stuck ',' update ',' APK ',' just ',' Stuck ',' Gede ',' Speed ​​',' Kb ' , 'area', 'Jabar', 'sukabumi']</v>
      </c>
      <c r="D2338" s="3">
        <v>1.0</v>
      </c>
    </row>
    <row r="2339" ht="15.75" customHeight="1">
      <c r="A2339" s="1">
        <v>2337.0</v>
      </c>
      <c r="B2339" s="3" t="s">
        <v>2340</v>
      </c>
      <c r="C2339" s="3" t="str">
        <f>IFERROR(__xludf.DUMMYFUNCTION("GOOGLETRANSLATE(B2339,""id"",""en"")"),"['The easiest', 'dam', 'the fastest', 'restart', 'thanks',' price ',' tilted ',' combo ',' crazy ',' already ',' age ',' Telkomsel ',' ']")</f>
        <v>['The easiest', 'dam', 'the fastest', 'restart', 'thanks',' price ',' tilted ',' combo ',' crazy ',' already ',' age ',' Telkomsel ',' ']</v>
      </c>
      <c r="D2339" s="3">
        <v>5.0</v>
      </c>
    </row>
    <row r="2340" ht="15.75" customHeight="1">
      <c r="A2340" s="1">
        <v>2338.0</v>
      </c>
      <c r="B2340" s="3" t="s">
        <v>2341</v>
      </c>
      <c r="C2340" s="3" t="str">
        <f>IFERROR(__xludf.DUMMYFUNCTION("GOOGLETRANSLATE(B2340,""id"",""en"")"),"['please', 'Telkomsel', 'disappointed', 'buy', 'package', 'expensive', 'network', 'supports',' please ',' fix ',' network ',' signal ',' Sorry ',' gave ',' star ',' severe ',' user ',' Telkomsel ',' comfortable ',' disappointed ',' ']")</f>
        <v>['please', 'Telkomsel', 'disappointed', 'buy', 'package', 'expensive', 'network', 'supports',' please ',' fix ',' network ',' signal ',' Sorry ',' gave ',' star ',' severe ',' user ',' Telkomsel ',' comfortable ',' disappointed ',' ']</v>
      </c>
      <c r="D2340" s="3">
        <v>1.0</v>
      </c>
    </row>
    <row r="2341" ht="15.75" customHeight="1">
      <c r="A2341" s="1">
        <v>2339.0</v>
      </c>
      <c r="B2341" s="3" t="s">
        <v>2342</v>
      </c>
      <c r="C2341" s="3" t="str">
        <f>IFERROR(__xludf.DUMMYFUNCTION("GOOGLETRANSLATE(B2341,""id"",""en"")"),"['Urus',' Network ',' sell ',' cheap ',' package ',' already ',' expensive ',' slow ',' forgiveness', 'price', 'according to', 'quality', ' critical', '']")</f>
        <v>['Urus',' Network ',' sell ',' cheap ',' package ',' already ',' expensive ',' slow ',' forgiveness', 'price', 'according to', 'quality', ' critical', '']</v>
      </c>
      <c r="D2341" s="3">
        <v>1.0</v>
      </c>
    </row>
    <row r="2342" ht="15.75" customHeight="1">
      <c r="A2342" s="1">
        <v>2340.0</v>
      </c>
      <c r="B2342" s="3" t="s">
        <v>2343</v>
      </c>
      <c r="C2342" s="3" t="str">
        <f>IFERROR(__xludf.DUMMYFUNCTION("GOOGLETRANSLATE(B2342,""id"",""en"")"),"['already', 'fucking', 'promotion', 'network', 'slow', 'complaints',' customer ',' response ',' open ',' application ',' yng ',' good ',' What do you do ',' survive ']")</f>
        <v>['already', 'fucking', 'promotion', 'network', 'slow', 'complaints',' customer ',' response ',' open ',' application ',' yng ',' good ',' What do you do ',' survive ']</v>
      </c>
      <c r="D2342" s="3">
        <v>1.0</v>
      </c>
    </row>
    <row r="2343" ht="15.75" customHeight="1">
      <c r="A2343" s="1">
        <v>2341.0</v>
      </c>
      <c r="B2343" s="3" t="s">
        <v>2344</v>
      </c>
      <c r="C2343" s="3" t="str">
        <f>IFERROR(__xludf.DUMMYFUNCTION("GOOGLETRANSLATE(B2343,""id"",""en"")"),"['quota', 'internet', 'promo', 'price', 'Rp', 'GB', 'Rp', 'GB', 'Rp', 'GB', 'get', 'quota', ' Internet ',' Eliminated ',' Please ',' Try ',' Quota ',' Internet ',' Karna ',' Pas', 'People', 'People', 'Income', 'Buy', 'quota' , 'Internet', 'Karna', 'quota'"&amp;", 'internet', 'price', 'buy', 'Uklum', 'worker', ""]")</f>
        <v>['quota', 'internet', 'promo', 'price', 'Rp', 'GB', 'Rp', 'GB', 'Rp', 'GB', 'get', 'quota', ' Internet ',' Eliminated ',' Please ',' Try ',' Quota ',' Internet ',' Karna ',' Pas', 'People', 'People', 'Income', 'Buy', 'quota' , 'Internet', 'Karna', 'quota', 'internet', 'price', 'buy', 'Uklum', 'worker', "]</v>
      </c>
      <c r="D2343" s="3">
        <v>2.0</v>
      </c>
    </row>
    <row r="2344" ht="15.75" customHeight="1">
      <c r="A2344" s="1">
        <v>2342.0</v>
      </c>
      <c r="B2344" s="3" t="s">
        <v>2345</v>
      </c>
      <c r="C2344" s="3" t="str">
        <f>IFERROR(__xludf.DUMMYFUNCTION("GOOGLETRANSLATE(B2344,""id"",""en"")"),"['Damaged', 'The network', 'given', 'Review', 'Say "",' Order ',' Contact ',' Admin ',' Already ',' Sent ',' Email ',' No ',' response ',' how ',' buy ',' package ',' GB ',' network ',' rich ',' gini ',' kirain ',' vinegar ',' ngelamin ',' disappointed ']")</f>
        <v>['Damaged', 'The network', 'given', 'Review', 'Say ",' Order ',' Contact ',' Admin ',' Already ',' Sent ',' Email ',' No ',' response ',' how ',' buy ',' package ',' GB ',' network ',' rich ',' gini ',' kirain ',' vinegar ',' ngelamin ',' disappointed ']</v>
      </c>
      <c r="D2344" s="3">
        <v>1.0</v>
      </c>
    </row>
    <row r="2345" ht="15.75" customHeight="1">
      <c r="A2345" s="1">
        <v>2343.0</v>
      </c>
      <c r="B2345" s="3" t="s">
        <v>2346</v>
      </c>
      <c r="C2345" s="3" t="str">
        <f>IFERROR(__xludf.DUMMYFUNCTION("GOOGLETRANSLATE(B2345,""id"",""en"")"),"['Please', 'please', 'COK', 'COK', 'Return', 'Points',' I ',' already ',' lbih ',' I ',' Gatherin ',' Where ',' Min ',' I ',' Masi ',' remember ',' BET ',' I ',' Blom ',' Nukarin ',' Points', 'TPI', 'Mah', 'ilang', 'Anjay' , 'Taun', 'I', 'Collecting', 'Co"&amp;"k', 'Cok', ""]")</f>
        <v>['Please', 'please', 'COK', 'COK', 'Return', 'Points',' I ',' already ',' lbih ',' I ',' Gatherin ',' Where ',' Min ',' I ',' Masi ',' remember ',' BET ',' I ',' Blom ',' Nukarin ',' Points', 'TPI', 'Mah', 'ilang', 'Anjay' , 'Taun', 'I', 'Collecting', 'Cok', 'Cok', "]</v>
      </c>
      <c r="D2345" s="3">
        <v>1.0</v>
      </c>
    </row>
    <row r="2346" ht="15.75" customHeight="1">
      <c r="A2346" s="1">
        <v>2344.0</v>
      </c>
      <c r="B2346" s="3" t="s">
        <v>2347</v>
      </c>
      <c r="C2346" s="3" t="str">
        <f>IFERROR(__xludf.DUMMYFUNCTION("GOOGLETRANSLATE(B2346,""id"",""en"")"),"['price', 'package', 'expensive', 'lag', 'play', 'game', 'online', 'infinix', 'note', 'lag', 'afternoon', 'please', ' Repaired ',' Tower ',' Village ',' Karang ',' Dapo ',' County ',' Lawang ',' Province ',' Sumatran ',' South ',' ']")</f>
        <v>['price', 'package', 'expensive', 'lag', 'play', 'game', 'online', 'infinix', 'note', 'lag', 'afternoon', 'please', ' Repaired ',' Tower ',' Village ',' Karang ',' Dapo ',' County ',' Lawang ',' Province ',' Sumatran ',' South ',' ']</v>
      </c>
      <c r="D2346" s="3">
        <v>1.0</v>
      </c>
    </row>
    <row r="2347" ht="15.75" customHeight="1">
      <c r="A2347" s="1">
        <v>2345.0</v>
      </c>
      <c r="B2347" s="3" t="s">
        <v>2348</v>
      </c>
      <c r="C2347" s="3" t="str">
        <f>IFERROR(__xludf.DUMMYFUNCTION("GOOGLETRANSLATE(B2347,""id"",""en"")"),"['difficult', 'open', 'the application', 'rich', 'really', 'rich', 'open', 'directly', 'appears', 'slow', 'really', 'sometimes' Error ',' Please ',' Benerin ',' Application ',' Most ',' Promotion ',' Eyes', 'Duitan', 'Doang', 'Expensive', 'Expensive', 'Ro"&amp;"tten', 'Application' ]")</f>
        <v>['difficult', 'open', 'the application', 'rich', 'really', 'rich', 'open', 'directly', 'appears', 'slow', 'really', 'sometimes' Error ',' Please ',' Benerin ',' Application ',' Most ',' Promotion ',' Eyes', 'Duitan', 'Doang', 'Expensive', 'Expensive', 'Rotten', 'Application' ]</v>
      </c>
      <c r="D2347" s="3">
        <v>1.0</v>
      </c>
    </row>
    <row r="2348" ht="15.75" customHeight="1">
      <c r="A2348" s="1">
        <v>2346.0</v>
      </c>
      <c r="B2348" s="3" t="s">
        <v>2349</v>
      </c>
      <c r="C2348" s="3" t="str">
        <f>IFERROR(__xludf.DUMMYFUNCTION("GOOGLETRANSLATE(B2348,""id"",""en"")"),"['suck', 'pulse', 'cave', 'udh', 'cave', 'buy', 'package', 'unlimited', 'youtube', 'sucked', 'pulse', 'pdhl', ' Cave ',' scrolling ',' Doank ',' sucked ',' REP ',' REFRESH ',' CONSISTED ',' BEEN ',' ']")</f>
        <v>['suck', 'pulse', 'cave', 'udh', 'cave', 'buy', 'package', 'unlimited', 'youtube', 'sucked', 'pulse', 'pdhl', ' Cave ',' scrolling ',' Doank ',' sucked ',' REP ',' REFRESH ',' CONSISTED ',' BEEN ',' ']</v>
      </c>
      <c r="D2348" s="3">
        <v>1.0</v>
      </c>
    </row>
    <row r="2349" ht="15.75" customHeight="1">
      <c r="A2349" s="1">
        <v>2347.0</v>
      </c>
      <c r="B2349" s="3" t="s">
        <v>2350</v>
      </c>
      <c r="C2349" s="3" t="str">
        <f>IFERROR(__xludf.DUMMYFUNCTION("GOOGLETRANSLATE(B2349,""id"",""en"")"),"['Disappointed', 'Telkomsel', 'clock', 'morning', 'clock', 'morning', 'signal', 'missing', 'missing', 'please', 'repaired', 'signal', ' diluted ',' network ',' lost ',' a number ',' price ',' kaouta ',' please ',' stunned ',' buy ',' expensive ',' expensi"&amp;"ve ',' ugly ',' ugly ' , '']")</f>
        <v>['Disappointed', 'Telkomsel', 'clock', 'morning', 'clock', 'morning', 'signal', 'missing', 'missing', 'please', 'repaired', 'signal', ' diluted ',' network ',' lost ',' a number ',' price ',' kaouta ',' please ',' stunned ',' buy ',' expensive ',' expensive ',' ugly ',' ugly ' , '']</v>
      </c>
      <c r="D2349" s="3">
        <v>1.0</v>
      </c>
    </row>
    <row r="2350" ht="15.75" customHeight="1">
      <c r="A2350" s="1">
        <v>2348.0</v>
      </c>
      <c r="B2350" s="3" t="s">
        <v>2351</v>
      </c>
      <c r="C2350" s="3" t="str">
        <f>IFERROR(__xludf.DUMMYFUNCTION("GOOGLETRANSLATE(B2350,""id"",""en"")"),"['hate', 'Telkomsel', 'Uda', 'buy', 'card', 'Sakti', 'unlimited', 'setelh', 'uda', 'buy', 'uda', 'no', ' Unlimited ',' Telkomsel ',' Ngak ',' Comfortable ',' User ',' Fix ',' ']")</f>
        <v>['hate', 'Telkomsel', 'Uda', 'buy', 'card', 'Sakti', 'unlimited', 'setelh', 'uda', 'buy', 'uda', 'no', ' Unlimited ',' Telkomsel ',' Ngak ',' Comfortable ',' User ',' Fix ',' ']</v>
      </c>
      <c r="D2350" s="3">
        <v>1.0</v>
      </c>
    </row>
    <row r="2351" ht="15.75" customHeight="1">
      <c r="A2351" s="1">
        <v>2349.0</v>
      </c>
      <c r="B2351" s="3" t="s">
        <v>2352</v>
      </c>
      <c r="C2351" s="3" t="str">
        <f>IFERROR(__xludf.DUMMYFUNCTION("GOOGLETRANSLATE(B2351,""id"",""en"")"),"['Daily', 'Check', 'Tipu', 'Men', 'yes',' times', 'Collect', 'Stamp', 'times',' Check ',' Reasons', 'Error', ' Telkomsel ',' Ngibul ',' Top ',' ']")</f>
        <v>['Daily', 'Check', 'Tipu', 'Men', 'yes',' times', 'Collect', 'Stamp', 'times',' Check ',' Reasons', 'Error', ' Telkomsel ',' Ngibul ',' Top ',' ']</v>
      </c>
      <c r="D2351" s="3">
        <v>5.0</v>
      </c>
    </row>
    <row r="2352" ht="15.75" customHeight="1">
      <c r="A2352" s="1">
        <v>2350.0</v>
      </c>
      <c r="B2352" s="3" t="s">
        <v>2353</v>
      </c>
      <c r="C2352" s="3" t="str">
        <f>IFERROR(__xludf.DUMMYFUNCTION("GOOGLETRANSLATE(B2352,""id"",""en"")"),"['Telkomsel', 'disappointing', 'package', 'internet', 'scorched', 'buy', 'crafts',' scorched ',' scorched ',' Telkomsel ',' here ',' Gabagus', ' The service is', 'Different', 'network', 'ugly', 'please', 'noticed', 'user', 'Telkomsel', 'run', 'product', '"&amp;"other', 'lose', 'competitiveness' , '']")</f>
        <v>['Telkomsel', 'disappointing', 'package', 'internet', 'scorched', 'buy', 'crafts',' scorched ',' scorched ',' Telkomsel ',' here ',' Gabagus', ' The service is', 'Different', 'network', 'ugly', 'please', 'noticed', 'user', 'Telkomsel', 'run', 'product', 'other', 'lose', 'competitiveness' , '']</v>
      </c>
      <c r="D2352" s="3">
        <v>1.0</v>
      </c>
    </row>
    <row r="2353" ht="15.75" customHeight="1">
      <c r="A2353" s="1">
        <v>2351.0</v>
      </c>
      <c r="B2353" s="3" t="s">
        <v>2354</v>
      </c>
      <c r="C2353" s="3" t="str">
        <f>IFERROR(__xludf.DUMMYFUNCTION("GOOGLETRANSLATE(B2353,""id"",""en"")"),"['Disappointed', 'Service', 'Telkomsel', 'Times',' Experience ',' Constraints', 'Complaints',' Complaints', 'Via', 'Email', 'Results',' hope ',' Seprofesional ',' Hidayah ',' ']")</f>
        <v>['Disappointed', 'Service', 'Telkomsel', 'Times',' Experience ',' Constraints', 'Complaints',' Complaints', 'Via', 'Email', 'Results',' hope ',' Seprofesional ',' Hidayah ',' ']</v>
      </c>
      <c r="D2353" s="3">
        <v>1.0</v>
      </c>
    </row>
    <row r="2354" ht="15.75" customHeight="1">
      <c r="A2354" s="1">
        <v>2352.0</v>
      </c>
      <c r="B2354" s="3" t="s">
        <v>2355</v>
      </c>
      <c r="C2354" s="3" t="str">
        <f>IFERROR(__xludf.DUMMYFUNCTION("GOOGLETRANSLATE(B2354,""id"",""en"")"),"['Buy', 'Voucher', 'Telkomsel', 'GB', 'GB', 'Internet', 'OMG', 'GB', 'No', 'Dipake', 'OMG', 'Internet', ' Already ',' Abis', 'Live', 'Local', 'GB', 'No', 'Google', 'Main', 'Game', 'Etc.', ""]")</f>
        <v>['Buy', 'Voucher', 'Telkomsel', 'GB', 'GB', 'Internet', 'OMG', 'GB', 'No', 'Dipake', 'OMG', 'Internet', ' Already ',' Abis', 'Live', 'Local', 'GB', 'No', 'Google', 'Main', 'Game', 'Etc.', "]</v>
      </c>
      <c r="D2354" s="3">
        <v>1.0</v>
      </c>
    </row>
    <row r="2355" ht="15.75" customHeight="1">
      <c r="A2355" s="1">
        <v>2353.0</v>
      </c>
      <c r="B2355" s="3" t="s">
        <v>2356</v>
      </c>
      <c r="C2355" s="3" t="str">
        <f>IFERROR(__xludf.DUMMYFUNCTION("GOOGLETRANSLATE(B2355,""id"",""en"")"),"['Min', 'buy', 'quota', 'cheerful', 'already', 'right', 'buy', 'fail', 'promo', 'pulse', 'please', 'lined', ' hurried ',' promo ',' missing ']")</f>
        <v>['Min', 'buy', 'quota', 'cheerful', 'already', 'right', 'buy', 'fail', 'promo', 'pulse', 'please', 'lined', ' hurried ',' promo ',' missing ']</v>
      </c>
      <c r="D2355" s="3">
        <v>1.0</v>
      </c>
    </row>
    <row r="2356" ht="15.75" customHeight="1">
      <c r="A2356" s="1">
        <v>2354.0</v>
      </c>
      <c r="B2356" s="3" t="s">
        <v>2357</v>
      </c>
      <c r="C2356" s="3" t="str">
        <f>IFERROR(__xludf.DUMMYFUNCTION("GOOGLETRANSLATE(B2356,""id"",""en"")"),"['Change', 'Speed', 'Internet', 'Provider', 'Telkomsel', 'Download', 'App', 'Lemot', 'Forgiveness',' Disappointing ',' Telkomsel ',' Proud ',' proud of ',' package ',' expensive ',' network ',' slow ',' solution ',' proud of ',' provider ',' biggest ',' I"&amp;"ndonesia ',' please ',' satisfaction ',' customer ' , 'Pay', 'expensive', 'package', 'usage', 'maximum', 'because', 'slow', ""]")</f>
        <v>['Change', 'Speed', 'Internet', 'Provider', 'Telkomsel', 'Download', 'App', 'Lemot', 'Forgiveness',' Disappointing ',' Telkomsel ',' Proud ',' proud of ',' package ',' expensive ',' network ',' slow ',' solution ',' proud of ',' provider ',' biggest ',' Indonesia ',' please ',' satisfaction ',' customer ' , 'Pay', 'expensive', 'package', 'usage', 'maximum', 'because', 'slow', "]</v>
      </c>
      <c r="D2356" s="3">
        <v>1.0</v>
      </c>
    </row>
    <row r="2357" ht="15.75" customHeight="1">
      <c r="A2357" s="1">
        <v>2355.0</v>
      </c>
      <c r="B2357" s="3" t="s">
        <v>2358</v>
      </c>
      <c r="C2357" s="3" t="str">
        <f>IFERROR(__xludf.DUMMYFUNCTION("GOOGLETRANSLATE(B2357,""id"",""en"")"),"['Disappointed', 'Telkomsel', 'Region', 'Province', 'Sulawesi', 'North', 'Kabupaten', 'Minut', 'Network', 'Internet', 'Slow', 'Activity', ' a day ',' disrupted ',' use ',' internet ',' Telkomsel ',' work ',' cream ',' file ',' download ',' file ',' watch "&amp;"',' youtube ',' play ' , 'game', 'pubg', 'ugly', 'abis',' network ',' network ',' good ',' clock ',' night ',' hour ',' morning ',' please ',' Yaa ',' comfort ',' Customer ',' ']")</f>
        <v>['Disappointed', 'Telkomsel', 'Region', 'Province', 'Sulawesi', 'North', 'Kabupaten', 'Minut', 'Network', 'Internet', 'Slow', 'Activity', ' a day ',' disrupted ',' use ',' internet ',' Telkomsel ',' work ',' cream ',' file ',' download ',' file ',' watch ',' youtube ',' play ' , 'game', 'pubg', 'ugly', 'abis',' network ',' network ',' good ',' clock ',' night ',' hour ',' morning ',' please ',' Yaa ',' comfort ',' Customer ',' ']</v>
      </c>
      <c r="D2357" s="3">
        <v>1.0</v>
      </c>
    </row>
    <row r="2358" ht="15.75" customHeight="1">
      <c r="A2358" s="1">
        <v>2356.0</v>
      </c>
      <c r="B2358" s="3" t="s">
        <v>2359</v>
      </c>
      <c r="C2358" s="3" t="str">
        <f>IFERROR(__xludf.DUMMYFUNCTION("GOOGLETRANSLATE(B2358,""id"",""en"")"),"['users',' Telkomsel ',' Province ',' Aceh ',' Kabupateh ',' Aceh ',' East ',' District ',' Serjadi ',' please ',' Telkomsel ',' fix ',' network ',' network ',' kmi ',' slow ',' enjoy ',' network ',' fast ',' city ']")</f>
        <v>['users',' Telkomsel ',' Province ',' Aceh ',' Kabupateh ',' Aceh ',' East ',' District ',' Serjadi ',' please ',' Telkomsel ',' fix ',' network ',' network ',' kmi ',' slow ',' enjoy ',' network ',' fast ',' city ']</v>
      </c>
      <c r="D2358" s="3">
        <v>5.0</v>
      </c>
    </row>
    <row r="2359" ht="15.75" customHeight="1">
      <c r="A2359" s="1">
        <v>2357.0</v>
      </c>
      <c r="B2359" s="3" t="s">
        <v>2360</v>
      </c>
      <c r="C2359" s="3" t="str">
        <f>IFERROR(__xludf.DUMMYFUNCTION("GOOGLETRANSLATE(B2359,""id"",""en"")"),"['Switch', 'operator', 'signal', 'invite', 'nuanced', 'original', 'severe', 'times',' signal ',' telomsel ',' price ',' package ',' Excellent ',' signal ',' sick ',' ']")</f>
        <v>['Switch', 'operator', 'signal', 'invite', 'nuanced', 'original', 'severe', 'times',' signal ',' telomsel ',' price ',' package ',' Excellent ',' signal ',' sick ',' ']</v>
      </c>
      <c r="D2359" s="3">
        <v>1.0</v>
      </c>
    </row>
    <row r="2360" ht="15.75" customHeight="1">
      <c r="A2360" s="1">
        <v>2358.0</v>
      </c>
      <c r="B2360" s="3" t="s">
        <v>2361</v>
      </c>
      <c r="C2360" s="3" t="str">
        <f>IFERROR(__xludf.DUMMYFUNCTION("GOOGLETRANSLATE(B2360,""id"",""en"")"),"['Developer', 'no', 'access',' quota ',' omg ',' quota ',' lap ',' yesterday ',' access', 'please', 'repaired', 'offered', ' Package ',' expensive ',' no ',' money ',' ']")</f>
        <v>['Developer', 'no', 'access',' quota ',' omg ',' quota ',' lap ',' yesterday ',' access', 'please', 'repaired', 'offered', ' Package ',' expensive ',' no ',' money ',' ']</v>
      </c>
      <c r="D2360" s="3">
        <v>1.0</v>
      </c>
    </row>
    <row r="2361" ht="15.75" customHeight="1">
      <c r="A2361" s="1">
        <v>2359.0</v>
      </c>
      <c r="B2361" s="3" t="s">
        <v>2362</v>
      </c>
      <c r="C2361" s="3" t="str">
        <f>IFERROR(__xludf.DUMMYFUNCTION("GOOGLETRANSLATE(B2361,""id"",""en"")"),"['signal', 'ugly', 'right', 'play', 'game', 'like', 'ngelag', 'TPI', 'right', 'turn', 'Wait', 'Wait', ' DLU ',' stable ',' LGI ',' signal ',' KTnya ',' quota ',' unlimited ',' sosmed ',' quota ',' main ',' locally ',' abis', 'cmn' , 'Doang', 'more', 'kyk'"&amp;", 'Tiktok', 'etc.', 'subscription', 'disappointed', 'heavy', 'signal', 'bad']")</f>
        <v>['signal', 'ugly', 'right', 'play', 'game', 'like', 'ngelag', 'TPI', 'right', 'turn', 'Wait', 'Wait', ' DLU ',' stable ',' LGI ',' signal ',' KTnya ',' quota ',' unlimited ',' sosmed ',' quota ',' main ',' locally ',' abis', 'cmn' , 'Doang', 'more', 'kyk', 'Tiktok', 'etc.', 'subscription', 'disappointed', 'heavy', 'signal', 'bad']</v>
      </c>
      <c r="D2361" s="3">
        <v>1.0</v>
      </c>
    </row>
    <row r="2362" ht="15.75" customHeight="1">
      <c r="A2362" s="1">
        <v>2360.0</v>
      </c>
      <c r="B2362" s="3" t="s">
        <v>2363</v>
      </c>
      <c r="C2362" s="3" t="str">
        <f>IFERROR(__xludf.DUMMYFUNCTION("GOOGLETRANSLATE(B2362,""id"",""en"")"),"['signal', 'internet', 'Telkomsel', 'driver', 'ojol', 'strong', 'easy', 'enter', 'orders',' slow ',' buffer ',' lose ',' operator ',' next door ',' forced ',' change ',' network ',' internet ']")</f>
        <v>['signal', 'internet', 'Telkomsel', 'driver', 'ojol', 'strong', 'easy', 'enter', 'orders',' slow ',' buffer ',' lose ',' operator ',' next door ',' forced ',' change ',' network ',' internet ']</v>
      </c>
      <c r="D2362" s="3">
        <v>1.0</v>
      </c>
    </row>
    <row r="2363" ht="15.75" customHeight="1">
      <c r="A2363" s="1">
        <v>2361.0</v>
      </c>
      <c r="B2363" s="3" t="s">
        <v>2364</v>
      </c>
      <c r="C2363" s="3" t="str">
        <f>IFERROR(__xludf.DUMMYFUNCTION("GOOGLETRANSLATE(B2363,""id"",""en"")"),"['Network', 'number', 'Telkomsel', 'Please', 'Wait', 'Process',' Do ',' Team ',' Realization ',' Improved ',' Signal ',' Number ',' Telkomsel ',' ']")</f>
        <v>['Network', 'number', 'Telkomsel', 'Please', 'Wait', 'Process',' Do ',' Team ',' Realization ',' Improved ',' Signal ',' Number ',' Telkomsel ',' ']</v>
      </c>
      <c r="D2363" s="3">
        <v>1.0</v>
      </c>
    </row>
    <row r="2364" ht="15.75" customHeight="1">
      <c r="A2364" s="1">
        <v>2362.0</v>
      </c>
      <c r="B2364" s="3" t="s">
        <v>2365</v>
      </c>
      <c r="C2364" s="3" t="str">
        <f>IFERROR(__xludf.DUMMYFUNCTION("GOOGLETRANSLATE(B2364,""id"",""en"")"),"['steady', 'help', 'Telkomsel', 'community', 'prioritized', 'assistance', 'counter', 'pulse', 'agent', 'pulse', 'customer', 'loyal', ' Telkomsel ',' it's wrong ',' gift ',' Customer ',' Focus', 'Telkomsel', 'Points',' Bakti ',' Social ',' Tks']")</f>
        <v>['steady', 'help', 'Telkomsel', 'community', 'prioritized', 'assistance', 'counter', 'pulse', 'agent', 'pulse', 'customer', 'loyal', ' Telkomsel ',' it's wrong ',' gift ',' Customer ',' Focus', 'Telkomsel', 'Points',' Bakti ',' Social ',' Tks']</v>
      </c>
      <c r="D2364" s="3">
        <v>5.0</v>
      </c>
    </row>
    <row r="2365" ht="15.75" customHeight="1">
      <c r="A2365" s="1">
        <v>2363.0</v>
      </c>
      <c r="B2365" s="3" t="s">
        <v>2366</v>
      </c>
      <c r="C2365" s="3" t="str">
        <f>IFERROR(__xludf.DUMMYFUNCTION("GOOGLETRANSLATE(B2365,""id"",""en"")"),"['Sympathy', 'Dego', 'Season', 'Package', 'Corporet', 'Package', 'Swadaya', 'Rich', 'friend', 'quota', 'GB', 'Call', ' Unlimited ',' Call ',' operator ',' mnit ',' kagak ',' sympathy ',' sympathy ',' package ',' internet ',' different ',' different ', ""]")</f>
        <v>['Sympathy', 'Dego', 'Season', 'Package', 'Corporet', 'Package', 'Swadaya', 'Rich', 'friend', 'quota', 'GB', 'Call', ' Unlimited ',' Call ',' operator ',' mnit ',' kagak ',' sympathy ',' sympathy ',' package ',' internet ',' different ',' different ', "]</v>
      </c>
      <c r="D2365" s="3">
        <v>1.0</v>
      </c>
    </row>
    <row r="2366" ht="15.75" customHeight="1">
      <c r="A2366" s="1">
        <v>2364.0</v>
      </c>
      <c r="B2366" s="3" t="s">
        <v>2367</v>
      </c>
      <c r="C2366" s="3" t="str">
        <f>IFERROR(__xludf.DUMMYFUNCTION("GOOGLETRANSLATE(B2366,""id"",""en"")"),"['Hay', 'Sis',' friend ',' DPT ',' promo ',' card ',' Telkomsel ',' Dri ',' TRS ',' JGAN ',' expensive ',' price ',' The quota ',' Sis', 'UDH', 'DPT', 'PROMO', 'SMA', 'TRS', 'price', 'quota', 'expensive', ""]")</f>
        <v>['Hay', 'Sis',' friend ',' DPT ',' promo ',' card ',' Telkomsel ',' Dri ',' TRS ',' JGAN ',' expensive ',' price ',' The quota ',' Sis', 'UDH', 'DPT', 'PROMO', 'SMA', 'TRS', 'price', 'quota', 'expensive', "]</v>
      </c>
      <c r="D2366" s="3">
        <v>5.0</v>
      </c>
    </row>
    <row r="2367" ht="15.75" customHeight="1">
      <c r="A2367" s="1">
        <v>2365.0</v>
      </c>
      <c r="B2367" s="3" t="s">
        <v>2368</v>
      </c>
      <c r="C2367" s="3" t="str">
        <f>IFERROR(__xludf.DUMMYFUNCTION("GOOGLETRANSLATE(B2367,""id"",""en"")"),"['pulp', 'application', 'super', 'slow', 'right', 'open', 'speed', 'internet', 'cave', 'kb', 'sec', 'loading', ' finished ',' App ',' Benerin ',' Ampe ']")</f>
        <v>['pulp', 'application', 'super', 'slow', 'right', 'open', 'speed', 'internet', 'cave', 'kb', 'sec', 'loading', ' finished ',' App ',' Benerin ',' Ampe ']</v>
      </c>
      <c r="D2367" s="3">
        <v>1.0</v>
      </c>
    </row>
    <row r="2368" ht="15.75" customHeight="1">
      <c r="A2368" s="1">
        <v>2366.0</v>
      </c>
      <c r="B2368" s="3" t="s">
        <v>2369</v>
      </c>
      <c r="C2368" s="3" t="str">
        <f>IFERROR(__xludf.DUMMYFUNCTION("GOOGLETRANSLATE(B2368,""id"",""en"")"),"['App', 'error', 'credit', 'reduced', 'pedahal', 'use', 'internet', 'sms',' nelfon ',' pulse ',' reduced ',' subscribe ',' pulses', 'reduced', 'gini', 'mending', 'use', 'card', 'deh', 'buy', 'package', 'lap', 'pulse', 'already', 'reduced' , 'quota', 'appe"&amp;"ars', 'how', 'Telkomsel']")</f>
        <v>['App', 'error', 'credit', 'reduced', 'pedahal', 'use', 'internet', 'sms',' nelfon ',' pulse ',' reduced ',' subscribe ',' pulses', 'reduced', 'gini', 'mending', 'use', 'card', 'deh', 'buy', 'package', 'lap', 'pulse', 'already', 'reduced' , 'quota', 'appears', 'how', 'Telkomsel']</v>
      </c>
      <c r="D2368" s="3">
        <v>1.0</v>
      </c>
    </row>
    <row r="2369" ht="15.75" customHeight="1">
      <c r="A2369" s="1">
        <v>2367.0</v>
      </c>
      <c r="B2369" s="3" t="s">
        <v>2370</v>
      </c>
      <c r="C2369" s="3" t="str">
        <f>IFERROR(__xludf.DUMMYFUNCTION("GOOGLETRANSLATE(B2369,""id"",""en"")"),"['cave', 'admin', 'developer', 'apk', 'actually', 'intention', 'no', 'apk', 'rich', 'gini', 'cave', 'moved', ' axis', 'etc.', 'me', 'please', 'features',' useful ',' quota ',' run out ',' stop ',' direct ',' pulse ',' kaga ',' sumps' , 'rich', 'gini', 'ca"&amp;"ve', 'moved', 'operator']")</f>
        <v>['cave', 'admin', 'developer', 'apk', 'actually', 'intention', 'no', 'apk', 'rich', 'gini', 'cave', 'moved', ' axis', 'etc.', 'me', 'please', 'features',' useful ',' quota ',' run out ',' stop ',' direct ',' pulse ',' kaga ',' sumps' , 'rich', 'gini', 'cave', 'moved', 'operator']</v>
      </c>
      <c r="D2369" s="3">
        <v>1.0</v>
      </c>
    </row>
    <row r="2370" ht="15.75" customHeight="1">
      <c r="A2370" s="1">
        <v>2368.0</v>
      </c>
      <c r="B2370" s="3" t="s">
        <v>2371</v>
      </c>
      <c r="C2370" s="3" t="str">
        <f>IFERROR(__xludf.DUMMYFUNCTION("GOOGLETRANSLATE(B2370,""id"",""en"")"),"['LGI', 'LGI', 'PLN', 'Awaken', 'Sell', 'Network', 'Operator', 'Community', 'Indo', 'Society', 'Thankful', 'Telkom', ' CANCERS ',' Garbage ',' expensive ',' Doang ',' Taulah ',' China ',' Take ',' Over ',' Delete ',' Change ',' Operator ',' Network ' , 'P"&amp;"LN', 'Negri', 'cheap', 'all', 'people', 'telkom', 'citizens',' indo ',' original ',' economy ',' medium ',' kebawh ',' Sincerely ',' spent ',' money ',' Jaringn ',' garbage ',' Hehhbuka ',' Loading ',' PDHL ',' City ',' Makntuh ',' Money ',' Haram ',' Har"&amp;"am ' , 'Haram']")</f>
        <v>['LGI', 'LGI', 'PLN', 'Awaken', 'Sell', 'Network', 'Operator', 'Community', 'Indo', 'Society', 'Thankful', 'Telkom', ' CANCERS ',' Garbage ',' expensive ',' Doang ',' Taulah ',' China ',' Take ',' Over ',' Delete ',' Change ',' Operator ',' Network ' , 'PLN', 'Negri', 'cheap', 'all', 'people', 'telkom', 'citizens',' indo ',' original ',' economy ',' medium ',' kebawh ',' Sincerely ',' spent ',' money ',' Jaringn ',' garbage ',' Hehhbuka ',' Loading ',' PDHL ',' City ',' Makntuh ',' Money ',' Haram ',' Haram ' , 'Haram']</v>
      </c>
      <c r="D2370" s="3">
        <v>1.0</v>
      </c>
    </row>
    <row r="2371" ht="15.75" customHeight="1">
      <c r="A2371" s="1">
        <v>2369.0</v>
      </c>
      <c r="B2371" s="3" t="s">
        <v>2372</v>
      </c>
      <c r="C2371" s="3" t="str">
        <f>IFERROR(__xludf.DUMMYFUNCTION("GOOGLETRANSLATE(B2371,""id"",""en"")"),"['Madura', 'Disappointed', 'Yesterday', 'Telkomsel', 'The network', 'Kenceng', 'really', 'Paketan', 'UDH', 'expensive', 'trs',' Lemmut ',' forgiveness', 'network', 'full', 'trs',' change ',' rupture ',' jngan ',' pull out ',' network ',' telkomsel ',' skr"&amp;"g ',' padah ',' every year ' , 'Pakek', 'Telkomsel', 'times', 'disappointed', 'really', ""]")</f>
        <v>['Madura', 'Disappointed', 'Yesterday', 'Telkomsel', 'The network', 'Kenceng', 'really', 'Paketan', 'UDH', 'expensive', 'trs',' Lemmut ',' forgiveness', 'network', 'full', 'trs',' change ',' rupture ',' jngan ',' pull out ',' network ',' telkomsel ',' skrg ',' padah ',' every year ' , 'Pakek', 'Telkomsel', 'times', 'disappointed', 'really', "]</v>
      </c>
      <c r="D2371" s="3">
        <v>1.0</v>
      </c>
    </row>
    <row r="2372" ht="15.75" customHeight="1">
      <c r="A2372" s="1">
        <v>2370.0</v>
      </c>
      <c r="B2372" s="3" t="s">
        <v>2373</v>
      </c>
      <c r="C2372" s="3" t="str">
        <f>IFERROR(__xludf.DUMMYFUNCTION("GOOGLETRANSLATE(B2372,""id"",""en"")"),"['stop', 'stopped', 'warn', 'quota', 'run out', 'times',' sms', 'quota', 'buy', 'just', 'nyepam', 'sms',' Sangat ',' annoying ',' comfort ']")</f>
        <v>['stop', 'stopped', 'warn', 'quota', 'run out', 'times',' sms', 'quota', 'buy', 'just', 'nyepam', 'sms',' Sangat ',' annoying ',' comfort ']</v>
      </c>
      <c r="D2372" s="3">
        <v>1.0</v>
      </c>
    </row>
    <row r="2373" ht="15.75" customHeight="1">
      <c r="A2373" s="1">
        <v>2371.0</v>
      </c>
      <c r="B2373" s="3" t="s">
        <v>2374</v>
      </c>
      <c r="C2373" s="3" t="str">
        <f>IFERROR(__xludf.DUMMYFUNCTION("GOOGLETRANSLATE(B2373,""id"",""en"")"),"['Purchase', 'Package', 'Sakti', 'Method', 'Payment', 'Gopay', 'Enter', 'Cman', 'Notification', 'Message', 'SMS', 'Payment', ' Blum ',' SUCCESS ',' That's', 'Check', 'Application', 'Gojek', 'Saldo', 'It's',' Reduced ',' TPI ',' FAILURE ',' HAVE ',' REFUND"&amp;" ' , 'Application', 'Gojek', 'Process',' Clock ',' Ngga ',' Benerin ',' Telkomsel ',' Method ',' Payment ',' Collaboration ',' Gopay ',' How ',' The solution ',' failed ',' transaction ',' smpe ',' customer ',' led ',' ']")</f>
        <v>['Purchase', 'Package', 'Sakti', 'Method', 'Payment', 'Gopay', 'Enter', 'Cman', 'Notification', 'Message', 'SMS', 'Payment', ' Blum ',' SUCCESS ',' That's', 'Check', 'Application', 'Gojek', 'Saldo', 'It's',' Reduced ',' TPI ',' FAILURE ',' HAVE ',' REFUND ' , 'Application', 'Gojek', 'Process',' Clock ',' Ngga ',' Benerin ',' Telkomsel ',' Method ',' Payment ',' Collaboration ',' Gopay ',' How ',' The solution ',' failed ',' transaction ',' smpe ',' customer ',' led ',' ']</v>
      </c>
      <c r="D2373" s="3">
        <v>2.0</v>
      </c>
    </row>
    <row r="2374" ht="15.75" customHeight="1">
      <c r="A2374" s="1">
        <v>2372.0</v>
      </c>
      <c r="B2374" s="3" t="s">
        <v>2375</v>
      </c>
      <c r="C2374" s="3" t="str">
        <f>IFERROR(__xludf.DUMMYFUNCTION("GOOGLETRANSLATE(B2374,""id"",""en"")"),"['swear', 'Telkomsel', 'good', 'JDI', 'operator', 'bad', 'in the world', 'network', 'internet', 'slow', 'really', 'already', ' Calls ',' TPI ',' Say "", 'Change', 'weve', 'made', 'TPI', 'told', 'Move',""]")</f>
        <v>['swear', 'Telkomsel', 'good', 'JDI', 'operator', 'bad', 'in the world', 'network', 'internet', 'slow', 'really', 'already', ' Calls ',' TPI ',' Say ", 'Change', 'weve', 'made', 'TPI', 'told', 'Move',"]</v>
      </c>
      <c r="D2374" s="3">
        <v>1.0</v>
      </c>
    </row>
    <row r="2375" ht="15.75" customHeight="1">
      <c r="A2375" s="1">
        <v>2373.0</v>
      </c>
      <c r="B2375" s="3" t="s">
        <v>2376</v>
      </c>
      <c r="C2375" s="3" t="str">
        <f>IFERROR(__xludf.DUMMYFUNCTION("GOOGLETRANSLATE(B2375,""id"",""en"")"),"['', 'Good', 'Telkomsel', 'good', 'cave', 'wifi', 'home', 'trs',' buy ',' package ',' unlimited ',' used ',' used ',' signal ',' ugly ',' watch ',' youtube ',' whatsapp ',' difficult ',' bagan ',' card ']")</f>
        <v>['', 'Good', 'Telkomsel', 'good', 'cave', 'wifi', 'home', 'trs',' buy ',' package ',' unlimited ',' used ',' used ',' signal ',' ugly ',' watch ',' youtube ',' whatsapp ',' difficult ',' bagan ',' card ']</v>
      </c>
      <c r="D2375" s="3">
        <v>3.0</v>
      </c>
    </row>
    <row r="2376" ht="15.75" customHeight="1">
      <c r="A2376" s="1">
        <v>2374.0</v>
      </c>
      <c r="B2376" s="3" t="s">
        <v>2377</v>
      </c>
      <c r="C2376" s="3" t="str">
        <f>IFERROR(__xludf.DUMMYFUNCTION("GOOGLETRANSLATE(B2376,""id"",""en"")"),"['love', 'star', 'heavy', 'special', 'promo', 'package', 'cheerful', 'GB', 'buy', 'severe', 'status',' remaining ',' Promo ',' Buy ',' Package ',' Cheerful ',' Mending ',' Tongolin ',' Menu ',' Buy ',' Weve ',' Severe ',' Total ', ""]")</f>
        <v>['love', 'star', 'heavy', 'special', 'promo', 'package', 'cheerful', 'GB', 'buy', 'severe', 'status',' remaining ',' Promo ',' Buy ',' Package ',' Cheerful ',' Mending ',' Tongolin ',' Menu ',' Buy ',' Weve ',' Severe ',' Total ', "]</v>
      </c>
      <c r="D2376" s="3">
        <v>1.0</v>
      </c>
    </row>
    <row r="2377" ht="15.75" customHeight="1">
      <c r="A2377" s="1">
        <v>2375.0</v>
      </c>
      <c r="B2377" s="3" t="s">
        <v>2378</v>
      </c>
      <c r="C2377" s="3" t="str">
        <f>IFERROR(__xludf.DUMMYFUNCTION("GOOGLETRANSLATE(B2377,""id"",""en"")"),"['Main', 'Game', 'Really', 'Mare', 'Card', 'Tlkomsel', 'Skrng', 'Already', 'Kya', 'Dlu', 'Telkomsell', 'Network', ' manteng ',' truz ',' skrng ',' mah ',' pling ',' ugly ',' skrng ',' lose ',' bankrupt ',' telkomsell ',' kya ',' gini ',' truz ' , 'play', "&amp;"'game', 'ttep', 'leg', 'auto', 'moved', 'card', 'love', 'karna', 'skrng', 'bkin', 'mugease']")</f>
        <v>['Main', 'Game', 'Really', 'Mare', 'Card', 'Tlkomsel', 'Skrng', 'Already', 'Kya', 'Dlu', 'Telkomsell', 'Network', ' manteng ',' truz ',' skrng ',' mah ',' pling ',' ugly ',' skrng ',' lose ',' bankrupt ',' telkomsell ',' kya ',' gini ',' truz ' , 'play', 'game', 'ttep', 'leg', 'auto', 'moved', 'card', 'love', 'karna', 'skrng', 'bkin', 'mugease']</v>
      </c>
      <c r="D2377" s="3">
        <v>1.0</v>
      </c>
    </row>
    <row r="2378" ht="15.75" customHeight="1">
      <c r="A2378" s="1">
        <v>2376.0</v>
      </c>
      <c r="B2378" s="3" t="s">
        <v>2379</v>
      </c>
      <c r="C2378" s="3" t="str">
        <f>IFERROR(__xludf.DUMMYFUNCTION("GOOGLETRANSLATE(B2378,""id"",""en"")"),"['Telkomsel', 'removal', 'quota', 'GB', 'comfortable', 'use', 'disappointing', 'solution', 'change', 'card', 'prime', 'expensive', ' ']")</f>
        <v>['Telkomsel', 'removal', 'quota', 'GB', 'comfortable', 'use', 'disappointing', 'solution', 'change', 'card', 'prime', 'expensive', ' ']</v>
      </c>
      <c r="D2378" s="3">
        <v>2.0</v>
      </c>
    </row>
    <row r="2379" ht="15.75" customHeight="1">
      <c r="A2379" s="1">
        <v>2377.0</v>
      </c>
      <c r="B2379" s="3" t="s">
        <v>2380</v>
      </c>
      <c r="C2379" s="3" t="str">
        <f>IFERROR(__xludf.DUMMYFUNCTION("GOOGLETRANSLATE(B2379,""id"",""en"")"),"['Telkomsel', 'please', 'developed', 'signal', 'developed', 'signal', 'ugly', 'bngt', 'inhibits',' communication ',' please ',' follow ',' Continue ',' signal ',' ilang ',' Mulu ',' krangkek ',' contact ',' please ']")</f>
        <v>['Telkomsel', 'please', 'developed', 'signal', 'developed', 'signal', 'ugly', 'bngt', 'inhibits',' communication ',' please ',' follow ',' Continue ',' signal ',' ilang ',' Mulu ',' krangkek ',' contact ',' please ']</v>
      </c>
      <c r="D2379" s="3">
        <v>1.0</v>
      </c>
    </row>
    <row r="2380" ht="15.75" customHeight="1">
      <c r="A2380" s="1">
        <v>2378.0</v>
      </c>
      <c r="B2380" s="3" t="s">
        <v>2381</v>
      </c>
      <c r="C2380" s="3" t="str">
        <f>IFERROR(__xludf.DUMMYFUNCTION("GOOGLETRANSLATE(B2380,""id"",""en"")"),"['Come on', 'Telkomsel', 'already', 'pay', 'expensive', 'package', 'data', 'network', 'urusin', 'fast', 'night', 'slow', ' afternoon ',' night ',' hedeh ',' money ',' hooked ',' satisfaction ',' customer ',' neglected ']")</f>
        <v>['Come on', 'Telkomsel', 'already', 'pay', 'expensive', 'package', 'data', 'network', 'urusin', 'fast', 'night', 'slow', ' afternoon ',' night ',' hedeh ',' money ',' hooked ',' satisfaction ',' customer ',' neglected ']</v>
      </c>
      <c r="D2380" s="3">
        <v>1.0</v>
      </c>
    </row>
    <row r="2381" ht="15.75" customHeight="1">
      <c r="A2381" s="1">
        <v>2379.0</v>
      </c>
      <c r="B2381" s="3" t="s">
        <v>2382</v>
      </c>
      <c r="C2381" s="3" t="str">
        <f>IFERROR(__xludf.DUMMYFUNCTION("GOOGLETRANSLATE(B2381,""id"",""en"")"),"['If', 'Give', 'Bintang', 'Love', 'Telkomsel', 'Weve', 'Nares',' Bad ',' Activine ',' Destroyed ',' Lbh ',' Lbh ',' Bagusan ',' JGA ',' Sometimes', 'to walk', 'quota', 'expensive', 'expensive', 'net', 'rotten', ""]")</f>
        <v>['If', 'Give', 'Bintang', 'Love', 'Telkomsel', 'Weve', 'Nares',' Bad ',' Activine ',' Destroyed ',' Lbh ',' Lbh ',' Bagusan ',' JGA ',' Sometimes', 'to walk', 'quota', 'expensive', 'expensive', 'net', 'rotten', "]</v>
      </c>
      <c r="D2381" s="3">
        <v>1.0</v>
      </c>
    </row>
    <row r="2382" ht="15.75" customHeight="1">
      <c r="A2382" s="1">
        <v>2380.0</v>
      </c>
      <c r="B2382" s="3" t="s">
        <v>2383</v>
      </c>
      <c r="C2382" s="3" t="str">
        <f>IFERROR(__xludf.DUMMYFUNCTION("GOOGLETRANSLATE(B2382,""id"",""en"")"),"['Please', 'Telkomsel', 'Fix', 'Quality', 'The Network', 'Price', 'Expensive', 'Region', 'Manado', 'Lag', 'Main', 'Game', ' Create ',' Telkomsel ',' Provider ',' Price ',' Quality ',' Customer ',' Turn ',' ']")</f>
        <v>['Please', 'Telkomsel', 'Fix', 'Quality', 'The Network', 'Price', 'Expensive', 'Region', 'Manado', 'Lag', 'Main', 'Game', ' Create ',' Telkomsel ',' Provider ',' Price ',' Quality ',' Customer ',' Turn ',' ']</v>
      </c>
      <c r="D2382" s="3">
        <v>2.0</v>
      </c>
    </row>
    <row r="2383" ht="15.75" customHeight="1">
      <c r="A2383" s="1">
        <v>2381.0</v>
      </c>
      <c r="B2383" s="3" t="s">
        <v>2384</v>
      </c>
      <c r="C2383" s="3" t="str">
        <f>IFERROR(__xludf.DUMMYFUNCTION("GOOGLETRANSLATE(B2383,""id"",""en"")"),"['Please', 'Package', 'Unlimited', 'Extended', 'Need', 'Learning', 'Child', 'At Home', 'Outbreaks',' Convid ',' Faux ',' Accept ',' love']")</f>
        <v>['Please', 'Package', 'Unlimited', 'Extended', 'Need', 'Learning', 'Child', 'At Home', 'Outbreaks',' Convid ',' Faux ',' Accept ',' love']</v>
      </c>
      <c r="D2383" s="3">
        <v>2.0</v>
      </c>
    </row>
    <row r="2384" ht="15.75" customHeight="1">
      <c r="A2384" s="1">
        <v>2382.0</v>
      </c>
      <c r="B2384" s="3" t="s">
        <v>2385</v>
      </c>
      <c r="C2384" s="3" t="str">
        <f>IFERROR(__xludf.DUMMYFUNCTION("GOOGLETRANSLATE(B2384,""id"",""en"")"),"['Severe', 'location', 'Dolok', 'still', 'Sergai', 'North Sumatra', 'network', 'slow', 'smooth', 'terkhit', 'melempem', ""]")</f>
        <v>['Severe', 'location', 'Dolok', 'still', 'Sergai', 'North Sumatra', 'network', 'slow', 'smooth', 'terkhit', 'melempem', "]</v>
      </c>
      <c r="D2384" s="3">
        <v>1.0</v>
      </c>
    </row>
    <row r="2385" ht="15.75" customHeight="1">
      <c r="A2385" s="1">
        <v>2383.0</v>
      </c>
      <c r="B2385" s="3" t="s">
        <v>2386</v>
      </c>
      <c r="C2385" s="3" t="str">
        <f>IFERROR(__xludf.DUMMYFUNCTION("GOOGLETRANSLATE(B2385,""id"",""en"")"),"['signal', 'bad', 'Gara', 'niru', 'unlimited', 'vendor', 'next door', 'lowering', 'quality', 'signal', 'play', 'game', ' kog ',' fluctuating ',' ugly ',' really ',' disappointed ',' customer ']")</f>
        <v>['signal', 'bad', 'Gara', 'niru', 'unlimited', 'vendor', 'next door', 'lowering', 'quality', 'signal', 'play', 'game', ' kog ',' fluctuating ',' ugly ',' really ',' disappointed ',' customer ']</v>
      </c>
      <c r="D2385" s="3">
        <v>1.0</v>
      </c>
    </row>
    <row r="2386" ht="15.75" customHeight="1">
      <c r="A2386" s="1">
        <v>2384.0</v>
      </c>
      <c r="B2386" s="3" t="s">
        <v>2387</v>
      </c>
      <c r="C2386" s="3" t="str">
        <f>IFERROR(__xludf.DUMMYFUNCTION("GOOGLETRANSLATE(B2386,""id"",""en"")"),"['Min', 'update', 'changed', 'silver', 'used to', 'gold', 'use', 'strange', 'bin', 'magical', 'tlg', 'admin', ' Thorough ']")</f>
        <v>['Min', 'update', 'changed', 'silver', 'used to', 'gold', 'use', 'strange', 'bin', 'magical', 'tlg', 'admin', ' Thorough ']</v>
      </c>
      <c r="D2386" s="3">
        <v>5.0</v>
      </c>
    </row>
    <row r="2387" ht="15.75" customHeight="1">
      <c r="A2387" s="1">
        <v>2385.0</v>
      </c>
      <c r="B2387" s="3" t="s">
        <v>2388</v>
      </c>
      <c r="C2387" s="3" t="str">
        <f>IFERROR(__xludf.DUMMYFUNCTION("GOOGLETRANSLATE(B2387,""id"",""en"")"),"['Sousiny', 'ugly', 'really', 'at home', 'Kenceng', 'now', 'just', 'get', 'stem', 'stem', 'Please', 'repaired', ' already ',' expensive ',' mah ',' signal ',' good ',' mending ',' cheap ',' ']")</f>
        <v>['Sousiny', 'ugly', 'really', 'at home', 'Kenceng', 'now', 'just', 'get', 'stem', 'stem', 'Please', 'repaired', ' already ',' expensive ',' mah ',' signal ',' good ',' mending ',' cheap ',' ']</v>
      </c>
      <c r="D2387" s="3">
        <v>1.0</v>
      </c>
    </row>
    <row r="2388" ht="15.75" customHeight="1">
      <c r="A2388" s="1">
        <v>2386.0</v>
      </c>
      <c r="B2388" s="3" t="s">
        <v>2389</v>
      </c>
      <c r="C2388" s="3" t="str">
        <f>IFERROR(__xludf.DUMMYFUNCTION("GOOGLETRANSLATE(B2388,""id"",""en"")"),"['buy', 'package', 'promo', 'cheerful', 'GB', 'purchase', 'appears',' notification ',' purchase ',' managed ',' promo ',' package ',' Do it ',' purchase ',' reset ',' continuous', 'refeshed', 'promo', 'run out', 'appears',' menu ',' purchase ',' thank you"&amp;" ',' hopefully ']")</f>
        <v>['buy', 'package', 'promo', 'cheerful', 'GB', 'purchase', 'appears',' notification ',' purchase ',' managed ',' promo ',' package ',' Do it ',' purchase ',' reset ',' continuous', 'refeshed', 'promo', 'run out', 'appears',' menu ',' purchase ',' thank you ',' hopefully ']</v>
      </c>
      <c r="D2388" s="3">
        <v>4.0</v>
      </c>
    </row>
    <row r="2389" ht="15.75" customHeight="1">
      <c r="A2389" s="1">
        <v>2387.0</v>
      </c>
      <c r="B2389" s="3" t="s">
        <v>2390</v>
      </c>
      <c r="C2389" s="3" t="str">
        <f>IFERROR(__xludf.DUMMYFUNCTION("GOOGLETRANSLATE(B2389,""id"",""en"")"),"['contents',' pulse ',' right ',' buy ',' package ',' GB ',' App ',' Telkomsel ',' network ',' wifi ',' data ',' cellular ',' Activate ',' Eeehh ',' Differable ',' Rupiah ',' Open ',' App ',' Network ',' wifi ',' pulse ',' ngak ',' list ',' theft ',' his "&amp;"name ' , 'Telkomsel', 'that's',' Search ',' Benefit ',' Imagine ',' Rupiah ',' Million ',' Customer ',' Ahhh ',' Meaning ',' Severe ',' Telkomsel ',' ']")</f>
        <v>['contents',' pulse ',' right ',' buy ',' package ',' GB ',' App ',' Telkomsel ',' network ',' wifi ',' data ',' cellular ',' Activate ',' Eeehh ',' Differable ',' Rupiah ',' Open ',' App ',' Network ',' wifi ',' pulse ',' ngak ',' list ',' theft ',' his name ' , 'Telkomsel', 'that's',' Search ',' Benefit ',' Imagine ',' Rupiah ',' Million ',' Customer ',' Ahhh ',' Meaning ',' Severe ',' Telkomsel ',' ']</v>
      </c>
      <c r="D2389" s="3">
        <v>1.0</v>
      </c>
    </row>
    <row r="2390" ht="15.75" customHeight="1">
      <c r="A2390" s="1">
        <v>2388.0</v>
      </c>
      <c r="B2390" s="3" t="s">
        <v>2391</v>
      </c>
      <c r="C2390" s="3" t="str">
        <f>IFERROR(__xludf.DUMMYFUNCTION("GOOGLETRANSLATE(B2390,""id"",""en"")"),"['signal', 'ilang', 'clock', 'night', 'signal', 'cross',' signal ',' cinderlla ',' city ',' tasty ',' signal ',' already ',' Search ',' signal ',' difficult ',' forgiveness']")</f>
        <v>['signal', 'ilang', 'clock', 'night', 'signal', 'cross',' signal ',' cinderlla ',' city ',' tasty ',' signal ',' already ',' Search ',' signal ',' difficult ',' forgiveness']</v>
      </c>
      <c r="D2390" s="3">
        <v>1.0</v>
      </c>
    </row>
    <row r="2391" ht="15.75" customHeight="1">
      <c r="A2391" s="1">
        <v>2389.0</v>
      </c>
      <c r="B2391" s="3" t="s">
        <v>2392</v>
      </c>
      <c r="C2391" s="3" t="str">
        <f>IFERROR(__xludf.DUMMYFUNCTION("GOOGLETRANSLATE(B2391,""id"",""en"")"),"['buy', 'package', 'data', 'GB', 'quota', 'internet', 'enter', 'number', 'pulse', 'cut', 'disappointed', ""]")</f>
        <v>['buy', 'package', 'data', 'GB', 'quota', 'internet', 'enter', 'number', 'pulse', 'cut', 'disappointed', "]</v>
      </c>
      <c r="D2391" s="3">
        <v>1.0</v>
      </c>
    </row>
    <row r="2392" ht="15.75" customHeight="1">
      <c r="A2392" s="1">
        <v>2390.0</v>
      </c>
      <c r="B2392" s="3" t="s">
        <v>2393</v>
      </c>
      <c r="C2392" s="3" t="str">
        <f>IFERROR(__xludf.DUMMYFUNCTION("GOOGLETRANSLATE(B2392,""id"",""en"")"),"['HHMMM', 'Combosakti', 'Unlimited', 'Free', 'Tiktok', 'YouTube', 'Line', 'Clock', 'Quota', 'GB', 'RB', 'Activate', ' MyTelkomsel ',' Click ',' Tsel ',' Comboul ',' Outlet ',' SKB ',' Turn ',' Buy ',' Package ',' Time ',' No ',' Free ',' Yuotube ' , 'Omon"&amp;"gggg', 'bigrrtt']")</f>
        <v>['HHMMM', 'Combosakti', 'Unlimited', 'Free', 'Tiktok', 'YouTube', 'Line', 'Clock', 'Quota', 'GB', 'RB', 'Activate', ' MyTelkomsel ',' Click ',' Tsel ',' Comboul ',' Outlet ',' SKB ',' Turn ',' Buy ',' Package ',' Time ',' No ',' Free ',' Yuotube ' , 'Omongggg', 'bigrrtt']</v>
      </c>
      <c r="D2392" s="3">
        <v>5.0</v>
      </c>
    </row>
    <row r="2393" ht="15.75" customHeight="1">
      <c r="A2393" s="1">
        <v>2391.0</v>
      </c>
      <c r="B2393" s="3" t="s">
        <v>2394</v>
      </c>
      <c r="C2393" s="3" t="str">
        <f>IFERROR(__xludf.DUMMYFUNCTION("GOOGLETRANSLATE(B2393,""id"",""en"")"),"['I', 'Kasi', 'Bintang', 'because', 'Not bad', 'good', 'I', 'updet', 'Person', 'Mlah', 'open', 'already', ' That's', 'Signal', 'Joyahkan', 'Sometimes',' Center ',' City ',' Jakarta ',' South ',' Season ',' Lemot ',' old ',' Partners', 'Please' , 'Fix', 'D"&amp;"isappointed', '']")</f>
        <v>['I', 'Kasi', 'Bintang', 'because', 'Not bad', 'good', 'I', 'updet', 'Person', 'Mlah', 'open', 'already', ' That's', 'Signal', 'Joyahkan', 'Sometimes',' Center ',' City ',' Jakarta ',' South ',' Season ',' Lemot ',' old ',' Partners', 'Please' , 'Fix', 'Disappointed', '']</v>
      </c>
      <c r="D2393" s="3">
        <v>1.0</v>
      </c>
    </row>
    <row r="2394" ht="15.75" customHeight="1">
      <c r="A2394" s="1">
        <v>2392.0</v>
      </c>
      <c r="B2394" s="3" t="s">
        <v>2395</v>
      </c>
      <c r="C2394" s="3" t="str">
        <f>IFERROR(__xludf.DUMMYFUNCTION("GOOGLETRANSLATE(B2394,""id"",""en"")"),"['The application', 'good', 'Lelatkomsel', 'connection', 'slow', 'no', 'stable', 'sometimes',' connection ',' internet ',' ilang ',' minutes', ' ']")</f>
        <v>['The application', 'good', 'Lelatkomsel', 'connection', 'slow', 'no', 'stable', 'sometimes',' connection ',' internet ',' ilang ',' minutes', ' ']</v>
      </c>
      <c r="D2394" s="3">
        <v>1.0</v>
      </c>
    </row>
    <row r="2395" ht="15.75" customHeight="1">
      <c r="A2395" s="1">
        <v>2393.0</v>
      </c>
      <c r="B2395" s="3" t="s">
        <v>2396</v>
      </c>
      <c r="C2395" s="3" t="str">
        <f>IFERROR(__xludf.DUMMYFUNCTION("GOOGLETRANSLATE(B2395,""id"",""en"")"),"['network', 'stable', 'Telkomsel', 'area', 'city', 'Telkomsel', 'good', 'network', 'forgiveness',' klw ',' sekrang ',' klw ',' Sekrang ',' Help ',' Network ',' Smooth ',' Donk ']")</f>
        <v>['network', 'stable', 'Telkomsel', 'area', 'city', 'Telkomsel', 'good', 'network', 'forgiveness',' klw ',' sekrang ',' klw ',' Sekrang ',' Help ',' Network ',' Smooth ',' Donk ']</v>
      </c>
      <c r="D2395" s="3">
        <v>1.0</v>
      </c>
    </row>
    <row r="2396" ht="15.75" customHeight="1">
      <c r="A2396" s="1">
        <v>2394.0</v>
      </c>
      <c r="B2396" s="3" t="s">
        <v>2397</v>
      </c>
      <c r="C2396" s="3" t="str">
        <f>IFERROR(__xludf.DUMMYFUNCTION("GOOGLETRANSLATE(B2396,""id"",""en"")"),"['Severe', 'buy', 'package', 'internet', 'a week', 'run out', 'validity', 'price', 'App', 'written', 'promo', 'promo', ' raise ',' price ',' network ',' noise ',' progress', 'slow', 'honest', 'disappointed', 'really', 'subscription', 'Telkomsel', 'last', "&amp;"'but' , 'not', 'Least', 'choice', 'quota', 'little', 'really', 'crazy', 'price', 'wow', 'really', 'steal', 'fill', ' wallet']")</f>
        <v>['Severe', 'buy', 'package', 'internet', 'a week', 'run out', 'validity', 'price', 'App', 'written', 'promo', 'promo', ' raise ',' price ',' network ',' noise ',' progress', 'slow', 'honest', 'disappointed', 'really', 'subscription', 'Telkomsel', 'last', 'but' , 'not', 'Least', 'choice', 'quota', 'little', 'really', 'crazy', 'price', 'wow', 'really', 'steal', 'fill', ' wallet']</v>
      </c>
      <c r="D2396" s="3">
        <v>1.0</v>
      </c>
    </row>
    <row r="2397" ht="15.75" customHeight="1">
      <c r="A2397" s="1">
        <v>2395.0</v>
      </c>
      <c r="B2397" s="3" t="s">
        <v>2398</v>
      </c>
      <c r="C2397" s="3" t="str">
        <f>IFERROR(__xludf.DUMMYFUNCTION("GOOGLETRANSLATE(B2397,""id"",""en"")"),"['', 'list', 'package', 'internet', 'active', 'data', 'cellphone', 'activate', 'appears',' icon ',' network ',' data ',' signal ',' mobile ',' restart ',' change ',' TLP ',' Telkomsel ',' Response ',' ']")</f>
        <v>['', 'list', 'package', 'internet', 'active', 'data', 'cellphone', 'activate', 'appears',' icon ',' network ',' data ',' signal ',' mobile ',' restart ',' change ',' TLP ',' Telkomsel ',' Response ',' ']</v>
      </c>
      <c r="D2397" s="3">
        <v>1.0</v>
      </c>
    </row>
    <row r="2398" ht="15.75" customHeight="1">
      <c r="A2398" s="1">
        <v>2396.0</v>
      </c>
      <c r="B2398" s="3" t="s">
        <v>2399</v>
      </c>
      <c r="C2398" s="3" t="str">
        <f>IFERROR(__xludf.DUMMYFUNCTION("GOOGLETRANSLATE(B2398,""id"",""en"")"),"['The application', 'good', 'easy', 'price', 'buy', 'package', 'expensive', 'compared to', 'provider', 'users',' complain ',' service ',' Telkomsel ',' decreases', 'decreases',' quality ']")</f>
        <v>['The application', 'good', 'easy', 'price', 'buy', 'package', 'expensive', 'compared to', 'provider', 'users',' complain ',' service ',' Telkomsel ',' decreases', 'decreases',' quality ']</v>
      </c>
      <c r="D2398" s="3">
        <v>5.0</v>
      </c>
    </row>
    <row r="2399" ht="15.75" customHeight="1">
      <c r="A2399" s="1">
        <v>2397.0</v>
      </c>
      <c r="B2399" s="3" t="s">
        <v>2400</v>
      </c>
      <c r="C2399" s="3" t="str">
        <f>IFERROR(__xludf.DUMMYFUNCTION("GOOGLETRANSLATE(B2399,""id"",""en"")"),"['Damaged', 'Damaged', 'Tlkomsel', 'Dusak', 'Price', 'Package', 'Internet', 'Jdi', 'already', 'Rich', 'BBM', 'Rich', ' Gini ',' Customer ',' TLKMSEL ',' Try ',' Please ',' repay ',' Restore ',' Price ', ""]")</f>
        <v>['Damaged', 'Damaged', 'Tlkomsel', 'Dusak', 'Price', 'Package', 'Internet', 'Jdi', 'already', 'Rich', 'BBM', 'Rich', ' Gini ',' Customer ',' TLKMSEL ',' Try ',' Please ',' repay ',' Restore ',' Price ', "]</v>
      </c>
      <c r="D2399" s="3">
        <v>1.0</v>
      </c>
    </row>
    <row r="2400" ht="15.75" customHeight="1">
      <c r="A2400" s="1">
        <v>2398.0</v>
      </c>
      <c r="B2400" s="3" t="s">
        <v>2401</v>
      </c>
      <c r="C2400" s="3" t="str">
        <f>IFERROR(__xludf.DUMMYFUNCTION("GOOGLETRANSLATE(B2400,""id"",""en"")"),"['woi', 'Telkomsel', 'annoying', 'really', 'already', 'signal', 'ugly', 'pulse', 'cheek', 'trs',' no ',' dipake ',' ']")</f>
        <v>['woi', 'Telkomsel', 'annoying', 'really', 'already', 'signal', 'ugly', 'pulse', 'cheek', 'trs',' no ',' dipake ',' ']</v>
      </c>
      <c r="D2400" s="3">
        <v>1.0</v>
      </c>
    </row>
    <row r="2401" ht="15.75" customHeight="1">
      <c r="A2401" s="1">
        <v>2399.0</v>
      </c>
      <c r="B2401" s="3" t="s">
        <v>2402</v>
      </c>
      <c r="C2401" s="3" t="str">
        <f>IFERROR(__xludf.DUMMYFUNCTION("GOOGLETRANSLATE(B2401,""id"",""en"")"),"['Points', 'Disappear', 'Notice', 'Points', 'Yesterday', 'Disappointed', 'Ngumupulin', 'Points', 'Points', 'Disappointing', 'Service', 'Telkomsel']")</f>
        <v>['Points', 'Disappear', 'Notice', 'Points', 'Yesterday', 'Disappointed', 'Ngumupulin', 'Points', 'Points', 'Disappointing', 'Service', 'Telkomsel']</v>
      </c>
      <c r="D2401" s="3">
        <v>1.0</v>
      </c>
    </row>
    <row r="2402" ht="15.75" customHeight="1">
      <c r="A2402" s="1">
        <v>2400.0</v>
      </c>
      <c r="B2402" s="3" t="s">
        <v>2403</v>
      </c>
      <c r="C2402" s="3" t="str">
        <f>IFERROR(__xludf.DUMMYFUNCTION("GOOGLETRANSLATE(B2402,""id"",""en"")"),"['application', 'indicated', 'absorbing', 'pulse', 'data', 'quota', 'funds',' consumer ',' Telkomsel ',' seller ',' ringtone ',' etc. ',' Telkomsel ',' utilizing ',' domination ',' connection ',' extensive ',' price ',' sell ',' package ',' expensive ',' "&amp;"promo ',' abal ',' abal ',' ']")</f>
        <v>['application', 'indicated', 'absorbing', 'pulse', 'data', 'quota', 'funds',' consumer ',' Telkomsel ',' seller ',' ringtone ',' etc. ',' Telkomsel ',' utilizing ',' domination ',' connection ',' extensive ',' price ',' sell ',' package ',' expensive ',' promo ',' abal ',' abal ',' ']</v>
      </c>
      <c r="D2402" s="3">
        <v>1.0</v>
      </c>
    </row>
    <row r="2403" ht="15.75" customHeight="1">
      <c r="A2403" s="1">
        <v>2401.0</v>
      </c>
      <c r="B2403" s="3" t="s">
        <v>2404</v>
      </c>
      <c r="C2403" s="3" t="str">
        <f>IFERROR(__xludf.DUMMYFUNCTION("GOOGLETRANSLATE(B2403,""id"",""en"")"),"['Convenience', 'Check', 'Data', 'Pilhan', 'Package', 'Data', 'according to', 'Pocket', 'Reward', 'Mantul', 'Nidak', 'Tipu', ' Tipu ',' asleeehhh ',' signal ',' room ',' strong ',' unfortunately ',' room ',' change ',' slow ', ""]")</f>
        <v>['Convenience', 'Check', 'Data', 'Pilhan', 'Package', 'Data', 'according to', 'Pocket', 'Reward', 'Mantul', 'Nidak', 'Tipu', ' Tipu ',' asleeehhh ',' signal ',' room ',' strong ',' unfortunately ',' room ',' change ',' slow ', "]</v>
      </c>
      <c r="D2403" s="3">
        <v>5.0</v>
      </c>
    </row>
    <row r="2404" ht="15.75" customHeight="1">
      <c r="A2404" s="1">
        <v>2402.0</v>
      </c>
      <c r="B2404" s="3" t="s">
        <v>2405</v>
      </c>
      <c r="C2404" s="3" t="str">
        <f>IFERROR(__xludf.DUMMYFUNCTION("GOOGLETRANSLATE(B2404,""id"",""en"")"),"['disappointing', 'signal', 'ugly', 'difficult', 'signal', 'signal', 'in the room', 'hrus', 'home', 'mulu', 'internet', 'uninsa']")</f>
        <v>['disappointing', 'signal', 'ugly', 'difficult', 'signal', 'signal', 'in the room', 'hrus', 'home', 'mulu', 'internet', 'uninsa']</v>
      </c>
      <c r="D2404" s="3">
        <v>1.0</v>
      </c>
    </row>
    <row r="2405" ht="15.75" customHeight="1">
      <c r="A2405" s="1">
        <v>2403.0</v>
      </c>
      <c r="B2405" s="3" t="s">
        <v>2406</v>
      </c>
      <c r="C2405" s="3" t="str">
        <f>IFERROR(__xludf.DUMMYFUNCTION("GOOGLETRANSLATE(B2405,""id"",""en"")"),"['difficult', 'Log', 'SMS', 'late', 'accepted', 'click', 'link', 'expiration', 'try', 'complicated', 'log', 'application', ' Log ',' out ',' hrs', 'log', 'reset', 'log', 'difficult', '']")</f>
        <v>['difficult', 'Log', 'SMS', 'late', 'accepted', 'click', 'link', 'expiration', 'try', 'complicated', 'log', 'application', ' Log ',' out ',' hrs', 'log', 'reset', 'log', 'difficult', '']</v>
      </c>
      <c r="D2405" s="3">
        <v>4.0</v>
      </c>
    </row>
    <row r="2406" ht="15.75" customHeight="1">
      <c r="A2406" s="1">
        <v>2404.0</v>
      </c>
      <c r="B2406" s="3" t="s">
        <v>2407</v>
      </c>
      <c r="C2406" s="3" t="str">
        <f>IFERROR(__xludf.DUMMYFUNCTION("GOOGLETRANSLATE(B2406,""id"",""en"")"),"['Think', 'ngayaan', 'provider', 'ugly', 'all', 'disappointed', 'severe', 'expensive', 'network', 'chaotic', 'where', 'location', ' Tetep ',' bad ',' PDHAL ',' users', 'Telkomsel', 'Loch', 'UDH', 'quota', 'Out', 'Kaga', 'And', 'Slow', 'KeceeeeeeEewwwwaaaa"&amp;"aaaa' ]")</f>
        <v>['Think', 'ngayaan', 'provider', 'ugly', 'all', 'disappointed', 'severe', 'expensive', 'network', 'chaotic', 'where', 'location', ' Tetep ',' bad ',' PDHAL ',' users', 'Telkomsel', 'Loch', 'UDH', 'quota', 'Out', 'Kaga', 'And', 'Slow', 'KeceeeeeeEewwwwaaaaaaaa' ]</v>
      </c>
      <c r="D2406" s="3">
        <v>1.0</v>
      </c>
    </row>
    <row r="2407" ht="15.75" customHeight="1">
      <c r="A2407" s="1">
        <v>2405.0</v>
      </c>
      <c r="B2407" s="3" t="s">
        <v>2408</v>
      </c>
      <c r="C2407" s="3" t="str">
        <f>IFERROR(__xludf.DUMMYFUNCTION("GOOGLETRANSLATE(B2407,""id"",""en"")"),"['Love', 'Star', 'Network', 'Telkomsel', 'Good', 'Bagt', 'Game', 'Sekrang', 'mah', 'Ancurrr', 'Yutuban', 'Current', ' Fix ',' advanced ',' customers', 'satisfied', 'gini', 'then', 'mah', 'bnyak', 'moved', 'provider']")</f>
        <v>['Love', 'Star', 'Network', 'Telkomsel', 'Good', 'Bagt', 'Game', 'Sekrang', 'mah', 'Ancurrr', 'Yutuban', 'Current', ' Fix ',' advanced ',' customers', 'satisfied', 'gini', 'then', 'mah', 'bnyak', 'moved', 'provider']</v>
      </c>
      <c r="D2407" s="3">
        <v>1.0</v>
      </c>
    </row>
    <row r="2408" ht="15.75" customHeight="1">
      <c r="A2408" s="1">
        <v>2406.0</v>
      </c>
      <c r="B2408" s="3" t="s">
        <v>2409</v>
      </c>
      <c r="C2408" s="3" t="str">
        <f>IFERROR(__xludf.DUMMYFUNCTION("GOOGLETRANSLATE(B2408,""id"",""en"")"),"['package', 'unlimited', 'BLM', 'run out', 'Karna', 'cmn', 'sosmedtan', 'buy', 'package', 'combo', 'package', 'run out', ' Package ',' unlimited ',' BLM ',' run out ',' the grace ',' come on ',' so ',' good ',' Detinent ',' the grace ', ""]")</f>
        <v>['package', 'unlimited', 'BLM', 'run out', 'Karna', 'cmn', 'sosmedtan', 'buy', 'package', 'combo', 'package', 'run out', ' Package ',' unlimited ',' BLM ',' run out ',' the grace ',' come on ',' so ',' good ',' Detinent ',' the grace ', "]</v>
      </c>
      <c r="D2408" s="3">
        <v>1.0</v>
      </c>
    </row>
    <row r="2409" ht="15.75" customHeight="1">
      <c r="A2409" s="1">
        <v>2407.0</v>
      </c>
      <c r="B2409" s="3" t="s">
        <v>2410</v>
      </c>
      <c r="C2409" s="3" t="str">
        <f>IFERROR(__xludf.DUMMYFUNCTION("GOOGLETRANSLATE(B2409,""id"",""en"")"),"['Severe', 'really', 'sinynya', 'here', 'ugly', 'package', 'maxstream', 'wasted', 'open', 'application', 'maxstream', 'enter', ' Application ',' Stuck ',' Loading ',' Doang ',' Eat ',' Money ',' Package ',' I ',' Bad ',' Quality ',' I ',' People ',' Move "&amp;"' , 'Provider', 'really', 'complaints', 'fix', '']")</f>
        <v>['Severe', 'really', 'sinynya', 'here', 'ugly', 'package', 'maxstream', 'wasted', 'open', 'application', 'maxstream', 'enter', ' Application ',' Stuck ',' Loading ',' Doang ',' Eat ',' Money ',' Package ',' I ',' Bad ',' Quality ',' I ',' People ',' Move ' , 'Provider', 'really', 'complaints', 'fix', '']</v>
      </c>
      <c r="D2409" s="3">
        <v>1.0</v>
      </c>
    </row>
    <row r="2410" ht="15.75" customHeight="1">
      <c r="A2410" s="1">
        <v>2408.0</v>
      </c>
      <c r="B2410" s="3" t="s">
        <v>2411</v>
      </c>
      <c r="C2410" s="3" t="str">
        <f>IFERROR(__xludf.DUMMYFUNCTION("GOOGLETRANSLATE(B2410,""id"",""en"")"),"['slow', 'network', 'dev', 'improvement', 'how', 'yes', 'please', 'fix', 'as soon as possible,' ngeselin ',' maen ',' game ',' Ama ',' streaming ',' network ',' disturbed ']")</f>
        <v>['slow', 'network', 'dev', 'improvement', 'how', 'yes', 'please', 'fix', 'as soon as possible,' ngeselin ',' maen ',' game ',' Ama ',' streaming ',' network ',' disturbed ']</v>
      </c>
      <c r="D2410" s="3">
        <v>1.0</v>
      </c>
    </row>
    <row r="2411" ht="15.75" customHeight="1">
      <c r="A2411" s="1">
        <v>2409.0</v>
      </c>
      <c r="B2411" s="3" t="s">
        <v>2412</v>
      </c>
      <c r="C2411" s="3" t="str">
        <f>IFERROR(__xludf.DUMMYFUNCTION("GOOGLETRANSLATE(B2411,""id"",""en"")"),"['Area', 'Perum', 'Grand', 'Subang', 'Residence', 'Belenda', 'Kec', 'Cibogo', 'Kab', 'Subang', 'Jabar', 'Network', ' ugly ',' Please ',' Increase ',' Comfortable ',' Telkomsel ',' ']")</f>
        <v>['Area', 'Perum', 'Grand', 'Subang', 'Residence', 'Belenda', 'Kec', 'Cibogo', 'Kab', 'Subang', 'Jabar', 'Network', ' ugly ',' Please ',' Increase ',' Comfortable ',' Telkomsel ',' ']</v>
      </c>
      <c r="D2411" s="3">
        <v>3.0</v>
      </c>
    </row>
    <row r="2412" ht="15.75" customHeight="1">
      <c r="A2412" s="1">
        <v>2410.0</v>
      </c>
      <c r="B2412" s="3" t="s">
        <v>2413</v>
      </c>
      <c r="C2412" s="3" t="str">
        <f>IFERROR(__xludf.DUMMYFUNCTION("GOOGLETRANSLATE(B2412,""id"",""en"")"),"['Please', 'Telkomsel', 'Please', 'Fix', 'Network', 'Play', 'Game', 'Mobile', 'Legends',' Free ',' Fire ',' Lemot ',' forgiveness', 'likes',' missing ',' network ',' please ',' Devoloper ',' Telkomsel ',' fix ',' network ',' thank ',' love ', ""]")</f>
        <v>['Please', 'Telkomsel', 'Please', 'Fix', 'Network', 'Play', 'Game', 'Mobile', 'Legends',' Free ',' Fire ',' Lemot ',' forgiveness', 'likes',' missing ',' network ',' please ',' Devoloper ',' Telkomsel ',' fix ',' network ',' thank ',' love ', "]</v>
      </c>
      <c r="D2412" s="3">
        <v>5.0</v>
      </c>
    </row>
    <row r="2413" ht="15.75" customHeight="1">
      <c r="A2413" s="1">
        <v>2411.0</v>
      </c>
      <c r="B2413" s="3" t="s">
        <v>2414</v>
      </c>
      <c r="C2413" s="3" t="str">
        <f>IFERROR(__xludf.DUMMYFUNCTION("GOOGLETRANSLATE(B2413,""id"",""en"")"),"['intention', 'heart', 'replace', 'Telkomsel', 'wanted', 'smooth', 'used', 'signal', 'bad', 'red', 'only', 'city', ' feel like ',' remote ',' please ',' increase ',' crackle ',' tempurejo ',' kec ',' pesantren ',' kediri ']")</f>
        <v>['intention', 'heart', 'replace', 'Telkomsel', 'wanted', 'smooth', 'used', 'signal', 'bad', 'red', 'only', 'city', ' feel like ',' remote ',' please ',' increase ',' crackle ',' tempurejo ',' kec ',' pesantren ',' kediri ']</v>
      </c>
      <c r="D2413" s="3">
        <v>1.0</v>
      </c>
    </row>
    <row r="2414" ht="15.75" customHeight="1">
      <c r="A2414" s="1">
        <v>2412.0</v>
      </c>
      <c r="B2414" s="3" t="s">
        <v>2415</v>
      </c>
      <c r="C2414" s="3" t="str">
        <f>IFERROR(__xludf.DUMMYFUNCTION("GOOGLETRANSLATE(B2414,""id"",""en"")"),"['Please', 'Hold', 'Purchase', 'On', 'Operator', 'Price', 'Package', 'Expensive', 'Please', 'Lightening', 'Active', 'Extend', ' buy']")</f>
        <v>['Please', 'Hold', 'Purchase', 'On', 'Operator', 'Price', 'Package', 'Expensive', 'Please', 'Lightening', 'Active', 'Extend', ' buy']</v>
      </c>
      <c r="D2414" s="3">
        <v>3.0</v>
      </c>
    </row>
    <row r="2415" ht="15.75" customHeight="1">
      <c r="A2415" s="1">
        <v>2413.0</v>
      </c>
      <c r="B2415" s="3" t="s">
        <v>2416</v>
      </c>
      <c r="C2415" s="3" t="str">
        <f>IFERROR(__xludf.DUMMYFUNCTION("GOOGLETRANSLATE(B2415,""id"",""en"")"),"['already', 'use', 'data', 'Telkomsel', 'just', 'try', 'buy', 'use', 'the network', 'bad', 'really', 'housing', ' Grand ',' Vista ',' Cikarang ',' Serang ',' Bekasi ',' Please ',' Improvement ',' Data ',' bought ',' Mubadzdzir ', ""]")</f>
        <v>['already', 'use', 'data', 'Telkomsel', 'just', 'try', 'buy', 'use', 'the network', 'bad', 'really', 'housing', ' Grand ',' Vista ',' Cikarang ',' Serang ',' Bekasi ',' Please ',' Improvement ',' Data ',' bought ',' Mubadzdzir ', "]</v>
      </c>
      <c r="D2415" s="3">
        <v>1.0</v>
      </c>
    </row>
    <row r="2416" ht="15.75" customHeight="1">
      <c r="A2416" s="1">
        <v>2414.0</v>
      </c>
      <c r="B2416" s="3" t="s">
        <v>2417</v>
      </c>
      <c r="C2416" s="3" t="str">
        <f>IFERROR(__xludf.DUMMYFUNCTION("GOOGLETRANSLATE(B2416,""id"",""en"")"),"['buy', 'credit', 'rb', 'package', 'internet', 'die', 'because' smartfren ',' knp ',' kog ',' cut "", 'pulses',' rb ',' because ',' use ',' internet ',' strange ',' kog ',' that's', 'robbed', 'sympathy', 'strangehhhh']")</f>
        <v>['buy', 'credit', 'rb', 'package', 'internet', 'die', 'because' smartfren ',' knp ',' kog ',' cut ", 'pulses',' rb ',' because ',' use ',' internet ',' strange ',' kog ',' that's', 'robbed', 'sympathy', 'strangehhhh']</v>
      </c>
      <c r="D2416" s="3">
        <v>1.0</v>
      </c>
    </row>
    <row r="2417" ht="15.75" customHeight="1">
      <c r="A2417" s="1">
        <v>2415.0</v>
      </c>
      <c r="B2417" s="3" t="s">
        <v>2418</v>
      </c>
      <c r="C2417" s="3" t="str">
        <f>IFERROR(__xludf.DUMMYFUNCTION("GOOGLETRANSLATE(B2417,""id"",""en"")"),"['Telkomsel', 'Sya', 'BLI', 'Yesterday', 'Package', 'Unlimited', 'Signal', 'YouTube', 'Muter', 'Mulu', 'Disappointed', 'Sya', ' High School ',' Telkomsel ',' Sya ',' loyal ',' SMA ',' Telkomsel ',' skrng ',' disappointing ',' ']")</f>
        <v>['Telkomsel', 'Sya', 'BLI', 'Yesterday', 'Package', 'Unlimited', 'Signal', 'YouTube', 'Muter', 'Mulu', 'Disappointed', 'Sya', ' High School ',' Telkomsel ',' Sya ',' loyal ',' SMA ',' Telkomsel ',' skrng ',' disappointing ',' ']</v>
      </c>
      <c r="D2417" s="3">
        <v>1.0</v>
      </c>
    </row>
    <row r="2418" ht="15.75" customHeight="1">
      <c r="A2418" s="1">
        <v>2416.0</v>
      </c>
      <c r="B2418" s="3" t="s">
        <v>2419</v>
      </c>
      <c r="C2418" s="3" t="str">
        <f>IFERROR(__xludf.DUMMYFUNCTION("GOOGLETRANSLATE(B2418,""id"",""en"")"),"['network', 'Telkomsel', 'vibration', 'good', 'for example', 'rich', 'plane', 'train', 'down', 'severe', 'Telkomsel', 'thank', ' love', '']")</f>
        <v>['network', 'Telkomsel', 'vibration', 'good', 'for example', 'rich', 'plane', 'train', 'down', 'severe', 'Telkomsel', 'thank', ' love', '']</v>
      </c>
      <c r="D2418" s="3">
        <v>2.0</v>
      </c>
    </row>
    <row r="2419" ht="15.75" customHeight="1">
      <c r="A2419" s="1">
        <v>2417.0</v>
      </c>
      <c r="B2419" s="3" t="s">
        <v>2420</v>
      </c>
      <c r="C2419" s="3" t="str">
        <f>IFERROR(__xludf.DUMMYFUNCTION("GOOGLETRANSLATE(B2419,""id"",""en"")"),"['Level', 'application', 'check', 'quota', 'pulse', 'buy', 'data', 'pulse', 'affordable', 'curve', 'increase', 'up', ' ']")</f>
        <v>['Level', 'application', 'check', 'quota', 'pulse', 'buy', 'data', 'pulse', 'affordable', 'curve', 'increase', 'up', ' ']</v>
      </c>
      <c r="D2419" s="3">
        <v>4.0</v>
      </c>
    </row>
    <row r="2420" ht="15.75" customHeight="1">
      <c r="A2420" s="1">
        <v>2418.0</v>
      </c>
      <c r="B2420" s="3" t="s">
        <v>2421</v>
      </c>
      <c r="C2420" s="3" t="str">
        <f>IFERROR(__xludf.DUMMYFUNCTION("GOOGLETRANSLATE(B2420,""id"",""en"")"),"['Network', 'good', 'interested', 'bad', 'open', 'social', 'media', 'slow', 'down', 'rain', 'network', 'direct', ' Down ',' nets', 'kbps',' ']")</f>
        <v>['Network', 'good', 'interested', 'bad', 'open', 'social', 'media', 'slow', 'down', 'rain', 'network', 'direct', ' Down ',' nets', 'kbps',' ']</v>
      </c>
      <c r="D2420" s="3">
        <v>1.0</v>
      </c>
    </row>
    <row r="2421" ht="15.75" customHeight="1">
      <c r="A2421" s="1">
        <v>2419.0</v>
      </c>
      <c r="B2421" s="3" t="s">
        <v>2422</v>
      </c>
      <c r="C2421" s="3" t="str">
        <f>IFERROR(__xludf.DUMMYFUNCTION("GOOGLETRANSLATE(B2421,""id"",""en"")"),"['deficiency', 'Telkomsel', 'contents',' pulse ',' trs', 'buy', 'package', 'data', 'application', 'eeehhh', 'pulses',' pulses', ' first ',' anjim ',' no ',' stooper ',' no ',' eat ',' pulse ',' package ',' data ',' run out ',' ']")</f>
        <v>['deficiency', 'Telkomsel', 'contents',' pulse ',' trs', 'buy', 'package', 'data', 'application', 'eeehhh', 'pulses',' pulses', ' first ',' anjim ',' no ',' stooper ',' no ',' eat ',' pulse ',' package ',' data ',' run out ',' ']</v>
      </c>
      <c r="D2421" s="3">
        <v>1.0</v>
      </c>
    </row>
    <row r="2422" ht="15.75" customHeight="1">
      <c r="A2422" s="1">
        <v>2420.0</v>
      </c>
      <c r="B2422" s="3" t="s">
        <v>2423</v>
      </c>
      <c r="C2422" s="3" t="str">
        <f>IFERROR(__xludf.DUMMYFUNCTION("GOOGLETRANSLATE(B2422,""id"",""en"")"),"['Sorry', 'pulse', 'quota', 'Ministry of Education and Culture', 'right', 'turn on', 'sumps',' credit ',' buy ',' package ',' gamesmax ',' silver ',' Sorry ',' Balikin ',' Money ',' Digured ',' Mending ',' Change ',' SIM ',' Changing ',' Valuable ',' Turn"&amp;"s', 'Credit', 'Thank', 'Love' , 'hope', 'reply', 'admin', '']")</f>
        <v>['Sorry', 'pulse', 'quota', 'Ministry of Education and Culture', 'right', 'turn on', 'sumps',' credit ',' buy ',' package ',' gamesmax ',' silver ',' Sorry ',' Balikin ',' Money ',' Digured ',' Mending ',' Change ',' SIM ',' Changing ',' Valuable ',' Turns', 'Credit', 'Thank', 'Love' , 'hope', 'reply', 'admin', '']</v>
      </c>
      <c r="D2422" s="3">
        <v>2.0</v>
      </c>
    </row>
    <row r="2423" ht="15.75" customHeight="1">
      <c r="A2423" s="1">
        <v>2421.0</v>
      </c>
      <c r="B2423" s="3" t="s">
        <v>2424</v>
      </c>
      <c r="C2423" s="3" t="str">
        <f>IFERROR(__xludf.DUMMYFUNCTION("GOOGLETRANSLATE(B2423,""id"",""en"")"),"['Since', 'network', 'Telkomsel', 'slow', 'forgiveness',' around ',' clock ',' night ',' speed ',' just ',' mentok ',' KB ',' Doang ',' rare ',' Maklumi ',' Malem ',' Kayak ',' Gini ',' Severe ',' Please ',' Imprecial ',' Download ',' dawn ']")</f>
        <v>['Since', 'network', 'Telkomsel', 'slow', 'forgiveness',' around ',' clock ',' night ',' speed ',' just ',' mentok ',' KB ',' Doang ',' rare ',' Maklumi ',' Malem ',' Kayak ',' Gini ',' Severe ',' Please ',' Imprecial ',' Download ',' dawn ']</v>
      </c>
      <c r="D2423" s="3">
        <v>1.0</v>
      </c>
    </row>
    <row r="2424" ht="15.75" customHeight="1">
      <c r="A2424" s="1">
        <v>2422.0</v>
      </c>
      <c r="B2424" s="3" t="s">
        <v>2425</v>
      </c>
      <c r="C2424" s="3" t="str">
        <f>IFERROR(__xludf.DUMMYFUNCTION("GOOGLETRANSLATE(B2424,""id"",""en"")"),"['Telkomsel', 'Network', 'Best', 'Kalimantan', 'Addition', 'Lots',' Bonus', 'Lower', 'Rates',' internet ',' smakin ',' user ',' Telkomsel ',' Indonesia ',' Maju ',' MyTelkomsel ', ""]")</f>
        <v>['Telkomsel', 'Network', 'Best', 'Kalimantan', 'Addition', 'Lots',' Bonus', 'Lower', 'Rates',' internet ',' smakin ',' user ',' Telkomsel ',' Indonesia ',' Maju ',' MyTelkomsel ', "]</v>
      </c>
      <c r="D2424" s="3">
        <v>5.0</v>
      </c>
    </row>
    <row r="2425" ht="15.75" customHeight="1">
      <c r="A2425" s="1">
        <v>2423.0</v>
      </c>
      <c r="B2425" s="3" t="s">
        <v>2426</v>
      </c>
      <c r="C2425" s="3" t="str">
        <f>IFERROR(__xludf.DUMMYFUNCTION("GOOGLETRANSLATE(B2425,""id"",""en"")"),"['application', 'harm "",' already ',' fill in ',' package ',' expensive ',' expensive ',' fall ',' tempo ',' package ',' reduced ',' package ',' The date ',' the package ',' date ',' date ',' above ',' date ',' falls', 'dated', 'package', 'date', 'below'"&amp;", 'date', 'calculated' , 'right', 'falls', 'tempos', 'please', 'kayak', 'this is', '']")</f>
        <v>['application', 'harm ",' already ',' fill in ',' package ',' expensive ',' expensive ',' fall ',' tempo ',' package ',' reduced ',' package ',' The date ',' the package ',' date ',' date ',' above ',' date ',' falls', 'dated', 'package', 'date', 'below', 'date', 'calculated' , 'right', 'falls', 'tempos', 'please', 'kayak', 'this is', '']</v>
      </c>
      <c r="D2425" s="3">
        <v>4.0</v>
      </c>
    </row>
    <row r="2426" ht="15.75" customHeight="1">
      <c r="A2426" s="1">
        <v>2424.0</v>
      </c>
      <c r="B2426" s="3" t="s">
        <v>2427</v>
      </c>
      <c r="C2426" s="3" t="str">
        <f>IFERROR(__xludf.DUMMYFUNCTION("GOOGLETRANSLATE(B2426,""id"",""en"")"),"['love', 'star', 'since', 'code', 'dial', 'package', 'cheap', 'code', 'dial', 'decent', 'cheap', 'buy', ' The package is 'expensive', 'expensive']")</f>
        <v>['love', 'star', 'since', 'code', 'dial', 'package', 'cheap', 'code', 'dial', 'decent', 'cheap', 'buy', ' The package is 'expensive', 'expensive']</v>
      </c>
      <c r="D2426" s="3">
        <v>3.0</v>
      </c>
    </row>
    <row r="2427" ht="15.75" customHeight="1">
      <c r="A2427" s="1">
        <v>2425.0</v>
      </c>
      <c r="B2427" s="3" t="s">
        <v>2428</v>
      </c>
      <c r="C2427" s="3" t="str">
        <f>IFERROR(__xludf.DUMMYFUNCTION("GOOGLETRANSLATE(B2427,""id"",""en"")"),"['Telkomsel', 'disappointed', 'package', 'cheap', 'expensive', 'tissue', 'ugly', 'please', 'at least', 'dibedain', 'network', 'package', ' expensive ',' promo ',' kasian ',' uda ',' paid ',' expensive ',' connection ',' kayak ',' promo ']")</f>
        <v>['Telkomsel', 'disappointed', 'package', 'cheap', 'expensive', 'tissue', 'ugly', 'please', 'at least', 'dibedain', 'network', 'package', ' expensive ',' promo ',' kasian ',' uda ',' paid ',' expensive ',' connection ',' kayak ',' promo ']</v>
      </c>
      <c r="D2427" s="3">
        <v>1.0</v>
      </c>
    </row>
    <row r="2428" ht="15.75" customHeight="1">
      <c r="A2428" s="1">
        <v>2426.0</v>
      </c>
      <c r="B2428" s="3" t="s">
        <v>2429</v>
      </c>
      <c r="C2428" s="3" t="str">
        <f>IFERROR(__xludf.DUMMYFUNCTION("GOOGLETRANSLATE(B2428,""id"",""en"")"),"['Application', 'bnyak', 'bug', 'buy', 'package', 'data', 'system', 'error', 'download', 'check', 'pulse', 'doang', ' Gkada ',' repairs', 'consumers',' moved ',' provider ',' signal ',' ilang ',' really ',' strange ',' here ',' Telkomsel ',' ngaco ', ""]")</f>
        <v>['Application', 'bnyak', 'bug', 'buy', 'package', 'data', 'system', 'error', 'download', 'check', 'pulse', 'doang', ' Gkada ',' repairs', 'consumers',' moved ',' provider ',' signal ',' ilang ',' really ',' strange ',' here ',' Telkomsel ',' ngaco ', "]</v>
      </c>
      <c r="D2428" s="3">
        <v>1.0</v>
      </c>
    </row>
    <row r="2429" ht="15.75" customHeight="1">
      <c r="A2429" s="1">
        <v>2427.0</v>
      </c>
      <c r="B2429" s="3" t="s">
        <v>2430</v>
      </c>
      <c r="C2429" s="3" t="str">
        <f>IFERROR(__xludf.DUMMYFUNCTION("GOOGLETRANSLATE(B2429,""id"",""en"")"),"['here', 'signal', 'Telkomsel', 'Seneng', 'Sinyal', 'stable', 'skrng', 'knp', 'labile', 'lose', 'provider', 'other', ' Mantep ',' Change ',' card ',' gini ']")</f>
        <v>['here', 'signal', 'Telkomsel', 'Seneng', 'Sinyal', 'stable', 'skrng', 'knp', 'labile', 'lose', 'provider', 'other', ' Mantep ',' Change ',' card ',' gini ']</v>
      </c>
      <c r="D2429" s="3">
        <v>1.0</v>
      </c>
    </row>
    <row r="2430" ht="15.75" customHeight="1">
      <c r="A2430" s="1">
        <v>2428.0</v>
      </c>
      <c r="B2430" s="3" t="s">
        <v>2431</v>
      </c>
      <c r="C2430" s="3" t="str">
        <f>IFERROR(__xludf.DUMMYFUNCTION("GOOGLETRANSLATE(B2430,""id"",""en"")"),"['Network', 'Severe', 'Nga', 'Morning', 'Lunch', 'Night', 'Region', 'Sintang', 'West Kalimantar', 'Learning', 'Online', 'Hard', ' Resigned ',' Value ',' ugly ']")</f>
        <v>['Network', 'Severe', 'Nga', 'Morning', 'Lunch', 'Night', 'Region', 'Sintang', 'West Kalimantar', 'Learning', 'Online', 'Hard', ' Resigned ',' Value ',' ugly ']</v>
      </c>
      <c r="D2430" s="3">
        <v>3.0</v>
      </c>
    </row>
    <row r="2431" ht="15.75" customHeight="1">
      <c r="A2431" s="1">
        <v>2429.0</v>
      </c>
      <c r="B2431" s="3" t="s">
        <v>2432</v>
      </c>
      <c r="C2431" s="3" t="str">
        <f>IFERROR(__xludf.DUMMYFUNCTION("GOOGLETRANSLATE(B2431,""id"",""en"")"),"['Enter', 'application', 'slow', 'nyaaaaaaa', 'ampunnn', 'simple', 'ajah', 'media', 'mmpermudah', 'check', 'quota', 'atw', ' pulse ',' purchase ',' package ',' all ',' menu ',' slow ',' all ',' cpt ',' access', '']")</f>
        <v>['Enter', 'application', 'slow', 'nyaaaaaaa', 'ampunnn', 'simple', 'ajah', 'media', 'mmpermudah', 'check', 'quota', 'atw', ' pulse ',' purchase ',' package ',' all ',' menu ',' slow ',' all ',' cpt ',' access', '']</v>
      </c>
      <c r="D2431" s="3">
        <v>1.0</v>
      </c>
    </row>
    <row r="2432" ht="15.75" customHeight="1">
      <c r="A2432" s="1">
        <v>2430.0</v>
      </c>
      <c r="B2432" s="3" t="s">
        <v>2433</v>
      </c>
      <c r="C2432" s="3" t="str">
        <f>IFERROR(__xludf.DUMMYFUNCTION("GOOGLETRANSLATE(B2432,""id"",""en"")"),"['buy', 'quota', 'like', 'bug', 'pulse', 'promo', 'right', 'bought', 'quota', 'enter', 'pulse', 'no', ' Ngurang ',' already ',' try ',' buy ',' times', 'signal', 'like', 'down']")</f>
        <v>['buy', 'quota', 'like', 'bug', 'pulse', 'promo', 'right', 'bought', 'quota', 'enter', 'pulse', 'no', ' Ngurang ',' already ',' try ',' buy ',' times', 'signal', 'like', 'down']</v>
      </c>
      <c r="D2432" s="3">
        <v>1.0</v>
      </c>
    </row>
    <row r="2433" ht="15.75" customHeight="1">
      <c r="A2433" s="1">
        <v>2431.0</v>
      </c>
      <c r="B2433" s="3" t="s">
        <v>2434</v>
      </c>
      <c r="C2433" s="3" t="str">
        <f>IFERROR(__xludf.DUMMYFUNCTION("GOOGLETRANSLATE(B2433,""id"",""en"")"),"['Watch', 'Yutub', 'Easy', 'Lacar', 'Gem', 'Direct', 'Down', 'How', 'Heats',' Next ',' Yutub ',' Hard ',' Gem ',' smooth ',' next door ',' ']")</f>
        <v>['Watch', 'Yutub', 'Easy', 'Lacar', 'Gem', 'Direct', 'Down', 'How', 'Heats',' Next ',' Yutub ',' Hard ',' Gem ',' smooth ',' next door ',' ']</v>
      </c>
      <c r="D2433" s="3">
        <v>1.0</v>
      </c>
    </row>
    <row r="2434" ht="15.75" customHeight="1">
      <c r="A2434" s="1">
        <v>2432.0</v>
      </c>
      <c r="B2434" s="3" t="s">
        <v>2435</v>
      </c>
      <c r="C2434" s="3" t="str">
        <f>IFERROR(__xludf.DUMMYFUNCTION("GOOGLETRANSLATE(B2434,""id"",""en"")"),"['Price', 'Matok', 'Shy', 'Constraints',' Signal ',' Slow ',' Please ',' Sorry ',' Sorry ',' Change ',' Whatever ',' Please ',' The network is', 'repaired', '']")</f>
        <v>['Price', 'Matok', 'Shy', 'Constraints',' Signal ',' Slow ',' Please ',' Sorry ',' Sorry ',' Change ',' Whatever ',' Please ',' The network is', 'repaired', '']</v>
      </c>
      <c r="D2434" s="3">
        <v>1.0</v>
      </c>
    </row>
    <row r="2435" ht="15.75" customHeight="1">
      <c r="A2435" s="1">
        <v>2433.0</v>
      </c>
      <c r="B2435" s="3" t="s">
        <v>2436</v>
      </c>
      <c r="C2435" s="3" t="str">
        <f>IFERROR(__xludf.DUMMYFUNCTION("GOOGLETRANSLATE(B2435,""id"",""en"")"),"['Congratulations',' night ',' Telkomsel ',' buy ',' package ',' GCERIA ',' GB ',' Rp ',' process', 'application', 'Telkomsel', 'printed', ' Package ',' Promo ',' GCERIA ',' GB ',' IDR ',' TPI ',' Notification ',' Process', 'Payment', 'Please', 'Help']")</f>
        <v>['Congratulations',' night ',' Telkomsel ',' buy ',' package ',' GCERIA ',' GB ',' Rp ',' process', 'application', 'Telkomsel', 'printed', ' Package ',' Promo ',' GCERIA ',' GB ',' IDR ',' TPI ',' Notification ',' Process', 'Payment', 'Please', 'Help']</v>
      </c>
      <c r="D2435" s="3">
        <v>5.0</v>
      </c>
    </row>
    <row r="2436" ht="15.75" customHeight="1">
      <c r="A2436" s="1">
        <v>2434.0</v>
      </c>
      <c r="B2436" s="3" t="s">
        <v>2437</v>
      </c>
      <c r="C2436" s="3" t="str">
        <f>IFERROR(__xludf.DUMMYFUNCTION("GOOGLETRANSLATE(B2436,""id"",""en"")"),"['Signal', 'Telkomsel', 'ugly', 'area', 'Bangka', 'Belitung', 'Mending', 'Move', 'Operator', 'Next "",' Stable ',' Hope ',' Look for ',' Telkomsel ',' fix ',' network ',' person ',' person ',' move ',' operator ']")</f>
        <v>['Signal', 'Telkomsel', 'ugly', 'area', 'Bangka', 'Belitung', 'Mending', 'Move', 'Operator', 'Next ",' Stable ',' Hope ',' Look for ',' Telkomsel ',' fix ',' network ',' person ',' person ',' move ',' operator ']</v>
      </c>
      <c r="D2436" s="3">
        <v>1.0</v>
      </c>
    </row>
    <row r="2437" ht="15.75" customHeight="1">
      <c r="A2437" s="1">
        <v>2435.0</v>
      </c>
      <c r="B2437" s="3" t="s">
        <v>2438</v>
      </c>
      <c r="C2437" s="3" t="str">
        <f>IFERROR(__xludf.DUMMYFUNCTION("GOOGLETRANSLATE(B2437,""id"",""en"")"),"['service', 'Telkomsel', 'promo', 'lost', 'telephone', 'fast', 'response', 'happy', 'deh', 'promo', 'card', 'kmrin', ' Buy ',' LGI ',' type ',' bacanys', 'problematic', 'bsok', 'already', ""]")</f>
        <v>['service', 'Telkomsel', 'promo', 'lost', 'telephone', 'fast', 'response', 'happy', 'deh', 'promo', 'card', 'kmrin', ' Buy ',' LGI ',' type ',' bacanys', 'problematic', 'bsok', 'already', "]</v>
      </c>
      <c r="D2437" s="3">
        <v>5.0</v>
      </c>
    </row>
    <row r="2438" ht="15.75" customHeight="1">
      <c r="A2438" s="1">
        <v>2436.0</v>
      </c>
      <c r="B2438" s="3" t="s">
        <v>2439</v>
      </c>
      <c r="C2438" s="3" t="str">
        <f>IFERROR(__xludf.DUMMYFUNCTION("GOOGLETRANSLATE(B2438,""id"",""en"")"),"['Ngeapain', 'Sell', 'Package', 'Game', 'Sometimes',' Login ',' Sometimes', 'Ping', 'Green', 'Search', 'Match', 'No', ' Come on ',' What's about ',' buy ',' no ',' use ',' ']")</f>
        <v>['Ngeapain', 'Sell', 'Package', 'Game', 'Sometimes',' Login ',' Sometimes', 'Ping', 'Green', 'Search', 'Match', 'No', ' Come on ',' What's about ',' buy ',' no ',' use ',' ']</v>
      </c>
      <c r="D2438" s="3">
        <v>1.0</v>
      </c>
    </row>
    <row r="2439" ht="15.75" customHeight="1">
      <c r="A2439" s="1">
        <v>2437.0</v>
      </c>
      <c r="B2439" s="3" t="s">
        <v>2440</v>
      </c>
      <c r="C2439" s="3" t="str">
        <f>IFERROR(__xludf.DUMMYFUNCTION("GOOGLETRANSLATE(B2439,""id"",""en"")"),"['Hi', 'developer', 'Lampung', 'West', 'star', 'according to', 'performance', 'quota', 'Telkomsel', 'network', 'quota', 'gamemax', ' use ',' buy ',' package ',' gamemax ',' youtube ',' internet ',' use ',' quota ',' gamenya ',' used ',' feel ',' harmed ',"&amp;"' please ' , 'repaired', 'as soon as possible']")</f>
        <v>['Hi', 'developer', 'Lampung', 'West', 'star', 'according to', 'performance', 'quota', 'Telkomsel', 'network', 'quota', 'gamemax', ' use ',' buy ',' package ',' gamemax ',' youtube ',' internet ',' use ',' quota ',' gamenya ',' used ',' feel ',' harmed ',' please ' , 'repaired', 'as soon as possible']</v>
      </c>
      <c r="D2439" s="3">
        <v>3.0</v>
      </c>
    </row>
    <row r="2440" ht="15.75" customHeight="1">
      <c r="A2440" s="1">
        <v>2438.0</v>
      </c>
      <c r="B2440" s="3" t="s">
        <v>2441</v>
      </c>
      <c r="C2440" s="3" t="str">
        <f>IFERROR(__xludf.DUMMYFUNCTION("GOOGLETRANSLATE(B2440,""id"",""en"")"),"['bad', 'counts',' signal ',' area ',' bad ',' replace ',' profider ',' already ',' package ',' expensive ',' signal ',' bad ',' Telkomsel ',' Bagsat ']")</f>
        <v>['bad', 'counts',' signal ',' area ',' bad ',' replace ',' profider ',' already ',' package ',' expensive ',' signal ',' bad ',' Telkomsel ',' Bagsat ']</v>
      </c>
      <c r="D2440" s="3">
        <v>1.0</v>
      </c>
    </row>
    <row r="2441" ht="15.75" customHeight="1">
      <c r="A2441" s="1">
        <v>2439.0</v>
      </c>
      <c r="B2441" s="3" t="s">
        <v>2442</v>
      </c>
      <c r="C2441" s="3" t="str">
        <f>IFERROR(__xludf.DUMMYFUNCTION("GOOGLETRANSLATE(B2441,""id"",""en"")"),"['Package', 'promo', 'process',' contact ',' mimin ',' blah ',' blah ',' blah ',' blah ',' told ',' waiting ',' hours', ' Solution ',' told ',' Waiting ',' Watch ',' Package ',' Promo ',' Eliminate ',' Solution ',' Smart ',' Story ',' Promo ',' Cheerful '"&amp;",' Anjim ' , '']")</f>
        <v>['Package', 'promo', 'process',' contact ',' mimin ',' blah ',' blah ',' blah ',' blah ',' told ',' waiting ',' hours', ' Solution ',' told ',' Waiting ',' Watch ',' Package ',' Promo ',' Eliminate ',' Solution ',' Smart ',' Story ',' Promo ',' Cheerful ',' Anjim ' , '']</v>
      </c>
      <c r="D2441" s="3">
        <v>1.0</v>
      </c>
    </row>
    <row r="2442" ht="15.75" customHeight="1">
      <c r="A2442" s="1">
        <v>2440.0</v>
      </c>
      <c r="B2442" s="3" t="s">
        <v>2443</v>
      </c>
      <c r="C2442" s="3" t="str">
        <f>IFERROR(__xludf.DUMMYFUNCTION("GOOGLETRANSLATE(B2442,""id"",""en"")"),"['', 'Ngerti', 'network', 'sympathy', 'play', 'mobile', 'legend', 'lag', 'package', 'expensive', 'rb', 'GB', 'Nge ',' game ',' difficult ',' repaired ',' deh ',' ugly ',' really ']")</f>
        <v>['', 'Ngerti', 'network', 'sympathy', 'play', 'mobile', 'legend', 'lag', 'package', 'expensive', 'rb', 'GB', 'Nge ',' game ',' difficult ',' repaired ',' deh ',' ugly ',' really ']</v>
      </c>
      <c r="D2442" s="3">
        <v>1.0</v>
      </c>
    </row>
    <row r="2443" ht="15.75" customHeight="1">
      <c r="A2443" s="1">
        <v>2441.0</v>
      </c>
      <c r="B2443" s="3" t="s">
        <v>2444</v>
      </c>
      <c r="C2443" s="3" t="str">
        <f>IFERROR(__xludf.DUMMYFUNCTION("GOOGLETRANSLATE(B2443,""id"",""en"")"),"['Disappointed', 'Telkomsel', 'ngactivein', 'package', 'emergency', 'then', 'notif', 'package', 'emergency', 'active', 'right', 'fill', ' Credit ',' LGSG ',' Cut ',' Credit ',' Activein ',' Oath ',' Disappointed ',' Telkomsel ',' Pantes', 'Given', 'Bintan"&amp;"g', ""]")</f>
        <v>['Disappointed', 'Telkomsel', 'ngactivein', 'package', 'emergency', 'then', 'notif', 'package', 'emergency', 'active', 'right', 'fill', ' Credit ',' LGSG ',' Cut ',' Credit ',' Activein ',' Oath ',' Disappointed ',' Telkomsel ',' Pantes', 'Given', 'Bintang', "]</v>
      </c>
      <c r="D2443" s="3">
        <v>1.0</v>
      </c>
    </row>
    <row r="2444" ht="15.75" customHeight="1">
      <c r="A2444" s="1">
        <v>2442.0</v>
      </c>
      <c r="B2444" s="3" t="s">
        <v>2445</v>
      </c>
      <c r="C2444" s="3" t="str">
        <f>IFERROR(__xludf.DUMMYFUNCTION("GOOGLETRANSLATE(B2444,""id"",""en"")"),"['Please', 'Region', 'Jambi', 'Sinyal', 'Bagusin', 'Percent', 'Telkomsel', 'Morning', 'noon', 'Afternoon', 'night', 'signal', ' It's hard ',' slow ',' Percim ',' buy ',' package ',' expensive ',' ']")</f>
        <v>['Please', 'Region', 'Jambi', 'Sinyal', 'Bagusin', 'Percent', 'Telkomsel', 'Morning', 'noon', 'Afternoon', 'night', 'signal', ' It's hard ',' slow ',' Percim ',' buy ',' package ',' expensive ',' ']</v>
      </c>
      <c r="D2444" s="3">
        <v>1.0</v>
      </c>
    </row>
    <row r="2445" ht="15.75" customHeight="1">
      <c r="A2445" s="1">
        <v>2443.0</v>
      </c>
      <c r="B2445" s="3" t="s">
        <v>2446</v>
      </c>
      <c r="C2445" s="3" t="str">
        <f>IFERROR(__xludf.DUMMYFUNCTION("GOOGLETRANSLATE(B2445,""id"",""en"")"),"['price', 'expensive', 'signal', 'random', 'sometimes',' down ',' sometimes', 'error', 'app', 'sometimes',' bug ',' stack ',' Buy ',' Most ',' good ',' just ',' reach ',' signal ',' ']")</f>
        <v>['price', 'expensive', 'signal', 'random', 'sometimes',' down ',' sometimes', 'error', 'app', 'sometimes',' bug ',' stack ',' Buy ',' Most ',' good ',' just ',' reach ',' signal ',' ']</v>
      </c>
      <c r="D2445" s="3">
        <v>4.0</v>
      </c>
    </row>
    <row r="2446" ht="15.75" customHeight="1">
      <c r="A2446" s="1">
        <v>2444.0</v>
      </c>
      <c r="B2446" s="3" t="s">
        <v>2447</v>
      </c>
      <c r="C2446" s="3" t="str">
        <f>IFERROR(__xludf.DUMMYFUNCTION("GOOGLETRANSLATE(B2446,""id"",""en"")"),"['Application', 'Boong', '']")</f>
        <v>['Application', 'Boong', '']</v>
      </c>
      <c r="D2446" s="3">
        <v>1.0</v>
      </c>
    </row>
    <row r="2447" ht="15.75" customHeight="1">
      <c r="A2447" s="1">
        <v>2445.0</v>
      </c>
      <c r="B2447" s="3" t="s">
        <v>2448</v>
      </c>
      <c r="C2447" s="3" t="str">
        <f>IFERROR(__xludf.DUMMYFUNCTION("GOOGLETRANSLATE(B2447,""id"",""en"")"),"['buy', 'package', 'promo', 'pulse', 'purchase', 'package', 'please', 'fix', '']")</f>
        <v>['buy', 'package', 'promo', 'pulse', 'purchase', 'package', 'please', 'fix', '']</v>
      </c>
      <c r="D2447" s="3">
        <v>4.0</v>
      </c>
    </row>
    <row r="2448" ht="15.75" customHeight="1">
      <c r="A2448" s="1">
        <v>2446.0</v>
      </c>
      <c r="B2448" s="3" t="s">
        <v>2449</v>
      </c>
      <c r="C2448" s="3" t="str">
        <f>IFERROR(__xludf.DUMMYFUNCTION("GOOGLETRANSLATE(B2448,""id"",""en"")"),"['promo', 'quota', 'cheap', 'buy', 'pedahal', 'notice', 'thank', 'love', 'request', 'process',' quota ',' already ',' Wait for ',' clock ',' quota ',' enter ',' Hadeh ',' what ',' pulses', 'scorched', ""]")</f>
        <v>['promo', 'quota', 'cheap', 'buy', 'pedahal', 'notice', 'thank', 'love', 'request', 'process',' quota ',' already ',' Wait for ',' clock ',' quota ',' enter ',' Hadeh ',' what ',' pulses', 'scorched', "]</v>
      </c>
      <c r="D2448" s="3">
        <v>2.0</v>
      </c>
    </row>
    <row r="2449" ht="15.75" customHeight="1">
      <c r="A2449" s="1">
        <v>2447.0</v>
      </c>
      <c r="B2449" s="3" t="s">
        <v>2450</v>
      </c>
      <c r="C2449" s="3" t="str">
        <f>IFERROR(__xludf.DUMMYFUNCTION("GOOGLETRANSLATE(B2449,""id"",""en"")"),"['Times',' Disappointed ',' Telkomsel ',' Fill ',' Credit ',' Virtual ',' Account ',' TLFN ',' Nov ',' Sampe ',' Credit ',' Visit ',' entry ',' status', 'sedanf', 'help', 'mulu']")</f>
        <v>['Times',' Disappointed ',' Telkomsel ',' Fill ',' Credit ',' Virtual ',' Account ',' TLFN ',' Nov ',' Sampe ',' Credit ',' Visit ',' entry ',' status', 'sedanf', 'help', 'mulu']</v>
      </c>
      <c r="D2449" s="3">
        <v>2.0</v>
      </c>
    </row>
    <row r="2450" ht="15.75" customHeight="1">
      <c r="A2450" s="1">
        <v>2448.0</v>
      </c>
      <c r="B2450" s="3" t="s">
        <v>2451</v>
      </c>
      <c r="C2450" s="3" t="str">
        <f>IFERROR(__xludf.DUMMYFUNCTION("GOOGLETRANSLATE(B2450,""id"",""en"")"),"['Telkomsel', 'signal', 'full', 'network', 'quota', 'GB', 'slow', 'forgiveness', 'open', 'application', 'difficult', 'forgiveness' Please, 'Stable', 'Consumers', 'Talk', 'Rough', '']")</f>
        <v>['Telkomsel', 'signal', 'full', 'network', 'quota', 'GB', 'slow', 'forgiveness', 'open', 'application', 'difficult', 'forgiveness' Please, 'Stable', 'Consumers', 'Talk', 'Rough', '']</v>
      </c>
      <c r="D2450" s="3">
        <v>5.0</v>
      </c>
    </row>
    <row r="2451" ht="15.75" customHeight="1">
      <c r="A2451" s="1">
        <v>2449.0</v>
      </c>
      <c r="B2451" s="3" t="s">
        <v>2452</v>
      </c>
      <c r="C2451" s="3" t="str">
        <f>IFERROR(__xludf.DUMMYFUNCTION("GOOGLETRANSLATE(B2451,""id"",""en"")"),"['Taun', 'bad', 'provider', 'Telkomsel', 'Maen', 'game', 'Reconnect', 'then', 'ping', 'yellow', 'red', 'try', ' Slah ',' PMNAND ',' Tender ',' KOQ ',' RICH ',' GINI ',' ']")</f>
        <v>['Taun', 'bad', 'provider', 'Telkomsel', 'Maen', 'game', 'Reconnect', 'then', 'ping', 'yellow', 'red', 'try', ' Slah ',' PMNAND ',' Tender ',' KOQ ',' RICH ',' GINI ',' ']</v>
      </c>
      <c r="D2451" s="3">
        <v>1.0</v>
      </c>
    </row>
    <row r="2452" ht="15.75" customHeight="1">
      <c r="A2452" s="1">
        <v>2450.0</v>
      </c>
      <c r="B2452" s="3" t="s">
        <v>2453</v>
      </c>
      <c r="C2452" s="3" t="str">
        <f>IFERROR(__xludf.DUMMYFUNCTION("GOOGLETRANSLATE(B2452,""id"",""en"")"),"['Sad', 'right', 'open', 'app', 'Telkomsel', 'buy', 'kouta', 'combo', 'unlimitied', 'price', 'pandemic', 'kouta', ' Such, 'Price', 'Cheap', 'Apalgi', 'Internet', 'WFH', 'SFH', '']")</f>
        <v>['Sad', 'right', 'open', 'app', 'Telkomsel', 'buy', 'kouta', 'combo', 'unlimitied', 'price', 'pandemic', 'kouta', ' Such, 'Price', 'Cheap', 'Apalgi', 'Internet', 'WFH', 'SFH', '']</v>
      </c>
      <c r="D2452" s="3">
        <v>4.0</v>
      </c>
    </row>
    <row r="2453" ht="15.75" customHeight="1">
      <c r="A2453" s="1">
        <v>2451.0</v>
      </c>
      <c r="B2453" s="3" t="s">
        <v>2454</v>
      </c>
      <c r="C2453" s="3" t="str">
        <f>IFERROR(__xludf.DUMMYFUNCTION("GOOGLETRANSLATE(B2453,""id"",""en"")"),"['Network', 'best', 'fast', 'poll', 'wherever', 'ngacir', 'disappointed', 'poll', 'telkomsel', 'happy', 'suck', 'pulse', ' Abis', 'nyedot', 'pulse', 'fast', 'kenceng', 'nyanol', 'hotspot', 'tmn', 'quota', 'run out', 'data', 'internet', 'switch' , 'sympath"&amp;"y', 'eeee', 'pulseku', 'sucked', 'until', 'entangggg', 'severe', 'heart', 'guys', '']")</f>
        <v>['Network', 'best', 'fast', 'poll', 'wherever', 'ngacir', 'disappointed', 'poll', 'telkomsel', 'happy', 'suck', 'pulse', ' Abis', 'nyedot', 'pulse', 'fast', 'kenceng', 'nyanol', 'hotspot', 'tmn', 'quota', 'run out', 'data', 'internet', 'switch' , 'sympathy', 'eeee', 'pulseku', 'sucked', 'until', 'entangggg', 'severe', 'heart', 'guys', '']</v>
      </c>
      <c r="D2453" s="3">
        <v>1.0</v>
      </c>
    </row>
    <row r="2454" ht="15.75" customHeight="1">
      <c r="A2454" s="1">
        <v>2452.0</v>
      </c>
      <c r="B2454" s="3" t="s">
        <v>2455</v>
      </c>
      <c r="C2454" s="3" t="str">
        <f>IFERROR(__xludf.DUMMYFUNCTION("GOOGLETRANSLATE(B2454,""id"",""en"")"),"['Sorry', 'Maintenance', 'or', 'Disruption', 'Middle', 'Network', 'Telkomsel', 'Down', 'Severe', 'Udh', 'Lower', 'Network', ' annoying ',' activity ',' based ',' internet ',' please ',' fix ',' give ',' notification ',' maintenance ',' system ',' customer"&amp;" ',' lbh ',' understand ' , 'knots', '']")</f>
        <v>['Sorry', 'Maintenance', 'or', 'Disruption', 'Middle', 'Network', 'Telkomsel', 'Down', 'Severe', 'Udh', 'Lower', 'Network', ' annoying ',' activity ',' based ',' internet ',' please ',' fix ',' give ',' notification ',' maintenance ',' system ',' customer ',' lbh ',' understand ' , 'knots', '']</v>
      </c>
      <c r="D2454" s="3">
        <v>1.0</v>
      </c>
    </row>
    <row r="2455" ht="15.75" customHeight="1">
      <c r="A2455" s="1">
        <v>2453.0</v>
      </c>
      <c r="B2455" s="3" t="s">
        <v>2456</v>
      </c>
      <c r="C2455" s="3" t="str">
        <f>IFERROR(__xludf.DUMMYFUNCTION("GOOGLETRANSLATE(B2455,""id"",""en"")"),"['already', 'buy', 'quota', 'sent', 'already', 'pay', 'gopay', 'balance', 'gopay', 'take', 'quota', 'sent', ' Basic ',' Application ',' Fatherau ',' Sent ']")</f>
        <v>['already', 'buy', 'quota', 'sent', 'already', 'pay', 'gopay', 'balance', 'gopay', 'take', 'quota', 'sent', ' Basic ',' Application ',' Fatherau ',' Sent ']</v>
      </c>
      <c r="D2455" s="3">
        <v>1.0</v>
      </c>
    </row>
    <row r="2456" ht="15.75" customHeight="1">
      <c r="A2456" s="1">
        <v>2454.0</v>
      </c>
      <c r="B2456" s="3" t="s">
        <v>2457</v>
      </c>
      <c r="C2456" s="3" t="str">
        <f>IFERROR(__xludf.DUMMYFUNCTION("GOOGLETRANSLATE(B2456,""id"",""en"")"),"['Region', 'Kapuas',' Hulu ',' Kalimantan ',' West ',' Network ',' ugly ',' Package ',' Telkom ',' expensive ',' signal ',' Kek ',' Gini ',' Lower ',' Price ',' Package ',' People ',' Village ',' Loss', 'Buy', 'Expensive', 'Buy', 'PKET', 'Signal', 'JLK' ,"&amp;" '']")</f>
        <v>['Region', 'Kapuas',' Hulu ',' Kalimantan ',' West ',' Network ',' ugly ',' Package ',' Telkom ',' expensive ',' signal ',' Kek ',' Gini ',' Lower ',' Price ',' Package ',' People ',' Village ',' Loss', 'Buy', 'Expensive', 'Buy', 'PKET', 'Signal', 'JLK' , '']</v>
      </c>
      <c r="D2456" s="3">
        <v>1.0</v>
      </c>
    </row>
    <row r="2457" ht="15.75" customHeight="1">
      <c r="A2457" s="1">
        <v>2455.0</v>
      </c>
      <c r="B2457" s="3" t="s">
        <v>2458</v>
      </c>
      <c r="C2457" s="3" t="str">
        <f>IFERROR(__xludf.DUMMYFUNCTION("GOOGLETRANSLATE(B2457,""id"",""en"")"),"['halah', 'bacot', 'expensive', 'doang', 'quality', 'downhill', 'loss',' Telkomsel ',' disruption ',' quota ',' smooth ',' signal ',' Abis', 'quota', 'search', 'fortunate', 'favored', 'person', 'moved', 'customer', 'sare', '']")</f>
        <v>['halah', 'bacot', 'expensive', 'doang', 'quality', 'downhill', 'loss',' Telkomsel ',' disruption ',' quota ',' smooth ',' signal ',' Abis', 'quota', 'search', 'fortunate', 'favored', 'person', 'moved', 'customer', 'sare', '']</v>
      </c>
      <c r="D2457" s="3">
        <v>1.0</v>
      </c>
    </row>
    <row r="2458" ht="15.75" customHeight="1">
      <c r="A2458" s="1">
        <v>2456.0</v>
      </c>
      <c r="B2458" s="3" t="s">
        <v>2459</v>
      </c>
      <c r="C2458" s="3" t="str">
        <f>IFERROR(__xludf.DUMMYFUNCTION("GOOGLETRANSLATE(B2458,""id"",""en"")"),"['Please', 'Permission', 'Love', 'Enter', 'Was',' Restless', 'Package', 'Internet', 'Tsel', 'Tsel', 'BLM', 'Apply', ' System ',' Auto ',' Off ',' Inet ',' Connection ',' Quota ',' Package ',' Inet ',' Out ',' Pulse ',' Main ',' Safe ',' Cut "" , 'connecti"&amp;"on', 'inet', 'automatically', 'turned off', 'system', 'above', 'applied', 'operator', 'next door', 'so that the user', 'safe', ' Was', 'all', ""]")</f>
        <v>['Please', 'Permission', 'Love', 'Enter', 'Was',' Restless', 'Package', 'Internet', 'Tsel', 'Tsel', 'BLM', 'Apply', ' System ',' Auto ',' Off ',' Inet ',' Connection ',' Quota ',' Package ',' Inet ',' Out ',' Pulse ',' Main ',' Safe ',' Cut " , 'connection', 'inet', 'automatically', 'turned off', 'system', 'above', 'applied', 'operator', 'next door', 'so that the user', 'safe', ' Was', 'all', "]</v>
      </c>
      <c r="D2458" s="3">
        <v>3.0</v>
      </c>
    </row>
    <row r="2459" ht="15.75" customHeight="1">
      <c r="A2459" s="1">
        <v>2457.0</v>
      </c>
      <c r="B2459" s="3" t="s">
        <v>2460</v>
      </c>
      <c r="C2459" s="3" t="str">
        <f>IFERROR(__xludf.DUMMYFUNCTION("GOOGLETRANSLATE(B2459,""id"",""en"")"),"['Telkomsel', 'Telkomsel', 'Region', 'Kepuh', 'Palimanan', 'Cirebon', 'Decreases',' As a result ',' Loading ',' Internet ',' Slow ',' Taerted ',' slow ',' consequently ',' activity ',' work ',' learn ',' maximum ',' beg ',' improve ',' quality ',' network"&amp;" ',' thank you ', ""]")</f>
        <v>['Telkomsel', 'Telkomsel', 'Region', 'Kepuh', 'Palimanan', 'Cirebon', 'Decreases',' As a result ',' Loading ',' Internet ',' Slow ',' Taerted ',' slow ',' consequently ',' activity ',' work ',' learn ',' maximum ',' beg ',' improve ',' quality ',' network ',' thank you ', "]</v>
      </c>
      <c r="D2459" s="3">
        <v>3.0</v>
      </c>
    </row>
    <row r="2460" ht="15.75" customHeight="1">
      <c r="A2460" s="1">
        <v>2458.0</v>
      </c>
      <c r="B2460" s="3" t="s">
        <v>2461</v>
      </c>
      <c r="C2460" s="3" t="str">
        <f>IFERROR(__xludf.DUMMYFUNCTION("GOOGLETRANSLATE(B2460,""id"",""en"")"),"['Package', 'Call', 'Lost', 'Buy', 'Package', 'Internet', 'Disruption', 'Telkomsel', 'Bad', 'Survive', 'Telkomsel', 'Karna', ' signal ',' expensive ',' ttp ',' buy ',' package ',' package ',' keep ',' Telkomsel ', ""]")</f>
        <v>['Package', 'Call', 'Lost', 'Buy', 'Package', 'Internet', 'Disruption', 'Telkomsel', 'Bad', 'Survive', 'Telkomsel', 'Karna', ' signal ',' expensive ',' ttp ',' buy ',' package ',' package ',' keep ',' Telkomsel ', "]</v>
      </c>
      <c r="D2460" s="3">
        <v>1.0</v>
      </c>
    </row>
    <row r="2461" ht="15.75" customHeight="1">
      <c r="A2461" s="1">
        <v>2459.0</v>
      </c>
      <c r="B2461" s="3" t="s">
        <v>2462</v>
      </c>
      <c r="C2461" s="3" t="str">
        <f>IFERROR(__xludf.DUMMYFUNCTION("GOOGLETRANSLATE(B2461,""id"",""en"")"),"['method', 'payment', 'buy', 'package', 'open', 'choice', 'method', 'payment', 'contents',' pulse ',' select ',' method ',' Payment ',' appears', 'contents',' pulse ',' appears', 'bug', 'please', 'fix']")</f>
        <v>['method', 'payment', 'buy', 'package', 'open', 'choice', 'method', 'payment', 'contents',' pulse ',' select ',' method ',' Payment ',' appears', 'contents',' pulse ',' appears', 'bug', 'please', 'fix']</v>
      </c>
      <c r="D2461" s="3">
        <v>2.0</v>
      </c>
    </row>
    <row r="2462" ht="15.75" customHeight="1">
      <c r="A2462" s="1">
        <v>2460.0</v>
      </c>
      <c r="B2462" s="3" t="s">
        <v>2463</v>
      </c>
      <c r="C2462" s="3" t="str">
        <f>IFERROR(__xludf.DUMMYFUNCTION("GOOGLETRANSLATE(B2462,""id"",""en"")"),"['Wear', 'Application', 'Kayak', 'Surprise', 'Price', 'Koutaa', 'Tetep', 'Friends',' Get ',' Price ',' Kouta ',' Cheap ',' Mengutan ',' Application ',' Disappointed ',' Tetep ',' Bintang ',' Telkom ',' Heart ']")</f>
        <v>['Wear', 'Application', 'Kayak', 'Surprise', 'Price', 'Koutaa', 'Tetep', 'Friends',' Get ',' Price ',' Kouta ',' Cheap ',' Mengutan ',' Application ',' Disappointed ',' Tetep ',' Bintang ',' Telkom ',' Heart ']</v>
      </c>
      <c r="D2462" s="3">
        <v>5.0</v>
      </c>
    </row>
    <row r="2463" ht="15.75" customHeight="1">
      <c r="A2463" s="1">
        <v>2461.0</v>
      </c>
      <c r="B2463" s="3" t="s">
        <v>2464</v>
      </c>
      <c r="C2463" s="3" t="str">
        <f>IFERROR(__xludf.DUMMYFUNCTION("GOOGLETRANSLATE(B2463,""id"",""en"")"),"['network', 'Telkomsel', 'ugly', 'really', 'already', 'jdi', 'lazy', 'make', 'card', 'Telkomsel', 'disappointed', 'application', ' Points', 'missing', 'already', 'run out', 'please', ""]")</f>
        <v>['network', 'Telkomsel', 'ugly', 'really', 'already', 'jdi', 'lazy', 'make', 'card', 'Telkomsel', 'disappointed', 'application', ' Points', 'missing', 'already', 'run out', 'please', "]</v>
      </c>
      <c r="D2463" s="3">
        <v>2.0</v>
      </c>
    </row>
    <row r="2464" ht="15.75" customHeight="1">
      <c r="A2464" s="1">
        <v>2462.0</v>
      </c>
      <c r="B2464" s="3" t="s">
        <v>2465</v>
      </c>
      <c r="C2464" s="3" t="str">
        <f>IFERROR(__xludf.DUMMYFUNCTION("GOOGLETRANSLATE(B2464,""id"",""en"")"),"['Advertising', 'Good', 'Bagusuin', 'Sympathy', 'Signal', 'Strong', 'Plosok', 'Plosok', 'Negeri', 'Sii', 'Bener', 'Region', ' city ​​',' doang ',' signal ',' good ',' turn ',' I ',' bring ',' home ',' I ',' village ',' I ',' I ',' SAK ' , 'Open', 'Applica"&amp;"tion', 'Babring', 'Signal', 'Line', 'Stand', 'I', 'Season', 'Taya', 'Quota', 'I', 'Sympathy', ' signal ',' worst ',' incorrect ',' thank ',' love ', ""]")</f>
        <v>['Advertising', 'Good', 'Bagusuin', 'Sympathy', 'Signal', 'Strong', 'Plosok', 'Plosok', 'Negeri', 'Sii', 'Bener', 'Region', ' city ​​',' doang ',' signal ',' good ',' turn ',' I ',' bring ',' home ',' I ',' village ',' I ',' I ',' SAK ' , 'Open', 'Application', 'Babring', 'Signal', 'Line', 'Stand', 'I', 'Season', 'Taya', 'Quota', 'I', 'Sympathy', ' signal ',' worst ',' incorrect ',' thank ',' love ', "]</v>
      </c>
      <c r="D2464" s="3">
        <v>1.0</v>
      </c>
    </row>
    <row r="2465" ht="15.75" customHeight="1">
      <c r="A2465" s="1">
        <v>2463.0</v>
      </c>
      <c r="B2465" s="3" t="s">
        <v>2466</v>
      </c>
      <c r="C2465" s="3" t="str">
        <f>IFERROR(__xludf.DUMMYFUNCTION("GOOGLETRANSLATE(B2465,""id"",""en"")"),"['signal', 'slow', 'speed', 'stuck', 'ugly', 'buy', 'expensive', 'expensive', 'TPI', 'network', 'disappointing', 'plisss',' price ',' expensive ',' signal ',' good ',' cook ',' price ',' expensive ',' network ',' slow ',' pliss', 'fix', 'network', 'online"&amp;"' , 'signal', 'ugly', 'no', 'delicious', 'cuk']")</f>
        <v>['signal', 'slow', 'speed', 'stuck', 'ugly', 'buy', 'expensive', 'expensive', 'TPI', 'network', 'disappointing', 'plisss',' price ',' expensive ',' signal ',' good ',' cook ',' price ',' expensive ',' network ',' slow ',' pliss', 'fix', 'network', 'online' , 'signal', 'ugly', 'no', 'delicious', 'cuk']</v>
      </c>
      <c r="D2465" s="3">
        <v>1.0</v>
      </c>
    </row>
    <row r="2466" ht="15.75" customHeight="1">
      <c r="A2466" s="1">
        <v>2464.0</v>
      </c>
      <c r="B2466" s="3" t="s">
        <v>2467</v>
      </c>
      <c r="C2466" s="3" t="str">
        <f>IFERROR(__xludf.DUMMYFUNCTION("GOOGLETRANSLATE(B2466,""id"",""en"")"),"['application', 'idiot', 'idiot', 'connection', 'stable', 'mulu', 'cave', 'make', 'wifi', 'tetep', 'connect', 'application', ' Work ',' ']")</f>
        <v>['application', 'idiot', 'idiot', 'connection', 'stable', 'mulu', 'cave', 'make', 'wifi', 'tetep', 'connect', 'application', ' Work ',' ']</v>
      </c>
      <c r="D2466" s="3">
        <v>1.0</v>
      </c>
    </row>
    <row r="2467" ht="15.75" customHeight="1">
      <c r="A2467" s="1">
        <v>2465.0</v>
      </c>
      <c r="B2467" s="3" t="s">
        <v>2468</v>
      </c>
      <c r="C2467" s="3" t="str">
        <f>IFERROR(__xludf.DUMMYFUNCTION("GOOGLETRANSLATE(B2467,""id"",""en"")"),"['Please', 'repaired', 'signal', 'Sis',' already ',' Telkomsel ',' Ngecewain ',' Customer ',' Forest ',' Network ',' Logical ',' Sutet ',' Functioning ',' Please ',' repaired ',' yaa ', ""]")</f>
        <v>['Please', 'repaired', 'signal', 'Sis',' already ',' Telkomsel ',' Ngecewain ',' Customer ',' Forest ',' Network ',' Logical ',' Sutet ',' Functioning ',' Please ',' repaired ',' yaa ', "]</v>
      </c>
      <c r="D2467" s="3">
        <v>1.0</v>
      </c>
    </row>
    <row r="2468" ht="15.75" customHeight="1">
      <c r="A2468" s="1">
        <v>2466.0</v>
      </c>
      <c r="B2468" s="3" t="s">
        <v>2469</v>
      </c>
      <c r="C2468" s="3" t="str">
        <f>IFERROR(__xludf.DUMMYFUNCTION("GOOGLETRANSLATE(B2468,""id"",""en"")"),"['admin', 'knpa', 'network', 'Telkomsel', 'slow', 'really', 'play', 'game', 'network', 'full', 'play', 'game', ' lag ',' lag ',' knapa ',' min ',' beg ',' help ',' min ']")</f>
        <v>['admin', 'knpa', 'network', 'Telkomsel', 'slow', 'really', 'play', 'game', 'network', 'full', 'play', 'game', ' lag ',' lag ',' knapa ',' min ',' beg ',' help ',' min ']</v>
      </c>
      <c r="D2468" s="3">
        <v>3.0</v>
      </c>
    </row>
    <row r="2469" ht="15.75" customHeight="1">
      <c r="A2469" s="1">
        <v>2467.0</v>
      </c>
      <c r="B2469" s="3" t="s">
        <v>2470</v>
      </c>
      <c r="C2469" s="3" t="str">
        <f>IFERROR(__xludf.DUMMYFUNCTION("GOOGLETRANSLATE(B2469,""id"",""en"")"),"['', 'Telkomsel', 'Helping', 'Daily', 'Check', 'Gift', 'Click', 'Deach', 'Duration', 'Quotes',' Package ',' Hbs', 'Quoto ',' On ',' The day ',' finished ',' TRM ',' KSH ',' Success', 'Telkomsel', ""]")</f>
        <v>['', 'Telkomsel', 'Helping', 'Daily', 'Check', 'Gift', 'Click', 'Deach', 'Duration', 'Quotes',' Package ',' Hbs', 'Quoto ',' On ',' The day ',' finished ',' TRM ',' KSH ',' Success', 'Telkomsel', "]</v>
      </c>
      <c r="D2469" s="3">
        <v>5.0</v>
      </c>
    </row>
    <row r="2470" ht="15.75" customHeight="1">
      <c r="A2470" s="1">
        <v>2468.0</v>
      </c>
      <c r="B2470" s="3" t="s">
        <v>2471</v>
      </c>
      <c r="C2470" s="3" t="str">
        <f>IFERROR(__xludf.DUMMYFUNCTION("GOOGLETRANSLATE(B2470,""id"",""en"")"),"['ugly', 'really', 'palembang', 'network', 'Telkomsel', 'good', 'good', 'gini', 'mah', 'ush', 'buy', 'palembang', ' lag ',' mouth ',' google ',' meet ',' lag ',' really ',' phone ',' mending ',' buy ',' smartphone ',' kek ',' gini ']")</f>
        <v>['ugly', 'really', 'palembang', 'network', 'Telkomsel', 'good', 'good', 'gini', 'mah', 'ush', 'buy', 'palembang', ' lag ',' mouth ',' google ',' meet ',' lag ',' really ',' phone ',' mending ',' buy ',' smartphone ',' kek ',' gini ']</v>
      </c>
      <c r="D2470" s="3">
        <v>2.0</v>
      </c>
    </row>
    <row r="2471" ht="15.75" customHeight="1">
      <c r="A2471" s="1">
        <v>2469.0</v>
      </c>
      <c r="B2471" s="3" t="s">
        <v>2472</v>
      </c>
      <c r="C2471" s="3" t="str">
        <f>IFERROR(__xludf.DUMMYFUNCTION("GOOGLETRANSLATE(B2471,""id"",""en"")"),"['Assalamualaikum', 'Management', 'MyTelkomsel', 'Telkomsel', 'Please', 'Conduct', 'Network', 'Calls',' Internet ',' Kampung ',' Layed ',' Sintong ',' Bakti ',' Kecamatan ',' Land ',' White ',' Rokan ',' Rokan ',' Hilir ',' Please ',' Work ',' Live ',' Ca"&amp;"ll ',' Difficult ',' Internet ' , 'road', 'axis',' network ',' Alhamdulillah ',' Not bad ',' good ',' already ',' entry ',' alley ',' intersection ',' network ',' already ',' Lost ',' Painty ',' Please ',' Confirm ',' Imam ',' Suheri ']")</f>
        <v>['Assalamualaikum', 'Management', 'MyTelkomsel', 'Telkomsel', 'Please', 'Conduct', 'Network', 'Calls',' Internet ',' Kampung ',' Layed ',' Sintong ',' Bakti ',' Kecamatan ',' Land ',' White ',' Rokan ',' Rokan ',' Hilir ',' Please ',' Work ',' Live ',' Call ',' Difficult ',' Internet ' , 'road', 'axis',' network ',' Alhamdulillah ',' Not bad ',' good ',' already ',' entry ',' alley ',' intersection ',' network ',' already ',' Lost ',' Painty ',' Please ',' Confirm ',' Imam ',' Suheri ']</v>
      </c>
      <c r="D2471" s="3">
        <v>5.0</v>
      </c>
    </row>
    <row r="2472" ht="15.75" customHeight="1">
      <c r="A2472" s="1">
        <v>2470.0</v>
      </c>
      <c r="B2472" s="3" t="s">
        <v>2473</v>
      </c>
      <c r="C2472" s="3" t="str">
        <f>IFERROR(__xludf.DUMMYFUNCTION("GOOGLETRANSLATE(B2472,""id"",""en"")"),"['brother', 'signal', 'like', 'down', 'girl', 'LDR', 'Ngertiin', 'want', 'telponan', 'minute', 'signal', 'like', ' down ',' Try ',' imagine ',' brother ',' LDR ',' sick ',' heart ',' love ',' blocked ',' signal ',' please ',' ngertiin ',' want ' , 'Ngerti"&amp;"in', 'Diginiin', ""]")</f>
        <v>['brother', 'signal', 'like', 'down', 'girl', 'LDR', 'Ngertiin', 'want', 'telponan', 'minute', 'signal', 'like', ' down ',' Try ',' imagine ',' brother ',' LDR ',' sick ',' heart ',' love ',' blocked ',' signal ',' please ',' ngertiin ',' want ' , 'Ngertiin', 'Diginiin', "]</v>
      </c>
      <c r="D2472" s="3">
        <v>5.0</v>
      </c>
    </row>
    <row r="2473" ht="15.75" customHeight="1">
      <c r="A2473" s="1">
        <v>2471.0</v>
      </c>
      <c r="B2473" s="3" t="s">
        <v>2474</v>
      </c>
      <c r="C2473" s="3" t="str">
        <f>IFERROR(__xludf.DUMMYFUNCTION("GOOGLETRANSLATE(B2473,""id"",""en"")"),"['Please', 'Fix', 'The Line', 'Telkomsel', 'Season', 'Rain', 'The Line', 'Tetep', 'Ungk', 'Current', 'Emotion', 'The Line', ' telkomsel ',' operator ',' number ',' market ',' price ',' quality ',' decreases', 'rich', 'gini', 'kasian', 'buy', 'package', 'q"&amp;"uota' , 'Internet', 'expensive', 'package', 'omg', 'cheap', 'thousand', 'get', 'GB', 'already', 'buy', 'omg', ""]")</f>
        <v>['Please', 'Fix', 'The Line', 'Telkomsel', 'Season', 'Rain', 'The Line', 'Tetep', 'Ungk', 'Current', 'Emotion', 'The Line', ' telkomsel ',' operator ',' number ',' market ',' price ',' quality ',' decreases', 'rich', 'gini', 'kasian', 'buy', 'package', 'quota' , 'Internet', 'expensive', 'package', 'omg', 'cheap', 'thousand', 'get', 'GB', 'already', 'buy', 'omg', "]</v>
      </c>
      <c r="D2473" s="3">
        <v>1.0</v>
      </c>
    </row>
    <row r="2474" ht="15.75" customHeight="1">
      <c r="A2474" s="1">
        <v>2472.0</v>
      </c>
      <c r="B2474" s="3" t="s">
        <v>2475</v>
      </c>
      <c r="C2474" s="3" t="str">
        <f>IFERROR(__xludf.DUMMYFUNCTION("GOOGLETRANSLATE(B2474,""id"",""en"")"),"['buy', 'package', 'data', 'omg', 'giga', 'shopeepay', 'notification', 'success',' balance ',' reduced ',' package ',' kaga ',' thereaaa ',' dream ',' money ',' decent ',' help ',' veronika ',' kaga ',' solution ',' already ',' network ',' lup ',' leup ',"&amp;"' just ' , 'Package', 'data', 'ilang', 'enter', 'Where', 'ugly', 'Sihhh', ""]")</f>
        <v>['buy', 'package', 'data', 'omg', 'giga', 'shopeepay', 'notification', 'success',' balance ',' reduced ',' package ',' kaga ',' thereaaa ',' dream ',' money ',' decent ',' help ',' veronika ',' kaga ',' solution ',' already ',' network ',' lup ',' leup ',' just ' , 'Package', 'data', 'ilang', 'enter', 'Where', 'ugly', 'Sihhh', "]</v>
      </c>
      <c r="D2474" s="3">
        <v>1.0</v>
      </c>
    </row>
    <row r="2475" ht="15.75" customHeight="1">
      <c r="A2475" s="1">
        <v>2473.0</v>
      </c>
      <c r="B2475" s="3" t="s">
        <v>2476</v>
      </c>
      <c r="C2475" s="3" t="str">
        <f>IFERROR(__xludf.DUMMYFUNCTION("GOOGLETRANSLATE(B2475,""id"",""en"")"),"['Telkomsel', 'Kuwontol', 'Cokkkkk', 'Picek', 'Matane', 'Anjeng', 'DANCOKKKK', 'Dick', 'Koe', 'ISO', 'Ngoco', 'Cok', ' Wasi ',' rivals', 'cheap', 'signal', 'apek', 'dick', 'cokkkk', 'bare', 'signal', 'taekkk', 'cokk', 'kontollll', 'isin' , 'Mbek', 'Tri', "&amp;"'cheap', 'signal', 'ISO', 'Adu', 'OPO', 'COKK', 'Load', 'Country', 'Tok', 'anjeng', ' ']")</f>
        <v>['Telkomsel', 'Kuwontol', 'Cokkkkk', 'Picek', 'Matane', 'Anjeng', 'DANCOKKKK', 'Dick', 'Koe', 'ISO', 'Ngoco', 'Cok', ' Wasi ',' rivals', 'cheap', 'signal', 'apek', 'dick', 'cokkkk', 'bare', 'signal', 'taekkk', 'cokk', 'kontollll', 'isin' , 'Mbek', 'Tri', 'cheap', 'signal', 'ISO', 'Adu', 'OPO', 'COKK', 'Load', 'Country', 'Tok', 'anjeng', ' ']</v>
      </c>
      <c r="D2475" s="3">
        <v>1.0</v>
      </c>
    </row>
    <row r="2476" ht="15.75" customHeight="1">
      <c r="A2476" s="1">
        <v>2474.0</v>
      </c>
      <c r="B2476" s="3" t="s">
        <v>2477</v>
      </c>
      <c r="C2476" s="3" t="str">
        <f>IFERROR(__xludf.DUMMYFUNCTION("GOOGLETRANSLATE(B2476,""id"",""en"")"),"['Star', 'buy', 'Package', 'Telkomsel', 'notification', 'connection', 'stable', 'Please', 'repaired', 'time', 'notification', 'connection', ' Stable ',' complaints', 'fill', 'pulses',' left ',' scorched ',' use ',' Please ',' Resolve ']")</f>
        <v>['Star', 'buy', 'Package', 'Telkomsel', 'notification', 'connection', 'stable', 'Please', 'repaired', 'time', 'notification', 'connection', ' Stable ',' complaints', 'fill', 'pulses',' left ',' scorched ',' use ',' Please ',' Resolve ']</v>
      </c>
      <c r="D2476" s="3">
        <v>2.0</v>
      </c>
    </row>
    <row r="2477" ht="15.75" customHeight="1">
      <c r="A2477" s="1">
        <v>2475.0</v>
      </c>
      <c r="B2477" s="3" t="s">
        <v>2478</v>
      </c>
      <c r="C2477" s="3" t="str">
        <f>IFERROR(__xludf.DUMMYFUNCTION("GOOGLETRANSLATE(B2477,""id"",""en"")"),"['Disappointed', 'Telkomsel', 'Game', 'Network', 'Like', 'Down', 'Jarimgan', 'TPI', 'Main', 'Game', 'lag', 'smooth', ' axis', 'rather than', 'Telkomsel', 'please', 'repay', 'signal']")</f>
        <v>['Disappointed', 'Telkomsel', 'Game', 'Network', 'Like', 'Down', 'Jarimgan', 'TPI', 'Main', 'Game', 'lag', 'smooth', ' axis', 'rather than', 'Telkomsel', 'please', 'repay', 'signal']</v>
      </c>
      <c r="D2477" s="3">
        <v>2.0</v>
      </c>
    </row>
    <row r="2478" ht="15.75" customHeight="1">
      <c r="A2478" s="1">
        <v>2476.0</v>
      </c>
      <c r="B2478" s="3" t="s">
        <v>2479</v>
      </c>
      <c r="C2478" s="3" t="str">
        <f>IFERROR(__xludf.DUMMYFUNCTION("GOOGLETRANSLATE(B2478,""id"",""en"")"),"['Disappointed', 'really', 'Sihh', 'signal', 'super', 'slow', 'ilang', 'pdahal', 'stay', 'sby', 'no', 'sms',' NOTICE ',' Quota ',' Stay ',' Over ',' Quota ',' Out ',' Automatic ',' Direct ',' Diverted ',' Use ',' Internet ',' Credit ',' as a result ' , 'p"&amp;"ulse', 'save', 'purchase', 'quota', 'run out', 'loss',' times', 'Telkomsel', 'Langg', 'like', 'promo', 'interesting', ' anywhere ',' go ',' signal ',' please ',' repaired ', ""]")</f>
        <v>['Disappointed', 'really', 'Sihh', 'signal', 'super', 'slow', 'ilang', 'pdahal', 'stay', 'sby', 'no', 'sms',' NOTICE ',' Quota ',' Stay ',' Over ',' Quota ',' Out ',' Automatic ',' Direct ',' Diverted ',' Use ',' Internet ',' Credit ',' as a result ' , 'pulse', 'save', 'purchase', 'quota', 'run out', 'loss',' times', 'Telkomsel', 'Langg', 'like', 'promo', 'interesting', ' anywhere ',' go ',' signal ',' please ',' repaired ', "]</v>
      </c>
      <c r="D2478" s="3">
        <v>1.0</v>
      </c>
    </row>
    <row r="2479" ht="15.75" customHeight="1">
      <c r="A2479" s="1">
        <v>2477.0</v>
      </c>
      <c r="B2479" s="3" t="s">
        <v>2480</v>
      </c>
      <c r="C2479" s="3" t="str">
        <f>IFERROR(__xludf.DUMMYFUNCTION("GOOGLETRANSLATE(B2479,""id"",""en"")"),"['forgiveness',' area ',' Medan ',' Helvetia ',' skrang ',' signal ',' sick ',' ugly ',' Come ',' Peforma ',' Telkomsel ',' disappointed ',' Mulu ',' yesterday ',' fire ',' Masi ',' loyal ',' Telkomsel ',' heart ',' please ',' fix ',' chase ', ""]")</f>
        <v>['forgiveness',' area ',' Medan ',' Helvetia ',' skrang ',' signal ',' sick ',' ugly ',' Come ',' Peforma ',' Telkomsel ',' disappointed ',' Mulu ',' yesterday ',' fire ',' Masi ',' loyal ',' Telkomsel ',' heart ',' please ',' fix ',' chase ', "]</v>
      </c>
      <c r="D2479" s="3">
        <v>2.0</v>
      </c>
    </row>
    <row r="2480" ht="15.75" customHeight="1">
      <c r="A2480" s="1">
        <v>2478.0</v>
      </c>
      <c r="B2480" s="3" t="s">
        <v>2481</v>
      </c>
      <c r="C2480" s="3" t="str">
        <f>IFERROR(__xludf.DUMMYFUNCTION("GOOGLETRANSLATE(B2480,""id"",""en"")"),"['application', 'MyTelkomsel', 'ugly', 'Maen', 'booong', 'hayuk', 'good', 'really', 'application', 'steady', 'ngatur']")</f>
        <v>['application', 'MyTelkomsel', 'ugly', 'Maen', 'booong', 'hayuk', 'good', 'really', 'application', 'steady', 'ngatur']</v>
      </c>
      <c r="D2480" s="3">
        <v>5.0</v>
      </c>
    </row>
    <row r="2481" ht="15.75" customHeight="1">
      <c r="A2481" s="1">
        <v>2479.0</v>
      </c>
      <c r="B2481" s="3" t="s">
        <v>2482</v>
      </c>
      <c r="C2481" s="3" t="str">
        <f>IFERROR(__xludf.DUMMYFUNCTION("GOOGLETRANSLATE(B2481,""id"",""en"")"),"['Developer', 'signal', 'stable', 'tower', 'affordable', 'submit', 'establishment', 'tower', 'village', 'none', 'tower', 'Telkomsel', ' Please ',' Consider ',' Thank you ']")</f>
        <v>['Developer', 'signal', 'stable', 'tower', 'affordable', 'submit', 'establishment', 'tower', 'village', 'none', 'tower', 'Telkomsel', ' Please ',' Consider ',' Thank you ']</v>
      </c>
      <c r="D2481" s="3">
        <v>3.0</v>
      </c>
    </row>
    <row r="2482" ht="15.75" customHeight="1">
      <c r="A2482" s="1">
        <v>2480.0</v>
      </c>
      <c r="B2482" s="3" t="s">
        <v>2483</v>
      </c>
      <c r="C2482" s="3" t="str">
        <f>IFERROR(__xludf.DUMMYFUNCTION("GOOGLETRANSLATE(B2482,""id"",""en"")"),"['Cemetery', 'quota', 'already', 'Abis',' Try ',' Imagine ',' Abis', 'Money', 'Play', 'Game', 'Main', 'Game', ' Please ',' Telkomsel ',' Cemetery ',' Quota ']")</f>
        <v>['Cemetery', 'quota', 'already', 'Abis',' Try ',' Imagine ',' Abis', 'Money', 'Play', 'Game', 'Main', 'Game', ' Please ',' Telkomsel ',' Cemetery ',' Quota ']</v>
      </c>
      <c r="D2482" s="3">
        <v>3.0</v>
      </c>
    </row>
    <row r="2483" ht="15.75" customHeight="1">
      <c r="A2483" s="1">
        <v>2481.0</v>
      </c>
      <c r="B2483" s="3" t="s">
        <v>2484</v>
      </c>
      <c r="C2483" s="3" t="str">
        <f>IFERROR(__xludf.DUMMYFUNCTION("GOOGLETRANSLATE(B2483,""id"",""en"")"),"['brother', 'bushel', 'brother', 'beautiful', 'Nons -' network ',' like ',' muter ',' muter ',' loyal ',' Telkomsel ',' kalaw ',' Kayak ',' Gini ',' BSA ',' Move ',' Kress ""]")</f>
        <v>['brother', 'bushel', 'brother', 'beautiful', 'Nons -' network ',' like ',' muter ',' muter ',' loyal ',' Telkomsel ',' kalaw ',' Kayak ',' Gini ',' BSA ',' Move ',' Kress "]</v>
      </c>
      <c r="D2483" s="3">
        <v>3.0</v>
      </c>
    </row>
    <row r="2484" ht="15.75" customHeight="1">
      <c r="A2484" s="1">
        <v>2482.0</v>
      </c>
      <c r="B2484" s="3" t="s">
        <v>2485</v>
      </c>
      <c r="C2484" s="3" t="str">
        <f>IFERROR(__xludf.DUMMYFUNCTION("GOOGLETRANSLATE(B2484,""id"",""en"")"),"['Please', 'Sorry', 'Credit', 'Auto', 'Reduced', 'Card', 'SIM', 'Data', 'SIM', 'Experience', 'Please', 'Sorry', ' Please 'repair']")</f>
        <v>['Please', 'Sorry', 'Credit', 'Auto', 'Reduced', 'Card', 'SIM', 'Data', 'SIM', 'Experience', 'Please', 'Sorry', ' Please 'repair']</v>
      </c>
      <c r="D2484" s="3">
        <v>2.0</v>
      </c>
    </row>
    <row r="2485" ht="15.75" customHeight="1">
      <c r="A2485" s="1">
        <v>2483.0</v>
      </c>
      <c r="B2485" s="3" t="s">
        <v>2486</v>
      </c>
      <c r="C2485" s="3" t="str">
        <f>IFERROR(__xludf.DUMMYFUNCTION("GOOGLETRANSLATE(B2485,""id"",""en"")"),"['Application', 'Impressed', 'Useful', 'Buy', 'Package', 'Application', 'Package', 'Aktiv', 'Quota', 'Feedback', 'How', 'Telkomsel', ' free of ',' access', 'application', 'MyTelkomsel', 'Basic', 'quota', 'special', 'access',' APP ',' MyTelkomsel ',' opera"&amp;"tor ',' next door ',' package ' , 'data', 'run out', 'buy', 'quota', 'via', 'app', 'manual', 'method', 'nebeng', 'hotspot', 'wifi', 'no', ' Credit ',' Ludes', 'Regara', 'Access',' Application ',' Officara ',' ']")</f>
        <v>['Application', 'Impressed', 'Useful', 'Buy', 'Package', 'Application', 'Package', 'Aktiv', 'Quota', 'Feedback', 'How', 'Telkomsel', ' free of ',' access', 'application', 'MyTelkomsel', 'Basic', 'quota', 'special', 'access',' APP ',' MyTelkomsel ',' operator ',' next door ',' package ' , 'data', 'run out', 'buy', 'quota', 'via', 'app', 'manual', 'method', 'nebeng', 'hotspot', 'wifi', 'no', ' Credit ',' Ludes', 'Regara', 'Access',' Application ',' Officara ',' ']</v>
      </c>
      <c r="D2485" s="3">
        <v>2.0</v>
      </c>
    </row>
    <row r="2486" ht="15.75" customHeight="1">
      <c r="A2486" s="1">
        <v>2484.0</v>
      </c>
      <c r="B2486" s="3" t="s">
        <v>2487</v>
      </c>
      <c r="C2486" s="3" t="str">
        <f>IFERROR(__xludf.DUMMYFUNCTION("GOOGLETRANSLATE(B2486,""id"",""en"")"),"['package', 'emergency', 'automatic', 'active', 'doang', 'already', 'pay', 'active', 'gini', 'pulse', 'ilang', 'sia', ' How ',' Stalliin ',' Please ', ""]")</f>
        <v>['package', 'emergency', 'automatic', 'active', 'doang', 'already', 'pay', 'active', 'gini', 'pulse', 'ilang', 'sia', ' How ',' Stalliin ',' Please ', "]</v>
      </c>
      <c r="D2486" s="3">
        <v>1.0</v>
      </c>
    </row>
    <row r="2487" ht="15.75" customHeight="1">
      <c r="A2487" s="1">
        <v>2485.0</v>
      </c>
      <c r="B2487" s="3" t="s">
        <v>2488</v>
      </c>
      <c r="C2487" s="3" t="str">
        <f>IFERROR(__xludf.DUMMYFUNCTION("GOOGLETRANSLATE(B2487,""id"",""en"")"),"['Telkomsel', 'please', 'user', 'service', 'please', 'pulse', 'already', 'buy', 'take', 'yes',' fill ',' pulses', ' Pakek ',' Benowl ',' Credit ',' Reduced ',' Purpose ',' Kek ',' Telkomsel ']")</f>
        <v>['Telkomsel', 'please', 'user', 'service', 'please', 'pulse', 'already', 'buy', 'take', 'yes',' fill ',' pulses', ' Pakek ',' Benowl ',' Credit ',' Reduced ',' Purpose ',' Kek ',' Telkomsel ']</v>
      </c>
      <c r="D2487" s="3">
        <v>1.0</v>
      </c>
    </row>
    <row r="2488" ht="15.75" customHeight="1">
      <c r="A2488" s="1">
        <v>2486.0</v>
      </c>
      <c r="B2488" s="3" t="s">
        <v>2489</v>
      </c>
      <c r="C2488" s="3" t="str">
        <f>IFERROR(__xludf.DUMMYFUNCTION("GOOGLETRANSLATE(B2488,""id"",""en"")"),"['Sometimes',' Telkomsel ',' Nge ',' Bug ',' Promo ',' Sometimes', 'Sometimes',' Ngak ',' Please ',' Fix ',' Comfort ',' Buy ',' package ',' Telkomsel ',' fix ',' quality ',' network ',' slow ',' problematic ',' network ',' signal ',' full ']")</f>
        <v>['Sometimes',' Telkomsel ',' Nge ',' Bug ',' Promo ',' Sometimes', 'Sometimes',' Ngak ',' Please ',' Fix ',' Comfort ',' Buy ',' package ',' Telkomsel ',' fix ',' quality ',' network ',' slow ',' problematic ',' network ',' signal ',' full ']</v>
      </c>
      <c r="D2488" s="3">
        <v>2.0</v>
      </c>
    </row>
    <row r="2489" ht="15.75" customHeight="1">
      <c r="A2489" s="1">
        <v>2487.0</v>
      </c>
      <c r="B2489" s="3" t="s">
        <v>2490</v>
      </c>
      <c r="C2489" s="3" t="str">
        <f>IFERROR(__xludf.DUMMYFUNCTION("GOOGLETRANSLATE(B2489,""id"",""en"")"),"['Please', 'Telkomsel', 'Points', 'Lost', 'Please', 'Restore', 'Points', 'Gather', 'Points', ""]")</f>
        <v>['Please', 'Telkomsel', 'Points', 'Lost', 'Please', 'Restore', 'Points', 'Gather', 'Points', "]</v>
      </c>
      <c r="D2489" s="3">
        <v>1.0</v>
      </c>
    </row>
    <row r="2490" ht="15.75" customHeight="1">
      <c r="A2490" s="1">
        <v>2488.0</v>
      </c>
      <c r="B2490" s="3" t="s">
        <v>2491</v>
      </c>
      <c r="C2490" s="3" t="str">
        <f>IFERROR(__xludf.DUMMYFUNCTION("GOOGLETRANSLATE(B2490,""id"",""en"")"),"['Purchase', 'Package', 'Disney', 'Hotstar', 'Ovo', 'On', 'Payment', 'SUCCESS', 'I'M,' CONTACT ',' TLGRAM ',' Processed ',' Sunday ',' Blum ',' Processed ',' Disappointedaaaaa ',' ']")</f>
        <v>['Purchase', 'Package', 'Disney', 'Hotstar', 'Ovo', 'On', 'Payment', 'SUCCESS', 'I'M,' CONTACT ',' TLGRAM ',' Processed ',' Sunday ',' Blum ',' Processed ',' Disappointedaaaaa ',' ']</v>
      </c>
      <c r="D2490" s="3">
        <v>1.0</v>
      </c>
    </row>
    <row r="2491" ht="15.75" customHeight="1">
      <c r="A2491" s="1">
        <v>2489.0</v>
      </c>
      <c r="B2491" s="3" t="s">
        <v>2492</v>
      </c>
      <c r="C2491" s="3" t="str">
        <f>IFERROR(__xludf.DUMMYFUNCTION("GOOGLETRANSLATE(B2491,""id"",""en"")"),"['Please', 'Telkomsel', 'Package', 'Unlimited', 'RB', 'Fix', 'System', 'Free', 'Social', 'run out', 'Eat', 'quota', ' turn ',' browsing ',' bkan ',' unlimited ',' network ',' inhibits', 'needs', ""]")</f>
        <v>['Please', 'Telkomsel', 'Package', 'Unlimited', 'RB', 'Fix', 'System', 'Free', 'Social', 'run out', 'Eat', 'quota', ' turn ',' browsing ',' bkan ',' unlimited ',' network ',' inhibits', 'needs', "]</v>
      </c>
      <c r="D2491" s="3">
        <v>1.0</v>
      </c>
    </row>
    <row r="2492" ht="15.75" customHeight="1">
      <c r="A2492" s="1">
        <v>2490.0</v>
      </c>
      <c r="B2492" s="3" t="s">
        <v>2493</v>
      </c>
      <c r="C2492" s="3" t="str">
        <f>IFERROR(__xludf.DUMMYFUNCTION("GOOGLETRANSLATE(B2492,""id"",""en"")"),"['oath', 'sympathy', 'right', 'right', 'goiter', 'shing out', 'clock', 'clock', 'ngeleg', 'hah', 'udh', 'packetan', ' expensive ',' oath ',' disappointed ',' Bener ',' Bener ',' ']")</f>
        <v>['oath', 'sympathy', 'right', 'right', 'goiter', 'shing out', 'clock', 'clock', 'ngeleg', 'hah', 'udh', 'packetan', ' expensive ',' oath ',' disappointed ',' Bener ',' Bener ',' ']</v>
      </c>
      <c r="D2492" s="3">
        <v>1.0</v>
      </c>
    </row>
    <row r="2493" ht="15.75" customHeight="1">
      <c r="A2493" s="1">
        <v>2491.0</v>
      </c>
      <c r="B2493" s="3" t="s">
        <v>2494</v>
      </c>
      <c r="C2493" s="3" t="str">
        <f>IFERROR(__xludf.DUMMYFUNCTION("GOOGLETRANSLATE(B2493,""id"",""en"")"),"['Dear' 'Operator', 'Wear', 'Card', 'Telkomsel', 'Week', 'Network', 'Telkomsel', 'Putuk', 'Ashaking', 'West Sumatra', ' The network is', 'Cuacapun', 'Good', '']")</f>
        <v>['Dear' 'Operator', 'Wear', 'Card', 'Telkomsel', 'Week', 'Network', 'Telkomsel', 'Putuk', 'Ashaking', 'West Sumatra', ' The network is', 'Cuacapun', 'Good', '']</v>
      </c>
      <c r="D2493" s="3">
        <v>3.0</v>
      </c>
    </row>
    <row r="2494" ht="15.75" customHeight="1">
      <c r="A2494" s="1">
        <v>2492.0</v>
      </c>
      <c r="B2494" s="3" t="s">
        <v>2495</v>
      </c>
      <c r="C2494" s="3" t="str">
        <f>IFERROR(__xludf.DUMMYFUNCTION("GOOGLETRANSLATE(B2494,""id"",""en"")"),"['Gausah', 'pretentious',' promo ',' unlimited ',' quality ',' network ',' worn ',' expensive ',' expensive ',' buy ',' package ',' open ',' Story ',' gabisa ',' play ',' game ',' gabisa ',' ngegame ',' customers', 'telkomsel', 'run', 'happy', 'unlimited'"&amp;", 'network', 'rotten' , '']")</f>
        <v>['Gausah', 'pretentious',' promo ',' unlimited ',' quality ',' network ',' worn ',' expensive ',' expensive ',' buy ',' package ',' open ',' Story ',' gabisa ',' play ',' game ',' gabisa ',' ngegame ',' customers', 'telkomsel', 'run', 'happy', 'unlimited', 'network', 'rotten' , '']</v>
      </c>
      <c r="D2494" s="3">
        <v>1.0</v>
      </c>
    </row>
    <row r="2495" ht="15.75" customHeight="1">
      <c r="A2495" s="1">
        <v>2493.0</v>
      </c>
      <c r="B2495" s="3" t="s">
        <v>2496</v>
      </c>
      <c r="C2495" s="3" t="str">
        <f>IFERROR(__xludf.DUMMYFUNCTION("GOOGLETRANSLATE(B2495,""id"",""en"")"),"['Network', 'ugly', 'klw', 'night', 'right', 'rain', 'special', 'area', 'sorong', 'Papua', 'West', 'Please', ' understanding ',' as', 'consumer', 'Mrasa', 'disappointed']")</f>
        <v>['Network', 'ugly', 'klw', 'night', 'right', 'rain', 'special', 'area', 'sorong', 'Papua', 'West', 'Please', ' understanding ',' as', 'consumer', 'Mrasa', 'disappointed']</v>
      </c>
      <c r="D2495" s="3">
        <v>1.0</v>
      </c>
    </row>
    <row r="2496" ht="15.75" customHeight="1">
      <c r="A2496" s="1">
        <v>2494.0</v>
      </c>
      <c r="B2496" s="3" t="s">
        <v>2497</v>
      </c>
      <c r="C2496" s="3" t="str">
        <f>IFERROR(__xludf.DUMMYFUNCTION("GOOGLETRANSLATE(B2496,""id"",""en"")"),"['application', 'ngaaco', 'repaired', 'description', 'contents',' pulse ',' so ',' application ',' Telkomsel ',' point ',' all ',' transaction ',' Successful ',' Points', 'Enter', 'Live', 'Live', 'Chat', 'Responded', 'Daily', 'Check', 'Pas',' Claim ',' Gi"&amp;"ft ',' Failed ' , 'strange', 'bwt', 'promo', 'daily', 'check', 'right', 'narrand', 'intention', 'seh', 'bwt', 'application', 'disappointing' Class', 'Telkomsel']")</f>
        <v>['application', 'ngaaco', 'repaired', 'description', 'contents',' pulse ',' so ',' application ',' Telkomsel ',' point ',' all ',' transaction ',' Successful ',' Points', 'Enter', 'Live', 'Live', 'Chat', 'Responded', 'Daily', 'Check', 'Pas',' Claim ',' Gift ',' Failed ' , 'strange', 'bwt', 'promo', 'daily', 'check', 'right', 'narrand', 'intention', 'seh', 'bwt', 'application', 'disappointing' Class', 'Telkomsel']</v>
      </c>
      <c r="D2496" s="3">
        <v>1.0</v>
      </c>
    </row>
    <row r="2497" ht="15.75" customHeight="1">
      <c r="A2497" s="1">
        <v>2495.0</v>
      </c>
      <c r="B2497" s="3" t="s">
        <v>2498</v>
      </c>
      <c r="C2497" s="3" t="str">
        <f>IFERROR(__xludf.DUMMYFUNCTION("GOOGLETRANSLATE(B2497,""id"",""en"")"),"['pulse', 'sumps',' until ',' run out ',' data ',' telephone ',' sms', 'please', 'developer', 'pay attention', 'response', 'serious',' thank you']")</f>
        <v>['pulse', 'sumps',' until ',' run out ',' data ',' telephone ',' sms', 'please', 'developer', 'pay attention', 'response', 'serious',' thank you']</v>
      </c>
      <c r="D2497" s="3">
        <v>1.0</v>
      </c>
    </row>
    <row r="2498" ht="15.75" customHeight="1">
      <c r="A2498" s="1">
        <v>2496.0</v>
      </c>
      <c r="B2498" s="3" t="s">
        <v>2499</v>
      </c>
      <c r="C2498" s="3" t="str">
        <f>IFERROR(__xludf.DUMMYFUNCTION("GOOGLETRANSLATE(B2498,""id"",""en"")"),"['Signal', 'Telkomsel', 'Worse', 'Ngellag', 'Out', 'Reported', 'Answers',' Improved ',' Network ',' The Network ',' Speed ​​',' The Internet ',' Severe ',' Hadehh ', ""]")</f>
        <v>['Signal', 'Telkomsel', 'Worse', 'Ngellag', 'Out', 'Reported', 'Answers',' Improved ',' Network ',' The Network ',' Speed ​​',' The Internet ',' Severe ',' Hadehh ', "]</v>
      </c>
      <c r="D2498" s="3">
        <v>1.0</v>
      </c>
    </row>
    <row r="2499" ht="15.75" customHeight="1">
      <c r="A2499" s="1">
        <v>2497.0</v>
      </c>
      <c r="B2499" s="3" t="s">
        <v>2500</v>
      </c>
      <c r="C2499" s="3" t="str">
        <f>IFERROR(__xludf.DUMMYFUNCTION("GOOGLETRANSLATE(B2499,""id"",""en"")"),"['network', 'Telkomsel', 'buy', 'package', 'expensive', 'right', 'play', 'game', 'slow', 'forgiveness',' stay ',' amid ',' City ',' Network ',' Telkomsel ',' Kayak ',' Painting ',' Area ',' Campus', 'UHO', 'Network', 'Kek', 'Sumali', ""]")</f>
        <v>['network', 'Telkomsel', 'buy', 'package', 'expensive', 'right', 'play', 'game', 'slow', 'forgiveness',' stay ',' amid ',' City ',' Network ',' Telkomsel ',' Kayak ',' Painting ',' Area ',' Campus', 'UHO', 'Network', 'Kek', 'Sumali', "]</v>
      </c>
      <c r="D2499" s="3">
        <v>1.0</v>
      </c>
    </row>
    <row r="2500" ht="15.75" customHeight="1">
      <c r="A2500" s="1">
        <v>2498.0</v>
      </c>
      <c r="B2500" s="3" t="s">
        <v>2501</v>
      </c>
      <c r="C2500" s="3" t="str">
        <f>IFERROR(__xludf.DUMMYFUNCTION("GOOGLETRANSLATE(B2500,""id"",""en"")"),"['Severe', 'network', 'emng', 'improvement', 'please', 'finish', 'as soon as possible', 'custamer', 'kacewa', 'run', 'custamer', 'telephone', ' already ',' different ',' network ',' stable ',' kacewa ',' customer ',' customer ',' ']")</f>
        <v>['Severe', 'network', 'emng', 'improvement', 'please', 'finish', 'as soon as possible', 'custamer', 'kacewa', 'run', 'custamer', 'telephone', ' already ',' different ',' network ',' stable ',' kacewa ',' customer ',' customer ',' ']</v>
      </c>
      <c r="D2500" s="3">
        <v>1.0</v>
      </c>
    </row>
    <row r="2501" ht="15.75" customHeight="1">
      <c r="A2501" s="1">
        <v>2499.0</v>
      </c>
      <c r="B2501" s="3" t="s">
        <v>2502</v>
      </c>
      <c r="C2501" s="3" t="str">
        <f>IFERROR(__xludf.DUMMYFUNCTION("GOOGLETRANSLATE(B2501,""id"",""en"")"),"['like', 'system', 'promo', 'package', 'internet', 'unfortunate', 'stability', 'signal', 'use', 'game', 'online', 'out', ' Lost ',' Please ',' Enhanced ',' Thanks']")</f>
        <v>['like', 'system', 'promo', 'package', 'internet', 'unfortunate', 'stability', 'signal', 'use', 'game', 'online', 'out', ' Lost ',' Please ',' Enhanced ',' Thanks']</v>
      </c>
      <c r="D2501" s="3">
        <v>4.0</v>
      </c>
    </row>
    <row r="2502" ht="15.75" customHeight="1">
      <c r="A2502" s="1">
        <v>2500.0</v>
      </c>
      <c r="B2502" s="3" t="s">
        <v>2503</v>
      </c>
      <c r="C2502" s="3" t="str">
        <f>IFERROR(__xludf.DUMMYFUNCTION("GOOGLETRANSLATE(B2502,""id"",""en"")"),"['Credit', 'Cut', 'Response', 'Developer', 'Gini', 'NSP', 'blah', 'blah', 'blah', 'usage', 'wifi', 'please', ' Emotions ',' check ',' Telkomsel ',' subscribers ',' NSP ',' anything ',' pulse ',' Where ',' how ',' emotion ',' buy ',' pulse ',' Cut "" , 'Un"&amp;"til', 'run out', 'he was', 'Sultan', 'Dahlah', 'Males', 'go home', 'luck', 'toxic']")</f>
        <v>['Credit', 'Cut', 'Response', 'Developer', 'Gini', 'NSP', 'blah', 'blah', 'blah', 'usage', 'wifi', 'please', ' Emotions ',' check ',' Telkomsel ',' subscribers ',' NSP ',' anything ',' pulse ',' Where ',' how ',' emotion ',' buy ',' pulse ',' Cut " , 'Until', 'run out', 'he was', 'Sultan', 'Dahlah', 'Males', 'go home', 'luck', 'toxic']</v>
      </c>
      <c r="D2502" s="3">
        <v>1.0</v>
      </c>
    </row>
    <row r="2503" ht="15.75" customHeight="1">
      <c r="A2503" s="1">
        <v>2501.0</v>
      </c>
      <c r="B2503" s="3" t="s">
        <v>2504</v>
      </c>
      <c r="C2503" s="3" t="str">
        <f>IFERROR(__xludf.DUMMYFUNCTION("GOOGLETRANSLATE(B2503,""id"",""en"")"),"['Telkomsel', 'signal', 'please', 'signal', 'accelerated', 'try', 'price', 'quota', 'expensive', 'sinynya', 'ugly', 'try', ' repairs', 'prices',' quota ',' stunned ',' UDH ',' smooth ',' signal ',' Dinaikkin ',' price ',' Papa ', ""]")</f>
        <v>['Telkomsel', 'signal', 'please', 'signal', 'accelerated', 'try', 'price', 'quota', 'expensive', 'sinynya', 'ugly', 'try', ' repairs', 'prices',' quota ',' stunned ',' UDH ',' smooth ',' signal ',' Dinaikkin ',' price ',' Papa ', "]</v>
      </c>
      <c r="D2503" s="3">
        <v>1.0</v>
      </c>
    </row>
    <row r="2504" ht="15.75" customHeight="1">
      <c r="A2504" s="1">
        <v>2502.0</v>
      </c>
      <c r="B2504" s="3" t="s">
        <v>2505</v>
      </c>
      <c r="C2504" s="3" t="str">
        <f>IFERROR(__xludf.DUMMYFUNCTION("GOOGLETRANSLATE(B2504,""id"",""en"")"),"['', 'Bali', 'Too', 'Slow', 'connection', 'bales',' yes', 'NGasi', 'solution', 'promotion', 'told', 'check', 'twiter ',' Lho ',' tranding ',' twiter ',' kayak ',' GTU ',' boss', 'check', 'provider', 'area', 'Bali', 'Seminyak', 'Need', 'fast', 'do', 'sell'"&amp;", 'rich', 'gini', 'treatment', 'use', 'provider', 'buy', 'package', 'data', 'lazy', 'the connection ',' Lola ',' Bentar ',' Change ',' card ',' ']")</f>
        <v>['', 'Bali', 'Too', 'Slow', 'connection', 'bales',' yes', 'NGasi', 'solution', 'promotion', 'told', 'check', 'twiter ',' Lho ',' tranding ',' twiter ',' kayak ',' GTU ',' boss', 'check', 'provider', 'area', 'Bali', 'Seminyak', 'Need', 'fast', 'do', 'sell', 'rich', 'gini', 'treatment', 'use', 'provider', 'buy', 'package', 'data', 'lazy', 'the connection ',' Lola ',' Bentar ',' Change ',' card ',' ']</v>
      </c>
      <c r="D2504" s="3">
        <v>1.0</v>
      </c>
    </row>
    <row r="2505" ht="15.75" customHeight="1">
      <c r="A2505" s="1">
        <v>2503.0</v>
      </c>
      <c r="B2505" s="3" t="s">
        <v>2506</v>
      </c>
      <c r="C2505" s="3" t="str">
        <f>IFERROR(__xludf.DUMMYFUNCTION("GOOGLETRANSLATE(B2505,""id"",""en"")"),"['Application', 'Ber', 'users',' Telkomsel ',' ber ',' update ',' application ',' version ',' newest ',' version ',' open ',' run ',' The application ',' Difficult ',' Dead ',' Waiting ',' Open ',' Version ',' Android ',' Version ',' Needed ',' Minimal ',"&amp;"' Version ',' Please ',' Explanation ' , 'repairs', 'Application', 'Bener', 'Donk', 'Honest', 'Males', 'Open', 'Application', 'Disappointed']")</f>
        <v>['Application', 'Ber', 'users',' Telkomsel ',' ber ',' update ',' application ',' version ',' newest ',' version ',' open ',' run ',' The application ',' Difficult ',' Dead ',' Waiting ',' Open ',' Version ',' Android ',' Version ',' Needed ',' Minimal ',' Version ',' Please ',' Explanation ' , 'repairs', 'Application', 'Bener', 'Donk', 'Honest', 'Males', 'Open', 'Application', 'Disappointed']</v>
      </c>
      <c r="D2505" s="3">
        <v>2.0</v>
      </c>
    </row>
    <row r="2506" ht="15.75" customHeight="1">
      <c r="A2506" s="1">
        <v>2504.0</v>
      </c>
      <c r="B2506" s="3" t="s">
        <v>2507</v>
      </c>
      <c r="C2506" s="3" t="str">
        <f>IFERROR(__xludf.DUMMYFUNCTION("GOOGLETRANSLATE(B2506,""id"",""en"")"),"['buy', 'quota', 'Telkomsel', 'quota', 'enter', 'sidah', 'buy', 'quota', 'yesterday', 'his writing', 'purchase', 'managed', ' quota ',' entered ',' Please ',' help ']")</f>
        <v>['buy', 'quota', 'Telkomsel', 'quota', 'enter', 'sidah', 'buy', 'quota', 'yesterday', 'his writing', 'purchase', 'managed', ' quota ',' entered ',' Please ',' help ']</v>
      </c>
      <c r="D2506" s="3">
        <v>3.0</v>
      </c>
    </row>
    <row r="2507" ht="15.75" customHeight="1">
      <c r="A2507" s="1">
        <v>2505.0</v>
      </c>
      <c r="B2507" s="3" t="s">
        <v>2508</v>
      </c>
      <c r="C2507" s="3" t="str">
        <f>IFERROR(__xludf.DUMMYFUNCTION("GOOGLETRANSLATE(B2507,""id"",""en"")"),"['Please', 'Fix', 'Application', 'Telkomsel', 'Contents',' Credit ',' Making ',' Package ',' Data ',' Credit ',' drained ',' Out ',' Fill ',' RB ',' Direct ',' Abis', 'RB', 'Cuman', 'Open', 'Application', 'Telkomsel', 'Doang', 'Sampe', 'Semarunya', 'Terbu"&amp;"kunas' , 'Out', 'Please', 'Fix', 'Application', 'Love', 'Bintang', 'Harm', 'Network', 'anything']")</f>
        <v>['Please', 'Fix', 'Application', 'Telkomsel', 'Contents',' Credit ',' Making ',' Package ',' Data ',' Credit ',' drained ',' Out ',' Fill ',' RB ',' Direct ',' Abis', 'RB', 'Cuman', 'Open', 'Application', 'Telkomsel', 'Doang', 'Sampe', 'Semarunya', 'Terbukunas' , 'Out', 'Please', 'Fix', 'Application', 'Love', 'Bintang', 'Harm', 'Network', 'anything']</v>
      </c>
      <c r="D2507" s="3">
        <v>1.0</v>
      </c>
    </row>
    <row r="2508" ht="15.75" customHeight="1">
      <c r="A2508" s="1">
        <v>2506.0</v>
      </c>
      <c r="B2508" s="3" t="s">
        <v>2509</v>
      </c>
      <c r="C2508" s="3" t="str">
        <f>IFERROR(__xludf.DUMMYFUNCTION("GOOGLETRANSLATE(B2508,""id"",""en"")"),"['Distribution', 'quota', 'cook', 'buy', 'GB', 'She', 'GB', 'quota', 'local', 'make', 'quota', ""]")</f>
        <v>['Distribution', 'quota', 'cook', 'buy', 'GB', 'She', 'GB', 'quota', 'local', 'make', 'quota', "]</v>
      </c>
      <c r="D2508" s="3">
        <v>2.0</v>
      </c>
    </row>
    <row r="2509" ht="15.75" customHeight="1">
      <c r="A2509" s="1">
        <v>2507.0</v>
      </c>
      <c r="B2509" s="3" t="s">
        <v>2510</v>
      </c>
      <c r="C2509" s="3" t="str">
        <f>IFERROR(__xludf.DUMMYFUNCTION("GOOGLETRANSLATE(B2509,""id"",""en"")"),"['chaotic', 'Telkomsel', 'Points',' Darling ',' have ',' Points', 'already', 'contents',' pls', 'rb', 'raid', ' The point ',' chaotic ',' chaotic ',' chaotic ',' ']")</f>
        <v>['chaotic', 'Telkomsel', 'Points',' Darling ',' have ',' Points', 'already', 'contents',' pls', 'rb', 'raid', ' The point ',' chaotic ',' chaotic ',' chaotic ',' ']</v>
      </c>
      <c r="D2509" s="3">
        <v>1.0</v>
      </c>
    </row>
    <row r="2510" ht="15.75" customHeight="1">
      <c r="A2510" s="1">
        <v>2508.0</v>
      </c>
      <c r="B2510" s="3" t="s">
        <v>2511</v>
      </c>
      <c r="C2510" s="3" t="str">
        <f>IFERROR(__xludf.DUMMYFUNCTION("GOOGLETRANSLATE(B2510,""id"",""en"")"),"['min', 'entry', 'notif', 'consent', 'error', 'const', 'mean', 'application', 'Disney', 'hotstar', 'skrang', 'open', ' Code ',' TLP ',' Singapore ',' Indonesia ',' Use ',' Paketan ',' Include ',' Telkomsel ',' Kek ',' Gini ',' Mending ',' Buy ',' Paketan "&amp;"' , 'Internet', 'Dahh', 'Free', 'Package', 'Partner', 'Disney', 'Bad', 'Use', 'Samsek', 'Bales',' Donk ',' Min ',' poor ',' nihhhh ']")</f>
        <v>['min', 'entry', 'notif', 'consent', 'error', 'const', 'mean', 'application', 'Disney', 'hotstar', 'skrang', 'open', ' Code ',' TLP ',' Singapore ',' Indonesia ',' Use ',' Paketan ',' Include ',' Telkomsel ',' Kek ',' Gini ',' Mending ',' Buy ',' Paketan ' , 'Internet', 'Dahh', 'Free', 'Package', 'Partner', 'Disney', 'Bad', 'Use', 'Samsek', 'Bales',' Donk ',' Min ',' poor ',' nihhhh ']</v>
      </c>
      <c r="D2510" s="3">
        <v>1.0</v>
      </c>
    </row>
    <row r="2511" ht="15.75" customHeight="1">
      <c r="A2511" s="1">
        <v>2509.0</v>
      </c>
      <c r="B2511" s="3" t="s">
        <v>2512</v>
      </c>
      <c r="C2511" s="3" t="str">
        <f>IFERROR(__xludf.DUMMYFUNCTION("GOOGLETRANSLATE(B2511,""id"",""en"")"),"['Disappointed', 'Signal', 'Sympathy', 'Friendly', 'Use', 'Application', 'Signal', 'Muter', 'Network', 'Location', 'Jakarta']")</f>
        <v>['Disappointed', 'Signal', 'Sympathy', 'Friendly', 'Use', 'Application', 'Signal', 'Muter', 'Network', 'Location', 'Jakarta']</v>
      </c>
      <c r="D2511" s="3">
        <v>1.0</v>
      </c>
    </row>
    <row r="2512" ht="15.75" customHeight="1">
      <c r="A2512" s="1">
        <v>2510.0</v>
      </c>
      <c r="B2512" s="3" t="s">
        <v>2513</v>
      </c>
      <c r="C2512" s="3" t="str">
        <f>IFERROR(__xludf.DUMMYFUNCTION("GOOGLETRANSLATE(B2512,""id"",""en"")"),"['use', 'Telkomsel', 'ad', 'quota', 'combo', 'Sakti', 'unlimited', 'youtube', 'quota', 'GB', 'rb', 'application', ' quota ',' like ',' that's', 'combo', 'Sakti', 'thousand', 'GB', ""]")</f>
        <v>['use', 'Telkomsel', 'ad', 'quota', 'combo', 'Sakti', 'unlimited', 'youtube', 'quota', 'GB', 'rb', 'application', ' quota ',' like ',' that's', 'combo', 'Sakti', 'thousand', 'GB', "]</v>
      </c>
      <c r="D2512" s="3">
        <v>2.0</v>
      </c>
    </row>
    <row r="2513" ht="15.75" customHeight="1">
      <c r="A2513" s="1">
        <v>2511.0</v>
      </c>
      <c r="B2513" s="3" t="s">
        <v>2514</v>
      </c>
      <c r="C2513" s="3" t="str">
        <f>IFERROR(__xludf.DUMMYFUNCTION("GOOGLETRANSLATE(B2513,""id"",""en"")"),"['', 'Home', 'Telkomsel', 'connection', 'stable', 'click', 'Try', 'press',' try ',' time ',' wifi ',' data ',' cellular ', 'disappointed']")</f>
        <v>['', 'Home', 'Telkomsel', 'connection', 'stable', 'click', 'Try', 'press',' try ',' time ',' wifi ',' data ',' cellular ', 'disappointed']</v>
      </c>
      <c r="D2513" s="3">
        <v>1.0</v>
      </c>
    </row>
    <row r="2514" ht="15.75" customHeight="1">
      <c r="A2514" s="1">
        <v>2512.0</v>
      </c>
      <c r="B2514" s="3" t="s">
        <v>2515</v>
      </c>
      <c r="C2514" s="3" t="str">
        <f>IFERROR(__xludf.DUMMYFUNCTION("GOOGLETRANSLATE(B2514,""id"",""en"")"),"['Telkomsel', 'Disappointing', 'KNPA', 'Open', 'Posts',' Mode ',' Free ',' Posts', 'Offered', 'Buy', 'Package', 'Rupiah', ' buy ',' mode ',' free ',' funny ',' permasalaca ',' a week ',' buy ',' package ',' GB ',' RB ',' package ',' Sya ',' remaining ' , "&amp;"'GB', 'Data', 'GB', 'Function', '']")</f>
        <v>['Telkomsel', 'Disappointing', 'KNPA', 'Open', 'Posts',' Mode ',' Free ',' Posts', 'Offered', 'Buy', 'Package', 'Rupiah', ' buy ',' mode ',' free ',' funny ',' permasalaca ',' a week ',' buy ',' package ',' GB ',' RB ',' package ',' Sya ',' remaining ' , 'GB', 'Data', 'GB', 'Function', '']</v>
      </c>
      <c r="D2514" s="3">
        <v>1.0</v>
      </c>
    </row>
    <row r="2515" ht="15.75" customHeight="1">
      <c r="A2515" s="1">
        <v>2513.0</v>
      </c>
      <c r="B2515" s="3" t="s">
        <v>2516</v>
      </c>
      <c r="C2515" s="3" t="str">
        <f>IFERROR(__xludf.DUMMYFUNCTION("GOOGLETRANSLATE(B2515,""id"",""en"")"),"['disappointed', 'package', 'COORPORATE', 'thousand', 'GB', 'application', 'given', 'pulses',' thousand ',' campus', 'keelempa', 'package', ' Data ',' Under ',' GB ',' told ',' friend ',' update ',' already ',' update ',' tetep ',' no ',' rip ',' pulses']")</f>
        <v>['disappointed', 'package', 'COORPORATE', 'thousand', 'GB', 'application', 'given', 'pulses',' thousand ',' campus', 'keelempa', 'package', ' Data ',' Under ',' GB ',' told ',' friend ',' update ',' already ',' update ',' tetep ',' no ',' rip ',' pulses']</v>
      </c>
      <c r="D2515" s="3">
        <v>2.0</v>
      </c>
    </row>
    <row r="2516" ht="15.75" customHeight="1">
      <c r="A2516" s="1">
        <v>2514.0</v>
      </c>
      <c r="B2516" s="3" t="s">
        <v>2517</v>
      </c>
      <c r="C2516" s="3" t="str">
        <f>IFERROR(__xludf.DUMMYFUNCTION("GOOGLETRANSLATE(B2516,""id"",""en"")"),"['Telkomsel', 'just', 'contents',' pulse ',' active ',' add ',' buy ',' package ',' maxstream ',' appears', 'notif', 'service', ' Busy ',' Check ',' Credit ',' Cut ',' Package ',' Enter ',' Telkomsel ',' Robber ',' Changed ',' Operator ',' Fraud ',' Rever"&amp;"se ',' Pulseku ' , 'Send', 'package', 'according to', 'buy', 'quality', 'signal', 'bad', 'Telkomsel', 'expel', 'customer', 'by one', 'move', ' operator', '']")</f>
        <v>['Telkomsel', 'just', 'contents',' pulse ',' active ',' add ',' buy ',' package ',' maxstream ',' appears', 'notif', 'service', ' Busy ',' Check ',' Credit ',' Cut ',' Package ',' Enter ',' Telkomsel ',' Robber ',' Changed ',' Operator ',' Fraud ',' Reverse ',' Pulseku ' , 'Send', 'package', 'according to', 'buy', 'quality', 'signal', 'bad', 'Telkomsel', 'expel', 'customer', 'by one', 'move', ' operator', '']</v>
      </c>
      <c r="D2516" s="3">
        <v>1.0</v>
      </c>
    </row>
    <row r="2517" ht="15.75" customHeight="1">
      <c r="A2517" s="1">
        <v>2515.0</v>
      </c>
      <c r="B2517" s="3" t="s">
        <v>2518</v>
      </c>
      <c r="C2517" s="3" t="str">
        <f>IFERROR(__xludf.DUMMYFUNCTION("GOOGLETRANSLATE(B2517,""id"",""en"")"),"['Disappointed', 'Telkomsel', 'Karna', 'Package', 'Package', 'Combo', 'Sakti', 'Sebagus',' Package ',' Unlimitedmax ',' already ',' comfortable ',' Unlimitedmax ',' replaced ',' Combosakti ',' tasty ',' really ', ""]")</f>
        <v>['Disappointed', 'Telkomsel', 'Karna', 'Package', 'Package', 'Combo', 'Sakti', 'Sebagus',' Package ',' Unlimitedmax ',' already ',' comfortable ',' Unlimitedmax ',' replaced ',' Combosakti ',' tasty ',' really ', "]</v>
      </c>
      <c r="D2517" s="3">
        <v>1.0</v>
      </c>
    </row>
    <row r="2518" ht="15.75" customHeight="1">
      <c r="A2518" s="1">
        <v>2516.0</v>
      </c>
      <c r="B2518" s="3" t="s">
        <v>2519</v>
      </c>
      <c r="C2518" s="3" t="str">
        <f>IFERROR(__xludf.DUMMYFUNCTION("GOOGLETRANSLATE(B2518,""id"",""en"")"),"['Telkomsel', 'Package', 'Gamemax', 'Play', 'Game', 'Pubg', 'Mobile', 'Telkomsel', 'Please', 'Package', 'Game', 'Pub', ' mobile ',' game ',' ']")</f>
        <v>['Telkomsel', 'Package', 'Gamemax', 'Play', 'Game', 'Pubg', 'Mobile', 'Telkomsel', 'Please', 'Package', 'Game', 'Pub', ' mobile ',' game ',' ']</v>
      </c>
      <c r="D2518" s="3">
        <v>2.0</v>
      </c>
    </row>
    <row r="2519" ht="15.75" customHeight="1">
      <c r="A2519" s="1">
        <v>2517.0</v>
      </c>
      <c r="B2519" s="3" t="s">
        <v>2520</v>
      </c>
      <c r="C2519" s="3" t="str">
        <f>IFERROR(__xludf.DUMMYFUNCTION("GOOGLETRANSLATE(B2519,""id"",""en"")"),"['buy', 'package', 'cheerful', 'GB', 'thousand', 'enter', 'pulse', 'truncated', 'promo', 'packagein', 'please', 'fix', ' Bugs', 'min', 'disappointing', 'customers',' Telkomsel ']")</f>
        <v>['buy', 'package', 'cheerful', 'GB', 'thousand', 'enter', 'pulse', 'truncated', 'promo', 'packagein', 'please', 'fix', ' Bugs', 'min', 'disappointing', 'customers',' Telkomsel ']</v>
      </c>
      <c r="D2519" s="3">
        <v>3.0</v>
      </c>
    </row>
    <row r="2520" ht="15.75" customHeight="1">
      <c r="A2520" s="1">
        <v>2518.0</v>
      </c>
      <c r="B2520" s="3" t="s">
        <v>2521</v>
      </c>
      <c r="C2520" s="3" t="str">
        <f>IFERROR(__xludf.DUMMYFUNCTION("GOOGLETRANSLATE(B2520,""id"",""en"")"),"['Download', 'Ntar', 'it's eager', 'already', 'buy', 'pulse', 'Telkomsel', 'buy', 'package', 'data', 'Telkomsel', 'it's better', ' Buy ',' Package ',' Data ',' counter ']")</f>
        <v>['Download', 'Ntar', 'it's eager', 'already', 'buy', 'pulse', 'Telkomsel', 'buy', 'package', 'data', 'Telkomsel', 'it's better', ' Buy ',' Package ',' Data ',' counter ']</v>
      </c>
      <c r="D2520" s="3">
        <v>1.0</v>
      </c>
    </row>
    <row r="2521" ht="15.75" customHeight="1">
      <c r="A2521" s="1">
        <v>2519.0</v>
      </c>
      <c r="B2521" s="3" t="s">
        <v>2522</v>
      </c>
      <c r="C2521" s="3" t="str">
        <f>IFERROR(__xludf.DUMMYFUNCTION("GOOGLETRANSLATE(B2521,""id"",""en"")"),"['Disappointed', 'contents',' pulse ',' RbU ',' On ',' Package ',' Kombo ',' Sakti ',' AFK ',' FAILURE ',' Credit ',' Disappear ',' Cell ',' told ',' Wait ',' Tampa ',' Certainty ',' Astafirulah ']")</f>
        <v>['Disappointed', 'contents',' pulse ',' RbU ',' On ',' Package ',' Kombo ',' Sakti ',' AFK ',' FAILURE ',' Credit ',' Disappear ',' Cell ',' told ',' Wait ',' Tampa ',' Certainty ',' Astafirulah ']</v>
      </c>
      <c r="D2521" s="3">
        <v>4.0</v>
      </c>
    </row>
    <row r="2522" ht="15.75" customHeight="1">
      <c r="A2522" s="1">
        <v>2520.0</v>
      </c>
      <c r="B2522" s="3" t="s">
        <v>2523</v>
      </c>
      <c r="C2522" s="3" t="str">
        <f>IFERROR(__xludf.DUMMYFUNCTION("GOOGLETRANSLATE(B2522,""id"",""en"")"),"['Please', 'Signal', 'Telkomsel', 'Kecamatan', 'Kamang', 'River', 'LANSEK', 'KAB', 'SIJUNG', 'Strengthen', 'Signal', 'Maninjau', ' Kec ',' Tanjung ',' Raya ',' Strengthen ',' Thanks', 'Telkomsel']")</f>
        <v>['Please', 'Signal', 'Telkomsel', 'Kecamatan', 'Kamang', 'River', 'LANSEK', 'KAB', 'SIJUNG', 'Strengthen', 'Signal', 'Maninjau', ' Kec ',' Tanjung ',' Raya ',' Strengthen ',' Thanks', 'Telkomsel']</v>
      </c>
      <c r="D2522" s="3">
        <v>5.0</v>
      </c>
    </row>
    <row r="2523" ht="15.75" customHeight="1">
      <c r="A2523" s="1">
        <v>2521.0</v>
      </c>
      <c r="B2523" s="3" t="s">
        <v>2524</v>
      </c>
      <c r="C2523" s="3" t="str">
        <f>IFERROR(__xludf.DUMMYFUNCTION("GOOGLETRANSLATE(B2523,""id"",""en"")"),"['Telkomsel', 'sophisticated', 'Dawon', 'price', 'ride', 'Hopefully', 'Rich', 'Telkomsel', 'Overcome', 'prodak', 'Telkomsel', 'emotion', ' Price ',' good ',' quality ',' Telkomsel ',' ']")</f>
        <v>['Telkomsel', 'sophisticated', 'Dawon', 'price', 'ride', 'Hopefully', 'Rich', 'Telkomsel', 'Overcome', 'prodak', 'Telkomsel', 'emotion', ' Price ',' good ',' quality ',' Telkomsel ',' ']</v>
      </c>
      <c r="D2523" s="3">
        <v>1.0</v>
      </c>
    </row>
    <row r="2524" ht="15.75" customHeight="1">
      <c r="A2524" s="1">
        <v>2522.0</v>
      </c>
      <c r="B2524" s="3" t="s">
        <v>2525</v>
      </c>
      <c r="C2524" s="3" t="str">
        <f>IFERROR(__xludf.DUMMYFUNCTION("GOOGLETRANSLATE(B2524,""id"",""en"")"),"['Developer', 'buy', 'Package', 'Promo', 'Telkomsel', 'Displays',' Paketan ',' Promo ',' Rare ',' Nongol ',' Buy ',' Hadehh ',' please ',' fix ',' until ',' promo ',' run out ',' then ',' package ',' bru ',' buy ',' please ',' kd ',' developer ',' promo '"&amp;" , 'like this']")</f>
        <v>['Developer', 'buy', 'Package', 'Promo', 'Telkomsel', 'Displays',' Paketan ',' Promo ',' Rare ',' Nongol ',' Buy ',' Hadehh ',' please ',' fix ',' until ',' promo ',' run out ',' then ',' package ',' bru ',' buy ',' please ',' kd ',' developer ',' promo ' , 'like this']</v>
      </c>
      <c r="D2524" s="3">
        <v>3.0</v>
      </c>
    </row>
    <row r="2525" ht="15.75" customHeight="1">
      <c r="A2525" s="1">
        <v>2523.0</v>
      </c>
      <c r="B2525" s="3" t="s">
        <v>2526</v>
      </c>
      <c r="C2525" s="3" t="str">
        <f>IFERROR(__xludf.DUMMYFUNCTION("GOOGLETRANSLATE(B2525,""id"",""en"")"),"['Hi', 'Telkomsel', 'Dear', 'disappointed', 'buy', 'package', 'expensive', 'Maen', 'mobile', 'Legend', 'satisfying', 'Kridit', ' Skore ',' stay ',' Push ',' Rank ',' Wear ',' Internet ',' Local ',' Kebon ',' Jerok ',' Jakarta ',' West ',' class', 'Jakarta"&amp;"' , 'signal', 'down', 'cutting', 'tower', 'so', 'thank you']")</f>
        <v>['Hi', 'Telkomsel', 'Dear', 'disappointed', 'buy', 'package', 'expensive', 'Maen', 'mobile', 'Legend', 'satisfying', 'Kridit', ' Skore ',' stay ',' Push ',' Rank ',' Wear ',' Internet ',' Local ',' Kebon ',' Jerok ',' Jakarta ',' West ',' class', 'Jakarta' , 'signal', 'down', 'cutting', 'tower', 'so', 'thank you']</v>
      </c>
      <c r="D2525" s="3">
        <v>1.0</v>
      </c>
    </row>
    <row r="2526" ht="15.75" customHeight="1">
      <c r="A2526" s="1">
        <v>2524.0</v>
      </c>
      <c r="B2526" s="3" t="s">
        <v>2527</v>
      </c>
      <c r="C2526" s="3" t="str">
        <f>IFERROR(__xludf.DUMMYFUNCTION("GOOGLETRANSLATE(B2526,""id"",""en"")"),"['Daily', 'check', 'UDH', 'DPT', 'Stamp', 'Error', 'Check', 'Funny', 'Application', 'Afraid', 'Run', 'Data', ' SENTAIB ',' Package ',' Data ',' Believe ',' Cheap ',' Save ',' BNYK ',' PROMO ']")</f>
        <v>['Daily', 'check', 'UDH', 'DPT', 'Stamp', 'Error', 'Check', 'Funny', 'Application', 'Afraid', 'Run', 'Data', ' SENTAIB ',' Package ',' Data ',' Believe ',' Cheap ',' Save ',' BNYK ',' PROMO ']</v>
      </c>
      <c r="D2526" s="3">
        <v>3.0</v>
      </c>
    </row>
    <row r="2527" ht="15.75" customHeight="1">
      <c r="A2527" s="1">
        <v>2525.0</v>
      </c>
      <c r="B2527" s="3" t="s">
        <v>2528</v>
      </c>
      <c r="C2527" s="3" t="str">
        <f>IFERROR(__xludf.DUMMYFUNCTION("GOOGLETRANSLATE(B2527,""id"",""en"")"),"['signal', 'lost', 'like', 'lost', 'morning', 'afternoon', 'night', 'yesterday', 'signal', 'lost', 'clock', ' hours', 'play', 'games',' start ',' smooth ',' mid ',' missing ',' nge ',' lag ',' php ']")</f>
        <v>['signal', 'lost', 'like', 'lost', 'morning', 'afternoon', 'night', 'yesterday', 'signal', 'lost', 'clock', ' hours', 'play', 'games',' start ',' smooth ',' mid ',' missing ',' nge ',' lag ',' php ']</v>
      </c>
      <c r="D2527" s="3">
        <v>2.0</v>
      </c>
    </row>
    <row r="2528" ht="15.75" customHeight="1">
      <c r="A2528" s="1">
        <v>2526.0</v>
      </c>
      <c r="B2528" s="3" t="s">
        <v>2529</v>
      </c>
      <c r="C2528" s="3" t="str">
        <f>IFERROR(__xludf.DUMMYFUNCTION("GOOGLETRANSLATE(B2528,""id"",""en"")"),"['The network', 'slow', 'a month', 'yesterday', 'tasty', 'right', 'skrng', 'slow', 'really', 'my quota', 'msh', 'buy', ' Please, 'Distabilized', '']")</f>
        <v>['The network', 'slow', 'a month', 'yesterday', 'tasty', 'right', 'skrng', 'slow', 'really', 'my quota', 'msh', 'buy', ' Please, 'Distabilized', '']</v>
      </c>
      <c r="D2528" s="3">
        <v>1.0</v>
      </c>
    </row>
    <row r="2529" ht="15.75" customHeight="1">
      <c r="A2529" s="1">
        <v>2527.0</v>
      </c>
      <c r="B2529" s="3" t="s">
        <v>2530</v>
      </c>
      <c r="C2529" s="3" t="str">
        <f>IFERROR(__xludf.DUMMYFUNCTION("GOOGLETRANSLATE(B2529,""id"",""en"")"),"['', 'Hape', 'missing', 'Install', 'App', 'Telkomsel', 'makes it easy', 'in', 'charging', 'credit', 'rates',' pulses', 'the data ',' fair ',' price ',' relative ',' cheap ',' like ',' knp ',' skrg ',' install ',' device ',' price ',' pulses', 'expensive',"&amp;" 'magnitude', 'pulse', 'data', 'combo', 'promo', 'interesting', 'disappointing', 'kasi', 'star']")</f>
        <v>['', 'Hape', 'missing', 'Install', 'App', 'Telkomsel', 'makes it easy', 'in', 'charging', 'credit', 'rates',' pulses', 'the data ',' fair ',' price ',' relative ',' cheap ',' like ',' knp ',' skrg ',' install ',' device ',' price ',' pulses', 'expensive', 'magnitude', 'pulse', 'data', 'combo', 'promo', 'interesting', 'disappointing', 'kasi', 'star']</v>
      </c>
      <c r="D2529" s="3">
        <v>2.0</v>
      </c>
    </row>
    <row r="2530" ht="15.75" customHeight="1">
      <c r="A2530" s="1">
        <v>2528.0</v>
      </c>
      <c r="B2530" s="3" t="s">
        <v>2531</v>
      </c>
      <c r="C2530" s="3" t="str">
        <f>IFERROR(__xludf.DUMMYFUNCTION("GOOGLETRANSLATE(B2530,""id"",""en"")"),"['already', 'times',' pulse ',' missing ',' signal ',' ugly ',' application ',' just ',' bolt ',' person ',' loss', 'base', ' rubbish', '']")</f>
        <v>['already', 'times',' pulse ',' missing ',' signal ',' ugly ',' application ',' just ',' bolt ',' person ',' loss', 'base', ' rubbish', '']</v>
      </c>
      <c r="D2530" s="3">
        <v>1.0</v>
      </c>
    </row>
    <row r="2531" ht="15.75" customHeight="1">
      <c r="A2531" s="1">
        <v>2529.0</v>
      </c>
      <c r="B2531" s="3" t="s">
        <v>2532</v>
      </c>
      <c r="C2531" s="3" t="str">
        <f>IFERROR(__xludf.DUMMYFUNCTION("GOOGLETRANSLATE(B2531,""id"",""en"")"),"['Developer', 'Dear', 'Package', 'Data', 'Telkomsel', 'It's',' Kayak ',' Package ',' Clock ',' Clock ',' Hour ',' Signal ',' ugly ',' really ',' turn ',' clock ',' malem ',' signal ',' good ',' please ',' repaired ',' package ',' clock ',' already ',' exp"&amp;"ensive ' , 'Kayak', 'Gini', 'Disappointed', '']")</f>
        <v>['Developer', 'Dear', 'Package', 'Data', 'Telkomsel', 'It's',' Kayak ',' Package ',' Clock ',' Clock ',' Hour ',' Signal ',' ugly ',' really ',' turn ',' clock ',' malem ',' signal ',' good ',' please ',' repaired ',' package ',' clock ',' already ',' expensive ' , 'Kayak', 'Gini', 'Disappointed', '']</v>
      </c>
      <c r="D2531" s="3">
        <v>1.0</v>
      </c>
    </row>
    <row r="2532" ht="15.75" customHeight="1">
      <c r="A2532" s="1">
        <v>2530.0</v>
      </c>
      <c r="B2532" s="3" t="s">
        <v>2533</v>
      </c>
      <c r="C2532" s="3" t="str">
        <f>IFERROR(__xludf.DUMMYFUNCTION("GOOGLETRANSLATE(B2532,""id"",""en"")"),"['Okay', 'Telkomsel', 'Network', 'Full,' ugly ',' night ',' Not bad ',' good ',' room ',' what 'do', 'internet', 'Malem', ' It is necessary ',' staying up late ',' quality ',' work ',' please ',' Telkomsel ',' staying up late ',' gamau ',' insomnia ',' re"&amp;"lapse ', ""]")</f>
        <v>['Okay', 'Telkomsel', 'Network', 'Full,' ugly ',' night ',' Not bad ',' good ',' room ',' what 'do', 'internet', 'Malem', ' It is necessary ',' staying up late ',' quality ',' work ',' please ',' Telkomsel ',' staying up late ',' gamau ',' insomnia ',' relapse ', "]</v>
      </c>
      <c r="D2532" s="3">
        <v>3.0</v>
      </c>
    </row>
    <row r="2533" ht="15.75" customHeight="1">
      <c r="A2533" s="1">
        <v>2531.0</v>
      </c>
      <c r="B2533" s="3" t="s">
        <v>2534</v>
      </c>
      <c r="C2533" s="3" t="str">
        <f>IFERROR(__xludf.DUMMYFUNCTION("GOOGLETRANSLATE(B2533,""id"",""en"")"),"['no', 'Telkomsel', 'signal', 'no', 'stable', 'severe', 'really', 'convenience', 'customer', 'hopefully', 'future', 'repair', ' Most ',' complaints', 'signal', 'update', 'Points',' missing ',' Say ',' Thank you ', ""]")</f>
        <v>['no', 'Telkomsel', 'signal', 'no', 'stable', 'severe', 'really', 'convenience', 'customer', 'hopefully', 'future', 'repair', ' Most ',' complaints', 'signal', 'update', 'Points',' missing ',' Say ',' Thank you ', "]</v>
      </c>
      <c r="D2533" s="3">
        <v>2.0</v>
      </c>
    </row>
    <row r="2534" ht="15.75" customHeight="1">
      <c r="A2534" s="1">
        <v>2532.0</v>
      </c>
      <c r="B2534" s="3" t="s">
        <v>2535</v>
      </c>
      <c r="C2534" s="3" t="str">
        <f>IFERROR(__xludf.DUMMYFUNCTION("GOOGLETRANSLATE(B2534,""id"",""en"")"),"['Oklah', 'Network', 'ugly', 'user', 'user', 'network', 'fix', 'search', 'luck', 'ajah', 'user', 'play', ' Game ',' Byte ',' Ajah ',' Kasi ',' Smooth ',' Thanks', ""]")</f>
        <v>['Oklah', 'Network', 'ugly', 'user', 'user', 'network', 'fix', 'search', 'luck', 'ajah', 'user', 'play', ' Game ',' Byte ',' Ajah ',' Kasi ',' Smooth ',' Thanks', "]</v>
      </c>
      <c r="D2534" s="3">
        <v>1.0</v>
      </c>
    </row>
    <row r="2535" ht="15.75" customHeight="1">
      <c r="A2535" s="1">
        <v>2533.0</v>
      </c>
      <c r="B2535" s="3" t="s">
        <v>2536</v>
      </c>
      <c r="C2535" s="3" t="str">
        <f>IFERROR(__xludf.DUMMYFUNCTION("GOOGLETRANSLATE(B2535,""id"",""en"")"),"['told', 'uprage', 'followed', 'according to', 'direction', 'point', 'missing', 'zero', 'pdhl', 'point', 'collected', ' Please ',' donk ']")</f>
        <v>['told', 'uprage', 'followed', 'according to', 'direction', 'point', 'missing', 'zero', 'pdhl', 'point', 'collected', ' Please ',' donk ']</v>
      </c>
      <c r="D2535" s="3">
        <v>1.0</v>
      </c>
    </row>
    <row r="2536" ht="15.75" customHeight="1">
      <c r="A2536" s="1">
        <v>2534.0</v>
      </c>
      <c r="B2536" s="3" t="s">
        <v>2537</v>
      </c>
      <c r="C2536" s="3" t="str">
        <f>IFERROR(__xludf.DUMMYFUNCTION("GOOGLETRANSLATE(B2536,""id"",""en"")"),"['Telkomsel', 'Features',' Safety ',' Credit ',' Heart ',' Heart ',' Data ',' Abis', 'Automatic', 'Suck', 'Credit', 'Regular', ' Telkomsel ',' force ',' consumers', 'buy', 'package', 'bundling', 'function', 'need', 'consumer', 'beg', 'fix', 'system', 'det"&amp;"rimental' , 'Consumers', 'Consumers', 'Move', 'Provider']")</f>
        <v>['Telkomsel', 'Features',' Safety ',' Credit ',' Heart ',' Heart ',' Data ',' Abis', 'Automatic', 'Suck', 'Credit', 'Regular', ' Telkomsel ',' force ',' consumers', 'buy', 'package', 'bundling', 'function', 'need', 'consumer', 'beg', 'fix', 'system', 'detrimental' , 'Consumers', 'Consumers', 'Move', 'Provider']</v>
      </c>
      <c r="D2536" s="3">
        <v>1.0</v>
      </c>
    </row>
    <row r="2537" ht="15.75" customHeight="1">
      <c r="A2537" s="1">
        <v>2535.0</v>
      </c>
      <c r="B2537" s="3" t="s">
        <v>2538</v>
      </c>
      <c r="C2537" s="3" t="str">
        <f>IFERROR(__xludf.DUMMYFUNCTION("GOOGLETRANSLATE(B2537,""id"",""en"")"),"['pulse', 'missing', 'mimin', 'help', 'yaahh', 'pulse', 'sad', 'min', 'company', 'sprt', 'telkomsel', 'msh', ' Like ',' Take ',' Credit ',' Consumer ',' SPRT ',' Hopefully ',' Rich ',' Telkomsel ', ""]")</f>
        <v>['pulse', 'missing', 'mimin', 'help', 'yaahh', 'pulse', 'sad', 'min', 'company', 'sprt', 'telkomsel', 'msh', ' Like ',' Take ',' Credit ',' Consumer ',' SPRT ',' Hopefully ',' Rich ',' Telkomsel ', "]</v>
      </c>
      <c r="D2537" s="3">
        <v>1.0</v>
      </c>
    </row>
    <row r="2538" ht="15.75" customHeight="1">
      <c r="A2538" s="1">
        <v>2536.0</v>
      </c>
      <c r="B2538" s="3" t="s">
        <v>2539</v>
      </c>
      <c r="C2538" s="3" t="str">
        <f>IFERROR(__xludf.DUMMYFUNCTION("GOOGLETRANSLATE(B2538,""id"",""en"")"),"['network', 'sdebelum', 'ngactivein', 'package', 'data', 'telkomsel', 'netting', 'smooth', 'smooth', 'eeh', 'so', 'ngactive', ' package ',' data ',' network ',' sometimes', 'sometimes',' mostly ',' clay ',' network ',' org ',' home ',' the card ',' card '"&amp;",' called ' , 'fooling', 'package', 'data', 'that's', 'package', 'data', 'kepake', 'amsiong', 'Telkomsel', ""]")</f>
        <v>['network', 'sdebelum', 'ngactivein', 'package', 'data', 'telkomsel', 'netting', 'smooth', 'smooth', 'eeh', 'so', 'ngactive', ' package ',' data ',' network ',' sometimes', 'sometimes',' mostly ',' clay ',' network ',' org ',' home ',' the card ',' card ',' called ' , 'fooling', 'package', 'data', 'that's', 'package', 'data', 'kepake', 'amsiong', 'Telkomsel', "]</v>
      </c>
      <c r="D2538" s="3">
        <v>1.0</v>
      </c>
    </row>
    <row r="2539" ht="15.75" customHeight="1">
      <c r="A2539" s="1">
        <v>2537.0</v>
      </c>
      <c r="B2539" s="3" t="s">
        <v>2540</v>
      </c>
      <c r="C2539" s="3" t="str">
        <f>IFERROR(__xludf.DUMMYFUNCTION("GOOGLETRANSLATE(B2539,""id"",""en"")"),"['Satisfied', 'service', 'Telkomsel', 'inland', 'kal', 'teng', 'umma', 'clean', 'contact', 'company', 'thank you', 'Telkomsel', ' ']")</f>
        <v>['Satisfied', 'service', 'Telkomsel', 'inland', 'kal', 'teng', 'umma', 'clean', 'contact', 'company', 'thank you', 'Telkomsel', ' ']</v>
      </c>
      <c r="D2539" s="3">
        <v>5.0</v>
      </c>
    </row>
    <row r="2540" ht="15.75" customHeight="1">
      <c r="A2540" s="1">
        <v>2538.0</v>
      </c>
      <c r="B2540" s="3" t="s">
        <v>2541</v>
      </c>
      <c r="C2540" s="3" t="str">
        <f>IFERROR(__xludf.DUMMYFUNCTION("GOOGLETRANSLATE(B2540,""id"",""en"")"),"['card', 'pulp', 'performance', 'network', 'bad', 'quota', 'expensive', 'compared to', 'provider', 'lose', 'provider', 'comment', ' "", 'Out', 'Dahlah', 'That's', '']")</f>
        <v>['card', 'pulp', 'performance', 'network', 'bad', 'quota', 'expensive', 'compared to', 'provider', 'lose', 'provider', 'comment', ' ", 'Out', 'Dahlah', 'That's', '']</v>
      </c>
      <c r="D2540" s="3">
        <v>1.0</v>
      </c>
    </row>
    <row r="2541" ht="15.75" customHeight="1">
      <c r="A2541" s="1">
        <v>2539.0</v>
      </c>
      <c r="B2541" s="3" t="s">
        <v>2542</v>
      </c>
      <c r="C2541" s="3" t="str">
        <f>IFERROR(__xludf.DUMMYFUNCTION("GOOGLETRANSLATE(B2541,""id"",""en"")"),"['signal', 'Telkomsel', 'area', 'ugly', 'lose', 'yellow', 'blue', 'sya', 'change', 'card', 'hello', 'Lebh', ' jelekkkkkkkkkkkkk ',' pepahhhhhh ']")</f>
        <v>['signal', 'Telkomsel', 'area', 'ugly', 'lose', 'yellow', 'blue', 'sya', 'change', 'card', 'hello', 'Lebh', ' jelekkkkkkkkkkkkk ',' pepahhhhhh ']</v>
      </c>
      <c r="D2541" s="3">
        <v>1.0</v>
      </c>
    </row>
    <row r="2542" ht="15.75" customHeight="1">
      <c r="A2542" s="1">
        <v>2540.0</v>
      </c>
      <c r="B2542" s="3" t="s">
        <v>2543</v>
      </c>
      <c r="C2542" s="3" t="str">
        <f>IFERROR(__xludf.DUMMYFUNCTION("GOOGLETRANSLATE(B2542,""id"",""en"")"),"['application', 'easy', 'list', 'package', 'Telkomsel', 'hope', 'enthusiasm', 'develop', 'features',' features', 'hope', 'promo', ' Register ',' Internet ',' according to ',' consumer ',' Economy ',' Megnified ',' Thanks', 'Telkomsel', ""]")</f>
        <v>['application', 'easy', 'list', 'package', 'Telkomsel', 'hope', 'enthusiasm', 'develop', 'features',' features', 'hope', 'promo', ' Register ',' Internet ',' according to ',' consumer ',' Economy ',' Megnified ',' Thanks', 'Telkomsel', "]</v>
      </c>
      <c r="D2542" s="3">
        <v>4.0</v>
      </c>
    </row>
    <row r="2543" ht="15.75" customHeight="1">
      <c r="A2543" s="1">
        <v>2541.0</v>
      </c>
      <c r="B2543" s="3" t="s">
        <v>2544</v>
      </c>
      <c r="C2543" s="3" t="str">
        <f>IFERROR(__xludf.DUMMYFUNCTION("GOOGLETRANSLATE(B2543,""id"",""en"")"),"['Signal', 'Telkomsel', 'Timbuguul', 'Tenglama', 'Most', 'sinking', 'yaa', 'expensive', 'doang', 'according to', 'buy', 'expensive', ' relative ',' boss', 'according to', 'satisfaction', 'customer']")</f>
        <v>['Signal', 'Telkomsel', 'Timbuguul', 'Tenglama', 'Most', 'sinking', 'yaa', 'expensive', 'doang', 'according to', 'buy', 'expensive', ' relative ',' boss', 'according to', 'satisfaction', 'customer']</v>
      </c>
      <c r="D2543" s="3">
        <v>2.0</v>
      </c>
    </row>
    <row r="2544" ht="15.75" customHeight="1">
      <c r="A2544" s="1">
        <v>2542.0</v>
      </c>
      <c r="B2544" s="3" t="s">
        <v>2545</v>
      </c>
      <c r="C2544" s="3" t="str">
        <f>IFERROR(__xludf.DUMMYFUNCTION("GOOGLETRANSLATE(B2544,""id"",""en"")"),"['ugly', 'bnget', 'enter', 'difficult', 'bnget', 'wait', 'all night', 'sms',' link ',' regret ',' udh ',' fill ',' balances', 'update', 'UDH', 'Update', 'enter', 'kmrin', 'buy', 'quota', 'internet', 'sebel', 'bnget', 'disappointed', 'jda' , 'Telkomsel']")</f>
        <v>['ugly', 'bnget', 'enter', 'difficult', 'bnget', 'wait', 'all night', 'sms',' link ',' regret ',' udh ',' fill ',' balances', 'update', 'UDH', 'Update', 'enter', 'kmrin', 'buy', 'quota', 'internet', 'sebel', 'bnget', 'disappointed', 'jda' , 'Telkomsel']</v>
      </c>
      <c r="D2544" s="3">
        <v>1.0</v>
      </c>
    </row>
    <row r="2545" ht="15.75" customHeight="1">
      <c r="A2545" s="1">
        <v>2543.0</v>
      </c>
      <c r="B2545" s="3" t="s">
        <v>2546</v>
      </c>
      <c r="C2545" s="3" t="str">
        <f>IFERROR(__xludf.DUMMYFUNCTION("GOOGLETRANSLATE(B2545,""id"",""en"")"),"['Overall', 'good', 'smpai', 'card', 'hello', 'kouta', 'entertainment', 'syng', 'really', 'kouta', 'main', 'little', ' Hopefully ',' front ',' Kouta ',' main ',' given ',' Entertainment ',' Litin ', ""]")</f>
        <v>['Overall', 'good', 'smpai', 'card', 'hello', 'kouta', 'entertainment', 'syng', 'really', 'kouta', 'main', 'little', ' Hopefully ',' front ',' Kouta ',' main ',' given ',' Entertainment ',' Litin ', "]</v>
      </c>
      <c r="D2545" s="3">
        <v>4.0</v>
      </c>
    </row>
    <row r="2546" ht="15.75" customHeight="1">
      <c r="A2546" s="1">
        <v>2544.0</v>
      </c>
      <c r="B2546" s="3" t="s">
        <v>2547</v>
      </c>
      <c r="C2546" s="3" t="str">
        <f>IFERROR(__xludf.DUMMYFUNCTION("GOOGLETRANSLATE(B2546,""id"",""en"")"),"['Sympathy', 'Loop', 'Package', 'Combo', 'Sakti', 'RB', 'GB', 'Paketan', 'Monthly', 'date', 'January', 'Package', ' App ',' Telkamsel ',' Where ',' Paketan ',' skg ',' access it ',' thank you ']")</f>
        <v>['Sympathy', 'Loop', 'Package', 'Combo', 'Sakti', 'RB', 'GB', 'Paketan', 'Monthly', 'date', 'January', 'Package', ' App ',' Telkamsel ',' Where ',' Paketan ',' skg ',' access it ',' thank you ']</v>
      </c>
      <c r="D2546" s="3">
        <v>3.0</v>
      </c>
    </row>
    <row r="2547" ht="15.75" customHeight="1">
      <c r="A2547" s="1">
        <v>2545.0</v>
      </c>
      <c r="B2547" s="3" t="s">
        <v>2548</v>
      </c>
      <c r="C2547" s="3" t="str">
        <f>IFERROR(__xludf.DUMMYFUNCTION("GOOGLETRANSLATE(B2547,""id"",""en"")"),"['application', 'access',' pulse ',' Target ',' have ',' package ',' internet ',' hope ',' in the future ',' bad ',' rating ',' downhill ',' Amiinn ']")</f>
        <v>['application', 'access',' pulse ',' Target ',' have ',' package ',' internet ',' hope ',' in the future ',' bad ',' rating ',' downhill ',' Amiinn ']</v>
      </c>
      <c r="D2547" s="3">
        <v>1.0</v>
      </c>
    </row>
    <row r="2548" ht="15.75" customHeight="1">
      <c r="A2548" s="1">
        <v>2546.0</v>
      </c>
      <c r="B2548" s="3" t="s">
        <v>2549</v>
      </c>
      <c r="C2548" s="3" t="str">
        <f>IFERROR(__xludf.DUMMYFUNCTION("GOOGLETRANSLATE(B2548,""id"",""en"")"),"['Please', 'Corn', 'Network', 'Telkomsel', 'Region', 'Bogo', 'Kel', 'Kropak', 'Kec', 'Wirosari', 'Kab', 'Grobogan', ' Central Java ',' signal ',' bad ',' good ',' condition ',' village ',' forward ',' network ',' wifi ',' knp ',' signal ',' bad ',' input "&amp;"' , 'Telkomsel', 'Application', 'Online', 'Position', 'City', 'Telkpmsel', 'The', 'Best']")</f>
        <v>['Please', 'Corn', 'Network', 'Telkomsel', 'Region', 'Bogo', 'Kel', 'Kropak', 'Kec', 'Wirosari', 'Kab', 'Grobogan', ' Central Java ',' signal ',' bad ',' good ',' condition ',' village ',' forward ',' network ',' wifi ',' knp ',' signal ',' bad ',' input ' , 'Telkomsel', 'Application', 'Online', 'Position', 'City', 'Telkpmsel', 'The', 'Best']</v>
      </c>
      <c r="D2548" s="3">
        <v>5.0</v>
      </c>
    </row>
    <row r="2549" ht="15.75" customHeight="1">
      <c r="A2549" s="1">
        <v>2547.0</v>
      </c>
      <c r="B2549" s="3" t="s">
        <v>2550</v>
      </c>
      <c r="C2549" s="3" t="str">
        <f>IFERROR(__xludf.DUMMYFUNCTION("GOOGLETRANSLATE(B2549,""id"",""en"")"),"['Come', 'Disappointed', 'Telkomsel', 'Play', 'Game', 'Lag', 'Network', 'deteriorated', 'price', 'Package', 'Enter', 'Kind', ' Child ',' Online ',' Please ',' Make ',' Package ',' Enter ',' Sense ',' Enter ',' Room ',' Zoom ',' lag ',' Package ',' Cheap '"&amp;" , 'deleted', 'please', 'take care', 'package', 'return', 'package', 'affordable', 'Telkomsel', 'loss', 'thousands', 'customers', '']")</f>
        <v>['Come', 'Disappointed', 'Telkomsel', 'Play', 'Game', 'Lag', 'Network', 'deteriorated', 'price', 'Package', 'Enter', 'Kind', ' Child ',' Online ',' Please ',' Make ',' Package ',' Enter ',' Sense ',' Enter ',' Room ',' Zoom ',' lag ',' Package ',' Cheap ' , 'deleted', 'please', 'take care', 'package', 'return', 'package', 'affordable', 'Telkomsel', 'loss', 'thousands', 'customers', '']</v>
      </c>
      <c r="D2549" s="3">
        <v>2.0</v>
      </c>
    </row>
    <row r="2550" ht="15.75" customHeight="1">
      <c r="A2550" s="1">
        <v>2548.0</v>
      </c>
      <c r="B2550" s="3" t="s">
        <v>2551</v>
      </c>
      <c r="C2550" s="3" t="str">
        <f>IFERROR(__xludf.DUMMYFUNCTION("GOOGLETRANSLATE(B2550,""id"",""en"")"),"['The lack of', 'card', 'Telkomsel', 'the application', 'buy', 'package', 'a day', 'Abis',' beaten ',' a day ',' streaming ',' Disney ',' Hotstar ',' MaxStream ',' MaxStream ',' Don't ',' Buy ',' Package ',' Main ',' Fishing ',' getting ',' Package ',' Ko"&amp;"uta ',' Main ']")</f>
        <v>['The lack of', 'card', 'Telkomsel', 'the application', 'buy', 'package', 'a day', 'Abis',' beaten ',' a day ',' streaming ',' Disney ',' Hotstar ',' MaxStream ',' MaxStream ',' Don't ',' Buy ',' Package ',' Main ',' Fishing ',' getting ',' Package ',' Kouta ',' Main ']</v>
      </c>
      <c r="D2550" s="3">
        <v>1.0</v>
      </c>
    </row>
    <row r="2551" ht="15.75" customHeight="1">
      <c r="A2551" s="1">
        <v>2549.0</v>
      </c>
      <c r="B2551" s="3" t="s">
        <v>2552</v>
      </c>
      <c r="C2551" s="3" t="str">
        <f>IFERROR(__xludf.DUMMYFUNCTION("GOOGLETRANSLATE(B2551,""id"",""en"")"),"['Operator', 'sadistic', 'eat', 'pulse', 'customer', 'reason', 'according to', 'commitment', 'trap', 'Batman', 'already', 'package', ' Internet ',' quota ',' pulse ',' Cut ',' Assessment ',' Star ',' minus', 'love', 'thumb', ""]")</f>
        <v>['Operator', 'sadistic', 'eat', 'pulse', 'customer', 'reason', 'according to', 'commitment', 'trap', 'Batman', 'already', 'package', ' Internet ',' quota ',' pulse ',' Cut ',' Assessment ',' Star ',' minus', 'love', 'thumb', "]</v>
      </c>
      <c r="D2551" s="3">
        <v>1.0</v>
      </c>
    </row>
    <row r="2552" ht="15.75" customHeight="1">
      <c r="A2552" s="1">
        <v>2550.0</v>
      </c>
      <c r="B2552" s="3" t="s">
        <v>2553</v>
      </c>
      <c r="C2552" s="3" t="str">
        <f>IFERROR(__xludf.DUMMYFUNCTION("GOOGLETRANSLATE(B2552,""id"",""en"")"),"['quality', 'signal', 'very "",' bad ',' action ',' real ',' serious ',' make ',' quality ',' signal ',' play ',' game ',' Mobile ',' Legend ']")</f>
        <v>['quality', 'signal', 'very ",' bad ',' action ',' real ',' serious ',' make ',' quality ',' signal ',' play ',' game ',' Mobile ',' Legend ']</v>
      </c>
      <c r="D2552" s="3">
        <v>1.0</v>
      </c>
    </row>
    <row r="2553" ht="15.75" customHeight="1">
      <c r="A2553" s="1">
        <v>2551.0</v>
      </c>
      <c r="B2553" s="3" t="s">
        <v>2554</v>
      </c>
      <c r="C2553" s="3" t="str">
        <f>IFERROR(__xludf.DUMMYFUNCTION("GOOGLETRANSLATE(B2553,""id"",""en"")"),"['waaaah', 'chaotic', 'rampok', 'pulse', 'try', 'times',' list ',' package ',' youtube ',' unlimited ',' kagak ',' dipake ',' So ',' leftover ',' pulse ',' sumps', 'gini', 'mah', 'mending', 'change', 'provider', 'loss',' resignation ',' Telkomsel ',' seve"&amp;"re ' , '']")</f>
        <v>['waaaah', 'chaotic', 'rampok', 'pulse', 'try', 'times',' list ',' package ',' youtube ',' unlimited ',' kagak ',' dipake ',' So ',' leftover ',' pulse ',' sumps', 'gini', 'mah', 'mending', 'change', 'provider', 'loss',' resignation ',' Telkomsel ',' severe ' , '']</v>
      </c>
      <c r="D2553" s="3">
        <v>1.0</v>
      </c>
    </row>
    <row r="2554" ht="15.75" customHeight="1">
      <c r="A2554" s="1">
        <v>2552.0</v>
      </c>
      <c r="B2554" s="3" t="s">
        <v>2555</v>
      </c>
      <c r="C2554" s="3" t="str">
        <f>IFERROR(__xludf.DUMMYFUNCTION("GOOGLETRANSLATE(B2554,""id"",""en"")"),"['Wind', 'Rain', 'Activate', 'Data', 'Telkomsel', 'Pulse', 'Sumpot', 'Please', 'Strategy', 'Card', 'Tri', 'Quota', ' After ',' pulses', 'sucked', '']")</f>
        <v>['Wind', 'Rain', 'Activate', 'Data', 'Telkomsel', 'Pulse', 'Sumpot', 'Please', 'Strategy', 'Card', 'Tri', 'Quota', ' After ',' pulses', 'sucked', '']</v>
      </c>
      <c r="D2554" s="3">
        <v>1.0</v>
      </c>
    </row>
    <row r="2555" ht="15.75" customHeight="1">
      <c r="A2555" s="1">
        <v>2553.0</v>
      </c>
      <c r="B2555" s="3" t="s">
        <v>2556</v>
      </c>
      <c r="C2555" s="3" t="str">
        <f>IFERROR(__xludf.DUMMYFUNCTION("GOOGLETRANSLATE(B2555,""id"",""en"")"),"['features',' good ',' pulse ',' truncated ',' quota ',' masi ',' bumped ',' message ',' quota ',' finished ',' cost ',' pulsa ',' applies', 'continuous',' internet ',' night ',' sanagt ',' disappointing ',' aspect ',' signal ',' package ',' unlimited ','"&amp;" see ',' bad ',' price ' , 'expensive']")</f>
        <v>['features',' good ',' pulse ',' truncated ',' quota ',' masi ',' bumped ',' message ',' quota ',' finished ',' cost ',' pulsa ',' applies', 'continuous',' internet ',' night ',' sanagt ',' disappointing ',' aspect ',' signal ',' package ',' unlimited ',' see ',' bad ',' price ' , 'expensive']</v>
      </c>
      <c r="D2555" s="3">
        <v>2.0</v>
      </c>
    </row>
    <row r="2556" ht="15.75" customHeight="1">
      <c r="A2556" s="1">
        <v>2554.0</v>
      </c>
      <c r="B2556" s="3" t="s">
        <v>2557</v>
      </c>
      <c r="C2556" s="3" t="str">
        <f>IFERROR(__xludf.DUMMYFUNCTION("GOOGLETRANSLATE(B2556,""id"",""en"")"),"['after', 'update', 'knapa', 'mala', 'jdi', 'error', 'sya', 'then', 'application', 'bro', 'then', 'tlg', ' MANTAKIN ',' trmkasih ']")</f>
        <v>['after', 'update', 'knapa', 'mala', 'jdi', 'error', 'sya', 'then', 'application', 'bro', 'then', 'tlg', ' MANTAKIN ',' trmkasih ']</v>
      </c>
      <c r="D2556" s="3">
        <v>1.0</v>
      </c>
    </row>
    <row r="2557" ht="15.75" customHeight="1">
      <c r="A2557" s="1">
        <v>2555.0</v>
      </c>
      <c r="B2557" s="3" t="s">
        <v>2558</v>
      </c>
      <c r="C2557" s="3" t="str">
        <f>IFERROR(__xludf.DUMMYFUNCTION("GOOGLETRANSLATE(B2557,""id"",""en"")"),"['Disappointed', 'Telkomsel', 'buy', 'Package', 'Click', 'SMS', 'Purchase', 'Package', 'Credit', 'Direct', 'Cutting', 'Buy', ' package ',' his writing ',' buy ',' package ',' monthly ',' free ',' name ',' buy ',' package ',' package ',' active ',' exchang"&amp;"ed ',' times' , 'Hu Hu']")</f>
        <v>['Disappointed', 'Telkomsel', 'buy', 'Package', 'Click', 'SMS', 'Purchase', 'Package', 'Credit', 'Direct', 'Cutting', 'Buy', ' package ',' his writing ',' buy ',' package ',' monthly ',' free ',' name ',' buy ',' package ',' package ',' active ',' exchanged ',' times' , 'Hu Hu']</v>
      </c>
      <c r="D2557" s="3">
        <v>1.0</v>
      </c>
    </row>
    <row r="2558" ht="15.75" customHeight="1">
      <c r="A2558" s="1">
        <v>2556.0</v>
      </c>
      <c r="B2558" s="3" t="s">
        <v>2559</v>
      </c>
      <c r="C2558" s="3" t="str">
        <f>IFERROR(__xludf.DUMMYFUNCTION("GOOGLETRANSLATE(B2558,""id"",""en"")"),"['buy', 'quota', 'games',' information ',' games', 'pub', 'mobile', 'legeng', 'mobile', 'legend', 'pub', 'mobile', ' Send ',' gmail ',' Telkomsel ',' answer ',' quota ',' regular ',' information ',' quota ',' regular ',' send ',' gmail ',' bales', 'bales'"&amp;" , 'Please', 'help', 'dodge']")</f>
        <v>['buy', 'quota', 'games',' information ',' games', 'pub', 'mobile', 'legeng', 'mobile', 'legend', 'pub', 'mobile', ' Send ',' gmail ',' Telkomsel ',' answer ',' quota ',' regular ',' information ',' quota ',' regular ',' send ',' gmail ',' bales', 'bales' , 'Please', 'help', 'dodge']</v>
      </c>
      <c r="D2558" s="3">
        <v>1.0</v>
      </c>
    </row>
    <row r="2559" ht="15.75" customHeight="1">
      <c r="A2559" s="1">
        <v>2557.0</v>
      </c>
      <c r="B2559" s="3" t="s">
        <v>2560</v>
      </c>
      <c r="C2559" s="3" t="str">
        <f>IFERROR(__xludf.DUMMYFUNCTION("GOOGLETRANSLATE(B2559,""id"",""en"")"),"['Good', 'please', 'repaired', 'network', 'facility', 'customer', 'card', 'hello', 'loyal', 'product', 'Telkomsel', ""]")</f>
        <v>['Good', 'please', 'repaired', 'network', 'facility', 'customer', 'card', 'hello', 'loyal', 'product', 'Telkomsel', "]</v>
      </c>
      <c r="D2559" s="3">
        <v>5.0</v>
      </c>
    </row>
    <row r="2560" ht="15.75" customHeight="1">
      <c r="A2560" s="1">
        <v>2558.0</v>
      </c>
      <c r="B2560" s="3" t="s">
        <v>2561</v>
      </c>
      <c r="C2560" s="3" t="str">
        <f>IFERROR(__xludf.DUMMYFUNCTION("GOOGLETRANSLATE(B2560,""id"",""en"")"),"['times',' love ',' star ',' December ',' date ',' network ',' Telkomsel ',' bad ',' network ',' Telkomsel ',' parent ',' right ',' really ',' bad ',' honest ',' usually ',' obstacles', 'a day', 'already', 'a week', 'right', 'gabisa', 'why', 'please', 'cl"&amp;"arity' , 'Activities', 'online', 'blocked', 'send', 'task', 'video', 'youtube', 'minute', 'stengah', 'expensive', ""]")</f>
        <v>['times',' love ',' star ',' December ',' date ',' network ',' Telkomsel ',' bad ',' network ',' Telkomsel ',' parent ',' right ',' really ',' bad ',' honest ',' usually ',' obstacles', 'a day', 'already', 'a week', 'right', 'gabisa', 'why', 'please', 'clarity' , 'Activities', 'online', 'blocked', 'send', 'task', 'video', 'youtube', 'minute', 'stengah', 'expensive', "]</v>
      </c>
      <c r="D2560" s="3">
        <v>1.0</v>
      </c>
    </row>
    <row r="2561" ht="15.75" customHeight="1">
      <c r="A2561" s="1">
        <v>2559.0</v>
      </c>
      <c r="B2561" s="3" t="s">
        <v>2562</v>
      </c>
      <c r="C2561" s="3" t="str">
        <f>IFERROR(__xludf.DUMMYFUNCTION("GOOGLETRANSLATE(B2561,""id"",""en"")"),"['Disappointing', 'at the moment', 'Genting', 'Needed', 'Signal', 'Like', 'Lost', 'Disconnected', 'Error', 'APK', 'Telkomsel', 'Hard', ' Opened ',' Lose ',' Provider ',' Telkomsel ',' KOQ ',' Professional ', ""]")</f>
        <v>['Disappointing', 'at the moment', 'Genting', 'Needed', 'Signal', 'Like', 'Lost', 'Disconnected', 'Error', 'APK', 'Telkomsel', 'Hard', ' Opened ',' Lose ',' Provider ',' Telkomsel ',' KOQ ',' Professional ', "]</v>
      </c>
      <c r="D2561" s="3">
        <v>2.0</v>
      </c>
    </row>
    <row r="2562" ht="15.75" customHeight="1">
      <c r="A2562" s="1">
        <v>2560.0</v>
      </c>
      <c r="B2562" s="3" t="s">
        <v>2563</v>
      </c>
      <c r="C2562" s="3" t="str">
        <f>IFERROR(__xludf.DUMMYFUNCTION("GOOGLETRANSLATE(B2562,""id"",""en"")"),"['Sorry', 'starx', 'lack of', 'about', 'price', 'package', 'data', 'expensive', 'network', 'stable', 'that's',' already ',' expensive ',' network ',' embossed ',' sinking ',' private ',' disappointed ',' ']")</f>
        <v>['Sorry', 'starx', 'lack of', 'about', 'price', 'package', 'data', 'expensive', 'network', 'stable', 'that's',' already ',' expensive ',' network ',' embossed ',' sinking ',' private ',' disappointed ',' ']</v>
      </c>
      <c r="D2562" s="3">
        <v>1.0</v>
      </c>
    </row>
    <row r="2563" ht="15.75" customHeight="1">
      <c r="A2563" s="1">
        <v>2561.0</v>
      </c>
      <c r="B2563" s="3" t="s">
        <v>2564</v>
      </c>
      <c r="C2563" s="3" t="str">
        <f>IFERROR(__xludf.DUMMYFUNCTION("GOOGLETRANSLATE(B2563,""id"",""en"")"),"['Points',' MyTelkomsel ',' Exchange ',' Points', 'Exchange', 'Scorched', 'Automatic', 'Minimal', 'Points',' Direct ',' Dapetin ',' Credit ',' Quota ',' additional ',' ']")</f>
        <v>['Points',' MyTelkomsel ',' Exchange ',' Points', 'Exchange', 'Scorched', 'Automatic', 'Minimal', 'Points',' Direct ',' Dapetin ',' Credit ',' Quota ',' additional ',' ']</v>
      </c>
      <c r="D2563" s="3">
        <v>1.0</v>
      </c>
    </row>
    <row r="2564" ht="15.75" customHeight="1">
      <c r="A2564" s="1">
        <v>2562.0</v>
      </c>
      <c r="B2564" s="3" t="s">
        <v>2565</v>
      </c>
      <c r="C2564" s="3" t="str">
        <f>IFERROR(__xludf.DUMMYFUNCTION("GOOGLETRANSLATE(B2564,""id"",""en"")"),"['internet', 'prbaiki', 'speed', 'game', 'severe', 'abis',' play ',' signal ',' ilang ',' setpting ',' internet ',' road ',' village ',' difficult ',' signal ',' sorry ',' keep ',' change ',' ']")</f>
        <v>['internet', 'prbaiki', 'speed', 'game', 'severe', 'abis',' play ',' signal ',' ilang ',' setpting ',' internet ',' road ',' village ',' difficult ',' signal ',' sorry ',' keep ',' change ',' ']</v>
      </c>
      <c r="D2564" s="3">
        <v>1.0</v>
      </c>
    </row>
    <row r="2565" ht="15.75" customHeight="1">
      <c r="A2565" s="1">
        <v>2563.0</v>
      </c>
      <c r="B2565" s="3" t="s">
        <v>2566</v>
      </c>
      <c r="C2565" s="3" t="str">
        <f>IFERROR(__xludf.DUMMYFUNCTION("GOOGLETRANSLATE(B2565,""id"",""en"")"),"['Ouch', 'Min', 'please', 'Nggk', 'buy', 'quota', 'counter', 'severe', 'really', 'signal', 'ugly', 'pay', ' bills', 'doang', 'and then', 'sinynya', 'ampyun', 'dech', 'severe', 'abis',' watch ',' video ',' nggk ',' doang ',' ']")</f>
        <v>['Ouch', 'Min', 'please', 'Nggk', 'buy', 'quota', 'counter', 'severe', 'really', 'signal', 'ugly', 'pay', ' bills', 'doang', 'and then', 'sinynya', 'ampyun', 'dech', 'severe', 'abis',' watch ',' video ',' nggk ',' doang ',' ']</v>
      </c>
      <c r="D2565" s="3">
        <v>1.0</v>
      </c>
    </row>
    <row r="2566" ht="15.75" customHeight="1">
      <c r="A2566" s="1">
        <v>2564.0</v>
      </c>
      <c r="B2566" s="3" t="s">
        <v>2567</v>
      </c>
      <c r="C2566" s="3" t="str">
        <f>IFERROR(__xludf.DUMMYFUNCTION("GOOGLETRANSLATE(B2566,""id"",""en"")"),"['Telkomsel', 'price', 'expensive', 'signal', 'quality', 'cheap', 'reason', 'price', 'expensive', 'tuk', 'cost', 'care', ' etc. ',' klian ',' sell ',' expensive ',' TPI ',' signal ',' down ',' mulu ',' work ',' bner ',' technician ',' worker ',' bcus' , '"&amp;"Change', 'tool', 'old', 'broken', 'buy', 'results',' selling ',' service ',' expensive ',' taikkkk ',' already ',' week ',' LBIH ',' signal ',' tmpat ',' down ',' mulu ',' disorder ',' gini ',' love ',' explanation ', ""]")</f>
        <v>['Telkomsel', 'price', 'expensive', 'signal', 'quality', 'cheap', 'reason', 'price', 'expensive', 'tuk', 'cost', 'care', ' etc. ',' klian ',' sell ',' expensive ',' TPI ',' signal ',' down ',' mulu ',' work ',' bner ',' technician ',' worker ',' bcus' , 'Change', 'tool', 'old', 'broken', 'buy', 'results',' selling ',' service ',' expensive ',' taikkkk ',' already ',' week ',' LBIH ',' signal ',' tmpat ',' down ',' mulu ',' disorder ',' gini ',' love ',' explanation ', "]</v>
      </c>
      <c r="D2566" s="3">
        <v>1.0</v>
      </c>
    </row>
    <row r="2567" ht="15.75" customHeight="1">
      <c r="A2567" s="1">
        <v>2565.0</v>
      </c>
      <c r="B2567" s="3" t="s">
        <v>2568</v>
      </c>
      <c r="C2567" s="3" t="str">
        <f>IFERROR(__xludf.DUMMYFUNCTION("GOOGLETRANSLATE(B2567,""id"",""en"")"),"['Ngak', 'dark', 'data', 'network', 'Lemottt', 'please', 'acted', 'continued', 'problem', 'Salang', 'DIMN', 'KNPA', ' The network ',' Bad ',' buy ',' data ',' ngak ',' crushed ',' ']")</f>
        <v>['Ngak', 'dark', 'data', 'network', 'Lemottt', 'please', 'acted', 'continued', 'problem', 'Salang', 'DIMN', 'KNPA', ' The network ',' Bad ',' buy ',' data ',' ngak ',' crushed ',' ']</v>
      </c>
      <c r="D2567" s="3">
        <v>1.0</v>
      </c>
    </row>
    <row r="2568" ht="15.75" customHeight="1">
      <c r="A2568" s="1">
        <v>2566.0</v>
      </c>
      <c r="B2568" s="3" t="s">
        <v>2569</v>
      </c>
      <c r="C2568" s="3" t="str">
        <f>IFERROR(__xludf.DUMMYFUNCTION("GOOGLETRANSLATE(B2568,""id"",""en"")"),"['Get', 'promo', 'package', 'cheap', 'situ', 'package', 'missing', 'blum', 'lost', 'udh', 'buy', 'Riwat', ' Ato ']")</f>
        <v>['Get', 'promo', 'package', 'cheap', 'situ', 'package', 'missing', 'blum', 'lost', 'udh', 'buy', 'Riwat', ' Ato ']</v>
      </c>
      <c r="D2568" s="3">
        <v>1.0</v>
      </c>
    </row>
    <row r="2569" ht="15.75" customHeight="1">
      <c r="A2569" s="1">
        <v>2567.0</v>
      </c>
      <c r="B2569" s="3" t="s">
        <v>2570</v>
      </c>
      <c r="C2569" s="3" t="str">
        <f>IFERROR(__xludf.DUMMYFUNCTION("GOOGLETRANSLATE(B2569,""id"",""en"")"),"['expensive', 'quota', 'Telkomsel', 'Region', 'East', 'Papua', 'Maluku', 'cheap', 'Telkomsel', ""]")</f>
        <v>['expensive', 'quota', 'Telkomsel', 'Region', 'East', 'Papua', 'Maluku', 'cheap', 'Telkomsel', "]</v>
      </c>
      <c r="D2569" s="3">
        <v>2.0</v>
      </c>
    </row>
    <row r="2570" ht="15.75" customHeight="1">
      <c r="A2570" s="1">
        <v>2568.0</v>
      </c>
      <c r="B2570" s="3" t="s">
        <v>2571</v>
      </c>
      <c r="C2570" s="3" t="str">
        <f>IFERROR(__xludf.DUMMYFUNCTION("GOOGLETRANSLATE(B2570,""id"",""en"")"),"['Please', 'Donk', 'Sinyal', 'Repaired', 'Slalu', 'Buy', 'Package', 'OMG', 'Combo', 'Sakti', 'Sousal', 'Friendly', ' pdhal ',' dlu ',' smooth ',' tlong ',' yaaaa ',' sprti ',' mending ',' replace ']")</f>
        <v>['Please', 'Donk', 'Sinyal', 'Repaired', 'Slalu', 'Buy', 'Package', 'OMG', 'Combo', 'Sakti', 'Sousal', 'Friendly', ' pdhal ',' dlu ',' smooth ',' tlong ',' yaaaa ',' sprti ',' mending ',' replace ']</v>
      </c>
      <c r="D2570" s="3">
        <v>2.0</v>
      </c>
    </row>
    <row r="2571" ht="15.75" customHeight="1">
      <c r="A2571" s="1">
        <v>2569.0</v>
      </c>
      <c r="B2571" s="3" t="s">
        <v>2572</v>
      </c>
      <c r="C2571" s="3" t="str">
        <f>IFERROR(__xludf.DUMMYFUNCTION("GOOGLETRANSLATE(B2571,""id"",""en"")"),"['promo', 'Tipu', 'Tipu', 'fooling', 'public', 'Sakti', 'Combo', 'according to', 'reality', 'access',' internet ',' Max ',' Kbps', 'Unlimitied', 'Application', 'Determine', 'Max', 'Speed', 'Kbps',' Disappointed ',' Tsel ',' Kian ',' Down ',' Service ' , '"&amp;"Quality', 'Network', 'Bad', 'Provider', 'Speed', 'Equivalent', 'Tsel', 'Shanders', 'Tsel', 'Serasa', ""]")</f>
        <v>['promo', 'Tipu', 'Tipu', 'fooling', 'public', 'Sakti', 'Combo', 'according to', 'reality', 'access',' internet ',' Max ',' Kbps', 'Unlimitied', 'Application', 'Determine', 'Max', 'Speed', 'Kbps',' Disappointed ',' Tsel ',' Kian ',' Down ',' Service ' , 'Quality', 'Network', 'Bad', 'Provider', 'Speed', 'Equivalent', 'Tsel', 'Shanders', 'Tsel', 'Serasa', "]</v>
      </c>
      <c r="D2571" s="3">
        <v>1.0</v>
      </c>
    </row>
    <row r="2572" ht="15.75" customHeight="1">
      <c r="A2572" s="1">
        <v>2570.0</v>
      </c>
      <c r="B2572" s="3" t="s">
        <v>2573</v>
      </c>
      <c r="C2572" s="3" t="str">
        <f>IFERROR(__xludf.DUMMYFUNCTION("GOOGLETRANSLATE(B2572,""id"",""en"")"),"['Credit', 'Reduced', 'Telkomsel', 'Daily', 'Check', 'bonusnya', 'Error', 'for a moment', 'Claim', 'strange', 'Luuuu', 'Laggg']")</f>
        <v>['Credit', 'Reduced', 'Telkomsel', 'Daily', 'Check', 'bonusnya', 'Error', 'for a moment', 'Claim', 'strange', 'Luuuu', 'Laggg']</v>
      </c>
      <c r="D2572" s="3">
        <v>1.0</v>
      </c>
    </row>
    <row r="2573" ht="15.75" customHeight="1">
      <c r="A2573" s="1">
        <v>2571.0</v>
      </c>
      <c r="B2573" s="3" t="s">
        <v>2574</v>
      </c>
      <c r="C2573" s="3" t="str">
        <f>IFERROR(__xludf.DUMMYFUNCTION("GOOGLETRANSLATE(B2573,""id"",""en"")"),"['Telkomsel', 'hosted', 'choice', 'love', 'star', 'minus',' star ',' times', 'forgiveness',' deh ',' telkomsel ',' slow ',' times', 'buy', 'quota', 'Telkomsel', 'tomorrow', 'card', 'lazy', 'buy', 'quota', 'telkomsel', 'respected', 'invited', 'pennguna' , "&amp;"'Stop', 'buy', 'quota', 'palingan', 'complain', 'Kisah', 'ignore', 'palingan', 'mimin', 'artisan', 'sorry', 'mulu', ' appear']")</f>
        <v>['Telkomsel', 'hosted', 'choice', 'love', 'star', 'minus',' star ',' times', 'forgiveness',' deh ',' telkomsel ',' slow ',' times', 'buy', 'quota', 'Telkomsel', 'tomorrow', 'card', 'lazy', 'buy', 'quota', 'telkomsel', 'respected', 'invited', 'pennguna' , 'Stop', 'buy', 'quota', 'palingan', 'complain', 'Kisah', 'ignore', 'palingan', 'mimin', 'artisan', 'sorry', 'mulu', ' appear']</v>
      </c>
      <c r="D2573" s="3">
        <v>1.0</v>
      </c>
    </row>
    <row r="2574" ht="15.75" customHeight="1">
      <c r="A2574" s="1">
        <v>2572.0</v>
      </c>
      <c r="B2574" s="3" t="s">
        <v>2575</v>
      </c>
      <c r="C2574" s="3" t="str">
        <f>IFERROR(__xludf.DUMMYFUNCTION("GOOGLETRANSLATE(B2574,""id"",""en"")"),"['network', 'Telkomsel', 'ugly', 'Different', 'dlu', 'like', 'speeding', 'Loading', 'disappointed', 'network', 'Telkomsel', 'user', ' Customers', 'Telkomsel', 'Paketan', 'Expensive', 'The Network', 'Lost', 'Paketan', 'Cheap', ""]")</f>
        <v>['network', 'Telkomsel', 'ugly', 'Different', 'dlu', 'like', 'speeding', 'Loading', 'disappointed', 'network', 'Telkomsel', 'user', ' Customers', 'Telkomsel', 'Paketan', 'Expensive', 'The Network', 'Lost', 'Paketan', 'Cheap', "]</v>
      </c>
      <c r="D2574" s="3">
        <v>2.0</v>
      </c>
    </row>
    <row r="2575" ht="15.75" customHeight="1">
      <c r="A2575" s="1">
        <v>2573.0</v>
      </c>
      <c r="B2575" s="3" t="s">
        <v>2576</v>
      </c>
      <c r="C2575" s="3" t="str">
        <f>IFERROR(__xludf.DUMMYFUNCTION("GOOGLETRANSLATE(B2575,""id"",""en"")"),"['Severe', 'ngak', 'quota', 'data', 'already', 'expensive', 'worship', 'quota', 'data', 'finished', 'tumbal', 'pulses',' Data ',' cellular ',' in ',' active ',' service ',' convenience ',' users', 'medium', 'kebar', 'make it difficult', 'star', 'Telkomsel"&amp;"', ""]")</f>
        <v>['Severe', 'ngak', 'quota', 'data', 'already', 'expensive', 'worship', 'quota', 'data', 'finished', 'tumbal', 'pulses',' Data ',' cellular ',' in ',' active ',' service ',' convenience ',' users', 'medium', 'kebar', 'make it difficult', 'star', 'Telkomsel', "]</v>
      </c>
      <c r="D2575" s="3">
        <v>1.0</v>
      </c>
    </row>
    <row r="2576" ht="15.75" customHeight="1">
      <c r="A2576" s="1">
        <v>2574.0</v>
      </c>
      <c r="B2576" s="3" t="s">
        <v>2577</v>
      </c>
      <c r="C2576" s="3" t="str">
        <f>IFERROR(__xludf.DUMMYFUNCTION("GOOGLETRANSLATE(B2576,""id"",""en"")"),"['card', 'useful', 'signal', 'ugly', 'package', 'expensive', 'lucky', 'cave', 'already', 'replace', 'card', 'card', ' Telkomsel ',' Useful ',' Mending ',' Card ',' Telkomsel ',' Udh ',' Buy ',' Package ',' GameSmax ',' GopayLater ',' UDH ',' Cutting ',' P"&amp;"ackage ' , 'zonk', 'application', 'fools', 'public', 'card', 'fooling', 'fast', 'bankrupt', 'bnyak', 'switch', 'telkomsel']")</f>
        <v>['card', 'useful', 'signal', 'ugly', 'package', 'expensive', 'lucky', 'cave', 'already', 'replace', 'card', 'card', ' Telkomsel ',' Useful ',' Mending ',' Card ',' Telkomsel ',' Udh ',' Buy ',' Package ',' GameSmax ',' GopayLater ',' UDH ',' Cutting ',' Package ' , 'zonk', 'application', 'fools', 'public', 'card', 'fooling', 'fast', 'bankrupt', 'bnyak', 'switch', 'telkomsel']</v>
      </c>
      <c r="D2576" s="3">
        <v>1.0</v>
      </c>
    </row>
    <row r="2577" ht="15.75" customHeight="1">
      <c r="A2577" s="1">
        <v>2575.0</v>
      </c>
      <c r="B2577" s="3" t="s">
        <v>2578</v>
      </c>
      <c r="C2577" s="3" t="str">
        <f>IFERROR(__xludf.DUMMYFUNCTION("GOOGLETRANSLATE(B2577,""id"",""en"")"),"['Telkomsel', 'Network', 'bad', 'until', 'weekly', 'Sunday', 'parahhhhhhhhhhhh', 'here', 'ugly', 'The network', 'Telkomsel', 'Gini', ' Gini ',' Open ',' Application ',' MyTelkomsel ',' Gabisa ',' Loading ',' Really ',' Bad ',' Kumaha ',' Atuh ',' Ieu ',' "&amp;"Tea ' , 'Season', 'jadina']")</f>
        <v>['Telkomsel', 'Network', 'bad', 'until', 'weekly', 'Sunday', 'parahhhhhhhhhhhh', 'here', 'ugly', 'The network', 'Telkomsel', 'Gini', ' Gini ',' Open ',' Application ',' MyTelkomsel ',' Gabisa ',' Loading ',' Really ',' Bad ',' Kumaha ',' Atuh ',' Ieu ',' Tea ' , 'Season', 'jadina']</v>
      </c>
      <c r="D2577" s="3">
        <v>1.0</v>
      </c>
    </row>
    <row r="2578" ht="15.75" customHeight="1">
      <c r="A2578" s="1">
        <v>2576.0</v>
      </c>
      <c r="B2578" s="3" t="s">
        <v>2579</v>
      </c>
      <c r="C2578" s="3" t="str">
        <f>IFERROR(__xludf.DUMMYFUNCTION("GOOGLETRANSLATE(B2578,""id"",""en"")"),"['', 'Package', 'Kanapa', 'You', 'Enter', 'Package', 'Emergency', 'Katek', 'Word', 'Package', 'Agree', 'Package', 'thousand ',' ']")</f>
        <v>['', 'Package', 'Kanapa', 'You', 'Enter', 'Package', 'Emergency', 'Katek', 'Word', 'Package', 'Agree', 'Package', 'thousand ',' ']</v>
      </c>
      <c r="D2578" s="3">
        <v>1.0</v>
      </c>
    </row>
    <row r="2579" ht="15.75" customHeight="1">
      <c r="A2579" s="1">
        <v>2577.0</v>
      </c>
      <c r="B2579" s="3" t="s">
        <v>2580</v>
      </c>
      <c r="C2579" s="3" t="str">
        <f>IFERROR(__xludf.DUMMYFUNCTION("GOOGLETRANSLATE(B2579,""id"",""en"")"),"['Developer', 'update', 'application', 'open', 'slow', 'error', 'update', 'open']")</f>
        <v>['Developer', 'update', 'application', 'open', 'slow', 'error', 'update', 'open']</v>
      </c>
      <c r="D2579" s="3">
        <v>1.0</v>
      </c>
    </row>
    <row r="2580" ht="15.75" customHeight="1">
      <c r="A2580" s="1">
        <v>2578.0</v>
      </c>
      <c r="B2580" s="3" t="s">
        <v>2581</v>
      </c>
      <c r="C2580" s="3" t="str">
        <f>IFERROR(__xludf.DUMMYFUNCTION("GOOGLETRANSLATE(B2580,""id"",""en"")"),"['Disappointed', 'really', 'signal', 'Telkomsel', 'play', 'game', 'setabilizer', 'comparable', 'price', 'expensive', 'please', 'repaired', ' Promo ',' season ',' virus']")</f>
        <v>['Disappointed', 'really', 'signal', 'Telkomsel', 'play', 'game', 'setabilizer', 'comparable', 'price', 'expensive', 'please', 'repaired', ' Promo ',' season ',' virus']</v>
      </c>
      <c r="D2580" s="3">
        <v>2.0</v>
      </c>
    </row>
    <row r="2581" ht="15.75" customHeight="1">
      <c r="A2581" s="1">
        <v>2579.0</v>
      </c>
      <c r="B2581" s="3" t="s">
        <v>2582</v>
      </c>
      <c r="C2581" s="3" t="str">
        <f>IFERROR(__xludf.DUMMYFUNCTION("GOOGLETRANSLATE(B2581,""id"",""en"")"),"['company', 'Gede', 'Gede', 'price', 'package', 'height', 'Application', 'Bener', 'contents',' update ',' error ',' update ',' Error ',' Mulu ',' Application ',' Wonder ']")</f>
        <v>['company', 'Gede', 'Gede', 'price', 'package', 'height', 'Application', 'Bener', 'contents',' update ',' error ',' update ',' Error ',' Mulu ',' Application ',' Wonder ']</v>
      </c>
      <c r="D2581" s="3">
        <v>1.0</v>
      </c>
    </row>
    <row r="2582" ht="15.75" customHeight="1">
      <c r="A2582" s="1">
        <v>2580.0</v>
      </c>
      <c r="B2582" s="3" t="s">
        <v>2583</v>
      </c>
      <c r="C2582" s="3" t="str">
        <f>IFERROR(__xludf.DUMMYFUNCTION("GOOGLETRANSLATE(B2582,""id"",""en"")"),"['Quota', 'Ngak', 'Divided', 'Ribet', 'Life', 'Quota', 'Quota', 'I mean', 'Try', 'Ribet', 'Ribetttt', 'card', ' Ribet ',' World ']")</f>
        <v>['Quota', 'Ngak', 'Divided', 'Ribet', 'Life', 'Quota', 'Quota', 'I mean', 'Try', 'Ribet', 'Ribetttt', 'card', ' Ribet ',' World ']</v>
      </c>
      <c r="D2582" s="3">
        <v>2.0</v>
      </c>
    </row>
    <row r="2583" ht="15.75" customHeight="1">
      <c r="A2583" s="1">
        <v>2581.0</v>
      </c>
      <c r="B2583" s="3" t="s">
        <v>2584</v>
      </c>
      <c r="C2583" s="3" t="str">
        <f>IFERROR(__xludf.DUMMYFUNCTION("GOOGLETRANSLATE(B2583,""id"",""en"")"),"['better', 'quota', 'internet', 'local', 'delete', 'deh', 'min', 'user', 'smartphone', 'standbye', 'area', 'activation', ' Package ',' name ',' telephone ',' handful ',' according to ',' function ',' take ',' where ',' use ',' where ',' package ',' intern"&amp;"et ',' local ' , 'check', 'quota', 'run out', 'used', 'leftover', 'quota', 'GB', 'person', 'person', 'run out', 'package', ' Study ',' Field ',' Min ',' ']")</f>
        <v>['better', 'quota', 'internet', 'local', 'delete', 'deh', 'min', 'user', 'smartphone', 'standbye', 'area', 'activation', ' Package ',' name ',' telephone ',' handful ',' according to ',' function ',' take ',' where ',' use ',' where ',' package ',' internet ',' local ' , 'check', 'quota', 'run out', 'used', 'leftover', 'quota', 'GB', 'person', 'person', 'run out', 'package', ' Study ',' Field ',' Min ',' ']</v>
      </c>
      <c r="D2583" s="3">
        <v>1.0</v>
      </c>
    </row>
    <row r="2584" ht="15.75" customHeight="1">
      <c r="A2584" s="1">
        <v>2582.0</v>
      </c>
      <c r="B2584" s="3" t="s">
        <v>2585</v>
      </c>
      <c r="C2584" s="3" t="str">
        <f>IFERROR(__xludf.DUMMYFUNCTION("GOOGLETRANSLATE(B2584,""id"",""en"")"),"['Page', 'promo', 'package', 'ilang', 'since' Since ',' January ',' bug ',' emang ',' ilangin ',' sis ',' kak ',' Poor ',' Need ',' Paketan ',' Promo ',' Huehuehue ']")</f>
        <v>['Page', 'promo', 'package', 'ilang', 'since' Since ',' January ',' bug ',' emang ',' ilangin ',' sis ',' kak ',' Poor ',' Need ',' Paketan ',' Promo ',' Huehuehue ']</v>
      </c>
      <c r="D2584" s="3">
        <v>3.0</v>
      </c>
    </row>
    <row r="2585" ht="15.75" customHeight="1">
      <c r="A2585" s="1">
        <v>2583.0</v>
      </c>
      <c r="B2585" s="3" t="s">
        <v>2586</v>
      </c>
      <c r="C2585" s="3" t="str">
        <f>IFERROR(__xludf.DUMMYFUNCTION("GOOGLETRANSLATE(B2585,""id"",""en"")"),"['Customer', 'loyal', 'Telkomsel', 'UDH', 'THN', 'Disappointed', 'Sekrang', 'Telkomsel', 'Signal', 'Disappointing', 'now', 'Udh', ' Buy ',' Package ',' Combo ',' Sakti ',' TPI ',' Knapa ',' Signal ',' Leet ',' Want ',' Change ',' Card ',' Kek ',' Gini ' ,"&amp;" 'Min', '']")</f>
        <v>['Customer', 'loyal', 'Telkomsel', 'UDH', 'THN', 'Disappointed', 'Sekrang', 'Telkomsel', 'Signal', 'Disappointing', 'now', 'Udh', ' Buy ',' Package ',' Combo ',' Sakti ',' TPI ',' Knapa ',' Signal ',' Leet ',' Want ',' Change ',' Card ',' Kek ',' Gini ' , 'Min', '']</v>
      </c>
      <c r="D2585" s="3">
        <v>1.0</v>
      </c>
    </row>
    <row r="2586" ht="15.75" customHeight="1">
      <c r="A2586" s="1">
        <v>2584.0</v>
      </c>
      <c r="B2586" s="3" t="s">
        <v>2587</v>
      </c>
      <c r="C2586" s="3" t="str">
        <f>IFERROR(__xludf.DUMMYFUNCTION("GOOGLETRANSLATE(B2586,""id"",""en"")"),"['difficult', 'really', 'register', 'sunda', 'dawn', 'ampe', 'night', 'me', 'list', 'login', 'login', 'login', ' I ',' Ampe ',' Season ',' Because "", 'I've', 'I', 'Sampe', 'slammed', 'Cuy', 'Ampe', 'getting', 'angry',""]")</f>
        <v>['difficult', 'really', 'register', 'sunda', 'dawn', 'ampe', 'night', 'me', 'list', 'login', 'login', 'login', ' I ',' Ampe ',' Season ',' Because ", 'I've', 'I', 'Sampe', 'slammed', 'Cuy', 'Ampe', 'getting', 'angry',"]</v>
      </c>
      <c r="D2586" s="3">
        <v>1.0</v>
      </c>
    </row>
    <row r="2587" ht="15.75" customHeight="1">
      <c r="A2587" s="1">
        <v>2585.0</v>
      </c>
      <c r="B2587" s="3" t="s">
        <v>2588</v>
      </c>
      <c r="C2587" s="3" t="str">
        <f>IFERROR(__xludf.DUMMYFUNCTION("GOOGLETRANSLATE(B2587,""id"",""en"")"),"['Min', 'Please', 'Sorry', 'Check', 'Application', 'Telkomsel', 'Package', 'Cheerful', 'PAS', 'Application', 'Enter', 'Application', ' Package ',' cheerful ',' min ',' buy ',' package ',' save ',' money ',' min ']")</f>
        <v>['Min', 'Please', 'Sorry', 'Check', 'Application', 'Telkomsel', 'Package', 'Cheerful', 'PAS', 'Application', 'Enter', 'Application', ' Package ',' cheerful ',' min ',' buy ',' package ',' save ',' money ',' min ']</v>
      </c>
      <c r="D2587" s="3">
        <v>3.0</v>
      </c>
    </row>
    <row r="2588" ht="15.75" customHeight="1">
      <c r="A2588" s="1">
        <v>2586.0</v>
      </c>
      <c r="B2588" s="3" t="s">
        <v>2589</v>
      </c>
      <c r="C2588" s="3" t="str">
        <f>IFERROR(__xludf.DUMMYFUNCTION("GOOGLETRANSLATE(B2588,""id"",""en"")"),"['UDH', 'a week', 'Login', 'Application', 'Disappointed', 'Please', 'Repaired', 'Move', 'Card', 'Hello', 'Card', 'Prepaid', ' Because ',' burdensome ',' bills', 'karto', 'Hello', 'quota', 'call', 'sms',' used ',' want ',' change ',' package ',' daily ' , "&amp;"'wanted', 'replace', 'card', 'darling', 'number', 'udg', 'many years',' please ',' really ',' Telkomsel ',' want ',' replace ',' Prepaid ',' Provider ',' Telkomsel ',' ']")</f>
        <v>['UDH', 'a week', 'Login', 'Application', 'Disappointed', 'Please', 'Repaired', 'Move', 'Card', 'Hello', 'Card', 'Prepaid', ' Because ',' burdensome ',' bills', 'karto', 'Hello', 'quota', 'call', 'sms',' used ',' want ',' change ',' package ',' daily ' , 'wanted', 'replace', 'card', 'darling', 'number', 'udg', 'many years',' please ',' really ',' Telkomsel ',' want ',' replace ',' Prepaid ',' Provider ',' Telkomsel ',' ']</v>
      </c>
      <c r="D2588" s="3">
        <v>2.0</v>
      </c>
    </row>
    <row r="2589" ht="15.75" customHeight="1">
      <c r="A2589" s="1">
        <v>2587.0</v>
      </c>
      <c r="B2589" s="3" t="s">
        <v>2590</v>
      </c>
      <c r="C2589" s="3" t="str">
        <f>IFERROR(__xludf.DUMMYFUNCTION("GOOGLETRANSLATE(B2589,""id"",""en"")"),"['Credit', 'suck', 'fill in', 'pulse', 'credit', 'suck', 'please', 'Telkomsel', 'loss', 'pulse', 'suck', ""]")</f>
        <v>['Credit', 'suck', 'fill in', 'pulse', 'credit', 'suck', 'please', 'Telkomsel', 'loss', 'pulse', 'suck', "]</v>
      </c>
      <c r="D2589" s="3">
        <v>1.0</v>
      </c>
    </row>
    <row r="2590" ht="15.75" customHeight="1">
      <c r="A2590" s="1">
        <v>2588.0</v>
      </c>
      <c r="B2590" s="3" t="s">
        <v>2591</v>
      </c>
      <c r="C2590" s="3" t="str">
        <f>IFERROR(__xludf.DUMMYFUNCTION("GOOGLETRANSLATE(B2590,""id"",""en"")"),"['contents',' data ',' application ',' card ',' lost ',' raw ',' garage ',' Different ',' company ',' gmn ',' name ',' Telkomsel ',' JNGAN ',' believe ',' App ',' email ',' reply ',' use ',' mah ',' as soon as', 'missing', 'letter', 'loss',' police ',' Ta"&amp;"ngfin ' , 'number', 'mah', 'registration', 'emang', 'history', 'sophisticated', 'times', '']")</f>
        <v>['contents',' data ',' application ',' card ',' lost ',' raw ',' garage ',' Different ',' company ',' gmn ',' name ',' Telkomsel ',' JNGAN ',' believe ',' App ',' email ',' reply ',' use ',' mah ',' as soon as', 'missing', 'letter', 'loss',' police ',' Tangfin ' , 'number', 'mah', 'registration', 'emang', 'history', 'sophisticated', 'times', '']</v>
      </c>
      <c r="D2590" s="3">
        <v>1.0</v>
      </c>
    </row>
    <row r="2591" ht="15.75" customHeight="1">
      <c r="A2591" s="1">
        <v>2589.0</v>
      </c>
      <c r="B2591" s="3" t="s">
        <v>2592</v>
      </c>
      <c r="C2591" s="3" t="str">
        <f>IFERROR(__xludf.DUMMYFUNCTION("GOOGLETRANSLATE(B2591,""id"",""en"")"),"['Please', 'Telkomsel', 'Restore', 'Number', 'Postpaid', 'Prepaid', 'Deceived', 'Mengiming', 'Card', 'Hello', 'Change', 'Card', ' Hello ',' prepaid ',' process', 'demand', 'Telkomsel', 'proof', 'recording', ""]")</f>
        <v>['Please', 'Telkomsel', 'Restore', 'Number', 'Postpaid', 'Prepaid', 'Deceived', 'Mengiming', 'Card', 'Hello', 'Change', 'Card', ' Hello ',' prepaid ',' process', 'demand', 'Telkomsel', 'proof', 'recording', "]</v>
      </c>
      <c r="D2591" s="3">
        <v>1.0</v>
      </c>
    </row>
    <row r="2592" ht="15.75" customHeight="1">
      <c r="A2592" s="1">
        <v>2590.0</v>
      </c>
      <c r="B2592" s="3" t="s">
        <v>2593</v>
      </c>
      <c r="C2592" s="3" t="str">
        <f>IFERROR(__xludf.DUMMYFUNCTION("GOOGLETRANSLATE(B2592,""id"",""en"")"),"['Love', 'star', 'because', 'already', 'fast', 'responds',' responsive ',' complaints', 'love', 'star', 'already', 'resolved', ' Complaints', 'thank', 'love', ""]")</f>
        <v>['Love', 'star', 'because', 'already', 'fast', 'responds',' responsive ',' complaints', 'love', 'star', 'already', 'resolved', ' Complaints', 'thank', 'love', "]</v>
      </c>
      <c r="D2592" s="3">
        <v>2.0</v>
      </c>
    </row>
    <row r="2593" ht="15.75" customHeight="1">
      <c r="A2593" s="1">
        <v>2591.0</v>
      </c>
      <c r="B2593" s="3" t="s">
        <v>2594</v>
      </c>
      <c r="C2593" s="3" t="str">
        <f>IFERROR(__xludf.DUMMYFUNCTION("GOOGLETRANSLATE(B2593,""id"",""en"")"),"['The application', 'good', 'just', 'love', 'star', 'because' pulses ',' reduced ',' Rp ',' loss ',' Atuh ',' rules ',' TOP ',' price ',' right ']")</f>
        <v>['The application', 'good', 'just', 'love', 'star', 'because' pulses ',' reduced ',' Rp ',' loss ',' Atuh ',' rules ',' TOP ',' price ',' right ']</v>
      </c>
      <c r="D2593" s="3">
        <v>4.0</v>
      </c>
    </row>
    <row r="2594" ht="15.75" customHeight="1">
      <c r="A2594" s="1">
        <v>2592.0</v>
      </c>
      <c r="B2594" s="3" t="s">
        <v>2595</v>
      </c>
      <c r="C2594" s="3" t="str">
        <f>IFERROR(__xludf.DUMMYFUNCTION("GOOGLETRANSLATE(B2594,""id"",""en"")"),"['Telkomsel', 'Sekrng', 'Pemguna', 'Telkomsel', 'Dengn', 'Skrng', 'Severe', 'Severe', 'Please', 'Paba', 'Lampung', 'Lampung' Please ',' Fix ',' Signal ',' Telkomsel ',' Lost ',' Clock ',' Network ',' Edge ',' Severe ',' Bener ',' SstUbar ',' Natural ',' D"&amp;"isappointed ' , '']")</f>
        <v>['Telkomsel', 'Sekrng', 'Pemguna', 'Telkomsel', 'Dengn', 'Skrng', 'Severe', 'Severe', 'Please', 'Paba', 'Lampung', 'Lampung' Please ',' Fix ',' Signal ',' Telkomsel ',' Lost ',' Clock ',' Network ',' Edge ',' Severe ',' Bener ',' SstUbar ',' Natural ',' Disappointed ' , '']</v>
      </c>
      <c r="D2594" s="3">
        <v>1.0</v>
      </c>
    </row>
    <row r="2595" ht="15.75" customHeight="1">
      <c r="A2595" s="1">
        <v>2593.0</v>
      </c>
      <c r="B2595" s="3" t="s">
        <v>2596</v>
      </c>
      <c r="C2595" s="3" t="str">
        <f>IFERROR(__xludf.DUMMYFUNCTION("GOOGLETRANSLATE(B2595,""id"",""en"")"),"['Ngeta', 'home', 'just', 'appears',' connection ',' stable ',' refeshed ',' put ',' please ',' repaired ',' as soon as possible]")</f>
        <v>['Ngeta', 'home', 'just', 'appears',' connection ',' stable ',' refeshed ',' put ',' please ',' repaired ',' as soon as possible]</v>
      </c>
      <c r="D2595" s="3">
        <v>1.0</v>
      </c>
    </row>
    <row r="2596" ht="15.75" customHeight="1">
      <c r="A2596" s="1">
        <v>2594.0</v>
      </c>
      <c r="B2596" s="3" t="s">
        <v>2597</v>
      </c>
      <c r="C2596" s="3" t="str">
        <f>IFERROR(__xludf.DUMMYFUNCTION("GOOGLETRANSLATE(B2596,""id"",""en"")"),"['Min', 'knp', 'no', 'open', 'application', 'screen', 'white', 'no', 'msk', 'app', 'gmna', 'min', ' No. ',' checked ',' pulse ',' quota ',' lbh ',' application ',' min ',' ']")</f>
        <v>['Min', 'knp', 'no', 'open', 'application', 'screen', 'white', 'no', 'msk', 'app', 'gmna', 'min', ' No. ',' checked ',' pulse ',' quota ',' lbh ',' application ',' min ',' ']</v>
      </c>
      <c r="D2596" s="3">
        <v>3.0</v>
      </c>
    </row>
    <row r="2597" ht="15.75" customHeight="1">
      <c r="A2597" s="1">
        <v>2595.0</v>
      </c>
      <c r="B2597" s="3" t="s">
        <v>2598</v>
      </c>
      <c r="C2597" s="3" t="str">
        <f>IFERROR(__xludf.DUMMYFUNCTION("GOOGLETRANSLATE(B2597,""id"",""en"")"),"['Dear', 'Telkomsel', 'package', 'internet', 'expensive', 'no', 'right', 'bag', 'rkyat', 'udh', 'signal', 'difficult', ' package ',' internet ',' expensive ',' gmana ',' customer ',' satisfied ',' sultan ',' okay ',' sgitu ',' no ',' mslh ',' rkyat ',' ya"&amp;"a ' , 'Check', 'please', 'Consider', '']")</f>
        <v>['Dear', 'Telkomsel', 'package', 'internet', 'expensive', 'no', 'right', 'bag', 'rkyat', 'udh', 'signal', 'difficult', ' package ',' internet ',' expensive ',' gmana ',' customer ',' satisfied ',' sultan ',' okay ',' sgitu ',' no ',' mslh ',' rkyat ',' yaa ' , 'Check', 'please', 'Consider', '']</v>
      </c>
      <c r="D2597" s="3">
        <v>1.0</v>
      </c>
    </row>
    <row r="2598" ht="15.75" customHeight="1">
      <c r="A2598" s="1">
        <v>2596.0</v>
      </c>
      <c r="B2598" s="3" t="s">
        <v>2599</v>
      </c>
      <c r="C2598" s="3" t="str">
        <f>IFERROR(__xludf.DUMMYFUNCTION("GOOGLETRANSLATE(B2598,""id"",""en"")"),"['Open', 'Need', 'Impicks',' brapa ',' Please ',' Miss', 'BWT', 'Hukki', 'Kebitan', 'Ad', 'Promo', 'Kink', ' akhr ',' smpai ',' krg ',' network ',' tsel ',' bad ',' might ',' bad ',' stable ',' kyak ',' dlu ', ""]")</f>
        <v>['Open', 'Need', 'Impicks',' brapa ',' Please ',' Miss', 'BWT', 'Hukki', 'Kebitan', 'Ad', 'Promo', 'Kink', ' akhr ',' smpai ',' krg ',' network ',' tsel ',' bad ',' might ',' bad ',' stable ',' kyak ',' dlu ', "]</v>
      </c>
      <c r="D2598" s="3">
        <v>1.0</v>
      </c>
    </row>
    <row r="2599" ht="15.75" customHeight="1">
      <c r="A2599" s="1">
        <v>2597.0</v>
      </c>
      <c r="B2599" s="3" t="s">
        <v>2600</v>
      </c>
      <c r="C2599" s="3" t="str">
        <f>IFERROR(__xludf.DUMMYFUNCTION("GOOGLETRANSLATE(B2599,""id"",""en"")"),"['Disappointed', 'Telkomsel', 'signal', 'bad', 'rain', 'price', 'package', 'expensive', 'comparable', 'signal', 'army', 'building', ' Trees', 'little', 'already', 'internet', 'driver', 'ojol', 'Please', 'fix', 'criticize', 'dlm', 'serve', 'needs',' intern"&amp;"et ' , 'Indonesia', 'so', 'thank', 'love', ""]")</f>
        <v>['Disappointed', 'Telkomsel', 'signal', 'bad', 'rain', 'price', 'package', 'expensive', 'comparable', 'signal', 'army', 'building', ' Trees', 'little', 'already', 'internet', 'driver', 'ojol', 'Please', 'fix', 'criticize', 'dlm', 'serve', 'needs',' internet ' , 'Indonesia', 'so', 'thank', 'love', "]</v>
      </c>
      <c r="D2599" s="3">
        <v>1.0</v>
      </c>
    </row>
    <row r="2600" ht="15.75" customHeight="1">
      <c r="A2600" s="1">
        <v>2598.0</v>
      </c>
      <c r="B2600" s="3" t="s">
        <v>2601</v>
      </c>
      <c r="C2600" s="3" t="str">
        <f>IFERROR(__xludf.DUMMYFUNCTION("GOOGLETRANSLATE(B2600,""id"",""en"")"),"['bad', 'price', 'quota', 'expensive', 'package', 'data', 'signal', 'right', 'right', 'forgiveness',' stable ',' thought ',' Telkomsel ',' capitalist ',' attached to ',' Benefit ',' care ',' Service ',' Bener ',' Bener ',' Different ',' Telkomsel ',' Conc"&amp;"lusion ',' Telkomsel ',' Provider ' , 'disappointing', '']")</f>
        <v>['bad', 'price', 'quota', 'expensive', 'package', 'data', 'signal', 'right', 'right', 'forgiveness',' stable ',' thought ',' Telkomsel ',' capitalist ',' attached to ',' Benefit ',' care ',' Service ',' Bener ',' Bener ',' Different ',' Telkomsel ',' Conclusion ',' Telkomsel ',' Provider ' , 'disappointing', '']</v>
      </c>
      <c r="D2600" s="3">
        <v>1.0</v>
      </c>
    </row>
    <row r="2601" ht="15.75" customHeight="1">
      <c r="A2601" s="1">
        <v>2599.0</v>
      </c>
      <c r="B2601" s="3" t="s">
        <v>2602</v>
      </c>
      <c r="C2601" s="3" t="str">
        <f>IFERROR(__xludf.DUMMYFUNCTION("GOOGLETRANSLATE(B2601,""id"",""en"")"),"['pulse', 'lost', 'data', 'activated', 'use', 'wifi', 'buy', 'data', 'price', 'expensive', 'speed', 'kb', ' Speed ​​',' comparable ',' price ', ""]")</f>
        <v>['pulse', 'lost', 'data', 'activated', 'use', 'wifi', 'buy', 'data', 'price', 'expensive', 'speed', 'kb', ' Speed ​​',' comparable ',' price ', "]</v>
      </c>
      <c r="D2601" s="3">
        <v>1.0</v>
      </c>
    </row>
    <row r="2602" ht="15.75" customHeight="1">
      <c r="A2602" s="1">
        <v>2600.0</v>
      </c>
      <c r="B2602" s="3" t="s">
        <v>2603</v>
      </c>
      <c r="C2602" s="3" t="str">
        <f>IFERROR(__xludf.DUMMYFUNCTION("GOOGLETRANSLATE(B2602,""id"",""en"")"),"['Good', 'really', 'buy', 'package', 'application', 'Telkomsel', 'price', 'cheap', 'choice', 'payment', 'link', 'fund', ' Ovo ',' Shoope ',' Pay ',' Anyway ',' Mantap ',' ']")</f>
        <v>['Good', 'really', 'buy', 'package', 'application', 'Telkomsel', 'price', 'cheap', 'choice', 'payment', 'link', 'fund', ' Ovo ',' Shoope ',' Pay ',' Anyway ',' Mantap ',' ']</v>
      </c>
      <c r="D2602" s="3">
        <v>5.0</v>
      </c>
    </row>
    <row r="2603" ht="15.75" customHeight="1">
      <c r="A2603" s="1">
        <v>2601.0</v>
      </c>
      <c r="B2603" s="3" t="s">
        <v>2604</v>
      </c>
      <c r="C2603" s="3" t="str">
        <f>IFERROR(__xludf.DUMMYFUNCTION("GOOGLETRANSLATE(B2603,""id"",""en"")"),"['application', 'good', 'price', 'quota', 'sometimes',' expensive ',' promo ',' get ',' cheap ',' suggestion ',' quota ',' run out ',' connection ',' internet ',' broke ',' use ',' pulse ',' main ',' run out ',' pulse ',' main ',' run out ',' quota ',' th"&amp;"anks']")</f>
        <v>['application', 'good', 'price', 'quota', 'sometimes',' expensive ',' promo ',' get ',' cheap ',' suggestion ',' quota ',' run out ',' connection ',' internet ',' broke ',' use ',' pulse ',' main ',' run out ',' pulse ',' main ',' run out ',' quota ',' thanks']</v>
      </c>
      <c r="D2603" s="3">
        <v>4.0</v>
      </c>
    </row>
    <row r="2604" ht="15.75" customHeight="1">
      <c r="A2604" s="1">
        <v>2602.0</v>
      </c>
      <c r="B2604" s="3" t="s">
        <v>2605</v>
      </c>
      <c r="C2604" s="3" t="str">
        <f>IFERROR(__xludf.DUMMYFUNCTION("GOOGLETRANSLATE(B2604,""id"",""en"")"),"['application', 'slow', 'loading', 'check', 'quota', 'right', 'point', 'missing', 'yaa', ""]")</f>
        <v>['application', 'slow', 'loading', 'check', 'quota', 'right', 'point', 'missing', 'yaa', "]</v>
      </c>
      <c r="D2604" s="3">
        <v>4.0</v>
      </c>
    </row>
    <row r="2605" ht="15.75" customHeight="1">
      <c r="A2605" s="1">
        <v>2603.0</v>
      </c>
      <c r="B2605" s="3" t="s">
        <v>2606</v>
      </c>
      <c r="C2605" s="3" t="str">
        <f>IFERROR(__xludf.DUMMYFUNCTION("GOOGLETRANSLATE(B2605,""id"",""en"")"),"['Confused', 'Application', 'Telkomsel', 'User', 'Card', 'Telkomsel', 'Package', 'Different', 'Padaha', 'Application', 'Iini', 'Telkomsel', ' Try ',' Kasi ',' Enlightenment ', ""]")</f>
        <v>['Confused', 'Application', 'Telkomsel', 'User', 'Card', 'Telkomsel', 'Package', 'Different', 'Padaha', 'Application', 'Iini', 'Telkomsel', ' Try ',' Kasi ',' Enlightenment ', "]</v>
      </c>
      <c r="D2605" s="3">
        <v>5.0</v>
      </c>
    </row>
    <row r="2606" ht="15.75" customHeight="1">
      <c r="A2606" s="1">
        <v>2604.0</v>
      </c>
      <c r="B2606" s="3" t="s">
        <v>2607</v>
      </c>
      <c r="C2606" s="3" t="str">
        <f>IFERROR(__xludf.DUMMYFUNCTION("GOOGLETRANSLATE(B2606,""id"",""en"")"),"['', 'Telkomsel', 'Telaling', 'Tolongs',' Fix ',' Signal ',' Region ',' Nagara ',' Kibin ',' Serang ',' Banten ',' Perum ',' Earth ',' Nagara ',' Lestari ',' Sousal ',' ugly ',' users', 'Telkomsel', 'situ', 'concern', 'thank you']")</f>
        <v>['', 'Telkomsel', 'Telaling', 'Tolongs',' Fix ',' Signal ',' Region ',' Nagara ',' Kibin ',' Serang ',' Banten ',' Perum ',' Earth ',' Nagara ',' Lestari ',' Sousal ',' ugly ',' users', 'Telkomsel', 'situ', 'concern', 'thank you']</v>
      </c>
      <c r="D2606" s="3">
        <v>4.0</v>
      </c>
    </row>
    <row r="2607" ht="15.75" customHeight="1">
      <c r="A2607" s="1">
        <v>2605.0</v>
      </c>
      <c r="B2607" s="3" t="s">
        <v>2608</v>
      </c>
      <c r="C2607" s="3" t="str">
        <f>IFERROR(__xludf.DUMMYFUNCTION("GOOGLETRANSLATE(B2607,""id"",""en"")"),"['Telkomsel', 'hope', 'keep', 'quality', 'please', 'signal', 'missing', 'please', 'repaired', 'kab', 'cirebon', 'teak', ' Success', 'Telkomsel']")</f>
        <v>['Telkomsel', 'hope', 'keep', 'quality', 'please', 'signal', 'missing', 'please', 'repaired', 'kab', 'cirebon', 'teak', ' Success', 'Telkomsel']</v>
      </c>
      <c r="D2607" s="3">
        <v>5.0</v>
      </c>
    </row>
    <row r="2608" ht="15.75" customHeight="1">
      <c r="A2608" s="1">
        <v>2606.0</v>
      </c>
      <c r="B2608" s="3" t="s">
        <v>2609</v>
      </c>
      <c r="C2608" s="3" t="str">
        <f>IFERROR(__xludf.DUMMYFUNCTION("GOOGLETRANSLATE(B2608,""id"",""en"")"),"['Sorry', 'gymna', 'please', 'repaired', 'Telkomsel', 'gini', 'network', 'duuuh', 'college', 'online', 'like', 'ilang', ' network ',' disturbing ',' really ',' network ',' stable ',' dri ',' meet ',' please ',' repair ', ""]")</f>
        <v>['Sorry', 'gymna', 'please', 'repaired', 'Telkomsel', 'gini', 'network', 'duuuh', 'college', 'online', 'like', 'ilang', ' network ',' disturbing ',' really ',' network ',' stable ',' dri ',' meet ',' please ',' repair ', "]</v>
      </c>
      <c r="D2608" s="3">
        <v>1.0</v>
      </c>
    </row>
    <row r="2609" ht="15.75" customHeight="1">
      <c r="A2609" s="1">
        <v>2607.0</v>
      </c>
      <c r="B2609" s="3" t="s">
        <v>2610</v>
      </c>
      <c r="C2609" s="3" t="str">
        <f>IFERROR(__xludf.DUMMYFUNCTION("GOOGLETRANSLATE(B2609,""id"",""en"")"),"['Not bad', 'Good', 'like', 'promo', 'combo', 'Sakti', 'unlimited', 'right', 'already', 'bought', 'quota', 'absorbed', ' quota ',' internet ',' quota ',' unlimited ',' open ',' tiktok ',' application ',' unlimited ',' please ',' telkomsel ',' repaired ','"&amp;" users', 'Telkomsel' , 'complained', '']")</f>
        <v>['Not bad', 'Good', 'like', 'promo', 'combo', 'Sakti', 'unlimited', 'right', 'already', 'bought', 'quota', 'absorbed', ' quota ',' internet ',' quota ',' unlimited ',' open ',' tiktok ',' application ',' unlimited ',' please ',' telkomsel ',' repaired ',' users', 'Telkomsel' , 'complained', '']</v>
      </c>
      <c r="D2609" s="3">
        <v>3.0</v>
      </c>
    </row>
    <row r="2610" ht="15.75" customHeight="1">
      <c r="A2610" s="1">
        <v>2608.0</v>
      </c>
      <c r="B2610" s="3" t="s">
        <v>2611</v>
      </c>
      <c r="C2610" s="3" t="str">
        <f>IFERROR(__xludf.DUMMYFUNCTION("GOOGLETRANSLATE(B2610,""id"",""en"")"),"['waahh', 'chaotic', 'notif', 'told', 'dwlod', 'telkomsel', 'pulse', 'dwlod', 'bonus',' pulse ',' disappointed ',' saia ',' Delete ',' Tercial ',' Promo ',' Telkomsel ',' Mahal ',' Mubazir ',' Kepake ',' APP ']")</f>
        <v>['waahh', 'chaotic', 'notif', 'told', 'dwlod', 'telkomsel', 'pulse', 'dwlod', 'bonus',' pulse ',' disappointed ',' saia ',' Delete ',' Tercial ',' Promo ',' Telkomsel ',' Mahal ',' Mubazir ',' Kepake ',' APP ']</v>
      </c>
      <c r="D2610" s="3">
        <v>1.0</v>
      </c>
    </row>
    <row r="2611" ht="15.75" customHeight="1">
      <c r="A2611" s="1">
        <v>2609.0</v>
      </c>
      <c r="B2611" s="3" t="s">
        <v>2612</v>
      </c>
      <c r="C2611" s="3" t="str">
        <f>IFERROR(__xludf.DUMMYFUNCTION("GOOGLETRANSLATE(B2611,""id"",""en"")"),"['Sebel', 'Login', 'Open', 'Application', 'No', 'Easy', 'Account', 'Registered', 'Different', 'Account', 'Please', 'Fix', ' Min ']")</f>
        <v>['Sebel', 'Login', 'Open', 'Application', 'No', 'Easy', 'Account', 'Registered', 'Different', 'Account', 'Please', 'Fix', ' Min ']</v>
      </c>
      <c r="D2611" s="3">
        <v>2.0</v>
      </c>
    </row>
    <row r="2612" ht="15.75" customHeight="1">
      <c r="A2612" s="1">
        <v>2610.0</v>
      </c>
      <c r="B2612" s="3" t="s">
        <v>2613</v>
      </c>
      <c r="C2612" s="3" t="str">
        <f>IFERROR(__xludf.DUMMYFUNCTION("GOOGLETRANSLATE(B2612,""id"",""en"")"),"['just', 'replace', 'description', 'star', 'no', 'application', 'use', 'buy', 'package', 'internet', 'operator', 'desperate', ' Send ',' SMS ',' Package ',' Internet ',' Out ',' Use ',' Rates', 'Basic', 'Check', 'Application', 'Data', 'intact', 'GB' , 'an"&amp;"noyed']")</f>
        <v>['just', 'replace', 'description', 'star', 'no', 'application', 'use', 'buy', 'package', 'internet', 'operator', 'desperate', ' Send ',' SMS ',' Package ',' Internet ',' Out ',' Use ',' Rates', 'Basic', 'Check', 'Application', 'Data', 'intact', 'GB' , 'annoyed']</v>
      </c>
      <c r="D2612" s="3">
        <v>1.0</v>
      </c>
    </row>
    <row r="2613" ht="15.75" customHeight="1">
      <c r="A2613" s="1">
        <v>2611.0</v>
      </c>
      <c r="B2613" s="3" t="s">
        <v>2614</v>
      </c>
      <c r="C2613" s="3" t="str">
        <f>IFERROR(__xludf.DUMMYFUNCTION("GOOGLETRANSLATE(B2613,""id"",""en"")"),"['Add', 'list', 'package', 'internet', 'monthly', 'cheap', 'price', 'below', 'multiply', 'promo', 'help', 'team', ' Telkomsel ',' Merugi ',' imposes', 'request', 'conscious',' child ',' Under ',' age ', ""]")</f>
        <v>['Add', 'list', 'package', 'internet', 'monthly', 'cheap', 'price', 'below', 'multiply', 'promo', 'help', 'team', ' Telkomsel ',' Merugi ',' imposes', 'request', 'conscious',' child ',' Under ',' age ', "]</v>
      </c>
      <c r="D2613" s="3">
        <v>4.0</v>
      </c>
    </row>
    <row r="2614" ht="15.75" customHeight="1">
      <c r="A2614" s="1">
        <v>2612.0</v>
      </c>
      <c r="B2614" s="3" t="s">
        <v>2615</v>
      </c>
      <c r="C2614" s="3" t="str">
        <f>IFERROR(__xludf.DUMMYFUNCTION("GOOGLETRANSLATE(B2614,""id"",""en"")"),"['pls',' Telkomsel ',' Rada ',' disappointed ',' skrg ',' feel ',' strange ',' so ',' me ',' already ',' buy ',' quota ',' national ',' pulse ',' I ',' Sumpot ',' I ',' deliberate ',' Sisain ',' buy ',' unlimited ',' YouTube ',' Syg ',' pulse ',' I ' , 's"&amp;"uggestion', 'me', 'love', 'explanation', 'kostumer', 'specification', 'quota', 'knp', 'pulse', 'reduced', 'customer', 'prevent', ' Target ',' Marketing ',' Whatever ',' Customer ',' Best ',' ']")</f>
        <v>['pls',' Telkomsel ',' Rada ',' disappointed ',' skrg ',' feel ',' strange ',' so ',' me ',' already ',' buy ',' quota ',' national ',' pulse ',' I ',' Sumpot ',' I ',' deliberate ',' Sisain ',' buy ',' unlimited ',' YouTube ',' Syg ',' pulse ',' I ' , 'suggestion', 'me', 'love', 'explanation', 'kostumer', 'specification', 'quota', 'knp', 'pulse', 'reduced', 'customer', 'prevent', ' Target ',' Marketing ',' Whatever ',' Customer ',' Best ',' ']</v>
      </c>
      <c r="D2614" s="3">
        <v>1.0</v>
      </c>
    </row>
    <row r="2615" ht="15.75" customHeight="1">
      <c r="A2615" s="1">
        <v>2613.0</v>
      </c>
      <c r="B2615" s="3" t="s">
        <v>2616</v>
      </c>
      <c r="C2615" s="3" t="str">
        <f>IFERROR(__xludf.DUMMYFUNCTION("GOOGLETRANSLATE(B2615,""id"",""en"")"),"['Quota', 'wasteful', 'Different', 'ama', 'operator', 'check', 'use', 'data', 'MB', 'used', 'quota', 'lgsg', ' Abiss', 'weird', 'the rest', 'GB', 'leftover', 'MB', 'Mending', 'card', 'cheap', 'signal', 'already', 'good', 'uda' , 'expensive', 'comfortable'"&amp;", 'make', 'card', '']")</f>
        <v>['Quota', 'wasteful', 'Different', 'ama', 'operator', 'check', 'use', 'data', 'MB', 'used', 'quota', 'lgsg', ' Abiss', 'weird', 'the rest', 'GB', 'leftover', 'MB', 'Mending', 'card', 'cheap', 'signal', 'already', 'good', 'uda' , 'expensive', 'comfortable', 'make', 'card', '']</v>
      </c>
      <c r="D2615" s="3">
        <v>1.0</v>
      </c>
    </row>
    <row r="2616" ht="15.75" customHeight="1">
      <c r="A2616" s="1">
        <v>2614.0</v>
      </c>
      <c r="B2616" s="3" t="s">
        <v>2617</v>
      </c>
      <c r="C2616" s="3" t="str">
        <f>IFERROR(__xludf.DUMMYFUNCTION("GOOGLETRANSLATE(B2616,""id"",""en"")"),"['already', 'Telkomsel', 'Telkomsel', 'Changed', 'Drastic', 'Telkomsel', 'Masoh', 'Affordable', 'Comfort', 'Signal', 'Different', 'Signal', ' Telkomsel ',' Available ',' moved ',' moved ',' Telkomsel ',' smooth ',' please ',' fix ',' amazed ',' Telkomsel "&amp;"',' obstacle ',' ']")</f>
        <v>['already', 'Telkomsel', 'Telkomsel', 'Changed', 'Drastic', 'Telkomsel', 'Masoh', 'Affordable', 'Comfort', 'Signal', 'Different', 'Signal', ' Telkomsel ',' Available ',' moved ',' moved ',' Telkomsel ',' smooth ',' please ',' fix ',' amazed ',' Telkomsel ',' obstacle ',' ']</v>
      </c>
      <c r="D2616" s="3">
        <v>5.0</v>
      </c>
    </row>
    <row r="2617" ht="15.75" customHeight="1">
      <c r="A2617" s="1">
        <v>2615.0</v>
      </c>
      <c r="B2617" s="3" t="s">
        <v>2618</v>
      </c>
      <c r="C2617" s="3" t="str">
        <f>IFERROR(__xludf.DUMMYFUNCTION("GOOGLETRANSLATE(B2617,""id"",""en"")"),"['understand', 'Telkomsel', 'network', 'quality', 'best', 'slow', 'play', 'slow', 'network', 'already', 'kayak', 'keong', ' Please ',' Turnover ',' Dlu ',' Nghk ',' Nhecewain ',' Kaayaak ',' Sekaaraang ']")</f>
        <v>['understand', 'Telkomsel', 'network', 'quality', 'best', 'slow', 'play', 'slow', 'network', 'already', 'kayak', 'keong', ' Please ',' Turnover ',' Dlu ',' Nghk ',' Nhecewain ',' Kaayaak ',' Sekaaraang ']</v>
      </c>
      <c r="D2617" s="3">
        <v>1.0</v>
      </c>
    </row>
    <row r="2618" ht="15.75" customHeight="1">
      <c r="A2618" s="1">
        <v>2616.0</v>
      </c>
      <c r="B2618" s="3" t="s">
        <v>2619</v>
      </c>
      <c r="C2618" s="3" t="str">
        <f>IFERROR(__xludf.DUMMYFUNCTION("GOOGLETRANSLATE(B2618,""id"",""en"")"),"['buy', 'package', 'date', 'run out', 'date', 'full', 'run out', 'his time', 'package', 'confused', ""]")</f>
        <v>['buy', 'package', 'date', 'run out', 'date', 'full', 'run out', 'his time', 'package', 'confused', "]</v>
      </c>
      <c r="D2618" s="3">
        <v>1.0</v>
      </c>
    </row>
    <row r="2619" ht="15.75" customHeight="1">
      <c r="A2619" s="1">
        <v>2617.0</v>
      </c>
      <c r="B2619" s="3" t="s">
        <v>2620</v>
      </c>
      <c r="C2619" s="3" t="str">
        <f>IFERROR(__xludf.DUMMYFUNCTION("GOOGLETRANSLATE(B2619,""id"",""en"")"),"['pulse', 'thousand', 'missing', 'times',' times', 'many', 'times',' corruption ',' just ',' Telkomsel ',' regret ',' use ',' Telkomsel ',' SYG ',' CART ',' CAN YOU ',' THAT ',' Extend ',' Paketan ',' Data ',' Mnding ',' Use ',' Im ',' Oredoo ' , 'tasty',"&amp;" 'poll', 'pantes',' telkomsel ',' skrang ',' kagak ',' it's', 'behavior', 'cave', 'swear', 'bankrupt', 'Telkomsel', ' ']")</f>
        <v>['pulse', 'thousand', 'missing', 'times',' times', 'many', 'times',' corruption ',' just ',' Telkomsel ',' regret ',' use ',' Telkomsel ',' SYG ',' CART ',' CAN YOU ',' THAT ',' Extend ',' Paketan ',' Data ',' Mnding ',' Use ',' Im ',' Oredoo ' , 'tasty', 'poll', 'pantes',' telkomsel ',' skrang ',' kagak ',' it's', 'behavior', 'cave', 'swear', 'bankrupt', 'Telkomsel', ' ']</v>
      </c>
      <c r="D2619" s="3">
        <v>1.0</v>
      </c>
    </row>
    <row r="2620" ht="15.75" customHeight="1">
      <c r="A2620" s="1">
        <v>2618.0</v>
      </c>
      <c r="B2620" s="3" t="s">
        <v>2621</v>
      </c>
      <c r="C2620" s="3" t="str">
        <f>IFERROR(__xludf.DUMMYFUNCTION("GOOGLETRANSLATE(B2620,""id"",""en"")"),"['Restore', 'Telkomsel', 'buy', 'pulse', 'add', 'active', 'pulses',' dipake ',' add ',' cave ',' telkomsel ',' cave ',' Class', 'Sampe', 'Lecture', 'Cave', 'Telkomsel', 'Middle School', 'Class',' TTEP ',' Auto ',' Move ',' Tri ',' ']")</f>
        <v>['Restore', 'Telkomsel', 'buy', 'pulse', 'add', 'active', 'pulses',' dipake ',' add ',' cave ',' telkomsel ',' cave ',' Class', 'Sampe', 'Lecture', 'Cave', 'Telkomsel', 'Middle School', 'Class',' TTEP ',' Auto ',' Move ',' Tri ',' ']</v>
      </c>
      <c r="D2620" s="3">
        <v>3.0</v>
      </c>
    </row>
    <row r="2621" ht="15.75" customHeight="1">
      <c r="A2621" s="1">
        <v>2619.0</v>
      </c>
      <c r="B2621" s="3" t="s">
        <v>2622</v>
      </c>
      <c r="C2621" s="3" t="str">
        <f>IFERROR(__xludf.DUMMYFUNCTION("GOOGLETRANSLATE(B2621,""id"",""en"")"),"['Woy', 'Telkomsel', 'cave', 'buy', 'quota', 'gamemax', 'silver', 'open', 'game', 'oath', 'provider', 'responsible', ' Benefits', 'Mulu', 'preferably', 'until', 'until', 'rating', 'million', 'Doang', 'Pantes',' according to ',' fact ',' please ',' Jusuf '"&amp;" , 'Kalla', 'noticed', 'work', 'in the company']")</f>
        <v>['Woy', 'Telkomsel', 'cave', 'buy', 'quota', 'gamemax', 'silver', 'open', 'game', 'oath', 'provider', 'responsible', ' Benefits', 'Mulu', 'preferably', 'until', 'until', 'rating', 'million', 'Doang', 'Pantes',' according to ',' fact ',' please ',' Jusuf ' , 'Kalla', 'noticed', 'work', 'in the company']</v>
      </c>
      <c r="D2621" s="3">
        <v>1.0</v>
      </c>
    </row>
    <row r="2622" ht="15.75" customHeight="1">
      <c r="A2622" s="1">
        <v>2620.0</v>
      </c>
      <c r="B2622" s="3" t="s">
        <v>2623</v>
      </c>
      <c r="C2622" s="3" t="str">
        <f>IFERROR(__xludf.DUMMYFUNCTION("GOOGLETRANSLATE(B2622,""id"",""en"")"),"['signal', 'ugly', 'expensive', 'nagih', 'card', 'hello', 'fast', 'really', 'notif', 'cave', 'smooth', 'paid', ' late ',' here ',' disgust ',' lazy ',' fast ',' pay ',' emotion ',' stop ',' subscribe ',' package ',' Telkomsel ',' dying ',' ']")</f>
        <v>['signal', 'ugly', 'expensive', 'nagih', 'card', 'hello', 'fast', 'really', 'notif', 'cave', 'smooth', 'paid', ' late ',' here ',' disgust ',' lazy ',' fast ',' pay ',' emotion ',' stop ',' subscribe ',' package ',' Telkomsel ',' dying ',' ']</v>
      </c>
      <c r="D2622" s="3">
        <v>1.0</v>
      </c>
    </row>
    <row r="2623" ht="15.75" customHeight="1">
      <c r="A2623" s="1">
        <v>2621.0</v>
      </c>
      <c r="B2623" s="3" t="s">
        <v>2624</v>
      </c>
      <c r="C2623" s="3" t="str">
        <f>IFERROR(__xludf.DUMMYFUNCTION("GOOGLETRANSLATE(B2623,""id"",""en"")"),"['Telkomsel', 'Kaga', 'sosmed', 'muter', 'game', 'ping', 'kaga', 'pkok', 'telkomsel', 'area', 'bsa', 'game', ' already ',' that's', 'package', 'expensive', '']")</f>
        <v>['Telkomsel', 'Kaga', 'sosmed', 'muter', 'game', 'ping', 'kaga', 'pkok', 'telkomsel', 'area', 'bsa', 'game', ' already ',' that's', 'package', 'expensive', '']</v>
      </c>
      <c r="D2623" s="3">
        <v>1.0</v>
      </c>
    </row>
    <row r="2624" ht="15.75" customHeight="1">
      <c r="A2624" s="1">
        <v>2622.0</v>
      </c>
      <c r="B2624" s="3" t="s">
        <v>2625</v>
      </c>
      <c r="C2624" s="3" t="str">
        <f>IFERROR(__xludf.DUMMYFUNCTION("GOOGLETRANSLATE(B2624,""id"",""en"")"),"['', 'told', 'download', 'application', 'then', 'pulse', 'border', 'empty', 'telkomsel', 'taikkkkkkk', 'defecttttttt', 'trashhhhh']")</f>
        <v>['', 'told', 'download', 'application', 'then', 'pulse', 'border', 'empty', 'telkomsel', 'taikkkkkkk', 'defecttttttt', 'trashhhhh']</v>
      </c>
      <c r="D2624" s="3">
        <v>1.0</v>
      </c>
    </row>
    <row r="2625" ht="15.75" customHeight="1">
      <c r="A2625" s="1">
        <v>2623.0</v>
      </c>
      <c r="B2625" s="3" t="s">
        <v>2626</v>
      </c>
      <c r="C2625" s="3" t="str">
        <f>IFERROR(__xludf.DUMMYFUNCTION("GOOGLETRANSLATE(B2625,""id"",""en"")"),"['Points',' already ',' nyampe ',' point ',' ilang ',' please ',' lahh ',' jangn ',' rich ',' gini ',' jngan ',' mentang ',' PKE ',' Application ',' Begin ',' Kembangin ',' Delivery ',' Quality ',' Ngecewain ',' Customer ',' Please ',' Repair ',' ']")</f>
        <v>['Points',' already ',' nyampe ',' point ',' ilang ',' please ',' lahh ',' jangn ',' rich ',' gini ',' jngan ',' mentang ',' PKE ',' Application ',' Begin ',' Kembangin ',' Delivery ',' Quality ',' Ngecewain ',' Customer ',' Please ',' Repair ',' ']</v>
      </c>
      <c r="D2625" s="3">
        <v>1.0</v>
      </c>
    </row>
    <row r="2626" ht="15.75" customHeight="1">
      <c r="A2626" s="1">
        <v>2624.0</v>
      </c>
      <c r="B2626" s="3" t="s">
        <v>2627</v>
      </c>
      <c r="C2626" s="3" t="str">
        <f>IFERROR(__xludf.DUMMYFUNCTION("GOOGLETRANSLATE(B2626,""id"",""en"")"),"['YTH', 'Telkomsel', 'Bngga', 'AKN', 'Strength', 'Signal', 'Tapu', 'Kah', 'Disruption', 'Signal', 'Healthy', 'Wory', ' Very ',' road ',' anything ',' Moron ',' Region ',' Muara ',' Kelingi ',' Kab ',' Musi ',' Rawas', 'Sumatran', 'South', 'Please' , 'Help"&amp;"', 'Thank you']")</f>
        <v>['YTH', 'Telkomsel', 'Bngga', 'AKN', 'Strength', 'Signal', 'Tapu', 'Kah', 'Disruption', 'Signal', 'Healthy', 'Wory', ' Very ',' road ',' anything ',' Moron ',' Region ',' Muara ',' Kelingi ',' Kab ',' Musi ',' Rawas', 'Sumatran', 'South', 'Please' , 'Help', 'Thank you']</v>
      </c>
      <c r="D2626" s="3">
        <v>5.0</v>
      </c>
    </row>
    <row r="2627" ht="15.75" customHeight="1">
      <c r="A2627" s="1">
        <v>2625.0</v>
      </c>
      <c r="B2627" s="3" t="s">
        <v>2628</v>
      </c>
      <c r="C2627" s="3" t="str">
        <f>IFERROR(__xludf.DUMMYFUNCTION("GOOGLETRANSLATE(B2627,""id"",""en"")"),"['', 'area', 'tepannya', 'road', 'Java', 'tip', 'ivory', 'kab', 'pasaman', 'west', 'prov', 'sumbar', 'network ',' area ',' Bagus', 'difficult', 'college', 'online']")</f>
        <v>['', 'area', 'tepannya', 'road', 'Java', 'tip', 'ivory', 'kab', 'pasaman', 'west', 'prov', 'sumbar', 'network ',' area ',' Bagus', 'difficult', 'college', 'online']</v>
      </c>
      <c r="D2627" s="3">
        <v>5.0</v>
      </c>
    </row>
    <row r="2628" ht="15.75" customHeight="1">
      <c r="A2628" s="1">
        <v>2626.0</v>
      </c>
      <c r="B2628" s="3" t="s">
        <v>2629</v>
      </c>
      <c r="C2628" s="3" t="str">
        <f>IFERROR(__xludf.DUMMYFUNCTION("GOOGLETRANSLATE(B2628,""id"",""en"")"),"['right', 'buy', 'package', 'said', 'leftover', 'pulse', 'sufficient', 'pulse', 'cut', 'pulse', 'as you're', 'quota', ' Instagram ',' unlimited ',' ']")</f>
        <v>['right', 'buy', 'package', 'said', 'leftover', 'pulse', 'sufficient', 'pulse', 'cut', 'pulse', 'as you're', 'quota', ' Instagram ',' unlimited ',' ']</v>
      </c>
      <c r="D2628" s="3">
        <v>1.0</v>
      </c>
    </row>
    <row r="2629" ht="15.75" customHeight="1">
      <c r="A2629" s="1">
        <v>2627.0</v>
      </c>
      <c r="B2629" s="3" t="s">
        <v>2630</v>
      </c>
      <c r="C2629" s="3" t="str">
        <f>IFERROR(__xludf.DUMMYFUNCTION("GOOGLETRANSLATE(B2629,""id"",""en"")"),"['network', 'Telkomsel', 'ngak', 'good', 'ran aground', 'kayak', 'telkomsel', 'ngelek']")</f>
        <v>['network', 'Telkomsel', 'ngak', 'good', 'ran aground', 'kayak', 'telkomsel', 'ngelek']</v>
      </c>
      <c r="D2629" s="3">
        <v>3.0</v>
      </c>
    </row>
    <row r="2630" ht="15.75" customHeight="1">
      <c r="A2630" s="1">
        <v>2628.0</v>
      </c>
      <c r="B2630" s="3" t="s">
        <v>2631</v>
      </c>
      <c r="C2630" s="3" t="str">
        <f>IFERROR(__xludf.DUMMYFUNCTION("GOOGLETRANSLATE(B2630,""id"",""en"")"),"['The application', 'good', 'times',' event ',' Daily ',' check ',' quota ',' free ',' event ',' quota ',' loan ',' run out ',' Quota ',' Package ',' Help ',' Application ',' Best ', ""]")</f>
        <v>['The application', 'good', 'times',' event ',' Daily ',' check ',' quota ',' free ',' event ',' quota ',' loan ',' run out ',' Quota ',' Package ',' Help ',' Application ',' Best ', "]</v>
      </c>
      <c r="D2630" s="3">
        <v>5.0</v>
      </c>
    </row>
    <row r="2631" ht="15.75" customHeight="1">
      <c r="A2631" s="1">
        <v>2629.0</v>
      </c>
      <c r="B2631" s="3" t="s">
        <v>2632</v>
      </c>
      <c r="C2631" s="3" t="str">
        <f>IFERROR(__xludf.DUMMYFUNCTION("GOOGLETRANSLATE(B2631,""id"",""en"")"),"['expensive', 'pulse', 'package', 'data', 'expensive', 'cheats',' package ',' data ',' gigabyte ',' date ',' use ',' charged']")</f>
        <v>['expensive', 'pulse', 'package', 'data', 'expensive', 'cheats',' package ',' data ',' gigabyte ',' date ',' use ',' charged']</v>
      </c>
      <c r="D2631" s="3">
        <v>1.0</v>
      </c>
    </row>
    <row r="2632" ht="15.75" customHeight="1">
      <c r="A2632" s="1">
        <v>2630.0</v>
      </c>
      <c r="B2632" s="3" t="s">
        <v>2633</v>
      </c>
      <c r="C2632" s="3" t="str">
        <f>IFERROR(__xludf.DUMMYFUNCTION("GOOGLETRANSLATE(B2632,""id"",""en"")"),"['signal', 'good', 'customer', 'disappointed', 'Telkomsel', 'play', 'game', 'ajh', 'signal', 'ugly', 'disappointed', 'baek', ' Switch ',' prime ',' Baek ', ""]")</f>
        <v>['signal', 'good', 'customer', 'disappointed', 'Telkomsel', 'play', 'game', 'ajh', 'signal', 'ugly', 'disappointed', 'baek', ' Switch ',' prime ',' Baek ', "]</v>
      </c>
      <c r="D2632" s="3">
        <v>1.0</v>
      </c>
    </row>
    <row r="2633" ht="15.75" customHeight="1">
      <c r="A2633" s="1">
        <v>2631.0</v>
      </c>
      <c r="B2633" s="3" t="s">
        <v>2634</v>
      </c>
      <c r="C2633" s="3" t="str">
        <f>IFERROR(__xludf.DUMMYFUNCTION("GOOGLETRANSLATE(B2633,""id"",""en"")"),"['buy', 'khota', 'cheap', 'GB', 'smooth', 'times',' smooth ',' enter ',' then ',' right ',' already ',' times', ' Buy ',' Telkomselny ',' Success', 'Pas',' Liat ',' Home ',' Khota ',' Sya ',' Please ',' Khota ',' Cheap ',' Times', 'More' , 'failed', 'TRSS"&amp;"', 'please', 'fix']")</f>
        <v>['buy', 'khota', 'cheap', 'GB', 'smooth', 'times',' smooth ',' enter ',' then ',' right ',' already ',' times', ' Buy ',' Telkomselny ',' Success', 'Pas',' Liat ',' Home ',' Khota ',' Sya ',' Please ',' Khota ',' Cheap ',' Times', 'More' , 'failed', 'TRSS', 'please', 'fix']</v>
      </c>
      <c r="D2633" s="3">
        <v>1.0</v>
      </c>
    </row>
    <row r="2634" ht="15.75" customHeight="1">
      <c r="A2634" s="1">
        <v>2632.0</v>
      </c>
      <c r="B2634" s="3" t="s">
        <v>2635</v>
      </c>
      <c r="C2634" s="3" t="str">
        <f>IFERROR(__xludf.DUMMYFUNCTION("GOOGLETRANSLATE(B2634,""id"",""en"")"),"['', 'robbery', 'money', 'missing', 'buy', 'package', 'Disney', 'hotstar', 'times',' submit ',' complaint ',' command ',' gisted ',' Do ',' fruitful ',' results']")</f>
        <v>['', 'robbery', 'money', 'missing', 'buy', 'package', 'Disney', 'hotstar', 'times',' submit ',' complaint ',' command ',' gisted ',' Do ',' fruitful ',' results']</v>
      </c>
      <c r="D2634" s="3">
        <v>1.0</v>
      </c>
    </row>
    <row r="2635" ht="15.75" customHeight="1">
      <c r="A2635" s="1">
        <v>2633.0</v>
      </c>
      <c r="B2635" s="3" t="s">
        <v>2636</v>
      </c>
      <c r="C2635" s="3" t="str">
        <f>IFERROR(__xludf.DUMMYFUNCTION("GOOGLETRANSLATE(B2635,""id"",""en"")"),"['Customer', 'Telkomsel', 'Price', 'Telkomsel', 'Wow', 'MAYAL', 'See', 'promotion', 'Telkomsel', 'as expensive', 'Try', 'buy', ' First ',' Telkomsel ',' Satisfied ',' ']")</f>
        <v>['Customer', 'Telkomsel', 'Price', 'Telkomsel', 'Wow', 'MAYAL', 'See', 'promotion', 'Telkomsel', 'as expensive', 'Try', 'buy', ' First ',' Telkomsel ',' Satisfied ',' ']</v>
      </c>
      <c r="D2635" s="3">
        <v>5.0</v>
      </c>
    </row>
    <row r="2636" ht="15.75" customHeight="1">
      <c r="A2636" s="1">
        <v>2634.0</v>
      </c>
      <c r="B2636" s="3" t="s">
        <v>2637</v>
      </c>
      <c r="C2636" s="3" t="str">
        <f>IFERROR(__xludf.DUMMYFUNCTION("GOOGLETRANSLATE(B2636,""id"",""en"")"),"['WOI', 'Telkomsel', 'Anjim', 'th', 'Telkomsel', 'times',' disappointed ',' price ',' expensive ',' quality ',' minus', 'attached', ' Fortunately ',' kah ',' debt ',' kahh ',' ']")</f>
        <v>['WOI', 'Telkomsel', 'Anjim', 'th', 'Telkomsel', 'times',' disappointed ',' price ',' expensive ',' quality ',' minus', 'attached', ' Fortunately ',' kah ',' debt ',' kahh ',' ']</v>
      </c>
      <c r="D2636" s="3">
        <v>1.0</v>
      </c>
    </row>
    <row r="2637" ht="15.75" customHeight="1">
      <c r="A2637" s="1">
        <v>2635.0</v>
      </c>
      <c r="B2637" s="3" t="s">
        <v>2638</v>
      </c>
      <c r="C2637" s="3" t="str">
        <f>IFERROR(__xludf.DUMMYFUNCTION("GOOGLETRANSLATE(B2637,""id"",""en"")"),"['Change', 'funny thingly', 'quota', 'internet', 'abis',' application ',' open ',' bother ',' application ',' open ',' quota ',' internet ',' run out ',' rich ',' neighbor ',' next door ',' ']")</f>
        <v>['Change', 'funny thingly', 'quota', 'internet', 'abis',' application ',' open ',' bother ',' application ',' open ',' quota ',' internet ',' run out ',' rich ',' neighbor ',' next door ',' ']</v>
      </c>
      <c r="D2637" s="3">
        <v>2.0</v>
      </c>
    </row>
    <row r="2638" ht="15.75" customHeight="1">
      <c r="A2638" s="1">
        <v>2636.0</v>
      </c>
      <c r="B2638" s="3" t="s">
        <v>2639</v>
      </c>
      <c r="C2638" s="3" t="str">
        <f>IFERROR(__xludf.DUMMYFUNCTION("GOOGLETRANSLATE(B2638,""id"",""en"")"),"['mainstay', 'Telkomsel', 'signal', 'expensive', 'price', 'package', 'ANCURRR', 'week', 'Raya', 'yesterday', 'sampek', 'Tetep', ' Ancurrr ',' Telkomsel ',' moves', 'overcome', 'no', 'loss',' thousands', 'customers']")</f>
        <v>['mainstay', 'Telkomsel', 'signal', 'expensive', 'price', 'package', 'ANCURRR', 'week', 'Raya', 'yesterday', 'sampek', 'Tetep', ' Ancurrr ',' Telkomsel ',' moves', 'overcome', 'no', 'loss',' thousands', 'customers']</v>
      </c>
      <c r="D2638" s="3">
        <v>1.0</v>
      </c>
    </row>
    <row r="2639" ht="15.75" customHeight="1">
      <c r="A2639" s="1">
        <v>2637.0</v>
      </c>
      <c r="B2639" s="3" t="s">
        <v>2640</v>
      </c>
      <c r="C2639" s="3" t="str">
        <f>IFERROR(__xludf.DUMMYFUNCTION("GOOGLETRANSLATE(B2639,""id"",""en"")"),"['disappointed', 'already', 'times',' buy ',' package ',' omg ',' plus', 'Disney', 'hotstar', 'free', 'a month', 'turn', ' Activate ',' Gabisa ',' Tel ',' Give ',' Sampe ',' Abis', 'Quota', 'On', 'Buy', 'Package', 'Combo', 'Free', 'Disney' , 'Dipake', 'Co"&amp;"stumer', 'PHP', 'Provider', 'Plat', 'Red', 'Times',' Give ',' Free ',' PHP ',' Buy ',' Trust ',' card', '']")</f>
        <v>['disappointed', 'already', 'times',' buy ',' package ',' omg ',' plus', 'Disney', 'hotstar', 'free', 'a month', 'turn', ' Activate ',' Gabisa ',' Tel ',' Give ',' Sampe ',' Abis', 'Quota', 'On', 'Buy', 'Package', 'Combo', 'Free', 'Disney' , 'Dipake', 'Costumer', 'PHP', 'Provider', 'Plat', 'Red', 'Times',' Give ',' Free ',' PHP ',' Buy ',' Trust ',' card', '']</v>
      </c>
      <c r="D2639" s="3">
        <v>2.0</v>
      </c>
    </row>
    <row r="2640" ht="15.75" customHeight="1">
      <c r="A2640" s="1">
        <v>2638.0</v>
      </c>
      <c r="B2640" s="3" t="s">
        <v>2641</v>
      </c>
      <c r="C2640" s="3" t="str">
        <f>IFERROR(__xludf.DUMMYFUNCTION("GOOGLETRANSLATE(B2640,""id"",""en"")"),"['loss',' I ',' subscription ',' Telkomsel ',' play ',' game ',' moot ',' internet ',' right ',' me ',' check ',' speed ',' Internet ',' Terpen ',' second ',' Tuhh ',' KB ',' seconds', 'Disappointed', 'Telkomsel', 'buy', 'data', 'pulses', ""]")</f>
        <v>['loss',' I ',' subscription ',' Telkomsel ',' play ',' game ',' moot ',' internet ',' right ',' me ',' check ',' speed ',' Internet ',' Terpen ',' second ',' Tuhh ',' KB ',' seconds', 'Disappointed', 'Telkomsel', 'buy', 'data', 'pulses', "]</v>
      </c>
      <c r="D2640" s="3">
        <v>1.0</v>
      </c>
    </row>
    <row r="2641" ht="15.75" customHeight="1">
      <c r="A2641" s="1">
        <v>2639.0</v>
      </c>
      <c r="B2641" s="3" t="s">
        <v>2642</v>
      </c>
      <c r="C2641" s="3" t="str">
        <f>IFERROR(__xludf.DUMMYFUNCTION("GOOGLETRANSLATE(B2641,""id"",""en"")"),"['already', 'expensive', 'pulse', 'quota', 'network', 'evenly', 'please', 'network', 'telkomsel', 'fix', 'evenly', 'stay', ' village ',' difficult ',' really ',' network ',' use ',' card ',' Telkomsel ',' hope ',' Telkomsel ',' acting ',' as soon as', 'ng"&amp;"e', 'thank' , 'love']")</f>
        <v>['already', 'expensive', 'pulse', 'quota', 'network', 'evenly', 'please', 'network', 'telkomsel', 'fix', 'evenly', 'stay', ' village ',' difficult ',' really ',' network ',' use ',' card ',' Telkomsel ',' hope ',' Telkomsel ',' acting ',' as soon as', 'nge', 'thank' , 'love']</v>
      </c>
      <c r="D2641" s="3">
        <v>1.0</v>
      </c>
    </row>
    <row r="2642" ht="15.75" customHeight="1">
      <c r="A2642" s="1">
        <v>2640.0</v>
      </c>
      <c r="B2642" s="3" t="s">
        <v>2643</v>
      </c>
      <c r="C2642" s="3" t="str">
        <f>IFERROR(__xludf.DUMMYFUNCTION("GOOGLETRANSLATE(B2642,""id"",""en"")"),"['Assalamualaikum', 'user', 'card', 'tsel', 'complaint', 'network', 'tsel', 'stable', 'tends',' connectivity ',' Please ',' fix ',' Users', 'disappointed', 'Switch', 'card', 'trims']")</f>
        <v>['Assalamualaikum', 'user', 'card', 'tsel', 'complaint', 'network', 'tsel', 'stable', 'tends',' connectivity ',' Please ',' fix ',' Users', 'disappointed', 'Switch', 'card', 'trims']</v>
      </c>
      <c r="D2642" s="3">
        <v>2.0</v>
      </c>
    </row>
    <row r="2643" ht="15.75" customHeight="1">
      <c r="A2643" s="1">
        <v>2641.0</v>
      </c>
      <c r="B2643" s="3" t="s">
        <v>2644</v>
      </c>
      <c r="C2643" s="3" t="str">
        <f>IFERROR(__xludf.DUMMYFUNCTION("GOOGLETRANSLATE(B2643,""id"",""en"")"),"['love', 'love', 'star', 'package', 'expensive', 'exorbitant', 'network', 'plump', 'garden', 'animal', 'right', ' lag ',' bngat ',' play ',' game ',' ']")</f>
        <v>['love', 'love', 'star', 'package', 'expensive', 'exorbitant', 'network', 'plump', 'garden', 'animal', 'right', ' lag ',' bngat ',' play ',' game ',' ']</v>
      </c>
      <c r="D2643" s="3">
        <v>1.0</v>
      </c>
    </row>
    <row r="2644" ht="15.75" customHeight="1">
      <c r="A2644" s="1">
        <v>2642.0</v>
      </c>
      <c r="B2644" s="3" t="s">
        <v>2645</v>
      </c>
      <c r="C2644" s="3" t="str">
        <f>IFERROR(__xludf.DUMMYFUNCTION("GOOGLETRANSLATE(B2644,""id"",""en"")"),"['Provider', 'Local', 'Rich', 'Trash', 'Credit', 'Stay', 'Thousand', 'Pas', 'Quota', 'Thinking', 'Buy', 'Thinking' Enter ',' wrong ',' pressure ',' subscribe ',' banner ',' idiot ',' entry ',' subscribe ',' until ',' buy ',' quota ',' to 'first' , 'UDH', "&amp;"'count', 'money', 'eaten', 'provider', 'easy', 'blessing', 'eat', 'sampe', 'child', 'grandchild', 'disease']")</f>
        <v>['Provider', 'Local', 'Rich', 'Trash', 'Credit', 'Stay', 'Thousand', 'Pas', 'Quota', 'Thinking', 'Buy', 'Thinking' Enter ',' wrong ',' pressure ',' subscribe ',' banner ',' idiot ',' entry ',' subscribe ',' until ',' buy ',' quota ',' to 'first' , 'UDH', 'count', 'money', 'eaten', 'provider', 'easy', 'blessing', 'eat', 'sampe', 'child', 'grandchild', 'disease']</v>
      </c>
      <c r="D2644" s="3">
        <v>1.0</v>
      </c>
    </row>
    <row r="2645" ht="15.75" customHeight="1">
      <c r="A2645" s="1">
        <v>2643.0</v>
      </c>
      <c r="B2645" s="3" t="s">
        <v>2646</v>
      </c>
      <c r="C2645" s="3" t="str">
        <f>IFERROR(__xludf.DUMMYFUNCTION("GOOGLETRANSLATE(B2645,""id"",""en"")"),"['Mulu', 'ping it', 'play', 'game', 'already', 'contact', 'times',' ngebar ',' gini ',' provider ',' best ',' TKP ',' prove']")</f>
        <v>['Mulu', 'ping it', 'play', 'game', 'already', 'contact', 'times',' ngebar ',' gini ',' provider ',' best ',' TKP ',' prove']</v>
      </c>
      <c r="D2645" s="3">
        <v>1.0</v>
      </c>
    </row>
    <row r="2646" ht="15.75" customHeight="1">
      <c r="A2646" s="1">
        <v>2644.0</v>
      </c>
      <c r="B2646" s="3" t="s">
        <v>2647</v>
      </c>
      <c r="C2646" s="3" t="str">
        <f>IFERROR(__xludf.DUMMYFUNCTION("GOOGLETRANSLATE(B2646,""id"",""en"")"),"['use', 'Telkomsel', 'signal', 'stable', 'match', 'really', 'world', 'marketing', 'use', 'application', 'Telkomsel', 'easy', ' Say ',' Thank you ',' Telkomsel ',' Share ',' Voucher ',' King ',' Burger ',' Yesterday ',' Lusa ',' staple ',' Satisfied ']")</f>
        <v>['use', 'Telkomsel', 'signal', 'stable', 'match', 'really', 'world', 'marketing', 'use', 'application', 'Telkomsel', 'easy', ' Say ',' Thank you ',' Telkomsel ',' Share ',' Voucher ',' King ',' Burger ',' Yesterday ',' Lusa ',' staple ',' Satisfied ']</v>
      </c>
      <c r="D2646" s="3">
        <v>5.0</v>
      </c>
    </row>
    <row r="2647" ht="15.75" customHeight="1">
      <c r="A2647" s="1">
        <v>2645.0</v>
      </c>
      <c r="B2647" s="3" t="s">
        <v>2648</v>
      </c>
      <c r="C2647" s="3" t="str">
        <f>IFERROR(__xludf.DUMMYFUNCTION("GOOGLETRANSLATE(B2647,""id"",""en"")"),"['Mohoon', 'application', 'MyTelkomsel', 'Boohon', 'told', 'download', 'plsa', 'yeast', 'download', 'pulses', ""]")</f>
        <v>['Mohoon', 'application', 'MyTelkomsel', 'Boohon', 'told', 'download', 'plsa', 'yeast', 'download', 'pulses', "]</v>
      </c>
      <c r="D2647" s="3">
        <v>1.0</v>
      </c>
    </row>
    <row r="2648" ht="15.75" customHeight="1">
      <c r="A2648" s="1">
        <v>2646.0</v>
      </c>
      <c r="B2648" s="3" t="s">
        <v>2649</v>
      </c>
      <c r="C2648" s="3" t="str">
        <f>IFERROR(__xludf.DUMMYFUNCTION("GOOGLETRANSLATE(B2648,""id"",""en"")"),"['Telkomsel', 'bururkkkkkkkkkkk', 'especially', 'at the time', 'promo', 'already', 'contents',' pls', 'buy', 'package', 'right', 'buy', ' Repaired ',' Mbakkk ',' Massss', 'Hbis',' Think ',' Jga ',' Buy ',' PKT ',' Daily ',' MB ',' Price ',' RB ',' JRGN ' "&amp;", 'Next', 'MAH', 'RB', 'UDH', 'GB', 'GB', 'HR', 'wkwkwkwk']")</f>
        <v>['Telkomsel', 'bururkkkkkkkkkkk', 'especially', 'at the time', 'promo', 'already', 'contents',' pls', 'buy', 'package', 'right', 'buy', ' Repaired ',' Mbakkk ',' Massss', 'Hbis',' Think ',' Jga ',' Buy ',' PKT ',' Daily ',' MB ',' Price ',' RB ',' JRGN ' , 'Next', 'MAH', 'RB', 'UDH', 'GB', 'GB', 'HR', 'wkwkwkwk']</v>
      </c>
      <c r="D2648" s="3">
        <v>1.0</v>
      </c>
    </row>
    <row r="2649" ht="15.75" customHeight="1">
      <c r="A2649" s="1">
        <v>2647.0</v>
      </c>
      <c r="B2649" s="3" t="s">
        <v>2650</v>
      </c>
      <c r="C2649" s="3" t="str">
        <f>IFERROR(__xludf.DUMMYFUNCTION("GOOGLETRANSLATE(B2649,""id"",""en"")"),"['application', 'already', 'good', 'promo', 'interesting', 'offered', 'in it', 'disappointed', 'point', 'bug', 'sometimes',' entry ',' Application ',' Login ',' Login ',' Points', 'Collect', 'Blank', 'Please', 'Repaired', 'Hope', 'Improvement', 'Points', "&amp;"""]")</f>
        <v>['application', 'already', 'good', 'promo', 'interesting', 'offered', 'in it', 'disappointed', 'point', 'bug', 'sometimes',' entry ',' Application ',' Login ',' Login ',' Points', 'Collect', 'Blank', 'Please', 'Repaired', 'Hope', 'Improvement', 'Points', "]</v>
      </c>
      <c r="D2649" s="3">
        <v>4.0</v>
      </c>
    </row>
    <row r="2650" ht="15.75" customHeight="1">
      <c r="A2650" s="1">
        <v>2648.0</v>
      </c>
      <c r="B2650" s="3" t="s">
        <v>2651</v>
      </c>
      <c r="C2650" s="3" t="str">
        <f>IFERROR(__xludf.DUMMYFUNCTION("GOOGLETRANSLATE(B2650,""id"",""en"")"),"['Please', 'Features', 'Key', 'Credit', 'Quota', 'Forgotten', 'Turn on', 'Data', 'Internet', 'Credit', 'Cut "",' Very ',' forgetfulness', 'turn on', 'data', 'internet', 'pulse', 'wasted', 'vain', 'vain', 'please', 'really', 'features',' kayak ',' ']")</f>
        <v>['Please', 'Features', 'Key', 'Credit', 'Quota', 'Forgotten', 'Turn on', 'Data', 'Internet', 'Credit', 'Cut ",' Very ',' forgetfulness', 'turn on', 'data', 'internet', 'pulse', 'wasted', 'vain', 'vain', 'please', 'really', 'features',' kayak ',' ']</v>
      </c>
      <c r="D2650" s="3">
        <v>3.0</v>
      </c>
    </row>
    <row r="2651" ht="15.75" customHeight="1">
      <c r="A2651" s="1">
        <v>2649.0</v>
      </c>
      <c r="B2651" s="3" t="s">
        <v>2652</v>
      </c>
      <c r="C2651" s="3" t="str">
        <f>IFERROR(__xludf.DUMMYFUNCTION("GOOGLETRANSLATE(B2651,""id"",""en"")"),"['Hallo', 'Telkomsel', 'The application', 'Sewot', 'Mulu', 'already', 'Hank', 'Hank', 'Mulu', 'Please', 'Donk', 'Fix', ' Users', 'comfortable', '']")</f>
        <v>['Hallo', 'Telkomsel', 'The application', 'Sewot', 'Mulu', 'already', 'Hank', 'Hank', 'Mulu', 'Please', 'Donk', 'Fix', ' Users', 'comfortable', '']</v>
      </c>
      <c r="D2651" s="3">
        <v>5.0</v>
      </c>
    </row>
    <row r="2652" ht="15.75" customHeight="1">
      <c r="A2652" s="1">
        <v>2650.0</v>
      </c>
      <c r="B2652" s="3" t="s">
        <v>2653</v>
      </c>
      <c r="C2652" s="3" t="str">
        <f>IFERROR(__xludf.DUMMYFUNCTION("GOOGLETRANSLATE(B2652,""id"",""en"")"),"['How', 'Sihhh', 'Get', 'SMS', 'Telkomsel', 'Donload', 'MyTelkomsel', 'Get', 'Credit', 'Rb', 'Donlod', 'Wait', ' TTP ',' Get ',' GMN ',' Boong ', ""]")</f>
        <v>['How', 'Sihhh', 'Get', 'SMS', 'Telkomsel', 'Donload', 'MyTelkomsel', 'Get', 'Credit', 'Rb', 'Donlod', 'Wait', ' TTP ',' Get ',' GMN ',' Boong ', "]</v>
      </c>
      <c r="D2652" s="3">
        <v>3.0</v>
      </c>
    </row>
    <row r="2653" ht="15.75" customHeight="1">
      <c r="A2653" s="1">
        <v>2651.0</v>
      </c>
      <c r="B2653" s="3" t="s">
        <v>2654</v>
      </c>
      <c r="C2653" s="3" t="str">
        <f>IFERROR(__xludf.DUMMYFUNCTION("GOOGLETRANSLATE(B2653,""id"",""en"")"),"['Telkomsel', 'expensive', 'network', 'smooth', 'Indonesia', 'remote', 'Indonesian citizen', 'use', 'card', 'Telkomsel', 'people', 'Indonesia', ' Must ',' Mandatory ',' Use ',' Telkomsel ',' Special ',' Card ',' Family ',' Nelfon ',' SMS ', ""]")</f>
        <v>['Telkomsel', 'expensive', 'network', 'smooth', 'Indonesia', 'remote', 'Indonesian citizen', 'use', 'card', 'Telkomsel', 'people', 'Indonesia', ' Must ',' Mandatory ',' Use ',' Telkomsel ',' Special ',' Card ',' Family ',' Nelfon ',' SMS ', "]</v>
      </c>
      <c r="D2653" s="3">
        <v>5.0</v>
      </c>
    </row>
    <row r="2654" ht="15.75" customHeight="1">
      <c r="A2654" s="1">
        <v>2652.0</v>
      </c>
      <c r="B2654" s="3" t="s">
        <v>2655</v>
      </c>
      <c r="C2654" s="3" t="str">
        <f>IFERROR(__xludf.DUMMYFUNCTION("GOOGLETRANSLATE(B2654,""id"",""en"")"),"['strange', 'Points',' JDI ',' Stolen ',' SMA ',' Tickinks', 'PDAHL', 'RIGHT', 'DOORS', 'Use', 'Credit', 'Rb', ' Emank ',' prah ',' can ',' gift ',' point ',' point ',' jdi ',' notif ',' ckckc ']")</f>
        <v>['strange', 'Points',' JDI ',' Stolen ',' SMA ',' Tickinks', 'PDAHL', 'RIGHT', 'DOORS', 'Use', 'Credit', 'Rb', ' Emank ',' prah ',' can ',' gift ',' point ',' point ',' jdi ',' notif ',' ckckc ']</v>
      </c>
      <c r="D2654" s="3">
        <v>1.0</v>
      </c>
    </row>
    <row r="2655" ht="15.75" customHeight="1">
      <c r="A2655" s="1">
        <v>2653.0</v>
      </c>
      <c r="B2655" s="3" t="s">
        <v>2656</v>
      </c>
      <c r="C2655" s="3" t="str">
        <f>IFERROR(__xludf.DUMMYFUNCTION("GOOGLETRANSLATE(B2655,""id"",""en"")"),"['Original', 'Ribet', 'Grafari', 'Bring', 'KTP', 'parents',' person ',' then ',' person ',' struk ',' brought ',' rules', ' NGISIBETIN ',' LIKE ',' Bureaucracy ',' Ribet ',' Class', 'Telkomsel']")</f>
        <v>['Original', 'Ribet', 'Grafari', 'Bring', 'KTP', 'parents',' person ',' then ',' person ',' struk ',' brought ',' rules', ' NGISIBETIN ',' LIKE ',' Bureaucracy ',' Ribet ',' Class', 'Telkomsel']</v>
      </c>
      <c r="D2655" s="3">
        <v>1.0</v>
      </c>
    </row>
    <row r="2656" ht="15.75" customHeight="1">
      <c r="A2656" s="1">
        <v>2654.0</v>
      </c>
      <c r="B2656" s="3" t="s">
        <v>2657</v>
      </c>
      <c r="C2656" s="3" t="str">
        <f>IFERROR(__xludf.DUMMYFUNCTION("GOOGLETRANSLATE(B2656,""id"",""en"")"),"['Weather', 'bright', 'slow', 'bin', 'lemooot', 'cloud', 'rain', 'dead', 'lights',' fix ',' taste ',' life ',' disconnected ',' Signal ',' Signal ',' Stable ',' Kekup ',' Impossible ',' Provider ',' UDH ',' BYK ',' Ngeluh ',' TPI ',' TTEP ' , 'Change', 'N"&amp;"tahlah', 'KDG', 'MPE', 'Uring', 'Open', 'Whatever', 'Loading', 'Hopeless', ""]")</f>
        <v>['Weather', 'bright', 'slow', 'bin', 'lemooot', 'cloud', 'rain', 'dead', 'lights',' fix ',' taste ',' life ',' disconnected ',' Signal ',' Signal ',' Stable ',' Kekup ',' Impossible ',' Provider ',' UDH ',' BYK ',' Ngeluh ',' TPI ',' TTEP ' , 'Change', 'Ntahlah', 'KDG', 'MPE', 'Uring', 'Open', 'Whatever', 'Loading', 'Hopeless', "]</v>
      </c>
      <c r="D2656" s="3">
        <v>1.0</v>
      </c>
    </row>
    <row r="2657" ht="15.75" customHeight="1">
      <c r="A2657" s="1">
        <v>2655.0</v>
      </c>
      <c r="B2657" s="3" t="s">
        <v>2658</v>
      </c>
      <c r="C2657" s="3" t="str">
        <f>IFERROR(__xludf.DUMMYFUNCTION("GOOGLETRANSLATE(B2657,""id"",""en"")"),"['application', 'Telkomsel', 'makes it easy', 'check', 'quota', 'package', 'data', 'buy it', 'thank you', 'kmu', 'list', 'vtube', ' BLM ',' Seponsor ',' please ',' use ',' IDQ ',' Free ',' ']")</f>
        <v>['application', 'Telkomsel', 'makes it easy', 'check', 'quota', 'package', 'data', 'buy it', 'thank you', 'kmu', 'list', 'vtube', ' BLM ',' Seponsor ',' please ',' use ',' IDQ ',' Free ',' ']</v>
      </c>
      <c r="D2657" s="3">
        <v>5.0</v>
      </c>
    </row>
    <row r="2658" ht="15.75" customHeight="1">
      <c r="A2658" s="1">
        <v>2656.0</v>
      </c>
      <c r="B2658" s="3" t="s">
        <v>2659</v>
      </c>
      <c r="C2658" s="3" t="str">
        <f>IFERROR(__xludf.DUMMYFUNCTION("GOOGLETRANSLATE(B2658,""id"",""en"")"),"['', 'Take', 'credit', 'emergency', 'right', 'push', 'in', 'criteria', 'package', 'emergency', 'UDH', 'Lunasin', 'Package ',' emergency ',' take ']")</f>
        <v>['', 'Take', 'credit', 'emergency', 'right', 'push', 'in', 'criteria', 'package', 'emergency', 'UDH', 'Lunasin', 'Package ',' emergency ',' take ']</v>
      </c>
      <c r="D2658" s="3">
        <v>1.0</v>
      </c>
    </row>
    <row r="2659" ht="15.75" customHeight="1">
      <c r="A2659" s="1">
        <v>2657.0</v>
      </c>
      <c r="B2659" s="3" t="s">
        <v>2660</v>
      </c>
      <c r="C2659" s="3" t="str">
        <f>IFERROR(__xludf.DUMMYFUNCTION("GOOGLETRANSLATE(B2659,""id"",""en"")"),"['regret', 'Telkomsel', 'here', 'network', 'bad', 'bad', 'signal', 'Bags',' ping ',' stable ',' severe ',' TKP ',' Pahonjean ',' Majenang ',' Cilacap ',' Java ']")</f>
        <v>['regret', 'Telkomsel', 'here', 'network', 'bad', 'bad', 'signal', 'Bags',' ping ',' stable ',' severe ',' TKP ',' Pahonjean ',' Majenang ',' Cilacap ',' Java ']</v>
      </c>
      <c r="D2659" s="3">
        <v>1.0</v>
      </c>
    </row>
    <row r="2660" ht="15.75" customHeight="1">
      <c r="A2660" s="1">
        <v>2658.0</v>
      </c>
      <c r="B2660" s="3" t="s">
        <v>2661</v>
      </c>
      <c r="C2660" s="3" t="str">
        <f>IFERROR(__xludf.DUMMYFUNCTION("GOOGLETRANSLATE(B2660,""id"",""en"")"),"['Sorry', 'Star', 'Honest', 'Satisfied', 'Service', 'Telkomsel', 'Promo', 'GB', 'Price', 'Filling', 'reset', 'pulses',' try ',' buy ',' package ',' package ',' enter ',' pulse ',' harmed ',' hope ',' service ',' please ',' fix ']")</f>
        <v>['Sorry', 'Star', 'Honest', 'Satisfied', 'Service', 'Telkomsel', 'Promo', 'GB', 'Price', 'Filling', 'reset', 'pulses',' try ',' buy ',' package ',' package ',' enter ',' pulse ',' harmed ',' hope ',' service ',' please ',' fix ']</v>
      </c>
      <c r="D2660" s="3">
        <v>1.0</v>
      </c>
    </row>
    <row r="2661" ht="15.75" customHeight="1">
      <c r="A2661" s="1">
        <v>2659.0</v>
      </c>
      <c r="B2661" s="3" t="s">
        <v>2662</v>
      </c>
      <c r="C2661" s="3" t="str">
        <f>IFERROR(__xludf.DUMMYFUNCTION("GOOGLETRANSLATE(B2661,""id"",""en"")"),"['', 'Samsung', 'Application', 'Telkomsel', 'Open', 'Conflict', 'System', 'Samsung', 'Force', 'Close', 'Application', 'Samsung', 'Telkomsel ',' Tlng ',' repaired ']")</f>
        <v>['', 'Samsung', 'Application', 'Telkomsel', 'Open', 'Conflict', 'System', 'Samsung', 'Force', 'Close', 'Application', 'Samsung', 'Telkomsel ',' Tlng ',' repaired ']</v>
      </c>
      <c r="D2661" s="3">
        <v>2.0</v>
      </c>
    </row>
    <row r="2662" ht="15.75" customHeight="1">
      <c r="A2662" s="1">
        <v>2660.0</v>
      </c>
      <c r="B2662" s="3" t="s">
        <v>2663</v>
      </c>
      <c r="C2662" s="3" t="str">
        <f>IFERROR(__xludf.DUMMYFUNCTION("GOOGLETRANSLATE(B2662,""id"",""en"")"),"['Telkomsel', 'might', 'Severe', 'AJG', 'DLU', 'JRINGAN', 'PKE', 'Live', 'treaming', 'skrng', 'chatting', 'kdng', ' pnding ',' mulu ',' sngguh ',' muguh ',' udh ',' pling ',' expensive ',' mke ',' telkomsel ',' cave ',' suggest ',' mnding ',' pke ' , 'ope"&amp;"rator', '']")</f>
        <v>['Telkomsel', 'might', 'Severe', 'AJG', 'DLU', 'JRINGAN', 'PKE', 'Live', 'treaming', 'skrng', 'chatting', 'kdng', ' pnding ',' mulu ',' sngguh ',' muguh ',' udh ',' pling ',' expensive ',' mke ',' telkomsel ',' cave ',' suggest ',' mnding ',' pke ' , 'operator', '']</v>
      </c>
      <c r="D2662" s="3">
        <v>1.0</v>
      </c>
    </row>
    <row r="2663" ht="15.75" customHeight="1">
      <c r="A2663" s="1">
        <v>2661.0</v>
      </c>
      <c r="B2663" s="3" t="s">
        <v>2664</v>
      </c>
      <c r="C2663" s="3" t="str">
        <f>IFERROR(__xludf.DUMMYFUNCTION("GOOGLETRANSLATE(B2663,""id"",""en"")"),"['Signal', 'smkin', 'right', 'replace', 'really', 'enjoy', 'condition', 'signal', 'because', 'play', 'game', 'card', ' signal ',' severe ',' fill ',' pulse ',' pulse ',' sya ',' auto ',' sumps', 'please', 'repaired', 'signal']")</f>
        <v>['Signal', 'smkin', 'right', 'replace', 'really', 'enjoy', 'condition', 'signal', 'because', 'play', 'game', 'card', ' signal ',' severe ',' fill ',' pulse ',' pulse ',' sya ',' auto ',' sumps', 'please', 'repaired', 'signal']</v>
      </c>
      <c r="D2663" s="3">
        <v>1.0</v>
      </c>
    </row>
    <row r="2664" ht="15.75" customHeight="1">
      <c r="A2664" s="1">
        <v>2662.0</v>
      </c>
      <c r="B2664" s="3" t="s">
        <v>2665</v>
      </c>
      <c r="C2664" s="3" t="str">
        <f>IFERROR(__xludf.DUMMYFUNCTION("GOOGLETRANSLATE(B2664,""id"",""en"")"),"['here', 'slow', 'signal', 'kayak', 'change', 'card', 'fix', 'mentang', 'customer', 'slow', 'gini', ""]")</f>
        <v>['here', 'slow', 'signal', 'kayak', 'change', 'card', 'fix', 'mentang', 'customer', 'slow', 'gini', "]</v>
      </c>
      <c r="D2664" s="3">
        <v>1.0</v>
      </c>
    </row>
    <row r="2665" ht="15.75" customHeight="1">
      <c r="A2665" s="1">
        <v>2663.0</v>
      </c>
      <c r="B2665" s="3" t="s">
        <v>2666</v>
      </c>
      <c r="C2665" s="3" t="str">
        <f>IFERROR(__xludf.DUMMYFUNCTION("GOOGLETRANSLATE(B2665,""id"",""en"")"),"['Hopefully', 'Telkomsel', 'sophisticated', 'era', 'digitalization', 'congratulations', 'success', 'Telkomsel', ""]")</f>
        <v>['Hopefully', 'Telkomsel', 'sophisticated', 'era', 'digitalization', 'congratulations', 'success', 'Telkomsel', "]</v>
      </c>
      <c r="D2665" s="3">
        <v>5.0</v>
      </c>
    </row>
    <row r="2666" ht="15.75" customHeight="1">
      <c r="A2666" s="1">
        <v>2664.0</v>
      </c>
      <c r="B2666" s="3" t="s">
        <v>2667</v>
      </c>
      <c r="C2666" s="3" t="str">
        <f>IFERROR(__xludf.DUMMYFUNCTION("GOOGLETRANSLATE(B2666,""id"",""en"")"),"['Applied', 'oppressed', 'created', 'provider', 'class',' buy ',' package ',' difficult ',' check ',' connection ',' internet ',' that's', ' Until ',' Telkomsel ',' go bankrupt ',' according to ',' price ',' COK ',' ']")</f>
        <v>['Applied', 'oppressed', 'created', 'provider', 'class',' buy ',' package ',' difficult ',' check ',' connection ',' internet ',' that's', ' Until ',' Telkomsel ',' go bankrupt ',' according to ',' price ',' COK ',' ']</v>
      </c>
      <c r="D2666" s="3">
        <v>1.0</v>
      </c>
    </row>
    <row r="2667" ht="15.75" customHeight="1">
      <c r="A2667" s="1">
        <v>2665.0</v>
      </c>
      <c r="B2667" s="3" t="s">
        <v>2668</v>
      </c>
      <c r="C2667" s="3" t="str">
        <f>IFERROR(__xludf.DUMMYFUNCTION("GOOGLETRANSLATE(B2667,""id"",""en"")"),"['Telkomsel', 'Balikpapan', 'City', 'Down', 'Browsing', 'Pay', 'Expensive', 'Hello', 'Used', ""]")</f>
        <v>['Telkomsel', 'Balikpapan', 'City', 'Down', 'Browsing', 'Pay', 'Expensive', 'Hello', 'Used', "]</v>
      </c>
      <c r="D2667" s="3">
        <v>2.0</v>
      </c>
    </row>
    <row r="2668" ht="15.75" customHeight="1">
      <c r="A2668" s="1">
        <v>2666.0</v>
      </c>
      <c r="B2668" s="3" t="s">
        <v>2669</v>
      </c>
      <c r="C2668" s="3" t="str">
        <f>IFERROR(__xludf.DUMMYFUNCTION("GOOGLETRANSLATE(B2668,""id"",""en"")"),"['Disappointed', 'really', 'Telkomsel', 'Points',' missing ',' used ',' exchanged ',' collect ',' Points', 'Platinum', 'hope', 'exchanged', ' Package ',' Data ',' Points', 'Scorched', 'Where', 'Pliss',' Restore ',' Points', ""]")</f>
        <v>['Disappointed', 'really', 'Telkomsel', 'Points',' missing ',' used ',' exchanged ',' collect ',' Points', 'Platinum', 'hope', 'exchanged', ' Package ',' Data ',' Points', 'Scorched', 'Where', 'Pliss',' Restore ',' Points', "]</v>
      </c>
      <c r="D2668" s="3">
        <v>1.0</v>
      </c>
    </row>
    <row r="2669" ht="15.75" customHeight="1">
      <c r="A2669" s="1">
        <v>2667.0</v>
      </c>
      <c r="B2669" s="3" t="s">
        <v>2670</v>
      </c>
      <c r="C2669" s="3" t="str">
        <f>IFERROR(__xludf.DUMMYFUNCTION("GOOGLETRANSLATE(B2669,""id"",""en"")"),"['super', 'Lemod', 'network', 'operator', 'report', 'complaint', 'reply', 'Doang', 'Matin', 'Restar', 'Change', 'mode', ' Flights', 'Emng', 'Ngechas',' Matiin ',' Basiii ',' Telkom ',' repay ',' Jaringn ',' lie ',' PKE ',' card ',' Hello ',' use ' , 'TPI'"&amp;", 'Pay', 'Tetep', 'Nyeseeeell', ""]")</f>
        <v>['super', 'Lemod', 'network', 'operator', 'report', 'complaint', 'reply', 'Doang', 'Matin', 'Restar', 'Change', 'mode', ' Flights', 'Emng', 'Ngechas',' Matiin ',' Basiii ',' Telkom ',' repay ',' Jaringn ',' lie ',' PKE ',' card ',' Hello ',' use ' , 'TPI', 'Pay', 'Tetep', 'Nyeseeeell', "]</v>
      </c>
      <c r="D2669" s="3">
        <v>1.0</v>
      </c>
    </row>
    <row r="2670" ht="15.75" customHeight="1">
      <c r="A2670" s="1">
        <v>2668.0</v>
      </c>
      <c r="B2670" s="3" t="s">
        <v>2671</v>
      </c>
      <c r="C2670" s="3" t="str">
        <f>IFERROR(__xludf.DUMMYFUNCTION("GOOGLETRANSLATE(B2670,""id"",""en"")"),"['Provider', 'Signal', 'Lost', 'Nilution', 'Provider', 'Nomer', 'Provider', 'Best', 'Siyala', 'already', 'no', 'expensive', ' Choice ',' package ',' monthly ',' Please ',' Provoder ',' idiot ',' mind ',' signal ',' BURIK ',' clock ',' clock ', ""]")</f>
        <v>['Provider', 'Signal', 'Lost', 'Nilution', 'Provider', 'Nomer', 'Provider', 'Best', 'Siyala', 'already', 'no', 'expensive', ' Choice ',' package ',' monthly ',' Please ',' Provoder ',' idiot ',' mind ',' signal ',' BURIK ',' clock ',' clock ', "]</v>
      </c>
      <c r="D2670" s="3">
        <v>1.0</v>
      </c>
    </row>
    <row r="2671" ht="15.75" customHeight="1">
      <c r="A2671" s="1">
        <v>2669.0</v>
      </c>
      <c r="B2671" s="3" t="s">
        <v>2672</v>
      </c>
      <c r="C2671" s="3" t="str">
        <f>IFERROR(__xludf.DUMMYFUNCTION("GOOGLETRANSLATE(B2671,""id"",""en"")"),"['rating', 'appliations', 'clarity', 'consistency', 'see', 'application', 'brother', 'roli', 'program', ""]")</f>
        <v>['rating', 'appliations', 'clarity', 'consistency', 'see', 'application', 'brother', 'roli', 'program', "]</v>
      </c>
      <c r="D2671" s="3">
        <v>1.0</v>
      </c>
    </row>
    <row r="2672" ht="15.75" customHeight="1">
      <c r="A2672" s="1">
        <v>2670.0</v>
      </c>
      <c r="B2672" s="3" t="s">
        <v>2673</v>
      </c>
      <c r="C2672" s="3" t="str">
        <f>IFERROR(__xludf.DUMMYFUNCTION("GOOGLETRANSLATE(B2672,""id"",""en"")"),"['Disappointed', 'Telkomsel', 'buy', 'data', 'internet', 'internet', 'local', 'suits', 'location', 'purchase', ""]")</f>
        <v>['Disappointed', 'Telkomsel', 'buy', 'data', 'internet', 'internet', 'local', 'suits', 'location', 'purchase', "]</v>
      </c>
      <c r="D2672" s="3">
        <v>1.0</v>
      </c>
    </row>
    <row r="2673" ht="15.75" customHeight="1">
      <c r="A2673" s="1">
        <v>2671.0</v>
      </c>
      <c r="B2673" s="3" t="s">
        <v>2674</v>
      </c>
      <c r="C2673" s="3" t="str">
        <f>IFERROR(__xludf.DUMMYFUNCTION("GOOGLETRANSLATE(B2673,""id"",""en"")"),"['User', 'hope', 'Telkomsel', 'consistent', 'offer', 'promo', 'package', 'promo', 'missing', 'buy']")</f>
        <v>['User', 'hope', 'Telkomsel', 'consistent', 'offer', 'promo', 'package', 'promo', 'missing', 'buy']</v>
      </c>
      <c r="D2673" s="3">
        <v>3.0</v>
      </c>
    </row>
    <row r="2674" ht="15.75" customHeight="1">
      <c r="A2674" s="1">
        <v>2672.0</v>
      </c>
      <c r="B2674" s="3" t="s">
        <v>2675</v>
      </c>
      <c r="C2674" s="3" t="str">
        <f>IFERROR(__xludf.DUMMYFUNCTION("GOOGLETRANSLATE(B2674,""id"",""en"")"),"['Telkomsel', 'Buy', 'Package', 'Extra', 'Unlimited', 'Unlimited', 'YouTube', 'Data', 'Berries', 'Please', ""]")</f>
        <v>['Telkomsel', 'Buy', 'Package', 'Extra', 'Unlimited', 'Unlimited', 'YouTube', 'Data', 'Berries', 'Please', "]</v>
      </c>
      <c r="D2674" s="3">
        <v>2.0</v>
      </c>
    </row>
    <row r="2675" ht="15.75" customHeight="1">
      <c r="A2675" s="1">
        <v>2673.0</v>
      </c>
      <c r="B2675" s="3" t="s">
        <v>2676</v>
      </c>
      <c r="C2675" s="3" t="str">
        <f>IFERROR(__xludf.DUMMYFUNCTION("GOOGLETRANSLATE(B2675,""id"",""en"")"),"['Please', 'Sis',' Fix ',' Network ',' Region ',' Good ',' Signal ',' Like ',' Lost ',' Losing ',' Fire ',' Jambi ',' wrong', '']")</f>
        <v>['Please', 'Sis',' Fix ',' Network ',' Region ',' Good ',' Signal ',' Like ',' Lost ',' Losing ',' Fire ',' Jambi ',' wrong', '']</v>
      </c>
      <c r="D2675" s="3">
        <v>5.0</v>
      </c>
    </row>
    <row r="2676" ht="15.75" customHeight="1">
      <c r="A2676" s="1">
        <v>2674.0</v>
      </c>
      <c r="B2676" s="3" t="s">
        <v>2677</v>
      </c>
      <c r="C2676" s="3" t="str">
        <f>IFERROR(__xludf.DUMMYFUNCTION("GOOGLETRANSLATE(B2676,""id"",""en"")"),"['Original', 'Telkomsel', 'network', 'slow', 'bangeet', 'wonder', 'turn', 'quota', 'udh', 'stay', 'little', 'kenceng', ' really ',' turn ',' plus', 'quota', 'slow', 'hadeeeh', 'repay', 'sampe', 'customer', 'moved', 'provider']")</f>
        <v>['Original', 'Telkomsel', 'network', 'slow', 'bangeet', 'wonder', 'turn', 'quota', 'udh', 'stay', 'little', 'kenceng', ' really ',' turn ',' plus', 'quota', 'slow', 'hadeeeh', 'repay', 'sampe', 'customer', 'moved', 'provider']</v>
      </c>
      <c r="D2676" s="3">
        <v>1.0</v>
      </c>
    </row>
    <row r="2677" ht="15.75" customHeight="1">
      <c r="A2677" s="1">
        <v>2675.0</v>
      </c>
      <c r="B2677" s="3" t="s">
        <v>2678</v>
      </c>
      <c r="C2677" s="3" t="str">
        <f>IFERROR(__xludf.DUMMYFUNCTION("GOOGLETRANSLATE(B2677,""id"",""en"")"),"['please', 'quality', 'network', 'noticed', 'price', 'package', 'data', 'network', 'package', 'data', 'blabla', 'package', ' Data ',' Blabla ',' Quality ',' Network ',' Different ',' Looked ',' The Network ',' Fortune ',' Doang ',' Input ',' Thx ',' Telko"&amp;"msel ',' accompanied me ' ]")</f>
        <v>['please', 'quality', 'network', 'noticed', 'price', 'package', 'data', 'network', 'package', 'data', 'blabla', 'package', ' Data ',' Blabla ',' Quality ',' Network ',' Different ',' Looked ',' The Network ',' Fortune ',' Doang ',' Input ',' Thx ',' Telkomsel ',' accompanied me ' ]</v>
      </c>
      <c r="D2677" s="3">
        <v>5.0</v>
      </c>
    </row>
    <row r="2678" ht="15.75" customHeight="1">
      <c r="A2678" s="1">
        <v>2676.0</v>
      </c>
      <c r="B2678" s="3" t="s">
        <v>2679</v>
      </c>
      <c r="C2678" s="3" t="str">
        <f>IFERROR(__xludf.DUMMYFUNCTION("GOOGLETRANSLATE(B2678,""id"",""en"")"),"['Rip', 'Telkomsel', 'use', 'Telkomsel', 'skarang', 'disappointed', 'slow', 'severe', 'network', 'disconnected', 'watch', 'youtub', ' Buffering ',' Call ',' Call ',' Disconnected ',' Terms', 'Buy', 'Package', 'Change', 'Provider', 'Im', 'Current', 'Bye', "&amp;"'Telkomsel' ]")</f>
        <v>['Rip', 'Telkomsel', 'use', 'Telkomsel', 'skarang', 'disappointed', 'slow', 'severe', 'network', 'disconnected', 'watch', 'youtub', ' Buffering ',' Call ',' Call ',' Disconnected ',' Terms', 'Buy', 'Package', 'Change', 'Provider', 'Im', 'Current', 'Bye', 'Telkomsel' ]</v>
      </c>
      <c r="D2678" s="3">
        <v>1.0</v>
      </c>
    </row>
    <row r="2679" ht="15.75" customHeight="1">
      <c r="A2679" s="1">
        <v>2677.0</v>
      </c>
      <c r="B2679" s="3" t="s">
        <v>2680</v>
      </c>
      <c r="C2679" s="3" t="str">
        <f>IFERROR(__xludf.DUMMYFUNCTION("GOOGLETRANSLATE(B2679,""id"",""en"")"),"['gima', 'noon', 'upgrade', 'upgrade', 'signal', 'safe', 'play', 'game', 'smooth', 'lag', 'upgrade', 'signal', ' Disconnect ',' Connect ',' Severe ',' Play ',' Game ',' Lag ',' Already ',' Require ',' Buy ',' Data ',' Grahapari ',' Connection ',' Internet"&amp;" ' , 'Severe', 'emotion', 'coeg']")</f>
        <v>['gima', 'noon', 'upgrade', 'upgrade', 'signal', 'safe', 'play', 'game', 'smooth', 'lag', 'upgrade', 'signal', ' Disconnect ',' Connect ',' Severe ',' Play ',' Game ',' Lag ',' Already ',' Require ',' Buy ',' Data ',' Grahapari ',' Connection ',' Internet ' , 'Severe', 'emotion', 'coeg']</v>
      </c>
      <c r="D2679" s="3">
        <v>1.0</v>
      </c>
    </row>
    <row r="2680" ht="15.75" customHeight="1">
      <c r="A2680" s="1">
        <v>2678.0</v>
      </c>
      <c r="B2680" s="3" t="s">
        <v>2681</v>
      </c>
      <c r="C2680" s="3" t="str">
        <f>IFERROR(__xludf.DUMMYFUNCTION("GOOGLETRANSLATE(B2680,""id"",""en"")"),"['network', 'disruption', 'connection', 'disconnected', 'December', 'yesterday', 'difficult', 'open', 'application', 'android', 'Please', 'area', ' Kalimantan ',' Timur ',' Samarinda ']")</f>
        <v>['network', 'disruption', 'connection', 'disconnected', 'December', 'yesterday', 'difficult', 'open', 'application', 'android', 'Please', 'area', ' Kalimantan ',' Timur ',' Samarinda ']</v>
      </c>
      <c r="D2680" s="3">
        <v>3.0</v>
      </c>
    </row>
    <row r="2681" ht="15.75" customHeight="1">
      <c r="A2681" s="1">
        <v>2679.0</v>
      </c>
      <c r="B2681" s="3" t="s">
        <v>2682</v>
      </c>
      <c r="C2681" s="3" t="str">
        <f>IFERROR(__xludf.DUMMYFUNCTION("GOOGLETRANSLATE(B2681,""id"",""en"")"),"['Help', 'network', 'slow', 'Telkomsel', 'network', 'proof', 'signal', 'strong', 'really', 'clock', 'malem', 'emang', ' Stay up late ',' that's', 'Mending', 'buy', 'card', 'Kek', 'gini']")</f>
        <v>['Help', 'network', 'slow', 'Telkomsel', 'network', 'proof', 'signal', 'strong', 'really', 'clock', 'malem', 'emang', ' Stay up late ',' that's', 'Mending', 'buy', 'card', 'Kek', 'gini']</v>
      </c>
      <c r="D2681" s="3">
        <v>1.0</v>
      </c>
    </row>
    <row r="2682" ht="15.75" customHeight="1">
      <c r="A2682" s="1">
        <v>2680.0</v>
      </c>
      <c r="B2682" s="3" t="s">
        <v>2683</v>
      </c>
      <c r="C2682" s="3" t="str">
        <f>IFERROR(__xludf.DUMMYFUNCTION("GOOGLETRANSLATE(B2682,""id"",""en"")"),"['Disruption', 'continued', 'segini', 'good', 'connection', 'malahh', 'disorder', '']")</f>
        <v>['Disruption', 'continued', 'segini', 'good', 'connection', 'malahh', 'disorder', '']</v>
      </c>
      <c r="D2682" s="3">
        <v>1.0</v>
      </c>
    </row>
    <row r="2683" ht="15.75" customHeight="1">
      <c r="A2683" s="1">
        <v>2681.0</v>
      </c>
      <c r="B2683" s="3" t="s">
        <v>2684</v>
      </c>
      <c r="C2683" s="3" t="str">
        <f>IFERROR(__xludf.DUMMYFUNCTION("GOOGLETRANSLATE(B2683,""id"",""en"")"),"['Area', 'Sulawesi', 'Network', 'Telkomsel', 'forgiveness',' slow ',' really ',' unlimited ',' luck ',' card ',' tri ',' no ',' Telkomsel ',' time ',' data ',' Telkomsel ',' Bye ',' Bye ',' Telkomsel ']")</f>
        <v>['Area', 'Sulawesi', 'Network', 'Telkomsel', 'forgiveness',' slow ',' really ',' unlimited ',' luck ',' card ',' tri ',' no ',' Telkomsel ',' time ',' data ',' Telkomsel ',' Bye ',' Bye ',' Telkomsel ']</v>
      </c>
      <c r="D2683" s="3">
        <v>1.0</v>
      </c>
    </row>
    <row r="2684" ht="15.75" customHeight="1">
      <c r="A2684" s="1">
        <v>2682.0</v>
      </c>
      <c r="B2684" s="3" t="s">
        <v>2685</v>
      </c>
      <c r="C2684" s="3" t="str">
        <f>IFERROR(__xludf.DUMMYFUNCTION("GOOGLETRANSLATE(B2684,""id"",""en"")"),"['network', 'Telkomsel', 'expensive', 'good', 'lose', 'Telkomsel', 'work', 'mending', 'selling', 'foreign', 'service', 'good']")</f>
        <v>['network', 'Telkomsel', 'expensive', 'good', 'lose', 'Telkomsel', 'work', 'mending', 'selling', 'foreign', 'service', 'good']</v>
      </c>
      <c r="D2684" s="3">
        <v>5.0</v>
      </c>
    </row>
    <row r="2685" ht="15.75" customHeight="1">
      <c r="A2685" s="1">
        <v>2683.0</v>
      </c>
      <c r="B2685" s="3" t="s">
        <v>2686</v>
      </c>
      <c r="C2685" s="3" t="str">
        <f>IFERROR(__xludf.DUMMYFUNCTION("GOOGLETRANSLATE(B2685,""id"",""en"")"),"['Honest', 'Season', 'really', 'Telkomsel', 'use', 'Features',' Feronika ',' Just ',' Robot ',' Bales', 'It's better', 'Didunied', ' application ',' consultation ',' complicated ',' then ',' feature ',' vase ',' active ',' telephone ',' person ',' disorde"&amp;"r ',' mulu ',' lossii ',' pay ' , 'Gituan', 'Gaguna', 'Original', 'features', 'Useless']")</f>
        <v>['Honest', 'Season', 'really', 'Telkomsel', 'use', 'Features',' Feronika ',' Just ',' Robot ',' Bales', 'It's better', 'Didunied', ' application ',' consultation ',' complicated ',' then ',' feature ',' vase ',' active ',' telephone ',' person ',' disorder ',' mulu ',' lossii ',' pay ' , 'Gituan', 'Gaguna', 'Original', 'features', 'Useless']</v>
      </c>
      <c r="D2685" s="3">
        <v>1.0</v>
      </c>
    </row>
    <row r="2686" ht="15.75" customHeight="1">
      <c r="A2686" s="1">
        <v>2684.0</v>
      </c>
      <c r="B2686" s="3" t="s">
        <v>2687</v>
      </c>
      <c r="C2686" s="3" t="str">
        <f>IFERROR(__xludf.DUMMYFUNCTION("GOOGLETRANSLATE(B2686,""id"",""en"")"),"['Telkomsel', 'Feedah', 'cave', 'contents',' pulse ',' cave ',' check ',' empty ',' replace ',' peket ',' emergency ',' kpn ',' Pulak ',' data ',' Telkomsel ',' antah ',' debt ',' internet ',' sincere ',' world ',' hereafter ', ""]")</f>
        <v>['Telkomsel', 'Feedah', 'cave', 'contents',' pulse ',' cave ',' check ',' empty ',' replace ',' peket ',' emergency ',' kpn ',' Pulak ',' data ',' Telkomsel ',' antah ',' debt ',' internet ',' sincere ',' world ',' hereafter ', "]</v>
      </c>
      <c r="D2686" s="3">
        <v>1.0</v>
      </c>
    </row>
    <row r="2687" ht="15.75" customHeight="1">
      <c r="A2687" s="1">
        <v>2685.0</v>
      </c>
      <c r="B2687" s="3" t="s">
        <v>2688</v>
      </c>
      <c r="C2687" s="3" t="str">
        <f>IFERROR(__xludf.DUMMYFUNCTION("GOOGLETRANSLATE(B2687,""id"",""en"")"),"['th', 'customers',' loyal ',' Telkomsel ',' here ',' signal ',' Telkomsel ',' ugly ',' really ',' yaa ',' please ',' repaired ',' Filled ',' quota ',' send ',' video ',' status', 'failed', 'terozzz', 'open', 'youtobe', 'alsoaa', 'muter', 'network', 'Telk"&amp;"omsel' , 'Good', 'Come', 'Donk', 'Enhanced', 'Customer', 'Faithful', 'Telkomsel', 'Kabuuurrrr', 'Signal', 'Rich', 'Gini', 'mah', ' signal ',' already ',' good ',' ratting ',' ']")</f>
        <v>['th', 'customers',' loyal ',' Telkomsel ',' here ',' signal ',' Telkomsel ',' ugly ',' really ',' yaa ',' please ',' repaired ',' Filled ',' quota ',' send ',' video ',' status', 'failed', 'terozzz', 'open', 'youtobe', 'alsoaa', 'muter', 'network', 'Telkomsel' , 'Good', 'Come', 'Donk', 'Enhanced', 'Customer', 'Faithful', 'Telkomsel', 'Kabuuurrrr', 'Signal', 'Rich', 'Gini', 'mah', ' signal ',' already ',' good ',' ratting ',' ']</v>
      </c>
      <c r="D2687" s="3">
        <v>1.0</v>
      </c>
    </row>
    <row r="2688" ht="15.75" customHeight="1">
      <c r="A2688" s="1">
        <v>2686.0</v>
      </c>
      <c r="B2688" s="3" t="s">
        <v>2689</v>
      </c>
      <c r="C2688" s="3" t="str">
        <f>IFERROR(__xludf.DUMMYFUNCTION("GOOGLETRANSLATE(B2688,""id"",""en"")"),"['Love', 'Star', 'Disappointed', 'January', 'Package', 'OMG', 'Package', 'Call', 'Package', 'SLI', 'Package', 'internet', ' available ',' package ',' expensive ',' cheapest ',' package ',' combo ',' rb ',' mgu ',' sunggaguh ',' intangan ',' expensive ',' "&amp;"disappointed ',' Telkomsel ' ]")</f>
        <v>['Love', 'Star', 'Disappointed', 'January', 'Package', 'OMG', 'Package', 'Call', 'Package', 'SLI', 'Package', 'internet', ' available ',' package ',' expensive ',' cheapest ',' package ',' combo ',' rb ',' mgu ',' sunggaguh ',' intangan ',' expensive ',' disappointed ',' Telkomsel ' ]</v>
      </c>
      <c r="D2688" s="3">
        <v>1.0</v>
      </c>
    </row>
    <row r="2689" ht="15.75" customHeight="1">
      <c r="A2689" s="1">
        <v>2687.0</v>
      </c>
      <c r="B2689" s="3" t="s">
        <v>2690</v>
      </c>
      <c r="C2689" s="3" t="str">
        <f>IFERROR(__xludf.DUMMYFUNCTION("GOOGLETRANSLATE(B2689,""id"",""en"")"),"['promo', 'message', 'cheerful', 'get', 'GB', 'Try', 'SMS', 'Help', 'nil', 'reply', 'ngg', 'intention', ' Promo ',' no ',' gave ',' hope ',' dear ',' quata ',' bought ',' no ',' package ',' already ',' package ',' Telkomsel ',' expensive ' , 'Disappointed"&amp;"', 'Telkomsel']")</f>
        <v>['promo', 'message', 'cheerful', 'get', 'GB', 'Try', 'SMS', 'Help', 'nil', 'reply', 'ngg', 'intention', ' Promo ',' no ',' gave ',' hope ',' dear ',' quata ',' bought ',' no ',' package ',' already ',' package ',' Telkomsel ',' expensive ' , 'Disappointed', 'Telkomsel']</v>
      </c>
      <c r="D2689" s="3">
        <v>1.0</v>
      </c>
    </row>
    <row r="2690" ht="15.75" customHeight="1">
      <c r="A2690" s="1">
        <v>2688.0</v>
      </c>
      <c r="B2690" s="3" t="s">
        <v>2691</v>
      </c>
      <c r="C2690" s="3" t="str">
        <f>IFERROR(__xludf.DUMMYFUNCTION("GOOGLETRANSLATE(B2690,""id"",""en"")"),"['Telkomsel', 'buy', 'package', 'gamesmax', 'sumps',' quota ',' main ',' package ',' games', 'quota', 'finished', 'package', ' The games', 'function', 'please', 'Klok', 'Package', 'Game', 'Game', 'Jan', 'sided', 'main']")</f>
        <v>['Telkomsel', 'buy', 'package', 'gamesmax', 'sumps',' quota ',' main ',' package ',' games', 'quota', 'finished', 'package', ' The games', 'function', 'please', 'Klok', 'Package', 'Game', 'Game', 'Jan', 'sided', 'main']</v>
      </c>
      <c r="D2690" s="3">
        <v>1.0</v>
      </c>
    </row>
    <row r="2691" ht="15.75" customHeight="1">
      <c r="A2691" s="1">
        <v>2689.0</v>
      </c>
      <c r="B2691" s="3" t="s">
        <v>2692</v>
      </c>
      <c r="C2691" s="3" t="str">
        <f>IFERROR(__xludf.DUMMYFUNCTION("GOOGLETRANSLATE(B2691,""id"",""en"")"),"['Telkomsel', 'chaotic', 'already', 'Maakai', 'Telkomsel', 'already', 'yrs',' lbh ',' rates', 'ttp', 'expensive', 'can', ' Combo ',' Sakti ',' cheap ',' MLH ',' number ',' number ',' given ',' because ',' Nomer ',' already ',' already ',' replace ',' oper"&amp;"ator ' ]")</f>
        <v>['Telkomsel', 'chaotic', 'already', 'Maakai', 'Telkomsel', 'already', 'yrs',' lbh ',' rates', 'ttp', 'expensive', 'can', ' Combo ',' Sakti ',' cheap ',' MLH ',' number ',' number ',' given ',' because ',' Nomer ',' already ',' already ',' replace ',' operator ' ]</v>
      </c>
      <c r="D2691" s="3">
        <v>1.0</v>
      </c>
    </row>
    <row r="2692" ht="15.75" customHeight="1">
      <c r="A2692" s="1">
        <v>2690.0</v>
      </c>
      <c r="B2692" s="3" t="s">
        <v>2693</v>
      </c>
      <c r="C2692" s="3" t="str">
        <f>IFERROR(__xludf.DUMMYFUNCTION("GOOGLETRANSLATE(B2692,""id"",""en"")"),"['Contents',' pulse ',' clock ',' morning ',' application ',' payment ',' banking ',' until ',' afternoon ',' gini ',' pulses', 'enter', ' Contacted ',' BLM ',' Payment ',' Enter ',' Already ',' Success', 'Transfer', 'Lho', 'proof', 'Plus',' already ',' s"&amp;"ent ',' proof ' , 'Payment', 'cs',' Telkomsel ',' times', 'Digi', 'Telkomsel', 'told', 'Wait', 'Tomorrow', 'Urgen', 'How', 'Wooyyy', ' Bener ',' Bener ',' Disappointed ']")</f>
        <v>['Contents',' pulse ',' clock ',' morning ',' application ',' payment ',' banking ',' until ',' afternoon ',' gini ',' pulses', 'enter', ' Contacted ',' BLM ',' Payment ',' Enter ',' Already ',' Success', 'Transfer', 'Lho', 'proof', 'Plus',' already ',' sent ',' proof ' , 'Payment', 'cs',' Telkomsel ',' times', 'Digi', 'Telkomsel', 'told', 'Wait', 'Tomorrow', 'Urgen', 'How', 'Wooyyy', ' Bener ',' Bener ',' Disappointed ']</v>
      </c>
      <c r="D2692" s="3">
        <v>5.0</v>
      </c>
    </row>
    <row r="2693" ht="15.75" customHeight="1">
      <c r="A2693" s="1">
        <v>2691.0</v>
      </c>
      <c r="B2693" s="3" t="s">
        <v>2694</v>
      </c>
      <c r="C2693" s="3" t="str">
        <f>IFERROR(__xludf.DUMMYFUNCTION("GOOGLETRANSLATE(B2693,""id"",""en"")"),"['application', 'option', 'package', 'package', 'missing', 'menu', 'nanya', 'via', 'admin', 'told', 'clean', 'cache', ' Reinstall ',' application ',' SUCCESS ',' The next day ',' error ',' tip ',' tip ',' buy ',' quota ', ""]")</f>
        <v>['application', 'option', 'package', 'package', 'missing', 'menu', 'nanya', 'via', 'admin', 'told', 'clean', 'cache', ' Reinstall ',' application ',' SUCCESS ',' The next day ',' error ',' tip ',' tip ',' buy ',' quota ', "]</v>
      </c>
      <c r="D2693" s="3">
        <v>1.0</v>
      </c>
    </row>
    <row r="2694" ht="15.75" customHeight="1">
      <c r="A2694" s="1">
        <v>2692.0</v>
      </c>
      <c r="B2694" s="3" t="s">
        <v>2695</v>
      </c>
      <c r="C2694" s="3" t="str">
        <f>IFERROR(__xludf.DUMMYFUNCTION("GOOGLETRANSLATE(B2694,""id"",""en"")"),"['Telkomsel', 'plis',' deh ',' ngadain ',' promo ',' right ',' wktu ',' sms', 'bru', 'msuk', 'blg', 'promo', ' bru ',' list ',' pke ',' pulse ',' blg ',' promo ',' sad ',' really ',' cave ',' udh ',' make ',' telkomsel ',' annual ' , 'Msh', 'NMR', 'JRG', "&amp;"'DPT', 'PROMO', 'DPT', 'WKTU', 'SAD', '']")</f>
        <v>['Telkomsel', 'plis',' deh ',' ngadain ',' promo ',' right ',' wktu ',' sms', 'bru', 'msuk', 'blg', 'promo', ' bru ',' list ',' pke ',' pulse ',' blg ',' promo ',' sad ',' really ',' cave ',' udh ',' make ',' telkomsel ',' annual ' , 'Msh', 'NMR', 'JRG', 'DPT', 'PROMO', 'DPT', 'WKTU', 'SAD', '']</v>
      </c>
      <c r="D2694" s="3">
        <v>2.0</v>
      </c>
    </row>
    <row r="2695" ht="15.75" customHeight="1">
      <c r="A2695" s="1">
        <v>2693.0</v>
      </c>
      <c r="B2695" s="3" t="s">
        <v>2696</v>
      </c>
      <c r="C2695" s="3" t="str">
        <f>IFERROR(__xludf.DUMMYFUNCTION("GOOGLETRANSLATE(B2695,""id"",""en"")"),"['regret', 'update', 'right', 'update', 'dftar', 'purchase', 'promo', 'yesterday', 'buy', 'shop', 'regret', 'really']")</f>
        <v>['regret', 'update', 'right', 'update', 'dftar', 'purchase', 'promo', 'yesterday', 'buy', 'shop', 'regret', 'really']</v>
      </c>
      <c r="D2695" s="3">
        <v>1.0</v>
      </c>
    </row>
    <row r="2696" ht="15.75" customHeight="1">
      <c r="A2696" s="1">
        <v>2694.0</v>
      </c>
      <c r="B2696" s="3" t="s">
        <v>2697</v>
      </c>
      <c r="C2696" s="3" t="str">
        <f>IFERROR(__xludf.DUMMYFUNCTION("GOOGLETRANSLATE(B2696,""id"",""en"")"),"['Please', 'Kelurahan', 'Pulopadang', 'County', 'Labuhan', 'Stone', 'Sharing', 'PRUPANCE', 'Telkomsel', 'Stupid', 'Community', 'Ad', ' network ',' the widest ',' knapa ',' area ',' network ',' telkomsel ',' slow ',' times', 'network', 'widest', 'please', "&amp;"'fix it', 'district' , 'Labuhanbatu', 'Region', 'Pulo', 'Padang', 'Lingkan', 'Pertofayuan', 'Kecamatan', 'Rantau', 'North', '']")</f>
        <v>['Please', 'Kelurahan', 'Pulopadang', 'County', 'Labuhan', 'Stone', 'Sharing', 'PRUPANCE', 'Telkomsel', 'Stupid', 'Community', 'Ad', ' network ',' the widest ',' knapa ',' area ',' network ',' telkomsel ',' slow ',' times', 'network', 'widest', 'please', 'fix it', 'district' , 'Labuhanbatu', 'Region', 'Pulo', 'Padang', 'Lingkan', 'Pertofayuan', 'Kecamatan', 'Rantau', 'North', '']</v>
      </c>
      <c r="D2696" s="3">
        <v>1.0</v>
      </c>
    </row>
    <row r="2697" ht="15.75" customHeight="1">
      <c r="A2697" s="1">
        <v>2695.0</v>
      </c>
      <c r="B2697" s="3" t="s">
        <v>2698</v>
      </c>
      <c r="C2697" s="3" t="str">
        <f>IFERROR(__xludf.DUMMYFUNCTION("GOOGLETRANSLATE(B2697,""id"",""en"")"),"['right', 'enter', 'Lubur', 'Telkomsel', 'Do', 'block', 'mpadahal', 'holiday', 'pay', 'because' system, 'disorder', ' Pay ',' Toperation ',' Kek ',' Spend ',' Vacation ',' Pandemic ',' Goal's', 'Consumers',' Experience ',' Gangguan ',' Told ',' Profession"&amp;"al ',' Professional ' ]")</f>
        <v>['right', 'enter', 'Lubur', 'Telkomsel', 'Do', 'block', 'mpadahal', 'holiday', 'pay', 'because' system, 'disorder', ' Pay ',' Toperation ',' Kek ',' Spend ',' Vacation ',' Pandemic ',' Goal's', 'Consumers',' Experience ',' Gangguan ',' Told ',' Professional ',' Professional ' ]</v>
      </c>
      <c r="D2697" s="3">
        <v>1.0</v>
      </c>
    </row>
    <row r="2698" ht="15.75" customHeight="1">
      <c r="A2698" s="1">
        <v>2696.0</v>
      </c>
      <c r="B2698" s="3" t="s">
        <v>2699</v>
      </c>
      <c r="C2698" s="3" t="str">
        <f>IFERROR(__xludf.DUMMYFUNCTION("GOOGLETRANSLATE(B2698,""id"",""en"")"),"['apk', 'ugly', 'really', 'booong', 'hayuk', 'palepalepale']")</f>
        <v>['apk', 'ugly', 'really', 'booong', 'hayuk', 'palepalepale']</v>
      </c>
      <c r="D2698" s="3">
        <v>5.0</v>
      </c>
    </row>
    <row r="2699" ht="15.75" customHeight="1">
      <c r="A2699" s="1">
        <v>2697.0</v>
      </c>
      <c r="B2699" s="3" t="s">
        <v>2700</v>
      </c>
      <c r="C2699" s="3" t="str">
        <f>IFERROR(__xludf.DUMMYFUNCTION("GOOGLETRANSLATE(B2699,""id"",""en"")"),"['Telkomsel', 'Area', 'Sumatran', 'Signal', 'Labil', 'Please', 'Review', 'Enhanced', 'aspects',' Transmitter ',' Power ',' Responsibility ',' Strong ',' Jaya ',' Telkomsel ',' Indonesia ',' Thank ',' Love ', ""]")</f>
        <v>['Telkomsel', 'Area', 'Sumatran', 'Signal', 'Labil', 'Please', 'Review', 'Enhanced', 'aspects',' Transmitter ',' Power ',' Responsibility ',' Strong ',' Jaya ',' Telkomsel ',' Indonesia ',' Thank ',' Love ', "]</v>
      </c>
      <c r="D2699" s="3">
        <v>4.0</v>
      </c>
    </row>
    <row r="2700" ht="15.75" customHeight="1">
      <c r="A2700" s="1">
        <v>2698.0</v>
      </c>
      <c r="B2700" s="3" t="s">
        <v>2701</v>
      </c>
      <c r="C2700" s="3" t="str">
        <f>IFERROR(__xludf.DUMMYFUNCTION("GOOGLETRANSLATE(B2700,""id"",""en"")"),"['Tekomsel', 'signal', 'Kenceng', 'Different', 'Leading', 'Network', 'Consider', 'Use', 'Card', 'Telkomsel', 'People', 'Medium', ' As', 'run', 'Telkomsel', 'signal', 'slow', 'type', 'package', 'changed', 'stable', 'please', 'fix', 'system', 'Telkomsel' , "&amp;"'signal', 'fast', 'package', 'data', 'stable']")</f>
        <v>['Tekomsel', 'signal', 'Kenceng', 'Different', 'Leading', 'Network', 'Consider', 'Use', 'Card', 'Telkomsel', 'People', 'Medium', ' As', 'run', 'Telkomsel', 'signal', 'slow', 'type', 'package', 'changed', 'stable', 'please', 'fix', 'system', 'Telkomsel' , 'signal', 'fast', 'package', 'data', 'stable']</v>
      </c>
      <c r="D2700" s="3">
        <v>1.0</v>
      </c>
    </row>
    <row r="2701" ht="15.75" customHeight="1">
      <c r="A2701" s="1">
        <v>2699.0</v>
      </c>
      <c r="B2701" s="3" t="s">
        <v>2702</v>
      </c>
      <c r="C2701" s="3" t="str">
        <f>IFERROR(__xludf.DUMMYFUNCTION("GOOGLETRANSLATE(B2701,""id"",""en"")"),"['Disappointed', 'Telkomsel', 'buy', 'quota', 'lapse', 'youtube', 'pulse', 'mistake', 'sumps',' please ',' deh ',' repaired ',' Change ',' pulses', 'already', 'times',' ']")</f>
        <v>['Disappointed', 'Telkomsel', 'buy', 'quota', 'lapse', 'youtube', 'pulse', 'mistake', 'sumps',' please ',' deh ',' repaired ',' Change ',' pulses', 'already', 'times',' ']</v>
      </c>
      <c r="D2701" s="3">
        <v>2.0</v>
      </c>
    </row>
    <row r="2702" ht="15.75" customHeight="1">
      <c r="A2702" s="1">
        <v>2700.0</v>
      </c>
      <c r="B2702" s="3" t="s">
        <v>2703</v>
      </c>
      <c r="C2702" s="3" t="str">
        <f>IFERROR(__xludf.DUMMYFUNCTION("GOOGLETRANSLATE(B2702,""id"",""en"")"),"['Disappointed', 'Combo', 'Sakti', 'Eliminated', 'Males',' Buy ',' Package ',' Klau ',' Gini ',' then ',' Mending ',' Ber ',' Instead ',' use ',' card ',' omg ',' package ',' expensive ',' pairs', 'wifi', 'klau', 'rich', 'gini', 'then']")</f>
        <v>['Disappointed', 'Combo', 'Sakti', 'Eliminated', 'Males',' Buy ',' Package ',' Klau ',' Gini ',' then ',' Mending ',' Ber ',' Instead ',' use ',' card ',' omg ',' package ',' expensive ',' pairs', 'wifi', 'klau', 'rich', 'gini', 'then']</v>
      </c>
      <c r="D2702" s="3">
        <v>1.0</v>
      </c>
    </row>
    <row r="2703" ht="15.75" customHeight="1">
      <c r="A2703" s="1">
        <v>2701.0</v>
      </c>
      <c r="B2703" s="3" t="s">
        <v>2704</v>
      </c>
      <c r="C2703" s="3" t="str">
        <f>IFERROR(__xludf.DUMMYFUNCTION("GOOGLETRANSLATE(B2703,""id"",""en"")"),"['', 'gathering', 'stamp', 'stamp', 'already', 'redeem', 'quota', 'GB', 'right', 'check', 'removed', 'ashu', 'network ',' Kek ',' ashu ',' price ',' quota ',' expensive ',' expensive ',' pandemic ',' difficult ',' search ',' money ',' woy ',' hacker ', 'B"&amp;"obol', 'site', 'Telkomsel', 'down', 'price', 'down', 'better', 'deceived', 'so', 'buy', 'pulse', 'then' buy ',' quota ',' DIAPK ',' Telkomsel ',' sincere ',' Nurunin ',' price ',' That's', 'Woyyyy']")</f>
        <v>['', 'gathering', 'stamp', 'stamp', 'already', 'redeem', 'quota', 'GB', 'right', 'check', 'removed', 'ashu', 'network ',' Kek ',' ashu ',' price ',' quota ',' expensive ',' expensive ',' pandemic ',' difficult ',' search ',' money ',' woy ',' hacker ', 'Bobol', 'site', 'Telkomsel', 'down', 'price', 'down', 'better', 'deceived', 'so', 'buy', 'pulse', 'then' buy ',' quota ',' DIAPK ',' Telkomsel ',' sincere ',' Nurunin ',' price ',' That's', 'Woyyyy']</v>
      </c>
      <c r="D2703" s="3">
        <v>1.0</v>
      </c>
    </row>
    <row r="2704" ht="15.75" customHeight="1">
      <c r="A2704" s="1">
        <v>2702.0</v>
      </c>
      <c r="B2704" s="3" t="s">
        <v>2705</v>
      </c>
      <c r="C2704" s="3" t="str">
        <f>IFERROR(__xludf.DUMMYFUNCTION("GOOGLETRANSLATE(B2704,""id"",""en"")"),"['enter', 'application', 'Install', 'enter', 'enter', 'Delete', 'APK', 'Install', 'solution', ""]")</f>
        <v>['enter', 'application', 'Install', 'enter', 'enter', 'Delete', 'APK', 'Install', 'solution', "]</v>
      </c>
      <c r="D2704" s="3">
        <v>1.0</v>
      </c>
    </row>
    <row r="2705" ht="15.75" customHeight="1">
      <c r="A2705" s="1">
        <v>2703.0</v>
      </c>
      <c r="B2705" s="3" t="s">
        <v>2706</v>
      </c>
      <c r="C2705" s="3" t="str">
        <f>IFERROR(__xludf.DUMMYFUNCTION("GOOGLETRANSLATE(B2705,""id"",""en"")"),"['Help', 'troublesome', 'users',' deficiencies', 'click', 'selected', 'open', 'slow', 'saturated', 'as if', 'think', 'network', ' Good ',' network ',' Full ',' TPI ',' What's', 'Its',' Perfect ',' ']")</f>
        <v>['Help', 'troublesome', 'users',' deficiencies', 'click', 'selected', 'open', 'slow', 'saturated', 'as if', 'think', 'network', ' Good ',' network ',' Full ',' TPI ',' What's', 'Its',' Perfect ',' ']</v>
      </c>
      <c r="D2705" s="3">
        <v>5.0</v>
      </c>
    </row>
    <row r="2706" ht="15.75" customHeight="1">
      <c r="A2706" s="1">
        <v>2704.0</v>
      </c>
      <c r="B2706" s="3" t="s">
        <v>2707</v>
      </c>
      <c r="C2706" s="3" t="str">
        <f>IFERROR(__xludf.DUMMYFUNCTION("GOOGLETRANSLATE(B2706,""id"",""en"")"),"['like', 'application', 'MyTelkomsel', 'check', 'quota', 'direct', 'application', 'buy', 'package', 'data', 'thank', 'love', ' MyTelkomsel ',' ']")</f>
        <v>['like', 'application', 'MyTelkomsel', 'check', 'quota', 'direct', 'application', 'buy', 'package', 'data', 'thank', 'love', ' MyTelkomsel ',' ']</v>
      </c>
      <c r="D2706" s="3">
        <v>5.0</v>
      </c>
    </row>
    <row r="2707" ht="15.75" customHeight="1">
      <c r="A2707" s="1">
        <v>2705.0</v>
      </c>
      <c r="B2707" s="3" t="s">
        <v>2708</v>
      </c>
      <c r="C2707" s="3" t="str">
        <f>IFERROR(__xludf.DUMMYFUNCTION("GOOGLETRANSLATE(B2707,""id"",""en"")"),"['Severe', 'network', 'internet', 'slow', 'turn', 'contacted', 'improvement', 'network', 'handler', 'quality', 'network', 'internet', ' slow ',' slow ',' slow ',' snail ',' cs', 'no', 'use', 'assisted', 'that's',' doang ',' until ']")</f>
        <v>['Severe', 'network', 'internet', 'slow', 'turn', 'contacted', 'improvement', 'network', 'handler', 'quality', 'network', 'internet', ' slow ',' slow ',' slow ',' snail ',' cs', 'no', 'use', 'assisted', 'that's',' doang ',' until ']</v>
      </c>
      <c r="D2707" s="3">
        <v>1.0</v>
      </c>
    </row>
    <row r="2708" ht="15.75" customHeight="1">
      <c r="A2708" s="1">
        <v>2706.0</v>
      </c>
      <c r="B2708" s="3" t="s">
        <v>2709</v>
      </c>
      <c r="C2708" s="3" t="str">
        <f>IFERROR(__xludf.DUMMYFUNCTION("GOOGLETRANSLATE(B2708,""id"",""en"")"),"['Severe', 'network', 'Lemod', 'quota', 'ehh', 'love', 'quota', 'combo', 'automatic', 'provider', 'sucked', 'also', ' forcedaaa ',' Benr ',' Kecfaaaaaaa ']")</f>
        <v>['Severe', 'network', 'Lemod', 'quota', 'ehh', 'love', 'quota', 'combo', 'automatic', 'provider', 'sucked', 'also', ' forcedaaa ',' Benr ',' Kecfaaaaaaa ']</v>
      </c>
      <c r="D2708" s="3">
        <v>1.0</v>
      </c>
    </row>
    <row r="2709" ht="15.75" customHeight="1">
      <c r="A2709" s="1">
        <v>2707.0</v>
      </c>
      <c r="B2709" s="3" t="s">
        <v>2710</v>
      </c>
      <c r="C2709" s="3" t="str">
        <f>IFERROR(__xludf.DUMMYFUNCTION("GOOGLETRANSLATE(B2709,""id"",""en"")"),"['Application', 'Telkomsel', 'Helpful', 'Cool', 'Cheap', 'Commenting', 'Please', 'Unlimited', 'Extension', 'Comment', 'Thank you', ' ']")</f>
        <v>['Application', 'Telkomsel', 'Helpful', 'Cool', 'Cheap', 'Commenting', 'Please', 'Unlimited', 'Extension', 'Comment', 'Thank you', ' ']</v>
      </c>
      <c r="D2709" s="3">
        <v>5.0</v>
      </c>
    </row>
    <row r="2710" ht="15.75" customHeight="1">
      <c r="A2710" s="1">
        <v>2708.0</v>
      </c>
      <c r="B2710" s="3" t="s">
        <v>2711</v>
      </c>
      <c r="C2710" s="3" t="str">
        <f>IFERROR(__xludf.DUMMYFUNCTION("GOOGLETRANSLATE(B2710,""id"",""en"")"),"['Daily', 'Chekin', 'ilang', 'right', 'dkt', 'claim', 'prize', 'quota', 'GB', 'lgsg', 'ilang', 'daily', ' Chekinnya ',' Deliberate ',' Kah ',' Severe ',' Telkomsel ',' PHP ',' Bad ',' ']")</f>
        <v>['Daily', 'Chekin', 'ilang', 'right', 'dkt', 'claim', 'prize', 'quota', 'GB', 'lgsg', 'ilang', 'daily', ' Chekinnya ',' Deliberate ',' Kah ',' Severe ',' Telkomsel ',' PHP ',' Bad ',' ']</v>
      </c>
      <c r="D2710" s="3">
        <v>1.0</v>
      </c>
    </row>
    <row r="2711" ht="15.75" customHeight="1">
      <c r="A2711" s="1">
        <v>2709.0</v>
      </c>
      <c r="B2711" s="3" t="s">
        <v>2712</v>
      </c>
      <c r="C2711" s="3" t="str">
        <f>IFERROR(__xludf.DUMMYFUNCTION("GOOGLETRANSLATE(B2711,""id"",""en"")"),"['Telkomsel', 'pulse', 'sucked', 'network', 'slow', 'price', 'tense', 'buy', 'package', 'price', 'change', 'org', ' buy ',' as expensive ',' please ',' lower ',' price ',' jngan ',' changed ',' pulse ',' sucked ',' yaaaa ',' what ',' buy ',' quota ' , 'Cr"&amp;"edit', 'Stolen']")</f>
        <v>['Telkomsel', 'pulse', 'sucked', 'network', 'slow', 'price', 'tense', 'buy', 'package', 'price', 'change', 'org', ' buy ',' as expensive ',' please ',' lower ',' price ',' jngan ',' changed ',' pulse ',' sucked ',' yaaaa ',' what ',' buy ',' quota ' , 'Credit', 'Stolen']</v>
      </c>
      <c r="D2711" s="3">
        <v>1.0</v>
      </c>
    </row>
    <row r="2712" ht="15.75" customHeight="1">
      <c r="A2712" s="1">
        <v>2710.0</v>
      </c>
      <c r="B2712" s="3" t="s">
        <v>2713</v>
      </c>
      <c r="C2712" s="3" t="str">
        <f>IFERROR(__xludf.DUMMYFUNCTION("GOOGLETRANSLATE(B2712,""id"",""en"")"),"['App', 'bad', 'check', 'leftover', 'quota', 'login', 'what' do ',' try ',' login ',' mending ',' click ',' login ',' LSNG ',' enter ',' direction ',' SMS ',' Link ',' right ',' click ',' link ',' error ',' regret ',' gwe ',' yes', 'waist' , 'annoying', '"&amp;"Customer', 'Comfortable', 'Season', 'Sorry', 'Ane', 'Delete', 'App', 'Mending', ""]")</f>
        <v>['App', 'bad', 'check', 'leftover', 'quota', 'login', 'what' do ',' try ',' login ',' mending ',' click ',' login ',' LSNG ',' enter ',' direction ',' SMS ',' Link ',' right ',' click ',' link ',' error ',' regret ',' gwe ',' yes', 'waist' , 'annoying', 'Customer', 'Comfortable', 'Season', 'Sorry', 'Ane', 'Delete', 'App', 'Mending', "]</v>
      </c>
      <c r="D2712" s="3">
        <v>1.0</v>
      </c>
    </row>
    <row r="2713" ht="15.75" customHeight="1">
      <c r="A2713" s="1">
        <v>2711.0</v>
      </c>
      <c r="B2713" s="3" t="s">
        <v>2714</v>
      </c>
      <c r="C2713" s="3" t="str">
        <f>IFERROR(__xludf.DUMMYFUNCTION("GOOGLETRANSLATE(B2713,""id"",""en"")"),"['Min', 'The application', 'slow', 'loading', 'reset', 'Many', 'Changed', 'Display', 'Looks',' fast ',' application ',' Lola ',' Fix ',' Lola ',' Min ',' Application ',' Lola ',' Sinya ',' Full ', ""]")</f>
        <v>['Min', 'The application', 'slow', 'loading', 'reset', 'Many', 'Changed', 'Display', 'Looks',' fast ',' application ',' Lola ',' Fix ',' Lola ',' Min ',' Application ',' Lola ',' Sinya ',' Full ', "]</v>
      </c>
      <c r="D2713" s="3">
        <v>1.0</v>
      </c>
    </row>
    <row r="2714" ht="15.75" customHeight="1">
      <c r="A2714" s="1">
        <v>2712.0</v>
      </c>
      <c r="B2714" s="3" t="s">
        <v>2715</v>
      </c>
      <c r="C2714" s="3" t="str">
        <f>IFERROR(__xludf.DUMMYFUNCTION("GOOGLETRANSLATE(B2714,""id"",""en"")"),"['oath', 'disappointed', 'really', 'apk', 'cheats',' buy ',' package ',' unlimited ',' bln ',' then ',' Dmnta ',' Buy ',' Method ',' subscribe ',' BSA ',' a month ',' His writing ',' Really ',' Disappointed ',' Application ',' Fraudster ',' Thank you ', "&amp;"""]")</f>
        <v>['oath', 'disappointed', 'really', 'apk', 'cheats',' buy ',' package ',' unlimited ',' bln ',' then ',' Dmnta ',' Buy ',' Method ',' subscribe ',' BSA ',' a month ',' His writing ',' Really ',' Disappointed ',' Application ',' Fraudster ',' Thank you ', "]</v>
      </c>
      <c r="D2714" s="3">
        <v>1.0</v>
      </c>
    </row>
    <row r="2715" ht="15.75" customHeight="1">
      <c r="A2715" s="1">
        <v>2713.0</v>
      </c>
      <c r="B2715" s="3" t="s">
        <v>2716</v>
      </c>
      <c r="C2715" s="3" t="str">
        <f>IFERROR(__xludf.DUMMYFUNCTION("GOOGLETRANSLATE(B2715,""id"",""en"")"),"['downhill', 'drastissss',' disappointed ',' service ',' network ',' internet ',' please ',' donk ',' fast ',' fast ',' repaired ',' customer ',' Kaburrr ',' Trims']")</f>
        <v>['downhill', 'drastissss',' disappointed ',' service ',' network ',' internet ',' please ',' donk ',' fast ',' fast ',' repaired ',' customer ',' Kaburrr ',' Trims']</v>
      </c>
      <c r="D2715" s="3">
        <v>2.0</v>
      </c>
    </row>
    <row r="2716" ht="15.75" customHeight="1">
      <c r="A2716" s="1">
        <v>2714.0</v>
      </c>
      <c r="B2716" s="3" t="s">
        <v>2717</v>
      </c>
      <c r="C2716" s="3" t="str">
        <f>IFERROR(__xludf.DUMMYFUNCTION("GOOGLETRANSLATE(B2716,""id"",""en"")"),"['HLO', 'Telkomsel', 'skarang', 'lgi', 'use', 'internet', 'tsel', 'bad', 'location', 'kec', 'river', 'win', ' Bobah ',' Market ',' Traditional ',' Sumsel ',' Please ',' Improvement ',' ']")</f>
        <v>['HLO', 'Telkomsel', 'skarang', 'lgi', 'use', 'internet', 'tsel', 'bad', 'location', 'kec', 'river', 'win', ' Bobah ',' Market ',' Traditional ',' Sumsel ',' Please ',' Improvement ',' ']</v>
      </c>
      <c r="D2716" s="3">
        <v>1.0</v>
      </c>
    </row>
    <row r="2717" ht="15.75" customHeight="1">
      <c r="A2717" s="1">
        <v>2715.0</v>
      </c>
      <c r="B2717" s="3" t="s">
        <v>2718</v>
      </c>
      <c r="C2717" s="3" t="str">
        <f>IFERROR(__xludf.DUMMYFUNCTION("GOOGLETRANSLATE(B2717,""id"",""en"")"),"['hope', 'please', 'return', 'card', 'mode', 'loop', 'honest', 'shackled', 'sympathy', 'hello', ""]")</f>
        <v>['hope', 'please', 'return', 'card', 'mode', 'loop', 'honest', 'shackled', 'sympathy', 'hello', "]</v>
      </c>
      <c r="D2717" s="3">
        <v>1.0</v>
      </c>
    </row>
    <row r="2718" ht="15.75" customHeight="1">
      <c r="A2718" s="1">
        <v>2716.0</v>
      </c>
      <c r="B2718" s="3" t="s">
        <v>2719</v>
      </c>
      <c r="C2718" s="3" t="str">
        <f>IFERROR(__xludf.DUMMYFUNCTION("GOOGLETRANSLATE(B2718,""id"",""en"")"),"['subscription', 'Internet', 'Cut', 'Direct', 'Credit', 'Direct', 'Cut', 'Internet', 'Contents',' Credit ',' Rb ',' date ',' January ',' direct ',' enter ',' quota ',' internet ',' date ',' contents', 'rb', 'plan', 'package', 'telephone', 'enter', 'pulses"&amp;"' , 'Direct', 'Cut', 'Internet', 'quota', 'internet', 'a month', 'quota', 'use', 'a month', ""]")</f>
        <v>['subscription', 'Internet', 'Cut', 'Direct', 'Credit', 'Direct', 'Cut', 'Internet', 'Contents',' Credit ',' Rb ',' date ',' January ',' direct ',' enter ',' quota ',' internet ',' date ',' contents', 'rb', 'plan', 'package', 'telephone', 'enter', 'pulses' , 'Direct', 'Cut', 'Internet', 'quota', 'internet', 'a month', 'quota', 'use', 'a month', "]</v>
      </c>
      <c r="D2718" s="3">
        <v>1.0</v>
      </c>
    </row>
    <row r="2719" ht="15.75" customHeight="1">
      <c r="A2719" s="1">
        <v>2717.0</v>
      </c>
      <c r="B2719" s="3" t="s">
        <v>2720</v>
      </c>
      <c r="C2719" s="3" t="str">
        <f>IFERROR(__xludf.DUMMYFUNCTION("GOOGLETRANSLATE(B2719,""id"",""en"")"),"['Thank you', 'application', 'MyTelkomsel', 'Easy', 'check', 'quota', 'buy', 'quota', 'Please', 'the application', 'enhanced', 'because' because ' error ',' check ',' daily ',' times', 'missing', 'trimakasih']")</f>
        <v>['Thank you', 'application', 'MyTelkomsel', 'Easy', 'check', 'quota', 'buy', 'quota', 'Please', 'the application', 'enhanced', 'because' because ' error ',' check ',' daily ',' times', 'missing', 'trimakasih']</v>
      </c>
      <c r="D2719" s="3">
        <v>5.0</v>
      </c>
    </row>
    <row r="2720" ht="15.75" customHeight="1">
      <c r="A2720" s="1">
        <v>2718.0</v>
      </c>
      <c r="B2720" s="3" t="s">
        <v>2721</v>
      </c>
      <c r="C2720" s="3" t="str">
        <f>IFERROR(__xludf.DUMMYFUNCTION("GOOGLETRANSLATE(B2720,""id"",""en"")"),"['evil', 'Telkomsel', 'package', 'data', 'run out', 'directly', 'broke', 'connection', 'sucked', 'data', 'pulse', 'regular', ' the muahnya ',' gentungan ',' package ',' expensive ',' world ',' Telkomsel ',' ADL ',' BUMN ',' existence ',' prosperity ',' pe"&amp;"ople ',' engine ',' vacuum ' , 'Money', 'People', 'Maintain', 'number', 'SIM', 'Mat', 'card', '']")</f>
        <v>['evil', 'Telkomsel', 'package', 'data', 'run out', 'directly', 'broke', 'connection', 'sucked', 'data', 'pulse', 'regular', ' the muahnya ',' gentungan ',' package ',' expensive ',' world ',' Telkomsel ',' ADL ',' BUMN ',' existence ',' prosperity ',' people ',' engine ',' vacuum ' , 'Money', 'People', 'Maintain', 'number', 'SIM', 'Mat', 'card', '']</v>
      </c>
      <c r="D2720" s="3">
        <v>1.0</v>
      </c>
    </row>
    <row r="2721" ht="15.75" customHeight="1">
      <c r="A2721" s="1">
        <v>2719.0</v>
      </c>
      <c r="B2721" s="3" t="s">
        <v>2722</v>
      </c>
      <c r="C2721" s="3" t="str">
        <f>IFERROR(__xludf.DUMMYFUNCTION("GOOGLETRANSLATE(B2721,""id"",""en"")"),"['Telkomsel', 'expensive', 'network', 'Not bad', 'good', 'bad', 'RTO', 'network', 'like', 'missing', 'thank', ' Telkomsel ',' Service ',' Bad ',' ']")</f>
        <v>['Telkomsel', 'expensive', 'network', 'Not bad', 'good', 'bad', 'RTO', 'network', 'like', 'missing', 'thank', ' Telkomsel ',' Service ',' Bad ',' ']</v>
      </c>
      <c r="D2721" s="3">
        <v>1.0</v>
      </c>
    </row>
    <row r="2722" ht="15.75" customHeight="1">
      <c r="A2722" s="1">
        <v>2720.0</v>
      </c>
      <c r="B2722" s="3" t="s">
        <v>2723</v>
      </c>
      <c r="C2722" s="3" t="str">
        <f>IFERROR(__xludf.DUMMYFUNCTION("GOOGLETRANSLATE(B2722,""id"",""en"")"),"['Signal', 'Sometimes',' bad ',' quota ',' fast ',' run out ',' cook ',' a month ',' run out ',' user ',' hello ',' kartut ',' sell ',' card ',' sell ',' network ',' good ',' wasteful ',' penggener ',' hall ',' non ',' activate ',' according to ',' realit"&amp;"y ',' priority ' , 'Grapary', 'Tetep', 'Treatment', 'Queue', 'User', 'Card', 'Hallo', 'Need', 'Service', 'Different', 'Customer', 'What' Increase ',' user ',' service ',' good ',' ']")</f>
        <v>['Signal', 'Sometimes',' bad ',' quota ',' fast ',' run out ',' cook ',' a month ',' run out ',' user ',' hello ',' kartut ',' sell ',' card ',' sell ',' network ',' good ',' wasteful ',' penggener ',' hall ',' non ',' activate ',' according to ',' reality ',' priority ' , 'Grapary', 'Tetep', 'Treatment', 'Queue', 'User', 'Card', 'Hallo', 'Need', 'Service', 'Different', 'Customer', 'What' Increase ',' user ',' service ',' good ',' ']</v>
      </c>
      <c r="D2722" s="3">
        <v>1.0</v>
      </c>
    </row>
    <row r="2723" ht="15.75" customHeight="1">
      <c r="A2723" s="1">
        <v>2721.0</v>
      </c>
      <c r="B2723" s="3" t="s">
        <v>2724</v>
      </c>
      <c r="C2723" s="3" t="str">
        <f>IFERROR(__xludf.DUMMYFUNCTION("GOOGLETRANSLATE(B2723,""id"",""en"")"),"['Contents',' pulse ',' credit ',' LGSG ',' Cut ',' Credit ',' Emergency ',' PDHL ',' Make ',' Credit ',' Emergency ',' Complain ',' BRP ',' Solution ',' Points', 'Telkomsel', 'PDHL', 'BLM', '']")</f>
        <v>['Contents',' pulse ',' credit ',' LGSG ',' Cut ',' Credit ',' Emergency ',' PDHL ',' Make ',' Credit ',' Emergency ',' Complain ',' BRP ',' Solution ',' Points', 'Telkomsel', 'PDHL', 'BLM', '']</v>
      </c>
      <c r="D2723" s="3">
        <v>1.0</v>
      </c>
    </row>
    <row r="2724" ht="15.75" customHeight="1">
      <c r="A2724" s="1">
        <v>2722.0</v>
      </c>
      <c r="B2724" s="3" t="s">
        <v>2725</v>
      </c>
      <c r="C2724" s="3" t="str">
        <f>IFERROR(__xludf.DUMMYFUNCTION("GOOGLETRANSLATE(B2724,""id"",""en"")"),"['right', 'buy', 'package', 'connection', 'failed', 'pulses',' tip ',' pulse ',' scorched ',' finished ',' pulses', 'already', ' run out ',' connection ',' Lansung ',' smooth ',' told ',' contents', 'reset', 'pulse']")</f>
        <v>['right', 'buy', 'package', 'connection', 'failed', 'pulses',' tip ',' pulse ',' scorched ',' finished ',' pulses', 'already', ' run out ',' connection ',' Lansung ',' smooth ',' told ',' contents', 'reset', 'pulse']</v>
      </c>
      <c r="D2724" s="3">
        <v>1.0</v>
      </c>
    </row>
    <row r="2725" ht="15.75" customHeight="1">
      <c r="A2725" s="1">
        <v>2723.0</v>
      </c>
      <c r="B2725" s="3" t="s">
        <v>2726</v>
      </c>
      <c r="C2725" s="3" t="str">
        <f>IFERROR(__xludf.DUMMYFUNCTION("GOOGLETRANSLATE(B2725,""id"",""en"")"),"['application', 'simple', 'easy', 'process',' easy ',' trusted ',' check ',' pulse ',' quota ',' internet ',' price ',' cheap ',' affordable', '']")</f>
        <v>['application', 'simple', 'easy', 'process',' easy ',' trusted ',' check ',' pulse ',' quota ',' internet ',' price ',' cheap ',' affordable', '']</v>
      </c>
      <c r="D2725" s="3">
        <v>5.0</v>
      </c>
    </row>
    <row r="2726" ht="15.75" customHeight="1">
      <c r="A2726" s="1">
        <v>2724.0</v>
      </c>
      <c r="B2726" s="3" t="s">
        <v>2727</v>
      </c>
      <c r="C2726" s="3" t="str">
        <f>IFERROR(__xludf.DUMMYFUNCTION("GOOGLETRANSLATE(B2726,""id"",""en"")"),"['upgrade', 'slow', 'loading', 'bad', 'purchase', 'package', 'functioning', 'payment', 'shopeepay', 'upset', 'application', 'Telkomsel', ' Because ',' activate ',' data ',' buy ',' Melelaui ',' payment ',' Shopeepay ',' balance ',' Restore ',' ']")</f>
        <v>['upgrade', 'slow', 'loading', 'bad', 'purchase', 'package', 'functioning', 'payment', 'shopeepay', 'upset', 'application', 'Telkomsel', ' Because ',' activate ',' data ',' buy ',' Melelaui ',' payment ',' Shopeepay ',' balance ',' Restore ',' ']</v>
      </c>
      <c r="D2726" s="3">
        <v>2.0</v>
      </c>
    </row>
    <row r="2727" ht="15.75" customHeight="1">
      <c r="A2727" s="1">
        <v>2725.0</v>
      </c>
      <c r="B2727" s="3" t="s">
        <v>2728</v>
      </c>
      <c r="C2727" s="3" t="str">
        <f>IFERROR(__xludf.DUMMYFUNCTION("GOOGLETRANSLATE(B2727,""id"",""en"")"),"['Disappointed', 'Heavy', 'Points',' Collect ',' Lost ',' Use ',' Wonder ',' Exchange ',' Points', 'Package', 'Data', 'Use', ' pulse ',' kagak ',' exchange ',' point ',' purchase ',' pulse ']")</f>
        <v>['Disappointed', 'Heavy', 'Points',' Collect ',' Lost ',' Use ',' Wonder ',' Exchange ',' Points', 'Package', 'Data', 'Use', ' pulse ',' kagak ',' exchange ',' point ',' purchase ',' pulse ']</v>
      </c>
      <c r="D2727" s="3">
        <v>1.0</v>
      </c>
    </row>
    <row r="2728" ht="15.75" customHeight="1">
      <c r="A2728" s="1">
        <v>2726.0</v>
      </c>
      <c r="B2728" s="3" t="s">
        <v>2729</v>
      </c>
      <c r="C2728" s="3" t="str">
        <f>IFERROR(__xludf.DUMMYFUNCTION("GOOGLETRANSLATE(B2728,""id"",""en"")"),"['love', 'star', 'input', 'era', 'all-round', 'digital', 'application', 'Telkomsel', 'merut', 'lagging', 'payment', 'purchase', ' Credit ',' Package ',' Payment ',' Account ',' Electricity ',' Water ',' Payment ',' Tagiha ',' Do ',' Application ',' Name '"&amp;",' Loss', 'Loss' , 'love', 'star', '']")</f>
        <v>['love', 'star', 'input', 'era', 'all-round', 'digital', 'application', 'Telkomsel', 'merut', 'lagging', 'payment', 'purchase', ' Credit ',' Package ',' Payment ',' Account ',' Electricity ',' Water ',' Payment ',' Tagiha ',' Do ',' Application ',' Name ',' Loss', 'Loss' , 'love', 'star', '']</v>
      </c>
      <c r="D2728" s="3">
        <v>5.0</v>
      </c>
    </row>
    <row r="2729" ht="15.75" customHeight="1">
      <c r="A2729" s="1">
        <v>2727.0</v>
      </c>
      <c r="B2729" s="3" t="s">
        <v>2730</v>
      </c>
      <c r="C2729" s="3" t="str">
        <f>IFERROR(__xludf.DUMMYFUNCTION("GOOGLETRANSLATE(B2729,""id"",""en"")"),"['Yesterday', 'package', 'unlimited', 'stingy', 'times',' love ',' contents', 'pulse', 'minimal', 'rb', 'run out', 'package', ' GB ',' buy ',' maximum ',' rb ',' stingy ',' service ',' steady ',' disappointed ',' ']")</f>
        <v>['Yesterday', 'package', 'unlimited', 'stingy', 'times',' love ',' contents', 'pulse', 'minimal', 'rb', 'run out', 'package', ' GB ',' buy ',' maximum ',' rb ',' stingy ',' service ',' steady ',' disappointed ',' ']</v>
      </c>
      <c r="D2729" s="3">
        <v>1.0</v>
      </c>
    </row>
    <row r="2730" ht="15.75" customHeight="1">
      <c r="A2730" s="1">
        <v>2728.0</v>
      </c>
      <c r="B2730" s="3" t="s">
        <v>2731</v>
      </c>
      <c r="C2730" s="3" t="str">
        <f>IFERROR(__xludf.DUMMYFUNCTION("GOOGLETRANSLATE(B2730,""id"",""en"")"),"['Telkomsel', 'signal', 'emang', 'good', 'severe', 'connection', 'stable', 'network', 'slow', 'seiiring', 'run', 'improvement', ' Decrease ',' Boss', ""]")</f>
        <v>['Telkomsel', 'signal', 'emang', 'good', 'severe', 'connection', 'stable', 'network', 'slow', 'seiiring', 'run', 'improvement', ' Decrease ',' Boss', "]</v>
      </c>
      <c r="D2730" s="3">
        <v>2.0</v>
      </c>
    </row>
    <row r="2731" ht="15.75" customHeight="1">
      <c r="A2731" s="1">
        <v>2729.0</v>
      </c>
      <c r="B2731" s="3" t="s">
        <v>2732</v>
      </c>
      <c r="C2731" s="3" t="str">
        <f>IFERROR(__xludf.DUMMYFUNCTION("GOOGLETRANSLATE(B2731,""id"",""en"")"),"['Pay', 'Doang', 'expensive', 'network', 'lag', 'please', 'fix', 'rich', 'network', 'move', 'network', 'kerugan', ' Telkomsel ',' ']")</f>
        <v>['Pay', 'Doang', 'expensive', 'network', 'lag', 'please', 'fix', 'rich', 'network', 'move', 'network', 'kerugan', ' Telkomsel ',' ']</v>
      </c>
      <c r="D2731" s="3">
        <v>3.0</v>
      </c>
    </row>
    <row r="2732" ht="15.75" customHeight="1">
      <c r="A2732" s="1">
        <v>2730.0</v>
      </c>
      <c r="B2732" s="3" t="s">
        <v>2733</v>
      </c>
      <c r="C2732" s="3" t="str">
        <f>IFERROR(__xludf.DUMMYFUNCTION("GOOGLETRANSLATE(B2732,""id"",""en"")"),"['Telkomsel', 'The', 'Best', 'wherever', 'signal', 'remote', 'anywhere', 'forest', ""]")</f>
        <v>['Telkomsel', 'The', 'Best', 'wherever', 'signal', 'remote', 'anywhere', 'forest', "]</v>
      </c>
      <c r="D2732" s="3">
        <v>5.0</v>
      </c>
    </row>
    <row r="2733" ht="15.75" customHeight="1">
      <c r="A2733" s="1">
        <v>2731.0</v>
      </c>
      <c r="B2733" s="3" t="s">
        <v>2734</v>
      </c>
      <c r="C2733" s="3" t="str">
        <f>IFERROR(__xludf.DUMMYFUNCTION("GOOGLETRANSLATE(B2733,""id"",""en"")"),"['Signal', 'Tekomsel', 'Error', 'That's',' Klu ',' Dead ',' Lights', 'Signal', 'Telkomsel', 'Dead', 'Total', 'Kyk', ' Signal ',' Telkomsel ',' skrg ',' Signal ',' Telkomsel ',' error ',' loss', 'buy', 'quota', 'internet', 'bnyk', 'end', 'coakes' , '']")</f>
        <v>['Signal', 'Tekomsel', 'Error', 'That's',' Klu ',' Dead ',' Lights', 'Signal', 'Telkomsel', 'Dead', 'Total', 'Kyk', ' Signal ',' Telkomsel ',' skrg ',' Signal ',' Telkomsel ',' error ',' loss', 'buy', 'quota', 'internet', 'bnyk', 'end', 'coakes' , '']</v>
      </c>
      <c r="D2733" s="3">
        <v>1.0</v>
      </c>
    </row>
    <row r="2734" ht="15.75" customHeight="1">
      <c r="A2734" s="1">
        <v>2732.0</v>
      </c>
      <c r="B2734" s="3" t="s">
        <v>2735</v>
      </c>
      <c r="C2734" s="3" t="str">
        <f>IFERROR(__xludf.DUMMYFUNCTION("GOOGLETRANSLATE(B2734,""id"",""en"")"),"['hi', 'trlkomsel', 'signal', 'error', 'shopping', 'Telkomsel', 'economical', 'core', 'promotion', 'result', 'according to', 'promote', ' ']")</f>
        <v>['hi', 'trlkomsel', 'signal', 'error', 'shopping', 'Telkomsel', 'economical', 'core', 'promotion', 'result', 'according to', 'promote', ' ']</v>
      </c>
      <c r="D2734" s="3">
        <v>1.0</v>
      </c>
    </row>
    <row r="2735" ht="15.75" customHeight="1">
      <c r="A2735" s="1">
        <v>2733.0</v>
      </c>
      <c r="B2735" s="3" t="s">
        <v>2736</v>
      </c>
      <c r="C2735" s="3" t="str">
        <f>IFERROR(__xludf.DUMMYFUNCTION("GOOGLETRANSLATE(B2735,""id"",""en"")"),"['network', 'price', 'according to', 'expensive', 'doang', 'login', 'internet', 'severe', 'really', 'try', 'fix', 'disappointing', ' customer', '']")</f>
        <v>['network', 'price', 'according to', 'expensive', 'doang', 'login', 'internet', 'severe', 'really', 'try', 'fix', 'disappointing', ' customer', '']</v>
      </c>
      <c r="D2735" s="3">
        <v>1.0</v>
      </c>
    </row>
    <row r="2736" ht="15.75" customHeight="1">
      <c r="A2736" s="1">
        <v>2734.0</v>
      </c>
      <c r="B2736" s="3" t="s">
        <v>2737</v>
      </c>
      <c r="C2736" s="3" t="str">
        <f>IFERROR(__xludf.DUMMYFUNCTION("GOOGLETRANSLATE(B2736,""id"",""en"")"),"['balance', 'pulse', 'buy', 'package', 'entertainment', 'price', 'pulse', 'really', 'disappointed', 'please', 'explanation', ""]")</f>
        <v>['balance', 'pulse', 'buy', 'package', 'entertainment', 'price', 'pulse', 'really', 'disappointed', 'please', 'explanation', "]</v>
      </c>
      <c r="D2736" s="3">
        <v>1.0</v>
      </c>
    </row>
    <row r="2737" ht="15.75" customHeight="1">
      <c r="A2737" s="1">
        <v>2735.0</v>
      </c>
      <c r="B2737" s="3" t="s">
        <v>2738</v>
      </c>
      <c r="C2737" s="3" t="str">
        <f>IFERROR(__xludf.DUMMYFUNCTION("GOOGLETRANSLATE(B2737,""id"",""en"")"),"['Min', 'complain', 'skrg', 'active', 'card', 'fast', 'contents',' credit ',' active ',' Please ',' sorry ',' like ',' System ',' ']")</f>
        <v>['Min', 'complain', 'skrg', 'active', 'card', 'fast', 'contents',' credit ',' active ',' Please ',' sorry ',' like ',' System ',' ']</v>
      </c>
      <c r="D2737" s="3">
        <v>1.0</v>
      </c>
    </row>
    <row r="2738" ht="15.75" customHeight="1">
      <c r="A2738" s="1">
        <v>2736.0</v>
      </c>
      <c r="B2738" s="3" t="s">
        <v>2739</v>
      </c>
      <c r="C2738" s="3" t="str">
        <f>IFERROR(__xludf.DUMMYFUNCTION("GOOGLETRANSLATE(B2738,""id"",""en"")"),"['signal', 'ugly', 'stable', 'student', 'troublesome', 'lost', 'signal', 'change', 'provider', ""]")</f>
        <v>['signal', 'ugly', 'stable', 'student', 'troublesome', 'lost', 'signal', 'change', 'provider', "]</v>
      </c>
      <c r="D2738" s="3">
        <v>1.0</v>
      </c>
    </row>
    <row r="2739" ht="15.75" customHeight="1">
      <c r="A2739" s="1">
        <v>2737.0</v>
      </c>
      <c r="B2739" s="3" t="s">
        <v>2740</v>
      </c>
      <c r="C2739" s="3" t="str">
        <f>IFERROR(__xludf.DUMMYFUNCTION("GOOGLETRANSLATE(B2739,""id"",""en"")"),"['The application', 'help', 'customer', 'application', 'made', 'hot', 'like', 'ngeclose', 'right', 'open', 'slow', 'help', ' Customers', 'broken', 'sorry', 'hope', 'improvement', 'experience', 'until', 'improvement', ""]")</f>
        <v>['The application', 'help', 'customer', 'application', 'made', 'hot', 'like', 'ngeclose', 'right', 'open', 'slow', 'help', ' Customers', 'broken', 'sorry', 'hope', 'improvement', 'experience', 'until', 'improvement', "]</v>
      </c>
      <c r="D2739" s="3">
        <v>1.0</v>
      </c>
    </row>
    <row r="2740" ht="15.75" customHeight="1">
      <c r="A2740" s="1">
        <v>2738.0</v>
      </c>
      <c r="B2740" s="3" t="s">
        <v>2741</v>
      </c>
      <c r="C2740" s="3" t="str">
        <f>IFERROR(__xludf.DUMMYFUNCTION("GOOGLETRANSLATE(B2740,""id"",""en"")"),"['Please', 'Benerin', 'Quality', 'Sousal', 'Satisfied', 'Quality', 'Sousal', 'Disorders',' Disorders', 'Feel', 'Play', 'Game', ' Open ',' APK ',' Social ',' Media ',' ']")</f>
        <v>['Please', 'Benerin', 'Quality', 'Sousal', 'Satisfied', 'Quality', 'Sousal', 'Disorders',' Disorders', 'Feel', 'Play', 'Game', ' Open ',' APK ',' Social ',' Media ',' ']</v>
      </c>
      <c r="D2740" s="3">
        <v>1.0</v>
      </c>
    </row>
    <row r="2741" ht="15.75" customHeight="1">
      <c r="A2741" s="1">
        <v>2739.0</v>
      </c>
      <c r="B2741" s="3" t="s">
        <v>2742</v>
      </c>
      <c r="C2741" s="3" t="str">
        <f>IFERROR(__xludf.DUMMYFUNCTION("GOOGLETRANSLATE(B2741,""id"",""en"")"),"['Duh', 'severe', 'sympathy', 'pulse', 'sucked', 'run out', 'open', 'acculy', 'minute', 'pulse', 'directly', 'Ludes',' quota ',' internet ',' disappointed ']")</f>
        <v>['Duh', 'severe', 'sympathy', 'pulse', 'sucked', 'run out', 'open', 'acculy', 'minute', 'pulse', 'directly', 'Ludes',' quota ',' internet ',' disappointed ']</v>
      </c>
      <c r="D2741" s="3">
        <v>2.0</v>
      </c>
    </row>
    <row r="2742" ht="15.75" customHeight="1">
      <c r="A2742" s="1">
        <v>2740.0</v>
      </c>
      <c r="B2742" s="3" t="s">
        <v>2743</v>
      </c>
      <c r="C2742" s="3" t="str">
        <f>IFERROR(__xludf.DUMMYFUNCTION("GOOGLETRANSLATE(B2742,""id"",""en"")"),"['application', 'makes it easier', 'leftover', 'pulse', 'quota', 'active', 'card', 'package', 'data', 'buy', 'package', 'kuotatanpa', ' Hang out ',' Contact ',' Operator ',' Rub ',' Voucher ',' ']")</f>
        <v>['application', 'makes it easier', 'leftover', 'pulse', 'quota', 'active', 'card', 'package', 'data', 'buy', 'package', 'kuotatanpa', ' Hang out ',' Contact ',' Operator ',' Rub ',' Voucher ',' ']</v>
      </c>
      <c r="D2742" s="3">
        <v>5.0</v>
      </c>
    </row>
    <row r="2743" ht="15.75" customHeight="1">
      <c r="A2743" s="1">
        <v>2741.0</v>
      </c>
      <c r="B2743" s="3" t="s">
        <v>2744</v>
      </c>
      <c r="C2743" s="3" t="str">
        <f>IFERROR(__xludf.DUMMYFUNCTION("GOOGLETRANSLATE(B2743,""id"",""en"")"),"['disappointing', 'Sinyal', 'Bener', 'ugly', 'really', 'use', 'postpaid', 'quota', 'crowded', 'gini', 'mending', 'use']")</f>
        <v>['disappointing', 'Sinyal', 'Bener', 'ugly', 'really', 'use', 'postpaid', 'quota', 'crowded', 'gini', 'mending', 'use']</v>
      </c>
      <c r="D2743" s="3">
        <v>2.0</v>
      </c>
    </row>
    <row r="2744" ht="15.75" customHeight="1">
      <c r="A2744" s="1">
        <v>2742.0</v>
      </c>
      <c r="B2744" s="3" t="s">
        <v>2745</v>
      </c>
      <c r="C2744" s="3" t="str">
        <f>IFERROR(__xludf.DUMMYFUNCTION("GOOGLETRANSLATE(B2744,""id"",""en"")"),"['Application', 'Telkomsel', 'Efficient', 'Easy', 'Sahah', 'Package', 'Promo', 'Internet', 'Number', 'Application', 'Thank you']")</f>
        <v>['Application', 'Telkomsel', 'Efficient', 'Easy', 'Sahah', 'Package', 'Promo', 'Internet', 'Number', 'Application', 'Thank you']</v>
      </c>
      <c r="D2744" s="3">
        <v>5.0</v>
      </c>
    </row>
    <row r="2745" ht="15.75" customHeight="1">
      <c r="A2745" s="1">
        <v>2743.0</v>
      </c>
      <c r="B2745" s="3" t="s">
        <v>2746</v>
      </c>
      <c r="C2745" s="3" t="str">
        <f>IFERROR(__xludf.DUMMYFUNCTION("GOOGLETRANSLATE(B2745,""id"",""en"")"),"['Experience', 'Card', 'Telkomsel', 'Kampung', 'Good', 'Change', 'Card', 'Telkomsel', 'Sinyal', 'Sunguh', 'Stable', 'Really' Must ',' Kampung ',' Trimakasih ',' Telkomsel ',' ']")</f>
        <v>['Experience', 'Card', 'Telkomsel', 'Kampung', 'Good', 'Change', 'Card', 'Telkomsel', 'Sinyal', 'Sunguh', 'Stable', 'Really' Must ',' Kampung ',' Trimakasih ',' Telkomsel ',' ']</v>
      </c>
      <c r="D2745" s="3">
        <v>5.0</v>
      </c>
    </row>
    <row r="2746" ht="15.75" customHeight="1">
      <c r="A2746" s="1">
        <v>2744.0</v>
      </c>
      <c r="B2746" s="3" t="s">
        <v>2747</v>
      </c>
      <c r="C2746" s="3" t="str">
        <f>IFERROR(__xludf.DUMMYFUNCTION("GOOGLETRANSLATE(B2746,""id"",""en"")"),"['open', 'application', 'buy', 'quota', 'quota', 'free', 'quota', 'gara', 'open', 'telkomsel', 'quota', 'buy', ' Package ',' pulse ',' run out ',' want ',' buy ',' package ',' stump ',' Bima ',' IM ',' quota ',' access', 'the application', 'pulses' , 'Saf"&amp;"e', 'buy', 'package', 'quota', 'pulse', 'rb', 'rb', '']")</f>
        <v>['open', 'application', 'buy', 'quota', 'quota', 'free', 'quota', 'gara', 'open', 'telkomsel', 'quota', 'buy', ' Package ',' pulse ',' run out ',' want ',' buy ',' package ',' stump ',' Bima ',' IM ',' quota ',' access', 'the application', 'pulses' , 'Safe', 'buy', 'package', 'quota', 'pulse', 'rb', 'rb', '']</v>
      </c>
      <c r="D2746" s="3">
        <v>1.0</v>
      </c>
    </row>
    <row r="2747" ht="15.75" customHeight="1">
      <c r="A2747" s="1">
        <v>2745.0</v>
      </c>
      <c r="B2747" s="3" t="s">
        <v>2748</v>
      </c>
      <c r="C2747" s="3" t="str">
        <f>IFERROR(__xludf.DUMMYFUNCTION("GOOGLETRANSLATE(B2747,""id"",""en"")"),"['check', 'application', 'Telkomsel', 'already', 'late', 'take', 'scorched', 'already', 'check', 'solution', 'check', 'scorched', ' a day ',' take ']")</f>
        <v>['check', 'application', 'Telkomsel', 'already', 'late', 'take', 'scorched', 'already', 'check', 'solution', 'check', 'scorched', ' a day ',' take ']</v>
      </c>
      <c r="D2747" s="3">
        <v>1.0</v>
      </c>
    </row>
    <row r="2748" ht="15.75" customHeight="1">
      <c r="A2748" s="1">
        <v>2746.0</v>
      </c>
      <c r="B2748" s="3" t="s">
        <v>2749</v>
      </c>
      <c r="C2748" s="3" t="str">
        <f>IFERROR(__xludf.DUMMYFUNCTION("GOOGLETRANSLATE(B2748,""id"",""en"")"),"['Credit', 'Cutting', 'Corruption', 'Class', 'Snapper', 'Satan', 'Deceived', 'Hope', 'Demanding', 'World', 'Hereafter', ""]")</f>
        <v>['Credit', 'Cutting', 'Corruption', 'Class', 'Snapper', 'Satan', 'Deceived', 'Hope', 'Demanding', 'World', 'Hereafter', "]</v>
      </c>
      <c r="D2748" s="3">
        <v>1.0</v>
      </c>
    </row>
    <row r="2749" ht="15.75" customHeight="1">
      <c r="A2749" s="1">
        <v>2747.0</v>
      </c>
      <c r="B2749" s="3" t="s">
        <v>2750</v>
      </c>
      <c r="C2749" s="3" t="str">
        <f>IFERROR(__xludf.DUMMYFUNCTION("GOOGLETRANSLATE(B2749,""id"",""en"")"),"['Sousiny', 'Severe', 'times',' contents', 'package', 'package', 'signal', 'ilang', 'hit', 'tbtb', 'signal', 'change', ' open ',' application ',' boro ',' boro ',' nongol ',' muterrrr ',' mulu ',' his writing ',' corner ',' got ',' open ',' forgiveness', "&amp;"'bgs' , 'difficult', 'signal', '']")</f>
        <v>['Sousiny', 'Severe', 'times',' contents', 'package', 'package', 'signal', 'ilang', 'hit', 'tbtb', 'signal', 'change', ' open ',' application ',' boro ',' boro ',' nongol ',' muterrrr ',' mulu ',' his writing ',' corner ',' got ',' open ',' forgiveness', 'bgs' , 'difficult', 'signal', '']</v>
      </c>
      <c r="D2749" s="3">
        <v>1.0</v>
      </c>
    </row>
    <row r="2750" ht="15.75" customHeight="1">
      <c r="A2750" s="1">
        <v>2748.0</v>
      </c>
      <c r="B2750" s="3" t="s">
        <v>2751</v>
      </c>
      <c r="C2750" s="3" t="str">
        <f>IFERROR(__xludf.DUMMYFUNCTION("GOOGLETRANSLATE(B2750,""id"",""en"")"),"['save', 'pulse', 'run out', 'quota', 'pulse', 'run out', 'suck', 'disappointing', 'cheated', 'please', 'honest', 'already', ' Really ',' fill ',' pulse ',' RB ',' buy ',' package ',' internet ',' RB ',' leftover ',' rb ',' scorched ',' stay ',' zero ' , "&amp;"'Rupiah', 'save', 'pulse', 'save', 'pulse', 'relationship', '']")</f>
        <v>['save', 'pulse', 'run out', 'quota', 'pulse', 'run out', 'suck', 'disappointing', 'cheated', 'please', 'honest', 'already', ' Really ',' fill ',' pulse ',' RB ',' buy ',' package ',' internet ',' RB ',' leftover ',' rb ',' scorched ',' stay ',' zero ' , 'Rupiah', 'save', 'pulse', 'save', 'pulse', 'relationship', '']</v>
      </c>
      <c r="D2750" s="3">
        <v>1.0</v>
      </c>
    </row>
    <row r="2751" ht="15.75" customHeight="1">
      <c r="A2751" s="1">
        <v>2749.0</v>
      </c>
      <c r="B2751" s="3" t="s">
        <v>2752</v>
      </c>
      <c r="C2751" s="3" t="str">
        <f>IFERROR(__xludf.DUMMYFUNCTION("GOOGLETRANSLATE(B2751,""id"",""en"")"),"['Application', 'Ngelag', 'aka', 'Loading', 'Version', 'Latest', 'As a result', 'Application', 'PAS', 'Check', 'Package', 'Buy', ' Package ',' please ',' minimized ',' obstacle ',' obstacle ',' damaging ',' Citra ',' Telkomsel ',' affects', 'loyalty', 'cu"&amp;"stomers',' thank ',' love ' , '']")</f>
        <v>['Application', 'Ngelag', 'aka', 'Loading', 'Version', 'Latest', 'As a result', 'Application', 'PAS', 'Check', 'Package', 'Buy', ' Package ',' please ',' minimized ',' obstacle ',' obstacle ',' damaging ',' Citra ',' Telkomsel ',' affects', 'loyalty', 'customers',' thank ',' love ' , '']</v>
      </c>
      <c r="D2751" s="3">
        <v>3.0</v>
      </c>
    </row>
    <row r="2752" ht="15.75" customHeight="1">
      <c r="A2752" s="1">
        <v>2750.0</v>
      </c>
      <c r="B2752" s="3" t="s">
        <v>2753</v>
      </c>
      <c r="C2752" s="3" t="str">
        <f>IFERROR(__xludf.DUMMYFUNCTION("GOOGLETRANSLATE(B2752,""id"",""en"")"),"['difficult', 'entry', 'the application', 'lag', 'sometimes',' response ',' sometimes', 'force', 'close', 'stuck', 'loading', 'screen', ' Benerin ',' Napa ',' already ',' update ',' fix ',' complete ']")</f>
        <v>['difficult', 'entry', 'the application', 'lag', 'sometimes',' response ',' sometimes', 'force', 'close', 'stuck', 'loading', 'screen', ' Benerin ',' Napa ',' already ',' update ',' fix ',' complete ']</v>
      </c>
      <c r="D2752" s="3">
        <v>2.0</v>
      </c>
    </row>
    <row r="2753" ht="15.75" customHeight="1">
      <c r="A2753" s="1">
        <v>2751.0</v>
      </c>
      <c r="B2753" s="3" t="s">
        <v>2754</v>
      </c>
      <c r="C2753" s="3" t="str">
        <f>IFERROR(__xludf.DUMMYFUNCTION("GOOGLETRANSLATE(B2753,""id"",""en"")"),"['emng', 'expensive', 'fix', 'quality', 'people', 'expensive', 'quality', 'good', 'protest', 'expensive', 'doang', 'network', ' Kayak ',' card ',' prepaid ',' cheap ',' ']")</f>
        <v>['emng', 'expensive', 'fix', 'quality', 'people', 'expensive', 'quality', 'good', 'protest', 'expensive', 'doang', 'network', ' Kayak ',' card ',' prepaid ',' cheap ',' ']</v>
      </c>
      <c r="D2753" s="3">
        <v>1.0</v>
      </c>
    </row>
    <row r="2754" ht="15.75" customHeight="1">
      <c r="A2754" s="1">
        <v>2752.0</v>
      </c>
      <c r="B2754" s="3" t="s">
        <v>2755</v>
      </c>
      <c r="C2754" s="3" t="str">
        <f>IFERROR(__xludf.DUMMYFUNCTION("GOOGLETRANSLATE(B2754,""id"",""en"")"),"['package', 'night', 'already', 'no', 'gini', 'mending', 'me', 'no', 'fill', 'pulse', 'please', 'return', ' package ',' night ',' please ',' fix ',' network ',' price ',' according to ',' quality ',' replied ',' Telkomsel ',' caring ',' comment ',' custom"&amp;"er ' , 'Cuman', 'Search', 'Untung', 'Care', 'User', '']")</f>
        <v>['package', 'night', 'already', 'no', 'gini', 'mending', 'me', 'no', 'fill', 'pulse', 'please', 'return', ' package ',' night ',' please ',' fix ',' network ',' price ',' according to ',' quality ',' replied ',' Telkomsel ',' caring ',' comment ',' customer ' , 'Cuman', 'Search', 'Untung', 'Care', 'User', '']</v>
      </c>
      <c r="D2754" s="3">
        <v>1.0</v>
      </c>
    </row>
    <row r="2755" ht="15.75" customHeight="1">
      <c r="A2755" s="1">
        <v>2753.0</v>
      </c>
      <c r="B2755" s="3" t="s">
        <v>2756</v>
      </c>
      <c r="C2755" s="3" t="str">
        <f>IFERROR(__xludf.DUMMYFUNCTION("GOOGLETRANSLATE(B2755,""id"",""en"")"),"['Credit', 'reduced', 'buy', 'pulse', 'top', 'right', 'check', 'leftover', ""]")</f>
        <v>['Credit', 'reduced', 'buy', 'pulse', 'top', 'right', 'check', 'leftover', "]</v>
      </c>
      <c r="D2755" s="3">
        <v>3.0</v>
      </c>
    </row>
    <row r="2756" ht="15.75" customHeight="1">
      <c r="A2756" s="1">
        <v>2754.0</v>
      </c>
      <c r="B2756" s="3" t="s">
        <v>2757</v>
      </c>
      <c r="C2756" s="3" t="str">
        <f>IFERROR(__xludf.DUMMYFUNCTION("GOOGLETRANSLATE(B2756,""id"",""en"")"),"['Network', 'Telkomsel', 'capet', 'compared', 'How', 'Pandemic', 'price', 'derived', 'reduce', 'quality']")</f>
        <v>['Network', 'Telkomsel', 'capet', 'compared', 'How', 'Pandemic', 'price', 'derived', 'reduce', 'quality']</v>
      </c>
      <c r="D2756" s="3">
        <v>5.0</v>
      </c>
    </row>
    <row r="2757" ht="15.75" customHeight="1">
      <c r="A2757" s="1">
        <v>2755.0</v>
      </c>
      <c r="B2757" s="3" t="s">
        <v>2758</v>
      </c>
      <c r="C2757" s="3" t="str">
        <f>IFERROR(__xludf.DUMMYFUNCTION("GOOGLETRANSLATE(B2757,""id"",""en"")"),"['Woy', 'TELKOMNYET', 'Tower', 'Good', 'like', 'take', 'profit', 'person', 'card', 'Telkomsel', 'already', 'price', ' quota ',' expensive ',' plus', 'signal', 'good', 'friend', 'cave', 'good', 'telkomsel', 'friend', 'cure', 'cuma', 'cave' , 'Doang', 'Nge'"&amp;", 'lag', 'severe', 'tower', 'choose', 'love', 'signal', 'right', 'night', 'slow', 'clock', ' night ',' improve ',' KeMen ',' cave ',' ngelakuin ']")</f>
        <v>['Woy', 'TELKOMNYET', 'Tower', 'Good', 'like', 'take', 'profit', 'person', 'card', 'Telkomsel', 'already', 'price', ' quota ',' expensive ',' plus', 'signal', 'good', 'friend', 'cave', 'good', 'telkomsel', 'friend', 'cure', 'cuma', 'cave' , 'Doang', 'Nge', 'lag', 'severe', 'tower', 'choose', 'love', 'signal', 'right', 'night', 'slow', 'clock', ' night ',' improve ',' KeMen ',' cave ',' ngelakuin ']</v>
      </c>
      <c r="D2757" s="3">
        <v>1.0</v>
      </c>
    </row>
    <row r="2758" ht="15.75" customHeight="1">
      <c r="A2758" s="1">
        <v>2756.0</v>
      </c>
      <c r="B2758" s="3" t="s">
        <v>2759</v>
      </c>
      <c r="C2758" s="3" t="str">
        <f>IFERROR(__xludf.DUMMYFUNCTION("GOOGLETRANSLATE(B2758,""id"",""en"")"),"['rotten', 'RB', 'bought', 'right', 'click', 'buy', 'direct', 'lag', 'app', 'garbage', 'quota', 'waste', ' crazy ',' where ',' run ',' expensive ',' signal ',' rotten ',' quota ',' wasteful ',' comment ',' luck ',' already ',' buy ',' quota ' , 'Serasa', "&amp;"'Rampok', 'right', 'card', '']")</f>
        <v>['rotten', 'RB', 'bought', 'right', 'click', 'buy', 'direct', 'lag', 'app', 'garbage', 'quota', 'waste', ' crazy ',' where ',' run ',' expensive ',' signal ',' rotten ',' quota ',' wasteful ',' comment ',' luck ',' already ',' buy ',' quota ' , 'Serasa', 'Rampok', 'right', 'card', '']</v>
      </c>
      <c r="D2758" s="3">
        <v>1.0</v>
      </c>
    </row>
    <row r="2759" ht="15.75" customHeight="1">
      <c r="A2759" s="1">
        <v>2757.0</v>
      </c>
      <c r="B2759" s="3" t="s">
        <v>2760</v>
      </c>
      <c r="C2759" s="3" t="str">
        <f>IFERROR(__xludf.DUMMYFUNCTION("GOOGLETRANSLATE(B2759,""id"",""en"")"),"['The name', 'Rain', 'Jakarta', 'Direct', 'Disconnected', 'Hour', 'Malem', 'Direct', 'Disconnected', 'Wait', 'Download', 'Disconnected', ' Mulu ',' Disappointed ']")</f>
        <v>['The name', 'Rain', 'Jakarta', 'Direct', 'Disconnected', 'Hour', 'Malem', 'Direct', 'Disconnected', 'Wait', 'Download', 'Disconnected', ' Mulu ',' Disappointed ']</v>
      </c>
      <c r="D2759" s="3">
        <v>1.0</v>
      </c>
    </row>
    <row r="2760" ht="15.75" customHeight="1">
      <c r="A2760" s="1">
        <v>2758.0</v>
      </c>
      <c r="B2760" s="3" t="s">
        <v>2761</v>
      </c>
      <c r="C2760" s="3" t="str">
        <f>IFERROR(__xludf.DUMMYFUNCTION("GOOGLETRANSLATE(B2760,""id"",""en"")"),"['Please', 'instructions', 'application', 'open', 'try', 'install', 'download', 'open', 'appear', 'login', 'click', 'jammed']")</f>
        <v>['Please', 'instructions', 'application', 'open', 'try', 'install', 'download', 'open', 'appear', 'login', 'click', 'jammed']</v>
      </c>
      <c r="D2760" s="3">
        <v>3.0</v>
      </c>
    </row>
    <row r="2761" ht="15.75" customHeight="1">
      <c r="A2761" s="1">
        <v>2759.0</v>
      </c>
      <c r="B2761" s="3" t="s">
        <v>2762</v>
      </c>
      <c r="C2761" s="3" t="str">
        <f>IFERROR(__xludf.DUMMYFUNCTION("GOOGLETRANSLATE(B2761,""id"",""en"")"),"['Severe', 'use', 'Telkomsel', 'Jripping', 'Severe', 'Open', 'YouTube', 'Sometimes',' Muter ',' Price ',' Quota ',' Quality ',' TPI ',' satisfying ',' harm "", 'LBIH', 'use', 'card', 'price', 'cheap', 'TPI', 'sped', 'mantul']")</f>
        <v>['Severe', 'use', 'Telkomsel', 'Jripping', 'Severe', 'Open', 'YouTube', 'Sometimes',' Muter ',' Price ',' Quota ',' Quality ',' TPI ',' satisfying ',' harm ", 'LBIH', 'use', 'card', 'price', 'cheap', 'TPI', 'sped', 'mantul']</v>
      </c>
      <c r="D2761" s="3">
        <v>1.0</v>
      </c>
    </row>
    <row r="2762" ht="15.75" customHeight="1">
      <c r="A2762" s="1">
        <v>2760.0</v>
      </c>
      <c r="B2762" s="3" t="s">
        <v>2763</v>
      </c>
      <c r="C2762" s="3" t="str">
        <f>IFERROR(__xludf.DUMMYFUNCTION("GOOGLETRANSLATE(B2762,""id"",""en"")"),"['Star', 'Support', 'Version', 'Reward', 'Benefit', 'version', 'Lite', 'Disconnect', 'Special', 'Offer', 'Reward', 'Daily', ' Check ',' Radem ',' points', 'Etc.']")</f>
        <v>['Star', 'Support', 'Version', 'Reward', 'Benefit', 'version', 'Lite', 'Disconnect', 'Special', 'Offer', 'Reward', 'Daily', ' Check ',' Radem ',' points', 'Etc.']</v>
      </c>
      <c r="D2762" s="3">
        <v>5.0</v>
      </c>
    </row>
    <row r="2763" ht="15.75" customHeight="1">
      <c r="A2763" s="1">
        <v>2761.0</v>
      </c>
      <c r="B2763" s="3" t="s">
        <v>2764</v>
      </c>
      <c r="C2763" s="3" t="str">
        <f>IFERROR(__xludf.DUMMYFUNCTION("GOOGLETRANSLATE(B2763,""id"",""en"")"),"['Buy', 'Package', 'Combo', 'Sakti', 'GB', 'Notification', 'Package', 'Free', 'Subscriptions',' Disney ',' Hotstar ',' Bln ',' Download ',' Disney ',' Hotstar ',' Pay ',' subscription ',' ']")</f>
        <v>['Buy', 'Package', 'Combo', 'Sakti', 'GB', 'Notification', 'Package', 'Free', 'Subscriptions',' Disney ',' Hotstar ',' Bln ',' Download ',' Disney ',' Hotstar ',' Pay ',' subscription ',' ']</v>
      </c>
      <c r="D2763" s="3">
        <v>3.0</v>
      </c>
    </row>
    <row r="2764" ht="15.75" customHeight="1">
      <c r="A2764" s="1">
        <v>2762.0</v>
      </c>
      <c r="B2764" s="3" t="s">
        <v>2765</v>
      </c>
      <c r="C2764" s="3" t="str">
        <f>IFERROR(__xludf.DUMMYFUNCTION("GOOGLETRANSLATE(B2764,""id"",""en"")"),"['disappointed', 'application', 'card', 'smartfren', 'application', 'application', 'user', 'card', 'axis', ""]")</f>
        <v>['disappointed', 'application', 'card', 'smartfren', 'application', 'application', 'user', 'card', 'axis', "]</v>
      </c>
      <c r="D2764" s="3">
        <v>1.0</v>
      </c>
    </row>
    <row r="2765" ht="15.75" customHeight="1">
      <c r="A2765" s="1">
        <v>2763.0</v>
      </c>
      <c r="B2765" s="3" t="s">
        <v>2766</v>
      </c>
      <c r="C2765" s="3" t="str">
        <f>IFERROR(__xludf.DUMMYFUNCTION("GOOGLETRANSLATE(B2765,""id"",""en"")"),"['Points',' missing ',' contents', 'credit', 'RB', 'quota', 'interesting', 'GB', 'RB', 'Doang', 'already', 'use', ' card ',' SKTI ',' The network ',' stable ',' ']")</f>
        <v>['Points',' missing ',' contents', 'credit', 'RB', 'quota', 'interesting', 'GB', 'RB', 'Doang', 'already', 'use', ' card ',' SKTI ',' The network ',' stable ',' ']</v>
      </c>
      <c r="D2765" s="3">
        <v>1.0</v>
      </c>
    </row>
    <row r="2766" ht="15.75" customHeight="1">
      <c r="A2766" s="1">
        <v>2764.0</v>
      </c>
      <c r="B2766" s="3" t="s">
        <v>2767</v>
      </c>
      <c r="C2766" s="3" t="str">
        <f>IFERROR(__xludf.DUMMYFUNCTION("GOOGLETRANSLATE(B2766,""id"",""en"")"),"['signal', 'the application', 'force', 'close', 'frequency', 'update', 'already', 'update', 'use', 'update', 'application', 'please', ' repaired ',' update ',' memory ',' run out ',' ']")</f>
        <v>['signal', 'the application', 'force', 'close', 'frequency', 'update', 'already', 'update', 'use', 'update', 'application', 'please', ' repaired ',' update ',' memory ',' run out ',' ']</v>
      </c>
      <c r="D2766" s="3">
        <v>3.0</v>
      </c>
    </row>
    <row r="2767" ht="15.75" customHeight="1">
      <c r="A2767" s="1">
        <v>2765.0</v>
      </c>
      <c r="B2767" s="3" t="s">
        <v>2768</v>
      </c>
      <c r="C2767" s="3" t="str">
        <f>IFERROR(__xludf.DUMMYFUNCTION("GOOGLETRANSLATE(B2767,""id"",""en"")"),"['The network', 'disappointing', 'ugly', 'really', 'ilang', 'tissue', 'disappointed', 'customers',' telkomsel ',' udh ',' expensive ',' network ',' really ugly', '']")</f>
        <v>['The network', 'disappointing', 'ugly', 'really', 'ilang', 'tissue', 'disappointed', 'customers',' telkomsel ',' udh ',' expensive ',' network ',' really ugly', '']</v>
      </c>
      <c r="D2767" s="3">
        <v>1.0</v>
      </c>
    </row>
    <row r="2768" ht="15.75" customHeight="1">
      <c r="A2768" s="1">
        <v>2766.0</v>
      </c>
      <c r="B2768" s="3" t="s">
        <v>2769</v>
      </c>
      <c r="C2768" s="3" t="str">
        <f>IFERROR(__xludf.DUMMYFUNCTION("GOOGLETRANSLATE(B2768,""id"",""en"")"),"['disappointed', 'signal', 'Telkomsel', 'Kya', 'yesterday', 'Ojol', 'quota', 'signal', 'ugly', 'provider', 'Indonesia', 'quality', ' Good ',' ugly ']")</f>
        <v>['disappointed', 'signal', 'Telkomsel', 'Kya', 'yesterday', 'Ojol', 'quota', 'signal', 'ugly', 'provider', 'Indonesia', 'quality', ' Good ',' ugly ']</v>
      </c>
      <c r="D2768" s="3">
        <v>3.0</v>
      </c>
    </row>
    <row r="2769" ht="15.75" customHeight="1">
      <c r="A2769" s="1">
        <v>2767.0</v>
      </c>
      <c r="B2769" s="3" t="s">
        <v>2770</v>
      </c>
      <c r="C2769" s="3" t="str">
        <f>IFERROR(__xludf.DUMMYFUNCTION("GOOGLETRANSLATE(B2769,""id"",""en"")"),"['Disappointed', 'Bonus',' GB ',' Hotoffer ',' Follow ',' Hint ',' Download ',' APL ',' MyTelkomsel ',' Iming ',' Accidental ',' User ',' Download ',' MyTlkomsel ',' Basic ',' PHP ']")</f>
        <v>['Disappointed', 'Bonus',' GB ',' Hotoffer ',' Follow ',' Hint ',' Download ',' APL ',' MyTelkomsel ',' Iming ',' Accidental ',' User ',' Download ',' MyTlkomsel ',' Basic ',' PHP ']</v>
      </c>
      <c r="D2769" s="3">
        <v>1.0</v>
      </c>
    </row>
    <row r="2770" ht="15.75" customHeight="1">
      <c r="A2770" s="1">
        <v>2768.0</v>
      </c>
      <c r="B2770" s="3" t="s">
        <v>2771</v>
      </c>
      <c r="C2770" s="3" t="str">
        <f>IFERROR(__xludf.DUMMYFUNCTION("GOOGLETRANSLATE(B2770,""id"",""en"")"),"['Mending', 'info', 'according to', 'encountered', 'in', 'application', 'say it', 'promo', 'package', 'internet', 'cheap', 'interesting', ' Please ',' visit ',' MyTelkomsel ',' bait ',' user ',' Telkomsel ',' APP ',' MyTelkomsel ',' download ',' halaaaahh"&amp;"hhh ',' artisan ',' lie ', ""]")</f>
        <v>['Mending', 'info', 'according to', 'encountered', 'in', 'application', 'say it', 'promo', 'package', 'internet', 'cheap', 'interesting', ' Please ',' visit ',' MyTelkomsel ',' bait ',' user ',' Telkomsel ',' APP ',' MyTelkomsel ',' download ',' halaaaahhhhh ',' artisan ',' lie ', "]</v>
      </c>
      <c r="D2770" s="3">
        <v>1.0</v>
      </c>
    </row>
    <row r="2771" ht="15.75" customHeight="1">
      <c r="A2771" s="1">
        <v>2769.0</v>
      </c>
      <c r="B2771" s="3" t="s">
        <v>2772</v>
      </c>
      <c r="C2771" s="3" t="str">
        <f>IFERROR(__xludf.DUMMYFUNCTION("GOOGLETRANSLATE(B2771,""id"",""en"")"),"['Sorry', 'star', 'Reduce', 'complain', 'package', 'buy', 'subscription', 'eliminated', 'expensive', 'quota', 'data', 'try', ' Thinking, 'setting', 'price', 'too far', 'expensive', 'Untung', 'Ruga', 'company', 'multiplied', 'thousands', 'millions', 'custo"&amp;"mer', 'fortunate' , 'People', 'sell', 'take', 'profit', 'most', 'sell', 'customer', 'think', 'buy', 'expensive', 'try', 'cheap', ' Buy ',' Liked ',' People ',' ']")</f>
        <v>['Sorry', 'star', 'Reduce', 'complain', 'package', 'buy', 'subscription', 'eliminated', 'expensive', 'quota', 'data', 'try', ' Thinking, 'setting', 'price', 'too far', 'expensive', 'Untung', 'Ruga', 'company', 'multiplied', 'thousands', 'millions', 'customer', 'fortunate' , 'People', 'sell', 'take', 'profit', 'most', 'sell', 'customer', 'think', 'buy', 'expensive', 'try', 'cheap', ' Buy ',' Liked ',' People ',' ']</v>
      </c>
      <c r="D2771" s="3">
        <v>3.0</v>
      </c>
    </row>
    <row r="2772" ht="15.75" customHeight="1">
      <c r="A2772" s="1">
        <v>2770.0</v>
      </c>
      <c r="B2772" s="3" t="s">
        <v>2773</v>
      </c>
      <c r="C2772" s="3" t="str">
        <f>IFERROR(__xludf.DUMMYFUNCTION("GOOGLETRANSLATE(B2772,""id"",""en"")"),"['Threat', 'Sinyal', 'Jumping', 'Play', 'Game', 'War', 'Signal', 'ilang', 'Emotion', 'Good', 'Improved', 'Package', ' expensive ',' doang ',' pulp ']")</f>
        <v>['Threat', 'Sinyal', 'Jumping', 'Play', 'Game', 'War', 'Signal', 'ilang', 'Emotion', 'Good', 'Improved', 'Package', ' expensive ',' doang ',' pulp ']</v>
      </c>
      <c r="D2772" s="3">
        <v>1.0</v>
      </c>
    </row>
    <row r="2773" ht="15.75" customHeight="1">
      <c r="A2773" s="1">
        <v>2771.0</v>
      </c>
      <c r="B2773" s="3" t="s">
        <v>2774</v>
      </c>
      <c r="C2773" s="3" t="str">
        <f>IFERROR(__xludf.DUMMYFUNCTION("GOOGLETRANSLATE(B2773,""id"",""en"")"),"['hi', 'admin', 'signal', 'Telkomsel', 'ugly', 'play', 'game', 'online', 'slow', 'play', 'sosmed', 'slow', ' Quota ',' BNYK ',' ']")</f>
        <v>['hi', 'admin', 'signal', 'Telkomsel', 'ugly', 'play', 'game', 'online', 'slow', 'play', 'sosmed', 'slow', ' Quota ',' BNYK ',' ']</v>
      </c>
      <c r="D2773" s="3">
        <v>1.0</v>
      </c>
    </row>
    <row r="2774" ht="15.75" customHeight="1">
      <c r="A2774" s="1">
        <v>2772.0</v>
      </c>
      <c r="B2774" s="3" t="s">
        <v>2775</v>
      </c>
      <c r="C2774" s="3" t="str">
        <f>IFERROR(__xludf.DUMMYFUNCTION("GOOGLETRANSLATE(B2774,""id"",""en"")"),"['kagak', 'neh', 'ojol', 'right', 'expensive', 'doang', 'turn', 'online', 'network', 'muter', 'slow', 'slow', ' slow ',' slow ',' most ',' think ',' luck ',' seh ',' woi ',' rough ', ""]")</f>
        <v>['kagak', 'neh', 'ojol', 'right', 'expensive', 'doang', 'turn', 'online', 'network', 'muter', 'slow', 'slow', ' slow ',' slow ',' most ',' think ',' luck ',' seh ',' woi ',' rough ', "]</v>
      </c>
      <c r="D2774" s="3">
        <v>1.0</v>
      </c>
    </row>
    <row r="2775" ht="15.75" customHeight="1">
      <c r="A2775" s="1">
        <v>2773.0</v>
      </c>
      <c r="B2775" s="3" t="s">
        <v>2776</v>
      </c>
      <c r="C2775" s="3" t="str">
        <f>IFERROR(__xludf.DUMMYFUNCTION("GOOGLETRANSLATE(B2775,""id"",""en"")"),"['Fix', 'signal', 'Sometimes',' like ',' ugly ',' annoying ',' the rest ',' love ',' thumbs', 'because', 'help', 'makes it easy', ' Users', 'Telkomsel', '']")</f>
        <v>['Fix', 'signal', 'Sometimes',' like ',' ugly ',' annoying ',' the rest ',' love ',' thumbs', 'because', 'help', 'makes it easy', ' Users', 'Telkomsel', '']</v>
      </c>
      <c r="D2775" s="3">
        <v>4.0</v>
      </c>
    </row>
    <row r="2776" ht="15.75" customHeight="1">
      <c r="A2776" s="1">
        <v>2774.0</v>
      </c>
      <c r="B2776" s="3" t="s">
        <v>2777</v>
      </c>
      <c r="C2776" s="3" t="str">
        <f>IFERROR(__xludf.DUMMYFUNCTION("GOOGLETRANSLATE(B2776,""id"",""en"")"),"['program', 'program', 'interesting', 'good', 'promo', 'jga', 'darling', 'network', 'difficult', 'right', 'network', 'network', ' Changed ',' Jadang ',' Difficult ',' Liat ',' Video ',' Delicious', 'Please', 'Fix']")</f>
        <v>['program', 'program', 'interesting', 'good', 'promo', 'jga', 'darling', 'network', 'difficult', 'right', 'network', 'network', ' Changed ',' Jadang ',' Difficult ',' Liat ',' Video ',' Delicious', 'Please', 'Fix']</v>
      </c>
      <c r="D2776" s="3">
        <v>2.0</v>
      </c>
    </row>
    <row r="2777" ht="15.75" customHeight="1">
      <c r="A2777" s="1">
        <v>2775.0</v>
      </c>
      <c r="B2777" s="3" t="s">
        <v>2778</v>
      </c>
      <c r="C2777" s="3" t="str">
        <f>IFERROR(__xludf.DUMMYFUNCTION("GOOGLETRANSLATE(B2777,""id"",""en"")"),"['', 'Sis',' Rafa ',' Abis', 'Update', 'Nggk', 'Open', 'App', 'Quota', 'PKEK', 'Quota', 'Education', 'Government ',' update ',' nggk ',' open ',' ']")</f>
        <v>['', 'Sis',' Rafa ',' Abis', 'Update', 'Nggk', 'Open', 'App', 'Quota', 'PKEK', 'Quota', 'Education', 'Government ',' update ',' nggk ',' open ',' ']</v>
      </c>
      <c r="D2777" s="3">
        <v>3.0</v>
      </c>
    </row>
    <row r="2778" ht="15.75" customHeight="1">
      <c r="A2778" s="1">
        <v>2776.0</v>
      </c>
      <c r="B2778" s="3" t="s">
        <v>2779</v>
      </c>
      <c r="C2778" s="3" t="str">
        <f>IFERROR(__xludf.DUMMYFUNCTION("GOOGLETRANSLATE(B2778,""id"",""en"")"),"['strange', 'really', 'pay', 'bill', 'Telkomsel', 'payment', 'get', 'point', 'get', 'point', 'download', 'application', ' Want ',' see ',' Points', 'zero', 'talk', '']")</f>
        <v>['strange', 'really', 'pay', 'bill', 'Telkomsel', 'payment', 'get', 'point', 'get', 'point', 'download', 'application', ' Want ',' see ',' Points', 'zero', 'talk', '']</v>
      </c>
      <c r="D2778" s="3">
        <v>1.0</v>
      </c>
    </row>
    <row r="2779" ht="15.75" customHeight="1">
      <c r="A2779" s="1">
        <v>2777.0</v>
      </c>
      <c r="B2779" s="3" t="s">
        <v>2780</v>
      </c>
      <c r="C2779" s="3" t="str">
        <f>IFERROR(__xludf.DUMMYFUNCTION("GOOGLETRANSLATE(B2779,""id"",""en"")"),"['Please', 'developer', 'free', 'unlimited', 'that's',' card ',' card ',' SIM ',' fan ',' Telkomsel ',' oke ',' please ',' response ',' stingy ',' stingy ']")</f>
        <v>['Please', 'developer', 'free', 'unlimited', 'that's',' card ',' card ',' SIM ',' fan ',' Telkomsel ',' oke ',' please ',' response ',' stingy ',' stingy ']</v>
      </c>
      <c r="D2779" s="3">
        <v>1.0</v>
      </c>
    </row>
    <row r="2780" ht="15.75" customHeight="1">
      <c r="A2780" s="1">
        <v>2778.0</v>
      </c>
      <c r="B2780" s="3" t="s">
        <v>2781</v>
      </c>
      <c r="C2780" s="3" t="str">
        <f>IFERROR(__xludf.DUMMYFUNCTION("GOOGLETRANSLATE(B2780,""id"",""en"")"),"['Credit', 'Cut', 'thousand', 'buy', 'Package', 'YouTube', 'SUCCESS', 'PAS', 'Watch', 'YouTube', 'Kali', ' good ',' really ',' take ',' money ',' people ',' people ',' times', 'thousand', 'already', 'money', 'eat', 'barokah', 'that's' ]")</f>
        <v>['Credit', 'Cut', 'thousand', 'buy', 'Package', 'YouTube', 'SUCCESS', 'PAS', 'Watch', 'YouTube', 'Kali', ' good ',' really ',' take ',' money ',' people ',' people ',' times', 'thousand', 'already', 'money', 'eat', 'barokah', 'that's' ]</v>
      </c>
      <c r="D2780" s="3">
        <v>1.0</v>
      </c>
    </row>
    <row r="2781" ht="15.75" customHeight="1">
      <c r="A2781" s="1">
        <v>2779.0</v>
      </c>
      <c r="B2781" s="3" t="s">
        <v>2782</v>
      </c>
      <c r="C2781" s="3" t="str">
        <f>IFERROR(__xludf.DUMMYFUNCTION("GOOGLETRANSLATE(B2781,""id"",""en"")"),"['The application', 'Stug', 'Mulu', 'Mulu', 'right', 'open', 'application', 'package', 'expensive', 'really', 'cheap', 'a little', ' The package ',' Cuman ',' Tower ',' Telkomsel ',' Indosat ',' mah ',' Change ',' card ', ""]")</f>
        <v>['The application', 'Stug', 'Mulu', 'Mulu', 'right', 'open', 'application', 'package', 'expensive', 'really', 'cheap', 'a little', ' The package ',' Cuman ',' Tower ',' Telkomsel ',' Indosat ',' mah ',' Change ',' card ', "]</v>
      </c>
      <c r="D2781" s="3">
        <v>1.0</v>
      </c>
    </row>
    <row r="2782" ht="15.75" customHeight="1">
      <c r="A2782" s="1">
        <v>2780.0</v>
      </c>
      <c r="B2782" s="3" t="s">
        <v>2783</v>
      </c>
      <c r="C2782" s="3" t="str">
        <f>IFERROR(__xludf.DUMMYFUNCTION("GOOGLETRANSLATE(B2782,""id"",""en"")"),"['wrong', 'operator', 'cellular', 'biggest', 'world', 'quality', 'worst', 'world', 'sorry', 'reviews',' pleases', 'kerana', ' Skrng ',' Blum ',' Repair ',' Skli ',' ']")</f>
        <v>['wrong', 'operator', 'cellular', 'biggest', 'world', 'quality', 'worst', 'world', 'sorry', 'reviews',' pleases', 'kerana', ' Skrng ',' Blum ',' Repair ',' Skli ',' ']</v>
      </c>
      <c r="D2782" s="3">
        <v>1.0</v>
      </c>
    </row>
    <row r="2783" ht="15.75" customHeight="1">
      <c r="A2783" s="1">
        <v>2781.0</v>
      </c>
      <c r="B2783" s="3" t="s">
        <v>2784</v>
      </c>
      <c r="C2783" s="3" t="str">
        <f>IFERROR(__xludf.DUMMYFUNCTION("GOOGLETRANSLATE(B2783,""id"",""en"")"),"['Come', 'comfortable', 'Telkomsel', 'slow', 'internet', 'down', 'right', 'play', 'game', 'like', 'comfortable', 'basics']")</f>
        <v>['Come', 'comfortable', 'Telkomsel', 'slow', 'internet', 'down', 'right', 'play', 'game', 'like', 'comfortable', 'basics']</v>
      </c>
      <c r="D2783" s="3">
        <v>1.0</v>
      </c>
    </row>
    <row r="2784" ht="15.75" customHeight="1">
      <c r="A2784" s="1">
        <v>2782.0</v>
      </c>
      <c r="B2784" s="3" t="s">
        <v>2785</v>
      </c>
      <c r="C2784" s="3" t="str">
        <f>IFERROR(__xludf.DUMMYFUNCTION("GOOGLETRANSLATE(B2784,""id"",""en"")"),"['', 'Nge', 'JDI', 'Ngeluh', 'Telkomsel', 'Kouta', 'Main', 'Already', 'Slow', 'Ngunduh', 'File', 'Size', 'Gede ',' already ',' really ',' Wait ',' Bagusin ',' really ',' loyal ',' Telkomsel ',' Gara ',' Gara ',' moved ']")</f>
        <v>['', 'Nge', 'JDI', 'Ngeluh', 'Telkomsel', 'Kouta', 'Main', 'Already', 'Slow', 'Ngunduh', 'File', 'Size', 'Gede ',' already ',' really ',' Wait ',' Bagusin ',' really ',' loyal ',' Telkomsel ',' Gara ',' Gara ',' moved ']</v>
      </c>
      <c r="D2784" s="3">
        <v>2.0</v>
      </c>
    </row>
    <row r="2785" ht="15.75" customHeight="1">
      <c r="A2785" s="1">
        <v>2783.0</v>
      </c>
      <c r="B2785" s="3" t="s">
        <v>2786</v>
      </c>
      <c r="C2785" s="3" t="str">
        <f>IFERROR(__xludf.DUMMYFUNCTION("GOOGLETRANSLATE(B2785,""id"",""en"")"),"['Whatever', 'recommend', 'family', 'provider', 'already', 'expensive', 'connection', 'internet', 'pulp', 'expected', 'disappointed', 'service', ' "", 'Tsel']")</f>
        <v>['Whatever', 'recommend', 'family', 'provider', 'already', 'expensive', 'connection', 'internet', 'pulp', 'expected', 'disappointed', 'service', ' ", 'Tsel']</v>
      </c>
      <c r="D2785" s="3">
        <v>1.0</v>
      </c>
    </row>
    <row r="2786" ht="15.75" customHeight="1">
      <c r="A2786" s="1">
        <v>2784.0</v>
      </c>
      <c r="B2786" s="3" t="s">
        <v>2787</v>
      </c>
      <c r="C2786" s="3" t="str">
        <f>IFERROR(__xludf.DUMMYFUNCTION("GOOGLETRANSLATE(B2786,""id"",""en"")"),"['Sya', 'user', 'card', 'hello', 'th', 'sya', 'use', 'package', 'price', 'rb', 'quota', 'GB', ' Bonus ',' TLP ',' Committer ',' SMS ',' Sya ',' Min ',' Sorry ',' Display ',' Written ',' I'll be 'confused', 'Sya', 'Sometimes' , 'bills',' expensive ',' Telk"&amp;"omsel ',' Free ',' Sya ',' PKE ',' Package ',' TLP ',' Operator ',' RB ',' Bill ',' Sya ',' Sometimes', 'above', 'RB', 'KNPA', 'expensive', 'mksh', ""]")</f>
        <v>['Sya', 'user', 'card', 'hello', 'th', 'sya', 'use', 'package', 'price', 'rb', 'quota', 'GB', ' Bonus ',' TLP ',' Committer ',' SMS ',' Sya ',' Min ',' Sorry ',' Display ',' Written ',' I'll be 'confused', 'Sya', 'Sometimes' , 'bills',' expensive ',' Telkomsel ',' Free ',' Sya ',' PKE ',' Package ',' TLP ',' Operator ',' RB ',' Bill ',' Sya ',' Sometimes', 'above', 'RB', 'KNPA', 'expensive', 'mksh', "]</v>
      </c>
      <c r="D2786" s="3">
        <v>4.0</v>
      </c>
    </row>
    <row r="2787" ht="15.75" customHeight="1">
      <c r="A2787" s="1">
        <v>2785.0</v>
      </c>
      <c r="B2787" s="3" t="s">
        <v>2788</v>
      </c>
      <c r="C2787" s="3" t="str">
        <f>IFERROR(__xludf.DUMMYFUNCTION("GOOGLETRANSLATE(B2787,""id"",""en"")"),"['Help', 'Application', 'Telkomsel', 'Hopefully', 'Success', 'Hopefully', 'Leading', 'Hoping', 'Telkomsel', 'number', 'Indonesia', ""]")</f>
        <v>['Help', 'Application', 'Telkomsel', 'Hopefully', 'Success', 'Hopefully', 'Leading', 'Hoping', 'Telkomsel', 'number', 'Indonesia', "]</v>
      </c>
      <c r="D2787" s="3">
        <v>5.0</v>
      </c>
    </row>
    <row r="2788" ht="15.75" customHeight="1">
      <c r="A2788" s="1">
        <v>2786.0</v>
      </c>
      <c r="B2788" s="3" t="s">
        <v>2789</v>
      </c>
      <c r="C2788" s="3" t="str">
        <f>IFERROR(__xludf.DUMMYFUNCTION("GOOGLETRANSLATE(B2788,""id"",""en"")"),"['Knp', 'Main', 'Game', 'Quota', 'Internet', 'Good', 'Main', 'Game', 'Telkomsel', 'Barusekag', 'Genesis',' Region ',' Sumedag ',' ']")</f>
        <v>['Knp', 'Main', 'Game', 'Quota', 'Internet', 'Good', 'Main', 'Game', 'Telkomsel', 'Barusekag', 'Genesis',' Region ',' Sumedag ',' ']</v>
      </c>
      <c r="D2788" s="3">
        <v>1.0</v>
      </c>
    </row>
    <row r="2789" ht="15.75" customHeight="1">
      <c r="A2789" s="1">
        <v>2787.0</v>
      </c>
      <c r="B2789" s="3" t="s">
        <v>2790</v>
      </c>
      <c r="C2789" s="3" t="str">
        <f>IFERROR(__xludf.DUMMYFUNCTION("GOOGLETRANSLATE(B2789,""id"",""en"")"),"['gymna', 'admin', 'kenpa', 'pulse', 'sucked', 'internet', 'package', 'kenpa', 'pulse', 'take', 'internet', 'right', ' Bener ',' Disappointed ',' UDH ',' Network ',' Ngk ',' Nuru ',' Genesis', 'Kek', 'Gini', 'Please', 'Buy', 'Package', 'Udh' , 'expensive'"&amp;", 'Kenpa', 'pulse', 'incer', 'internet', '']")</f>
        <v>['gymna', 'admin', 'kenpa', 'pulse', 'sucked', 'internet', 'package', 'kenpa', 'pulse', 'take', 'internet', 'right', ' Bener ',' Disappointed ',' UDH ',' Network ',' Ngk ',' Nuru ',' Genesis', 'Kek', 'Gini', 'Please', 'Buy', 'Package', 'Udh' , 'expensive', 'Kenpa', 'pulse', 'incer', 'internet', '']</v>
      </c>
      <c r="D2789" s="3">
        <v>1.0</v>
      </c>
    </row>
    <row r="2790" ht="15.75" customHeight="1">
      <c r="A2790" s="1">
        <v>2788.0</v>
      </c>
      <c r="B2790" s="3" t="s">
        <v>2791</v>
      </c>
      <c r="C2790" s="3" t="str">
        <f>IFERROR(__xludf.DUMMYFUNCTION("GOOGLETRANSLATE(B2790,""id"",""en"")"),"['buy', 'quota', 'there', 'written', 'subscription', 'Disney', 'hotstar', 'watch', 'get', 'cut', 'quota', 'please', ' His explanation ']")</f>
        <v>['buy', 'quota', 'there', 'written', 'subscription', 'Disney', 'hotstar', 'watch', 'get', 'cut', 'quota', 'please', ' His explanation ']</v>
      </c>
      <c r="D2790" s="3">
        <v>1.0</v>
      </c>
    </row>
    <row r="2791" ht="15.75" customHeight="1">
      <c r="A2791" s="1">
        <v>2789.0</v>
      </c>
      <c r="B2791" s="3" t="s">
        <v>2792</v>
      </c>
      <c r="C2791" s="3" t="str">
        <f>IFERROR(__xludf.DUMMYFUNCTION("GOOGLETRANSLATE(B2791,""id"",""en"")"),"['application', 'help', 'really', 'buy', 'quota', 'easy', 'go', 'home', 'chaek', 'chaek', 'gift', 'like', ' really ',' use ',' application ',' increase ',' network ',' yaa ',' good ', ""]")</f>
        <v>['application', 'help', 'really', 'buy', 'quota', 'easy', 'go', 'home', 'chaek', 'chaek', 'gift', 'like', ' really ',' use ',' application ',' increase ',' network ',' yaa ',' good ', "]</v>
      </c>
      <c r="D2791" s="3">
        <v>5.0</v>
      </c>
    </row>
    <row r="2792" ht="15.75" customHeight="1">
      <c r="A2792" s="1">
        <v>2790.0</v>
      </c>
      <c r="B2792" s="3" t="s">
        <v>2793</v>
      </c>
      <c r="C2792" s="3" t="str">
        <f>IFERROR(__xludf.DUMMYFUNCTION("GOOGLETRANSLATE(B2792,""id"",""en"")"),"['', 'Derah', 'TELKOMSEL', 'TELKOMSEL', 'Masi', 'Good', 'Signal', 'Play', 'Game', 'Leet', 'Donlod', 'Public ',' use ',' Telkomsel ',' move ',' heart ', ""]")</f>
        <v>['', 'Derah', 'TELKOMSEL', 'TELKOMSEL', 'Masi', 'Good', 'Signal', 'Play', 'Game', 'Leet', 'Donlod', 'Public ',' use ',' Telkomsel ',' move ',' heart ', "]</v>
      </c>
      <c r="D2792" s="3">
        <v>1.0</v>
      </c>
    </row>
    <row r="2793" ht="15.75" customHeight="1">
      <c r="A2793" s="1">
        <v>2791.0</v>
      </c>
      <c r="B2793" s="3" t="s">
        <v>2794</v>
      </c>
      <c r="C2793" s="3" t="str">
        <f>IFERROR(__xludf.DUMMYFUNCTION("GOOGLETRANSLATE(B2793,""id"",""en"")"),"['oath', 'disappointed', 'really', 'Telkomsel', 'Where', 'Telkomsel', 'returns',' bad ',' network ',' selling ',' price ',' Rupa ',' Boss', 'Telkomsel', 'Your Hargam', 'Suai', 'Quality', 'Price', 'Expensive', 'Kualita', 'Internet', 'Bad', 'Severe', 'Sever"&amp;"e', 'Severe' , 'ngeleg', 'Mulu', 'expensive', 'yes']")</f>
        <v>['oath', 'disappointed', 'really', 'Telkomsel', 'Where', 'Telkomsel', 'returns',' bad ',' network ',' selling ',' price ',' Rupa ',' Boss', 'Telkomsel', 'Your Hargam', 'Suai', 'Quality', 'Price', 'Expensive', 'Kualita', 'Internet', 'Bad', 'Severe', 'Severe', 'Severe' , 'ngeleg', 'Mulu', 'expensive', 'yes']</v>
      </c>
      <c r="D2793" s="3">
        <v>1.0</v>
      </c>
    </row>
    <row r="2794" ht="15.75" customHeight="1">
      <c r="A2794" s="1">
        <v>2792.0</v>
      </c>
      <c r="B2794" s="3" t="s">
        <v>2795</v>
      </c>
      <c r="C2794" s="3" t="str">
        <f>IFERROR(__xludf.DUMMYFUNCTION("GOOGLETRANSLATE(B2794,""id"",""en"")"),"['My Points',' Lost ',' Yesterday ',' Fill ',' Credit ',' Can ',' SMS ',' Get ',' Points', 'Choice', 'Liat', 'App', ' Points', 'Tetep', 'Noll', 'Trus',' Telkomsel ',' Slow ', ""]")</f>
        <v>['My Points',' Lost ',' Yesterday ',' Fill ',' Credit ',' Can ',' SMS ',' Get ',' Points', 'Choice', 'Liat', 'App', ' Points', 'Tetep', 'Noll', 'Trus',' Telkomsel ',' Slow ', "]</v>
      </c>
      <c r="D2794" s="3">
        <v>2.0</v>
      </c>
    </row>
    <row r="2795" ht="15.75" customHeight="1">
      <c r="A2795" s="1">
        <v>2793.0</v>
      </c>
      <c r="B2795" s="3" t="s">
        <v>2796</v>
      </c>
      <c r="C2795" s="3" t="str">
        <f>IFERROR(__xludf.DUMMYFUNCTION("GOOGLETRANSLATE(B2795,""id"",""en"")"),"['Severe', 'Telkomsel', 'expensive', 'package', 'Anlimitid', 'Severe', 'card', 'already', 'card', 'package', 'Anlimitid', 'replace', ' cards', 'sms',' Anlimitid ',' sms', 'card', '']")</f>
        <v>['Severe', 'Telkomsel', 'expensive', 'package', 'Anlimitid', 'Severe', 'card', 'already', 'card', 'package', 'Anlimitid', 'replace', ' cards', 'sms',' Anlimitid ',' sms', 'card', '']</v>
      </c>
      <c r="D2795" s="3">
        <v>1.0</v>
      </c>
    </row>
    <row r="2796" ht="15.75" customHeight="1">
      <c r="A2796" s="1">
        <v>2794.0</v>
      </c>
      <c r="B2796" s="3" t="s">
        <v>2797</v>
      </c>
      <c r="C2796" s="3" t="str">
        <f>IFERROR(__xludf.DUMMYFUNCTION("GOOGLETRANSLATE(B2796,""id"",""en"")"),"['Open', 'Telkomsel', 'Login', 'Fill', 'Mobile', 'a month', 'Application', 'Telkomsel', 'Login', 'Repeated', 'Uninstall', ' Install ',' Telkomsel ',' Login ',' Please ',' solution ']")</f>
        <v>['Open', 'Telkomsel', 'Login', 'Fill', 'Mobile', 'a month', 'Application', 'Telkomsel', 'Login', 'Repeated', 'Uninstall', ' Install ',' Telkomsel ',' Login ',' Please ',' solution ']</v>
      </c>
      <c r="D2796" s="3">
        <v>1.0</v>
      </c>
    </row>
    <row r="2797" ht="15.75" customHeight="1">
      <c r="A2797" s="1">
        <v>2795.0</v>
      </c>
      <c r="B2797" s="3" t="s">
        <v>2798</v>
      </c>
      <c r="C2797" s="3" t="str">
        <f>IFERROR(__xludf.DUMMYFUNCTION("GOOGLETRANSLATE(B2797,""id"",""en"")"),"['Internet', 'Telkomsel', 'stable', 'slow', 'really', 'already', 'feels', 'in the' play ',' game ',' game ',' ping ',' red ',' streaming ',' muter ',' that's', 'subscription', 'unlimited', 'entertainment', 'right', 'used', 'nyedot', 'quota', 'main']")</f>
        <v>['Internet', 'Telkomsel', 'stable', 'slow', 'really', 'already', 'feels', 'in the' play ',' game ',' game ',' ping ',' red ',' streaming ',' muter ',' that's', 'subscription', 'unlimited', 'entertainment', 'right', 'used', 'nyedot', 'quota', 'main']</v>
      </c>
      <c r="D2797" s="3">
        <v>1.0</v>
      </c>
    </row>
    <row r="2798" ht="15.75" customHeight="1">
      <c r="A2798" s="1">
        <v>2796.0</v>
      </c>
      <c r="B2798" s="3" t="s">
        <v>2799</v>
      </c>
      <c r="C2798" s="3" t="str">
        <f>IFERROR(__xludf.DUMMYFUNCTION("GOOGLETRANSLATE(B2798,""id"",""en"")"),"['Telkomsel', 'network', 'slow', 'really', 'please', 'adjust', 'network', 'price', 'package', 'package', 'expensive', 'network', ' slow ',' open ',' YouTube ',' slow ',' really ',' play ',' ']")</f>
        <v>['Telkomsel', 'network', 'slow', 'really', 'please', 'adjust', 'network', 'price', 'package', 'package', 'expensive', 'network', ' slow ',' open ',' YouTube ',' slow ',' really ',' play ',' ']</v>
      </c>
      <c r="D2798" s="3">
        <v>1.0</v>
      </c>
    </row>
    <row r="2799" ht="15.75" customHeight="1">
      <c r="A2799" s="1">
        <v>2797.0</v>
      </c>
      <c r="B2799" s="3" t="s">
        <v>2800</v>
      </c>
      <c r="C2799" s="3" t="str">
        <f>IFERROR(__xludf.DUMMYFUNCTION("GOOGLETRANSLATE(B2799,""id"",""en"")"),"['Application', 'Telkomsel', 'Latest', 'ugly', 'slow', 'signal', 'good', 'quota', 'spec', 'god', 'use', 'Samsung', ' RAM ',' GB ',' Telkomsel ',' slow ',' really ',' bonus', 'bonus',' lost ',' GB ',' RB ',' appears', 'min', 'disappointed' , 'really', 'mov"&amp;"ed', 'operator', 'Abis',' every time ',' check ',' quota ',' list ',' package ',' waiting ',' most ',' update ',' Beginini ']")</f>
        <v>['Application', 'Telkomsel', 'Latest', 'ugly', 'slow', 'signal', 'good', 'quota', 'spec', 'god', 'use', 'Samsung', ' RAM ',' GB ',' Telkomsel ',' slow ',' really ',' bonus', 'bonus',' lost ',' GB ',' RB ',' appears', 'min', 'disappointed' , 'really', 'moved', 'operator', 'Abis',' every time ',' check ',' quota ',' list ',' package ',' waiting ',' most ',' update ',' Beginini ']</v>
      </c>
      <c r="D2799" s="3">
        <v>1.0</v>
      </c>
    </row>
    <row r="2800" ht="15.75" customHeight="1">
      <c r="A2800" s="1">
        <v>2798.0</v>
      </c>
      <c r="B2800" s="3" t="s">
        <v>2801</v>
      </c>
      <c r="C2800" s="3" t="str">
        <f>IFERROR(__xludf.DUMMYFUNCTION("GOOGLETRANSLATE(B2800,""id"",""en"")"),"['customer', 'ugly', 'super', 'slow', 'regret', 'really', 'change', 'network', 'access',' internet ',' kayak ',' gini ',' Watch ',' streaming ',' smooth ',' super ',' slow ',' package ',' Gede ',' open ',' streaming ',' severe ',' Telkomsel ',' water ',' "&amp;"DAK ' , 'Package', 'smooth', 'Jaya', 'Network', '']")</f>
        <v>['customer', 'ugly', 'super', 'slow', 'regret', 'really', 'change', 'network', 'access',' internet ',' kayak ',' gini ',' Watch ',' streaming ',' smooth ',' super ',' slow ',' package ',' Gede ',' open ',' streaming ',' severe ',' Telkomsel ',' water ',' DAK ' , 'Package', 'smooth', 'Jaya', 'Network', '']</v>
      </c>
      <c r="D2800" s="3">
        <v>1.0</v>
      </c>
    </row>
    <row r="2801" ht="15.75" customHeight="1">
      <c r="A2801" s="1">
        <v>2799.0</v>
      </c>
      <c r="B2801" s="3" t="s">
        <v>2802</v>
      </c>
      <c r="C2801" s="3" t="str">
        <f>IFERROR(__xludf.DUMMYFUNCTION("GOOGLETRANSLATE(B2801,""id"",""en"")"),"['Parahhhh', 'disappointed', 'fares', 'expensive', 'network', 'slow', 'love', 'rating', 'edited', 'here', 'severe']")</f>
        <v>['Parahhhh', 'disappointed', 'fares', 'expensive', 'network', 'slow', 'love', 'rating', 'edited', 'here', 'severe']</v>
      </c>
      <c r="D2801" s="3">
        <v>1.0</v>
      </c>
    </row>
    <row r="2802" ht="15.75" customHeight="1">
      <c r="A2802" s="1">
        <v>2800.0</v>
      </c>
      <c r="B2802" s="3" t="s">
        <v>2803</v>
      </c>
      <c r="C2802" s="3" t="str">
        <f>IFERROR(__xludf.DUMMYFUNCTION("GOOGLETRANSLATE(B2802,""id"",""en"")"),"['suda', 'Langganantelkomsel', 'network', 'bad', 'expensive', 'quality', 'pulp', 'really', 'please', 'fix', 'region', 'rod', ' Java', '']")</f>
        <v>['suda', 'Langganantelkomsel', 'network', 'bad', 'expensive', 'quality', 'pulp', 'really', 'please', 'fix', 'region', 'rod', ' Java', '']</v>
      </c>
      <c r="D2802" s="3">
        <v>1.0</v>
      </c>
    </row>
    <row r="2803" ht="15.75" customHeight="1">
      <c r="A2803" s="1">
        <v>2801.0</v>
      </c>
      <c r="B2803" s="3" t="s">
        <v>2804</v>
      </c>
      <c r="C2803" s="3" t="str">
        <f>IFERROR(__xludf.DUMMYFUNCTION("GOOGLETRANSLATE(B2803,""id"",""en"")"),"['Please', 'Sorry', 'Telkomsel', 'Disappointed', 'Quota', 'Card', 'Telkomsel', 'Internet', 'Local', 'Local', 'Please', 'Fix', ' Iti ',' comfortable ',' thank you ',' concern ']")</f>
        <v>['Please', 'Sorry', 'Telkomsel', 'Disappointed', 'Quota', 'Card', 'Telkomsel', 'Internet', 'Local', 'Local', 'Please', 'Fix', ' Iti ',' comfortable ',' thank you ',' concern ']</v>
      </c>
      <c r="D2803" s="3">
        <v>1.0</v>
      </c>
    </row>
    <row r="2804" ht="15.75" customHeight="1">
      <c r="A2804" s="1">
        <v>2802.0</v>
      </c>
      <c r="B2804" s="3" t="s">
        <v>2805</v>
      </c>
      <c r="C2804" s="3" t="str">
        <f>IFERROR(__xludf.DUMMYFUNCTION("GOOGLETRANSLATE(B2804,""id"",""en"")"),"['Please', 'month', 'Hold', 'Promo', 'Supermurah', 'Difficult', 'Finance', 'Please', 'Telkomsel', 'Lower', 'Price', 'Package', ' The quota ',' groups', 'profits',' increases', 'package', 'Lower', 'Thank you', 'Hopefully', 'fast', 'response', 'Telkomsel', "&amp;"""]")</f>
        <v>['Please', 'month', 'Hold', 'Promo', 'Supermurah', 'Difficult', 'Finance', 'Please', 'Telkomsel', 'Lower', 'Price', 'Package', ' The quota ',' groups', 'profits',' increases', 'package', 'Lower', 'Thank you', 'Hopefully', 'fast', 'response', 'Telkomsel', "]</v>
      </c>
      <c r="D2804" s="3">
        <v>5.0</v>
      </c>
    </row>
    <row r="2805" ht="15.75" customHeight="1">
      <c r="A2805" s="1">
        <v>2803.0</v>
      </c>
      <c r="B2805" s="3" t="s">
        <v>2806</v>
      </c>
      <c r="C2805" s="3" t="str">
        <f>IFERROR(__xludf.DUMMYFUNCTION("GOOGLETRANSLATE(B2805,""id"",""en"")"),"['Excuse', 'Normal', 'Kasi', 'Bintang', 'Yaaaa', 'Constraints',' Signal ',' Thank you ',' Help ',' Easy ',' Buy ',' Package ',' Internet ',' DSB ',' ']")</f>
        <v>['Excuse', 'Normal', 'Kasi', 'Bintang', 'Yaaaa', 'Constraints',' Signal ',' Thank you ',' Help ',' Easy ',' Buy ',' Package ',' Internet ',' DSB ',' ']</v>
      </c>
      <c r="D2805" s="3">
        <v>5.0</v>
      </c>
    </row>
    <row r="2806" ht="15.75" customHeight="1">
      <c r="A2806" s="1">
        <v>2804.0</v>
      </c>
      <c r="B2806" s="3" t="s">
        <v>2807</v>
      </c>
      <c r="C2806" s="3" t="str">
        <f>IFERROR(__xludf.DUMMYFUNCTION("GOOGLETRANSLATE(B2806,""id"",""en"")"),"['Hi', 'Telkomsel', 'buy', 'package', 'data', 'package', 'call', 'sms',' please ',' donk ',' love ',' explanation ',' ']")</f>
        <v>['Hi', 'Telkomsel', 'buy', 'package', 'data', 'package', 'call', 'sms',' please ',' donk ',' love ',' explanation ',' ']</v>
      </c>
      <c r="D2806" s="3">
        <v>1.0</v>
      </c>
    </row>
    <row r="2807" ht="15.75" customHeight="1">
      <c r="A2807" s="1">
        <v>2805.0</v>
      </c>
      <c r="B2807" s="3" t="s">
        <v>2808</v>
      </c>
      <c r="C2807" s="3" t="str">
        <f>IFERROR(__xludf.DUMMYFUNCTION("GOOGLETRANSLATE(B2807,""id"",""en"")"),"['Hi', 'admin', 'review', 'deleted', 'yak', 'criticism', 'suggestion', 'deleted', 'please', 'take', 'pulse', 'barokah', ' Life ',' Family ',' ']")</f>
        <v>['Hi', 'admin', 'review', 'deleted', 'yak', 'criticism', 'suggestion', 'deleted', 'please', 'take', 'pulse', 'barokah', ' Life ',' Family ',' ']</v>
      </c>
      <c r="D2807" s="3">
        <v>1.0</v>
      </c>
    </row>
    <row r="2808" ht="15.75" customHeight="1">
      <c r="A2808" s="1">
        <v>2806.0</v>
      </c>
      <c r="B2808" s="3" t="s">
        <v>2809</v>
      </c>
      <c r="C2808" s="3" t="str">
        <f>IFERROR(__xludf.DUMMYFUNCTION("GOOGLETRANSLATE(B2808,""id"",""en"")"),"['service', 'disappointing', 'sympathy', 'sms',' telephone ',' internet ',' history ',' use ',' internet ',' all ',' thousand ',' pulses', ' Lost ',' internet ',' set ',' use ',' Indosat ',' home ',' at home ',' use ',' wifi ',' then ',' history ',' use '"&amp;",' data ' , 'Telkomsel', 'Where', 'Calculate', 'Credit', 'Lost', 'Use']")</f>
        <v>['service', 'disappointing', 'sympathy', 'sms',' telephone ',' internet ',' history ',' use ',' internet ',' all ',' thousand ',' pulses', ' Lost ',' internet ',' set ',' use ',' Indosat ',' home ',' at home ',' use ',' wifi ',' then ',' history ',' use ',' data ' , 'Telkomsel', 'Where', 'Calculate', 'Credit', 'Lost', 'Use']</v>
      </c>
      <c r="D2808" s="3">
        <v>1.0</v>
      </c>
    </row>
    <row r="2809" ht="15.75" customHeight="1">
      <c r="A2809" s="1">
        <v>2807.0</v>
      </c>
      <c r="B2809" s="3" t="s">
        <v>2810</v>
      </c>
      <c r="C2809" s="3" t="str">
        <f>IFERROR(__xludf.DUMMYFUNCTION("GOOGLETRANSLATE(B2809,""id"",""en"")"),"['application', 'SPT', 'Tipu', 'especially', 'Features',' Daily ',' Chek ',' Routine ',' Open ',' Application ',' Application ',' Error ',' Appearing ',' menu ',' sometimes', 'hrs',' repeated ', ""]")</f>
        <v>['application', 'SPT', 'Tipu', 'especially', 'Features',' Daily ',' Chek ',' Routine ',' Open ',' Application ',' Application ',' Error ',' Appearing ',' menu ',' sometimes', 'hrs',' repeated ', "]</v>
      </c>
      <c r="D2809" s="3">
        <v>3.0</v>
      </c>
    </row>
    <row r="2810" ht="15.75" customHeight="1">
      <c r="A2810" s="1">
        <v>2808.0</v>
      </c>
      <c r="B2810" s="3" t="s">
        <v>2811</v>
      </c>
      <c r="C2810" s="3" t="str">
        <f>IFERROR(__xludf.DUMMYFUNCTION("GOOGLETRANSLATE(B2810,""id"",""en"")"),"['price', 'expensive', 'bet', 'promo', 'GB', 'rare', 'appears',' adin ',' promo ',' kek ',' so ',' Telkomsel ',' Pilit ',' Bet ',' Ngadin ',' Promo ']")</f>
        <v>['price', 'expensive', 'bet', 'promo', 'GB', 'rare', 'appears',' adin ',' promo ',' kek ',' so ',' Telkomsel ',' Pilit ',' Bet ',' Ngadin ',' Promo ']</v>
      </c>
      <c r="D2810" s="3">
        <v>1.0</v>
      </c>
    </row>
    <row r="2811" ht="15.75" customHeight="1">
      <c r="A2811" s="1">
        <v>2809.0</v>
      </c>
      <c r="B2811" s="3" t="s">
        <v>2812</v>
      </c>
      <c r="C2811" s="3" t="str">
        <f>IFERROR(__xludf.DUMMYFUNCTION("GOOGLETRANSLATE(B2811,""id"",""en"")"),"['Severe', 'thieves',' cowards', 'pulses',' thousand ',' stolen ',' hackers', 'application', 'please', 'customer', 'service', 'help', ' Talikin ',' Disridin ',' That's', 'Broken', 'Data', 'Privacy', 'Money', 'Loss',' Inability ',' Telkomsel ',' Protect ',"&amp;"' Security ',' customer ' , 'face', 'money', 'handle', 'gini', 'becus', '']")</f>
        <v>['Severe', 'thieves',' cowards', 'pulses',' thousand ',' stolen ',' hackers', 'application', 'please', 'customer', 'service', 'help', ' Talikin ',' Disridin ',' That's', 'Broken', 'Data', 'Privacy', 'Money', 'Loss',' Inability ',' Telkomsel ',' Protect ',' Security ',' customer ' , 'face', 'money', 'handle', 'gini', 'becus', '']</v>
      </c>
      <c r="D2811" s="3">
        <v>1.0</v>
      </c>
    </row>
    <row r="2812" ht="15.75" customHeight="1">
      <c r="A2812" s="1">
        <v>2810.0</v>
      </c>
      <c r="B2812" s="3" t="s">
        <v>2813</v>
      </c>
      <c r="C2812" s="3" t="str">
        <f>IFERROR(__xludf.DUMMYFUNCTION("GOOGLETRANSLATE(B2812,""id"",""en"")"),"['network', 'Telkomsel', 'dead', 'buy', 'package', 'expensive', 'Jaringa', 'die', 'like', 'play', 'game', 'online', ' Disappointed ',' really ',' buy ',' package ',' expensive ',' ngak ',' according to ',' network ',' provide ',' please ',' fix ',' networ"&amp;"k ',' ngak ' , 'is lost']")</f>
        <v>['network', 'Telkomsel', 'dead', 'buy', 'package', 'expensive', 'Jaringa', 'die', 'like', 'play', 'game', 'online', ' Disappointed ',' really ',' buy ',' package ',' expensive ',' ngak ',' according to ',' network ',' provide ',' please ',' fix ',' network ',' ngak ' , 'is lost']</v>
      </c>
      <c r="D2812" s="3">
        <v>4.0</v>
      </c>
    </row>
    <row r="2813" ht="15.75" customHeight="1">
      <c r="A2813" s="1">
        <v>2811.0</v>
      </c>
      <c r="B2813" s="3" t="s">
        <v>2814</v>
      </c>
      <c r="C2813" s="3" t="str">
        <f>IFERROR(__xludf.DUMMYFUNCTION("GOOGLETRANSLATE(B2813,""id"",""en"")"),"['Provider', 'Telkomsel', 'Sekrang', 'Leet', 'Open', 'Internet', 'Application', 'Learning', 'Media', 'Social', 'Game', 'Disconet', ' Please ',' Repair ',' Provider ',' Network ',' Stable ',' User ',' Disappointed ']")</f>
        <v>['Provider', 'Telkomsel', 'Sekrang', 'Leet', 'Open', 'Internet', 'Application', 'Learning', 'Media', 'Social', 'Game', 'Disconet', ' Please ',' Repair ',' Provider ',' Network ',' Stable ',' User ',' Disappointed ']</v>
      </c>
      <c r="D2813" s="3">
        <v>4.0</v>
      </c>
    </row>
    <row r="2814" ht="15.75" customHeight="1">
      <c r="A2814" s="1">
        <v>2812.0</v>
      </c>
      <c r="B2814" s="3" t="s">
        <v>2815</v>
      </c>
      <c r="C2814" s="3" t="str">
        <f>IFERROR(__xludf.DUMMYFUNCTION("GOOGLETRANSLATE(B2814,""id"",""en"")"),"['jerk', 'buy', 'quota', 'rupiah', 'use', 'pulse', 'pulse', 'thousand', 'thousand', 'what', 'jerks', ""]")</f>
        <v>['jerk', 'buy', 'quota', 'rupiah', 'use', 'pulse', 'pulse', 'thousand', 'thousand', 'what', 'jerks', "]</v>
      </c>
      <c r="D2814" s="3">
        <v>1.0</v>
      </c>
    </row>
    <row r="2815" ht="15.75" customHeight="1">
      <c r="A2815" s="1">
        <v>2813.0</v>
      </c>
      <c r="B2815" s="3" t="s">
        <v>2816</v>
      </c>
      <c r="C2815" s="3" t="str">
        <f>IFERROR(__xludf.DUMMYFUNCTION("GOOGLETRANSLATE(B2815,""id"",""en"")"),"['Telkomsel', 'Dead', 'Lights',' Life ',' Tetep ',' Mengelek ',' Rain ',' Dipelek ',' Males', 'Speaks',' UAG ',' Buy ',' pulses', 'contents',' pulse ',' ratusa ',' get ',' quata ',' a little ',' ngelek ',' cave ',' scene ',' dubik ',' please ',' good ' , "&amp;"'little', 'times']")</f>
        <v>['Telkomsel', 'Dead', 'Lights',' Life ',' Tetep ',' Mengelek ',' Rain ',' Dipelek ',' Males', 'Speaks',' UAG ',' Buy ',' pulses', 'contents',' pulse ',' ratusa ',' get ',' quata ',' a little ',' ngelek ',' cave ',' scene ',' dubik ',' please ',' good ' , 'little', 'times']</v>
      </c>
      <c r="D2815" s="3">
        <v>1.0</v>
      </c>
    </row>
    <row r="2816" ht="15.75" customHeight="1">
      <c r="A2816" s="1">
        <v>2814.0</v>
      </c>
      <c r="B2816" s="3" t="s">
        <v>2817</v>
      </c>
      <c r="C2816" s="3" t="str">
        <f>IFERROR(__xludf.DUMMYFUNCTION("GOOGLETRANSLATE(B2816,""id"",""en"")"),"['min', 'network', 'Telkomsel', 'weakened', 'already', 'a year', 'pandemic', 'network', 'weak', 'village', 'play', 'game', ' City ',' Wait ',' clock ',' night ',' save ',' home ',' signal ',' gini ',' min ',' please ',' fix ',' signal ',' promo ' , 'promo"&amp;"', 'equivalent', 'signal', 'good', 'Lumajang', '']")</f>
        <v>['min', 'network', 'Telkomsel', 'weakened', 'already', 'a year', 'pandemic', 'network', 'weak', 'village', 'play', 'game', ' City ',' Wait ',' clock ',' night ',' save ',' home ',' signal ',' gini ',' min ',' please ',' fix ',' signal ',' promo ' , 'promo', 'equivalent', 'signal', 'good', 'Lumajang', '']</v>
      </c>
      <c r="D2816" s="3">
        <v>1.0</v>
      </c>
    </row>
    <row r="2817" ht="15.75" customHeight="1">
      <c r="A2817" s="1">
        <v>2815.0</v>
      </c>
      <c r="B2817" s="3" t="s">
        <v>2818</v>
      </c>
      <c r="C2817" s="3" t="str">
        <f>IFERROR(__xludf.DUMMYFUNCTION("GOOGLETRANSLATE(B2817,""id"",""en"")"),"['date', 'January', 'Yesterday', 'buy', 'Package', 'Combo', 'Sakti', 'Payment', 'Application', 'Dana', 'Transaction', 'SUCCESS', ' package ',' TSB ',' appears', 'report', 'veronica', 'report', 'name', 'complete', 'address',' capture ',' transaction ',' dm"&amp;"n ',' history ' , 'transaction', 'appears',' Telkomsel ',' JDI ',' The question ',' Telkomsel ',' data ',' results', 'transaction', 'payment', 'funds',' TSB ',' Knp ',' Say "", 'Application', 'Telkomsel', 'LGI', 'Error', '']")</f>
        <v>['date', 'January', 'Yesterday', 'buy', 'Package', 'Combo', 'Sakti', 'Payment', 'Application', 'Dana', 'Transaction', 'SUCCESS', ' package ',' TSB ',' appears', 'report', 'veronica', 'report', 'name', 'complete', 'address',' capture ',' transaction ',' dmn ',' history ' , 'transaction', 'appears',' Telkomsel ',' JDI ',' The question ',' Telkomsel ',' data ',' results', 'transaction', 'payment', 'funds',' TSB ',' Knp ',' Say ", 'Application', 'Telkomsel', 'LGI', 'Error', '']</v>
      </c>
      <c r="D2817" s="3">
        <v>1.0</v>
      </c>
    </row>
    <row r="2818" ht="15.75" customHeight="1">
      <c r="A2818" s="1">
        <v>2816.0</v>
      </c>
      <c r="B2818" s="3" t="s">
        <v>2819</v>
      </c>
      <c r="C2818" s="3" t="str">
        <f>IFERROR(__xludf.DUMMYFUNCTION("GOOGLETRANSLATE(B2818,""id"",""en"")"),"['promo', 'package', 'appears',' bought ',' failed ',' network ',' busy ',' run ',' provider ',' customer ',' loyal ',' Telkomsel ',' disappointed']")</f>
        <v>['promo', 'package', 'appears',' bought ',' failed ',' network ',' busy ',' run ',' provider ',' customer ',' loyal ',' Telkomsel ',' disappointed']</v>
      </c>
      <c r="D2818" s="3">
        <v>5.0</v>
      </c>
    </row>
    <row r="2819" ht="15.75" customHeight="1">
      <c r="A2819" s="1">
        <v>2817.0</v>
      </c>
      <c r="B2819" s="3" t="s">
        <v>2820</v>
      </c>
      <c r="C2819" s="3" t="str">
        <f>IFERROR(__xludf.DUMMYFUNCTION("GOOGLETRANSLATE(B2819,""id"",""en"")"),"['Network', 'difficult', 'really', 'play', 'games',' like ',' distconek ',' Season ',' Pust ',' Rank ',' Telkomsel ',' card ',' Sultan ',' Network ',' stable ',' really ',' Despite ',' Pedesa ',' TPI ',' Really ',' Disappointing ',' Please ',' Fix ',' As "&amp;"soon as', 'Thank you' , '']")</f>
        <v>['Network', 'difficult', 'really', 'play', 'games',' like ',' distconek ',' Season ',' Pust ',' Rank ',' Telkomsel ',' card ',' Sultan ',' Network ',' stable ',' really ',' Despite ',' Pedesa ',' TPI ',' Really ',' Disappointing ',' Please ',' Fix ',' As soon as', 'Thank you' , '']</v>
      </c>
      <c r="D2819" s="3">
        <v>4.0</v>
      </c>
    </row>
    <row r="2820" ht="15.75" customHeight="1">
      <c r="A2820" s="1">
        <v>2818.0</v>
      </c>
      <c r="B2820" s="3" t="s">
        <v>2821</v>
      </c>
      <c r="C2820" s="3" t="str">
        <f>IFERROR(__xludf.DUMMYFUNCTION("GOOGLETRANSLATE(B2820,""id"",""en"")"),"['', 'use', 'Telkomsel', 'complaints',' Points', 'Telkomsel', 'Points',' Points', 'buy', 'pulse', 'can', 'Points',' right ',' Check ',' Application ',' Telkomsel ',' Knp ',' Points', 'Lost', 'Points',' Telkomsel ',' Padalan ',' Ngerendem ',' Please ',' Re"&amp;"ff ', 'Points', '']")</f>
        <v>['', 'use', 'Telkomsel', 'complaints',' Points', 'Telkomsel', 'Points',' Points', 'buy', 'pulse', 'can', 'Points',' right ',' Check ',' Application ',' Telkomsel ',' Knp ',' Points', 'Lost', 'Points',' Telkomsel ',' Padalan ',' Ngerendem ',' Please ',' Reff ', 'Points', '']</v>
      </c>
      <c r="D2820" s="3">
        <v>2.0</v>
      </c>
    </row>
    <row r="2821" ht="15.75" customHeight="1">
      <c r="A2821" s="1">
        <v>2819.0</v>
      </c>
      <c r="B2821" s="3" t="s">
        <v>2822</v>
      </c>
      <c r="C2821" s="3" t="str">
        <f>IFERROR(__xludf.DUMMYFUNCTION("GOOGLETRANSLATE(B2821,""id"",""en"")"),"['Dear', 'Telkomsel', 'user', 'package', 'internet', 'night', 'home', 'check', 'absent', 'quota', 'GB', 'remove', ' Useful ',' customers', 'disappear', 'menu', 'Telkomsel']")</f>
        <v>['Dear', 'Telkomsel', 'user', 'package', 'internet', 'night', 'home', 'check', 'absent', 'quota', 'GB', 'remove', ' Useful ',' customers', 'disappear', 'menu', 'Telkomsel']</v>
      </c>
      <c r="D2821" s="3">
        <v>3.0</v>
      </c>
    </row>
    <row r="2822" ht="15.75" customHeight="1">
      <c r="A2822" s="1">
        <v>2820.0</v>
      </c>
      <c r="B2822" s="3" t="s">
        <v>2823</v>
      </c>
      <c r="C2822" s="3" t="str">
        <f>IFERROR(__xludf.DUMMYFUNCTION("GOOGLETRANSLATE(B2822,""id"",""en"")"),"['Combo', 'Sakti', 'gabisa', 'kah', 'gabisa', 'picture', 'youtube', 'chember', 'sakti', 'comment', 'kyk', 'gini', ' just ',' told ',' contact ',' mimin ',' doang ',' kagak ',' repair ',' already ',' buy ',' combo ',' magic ',' wish ',' wish ' , 'quota', '"&amp;"Unlimitied', 'YouTube', 'UDH', 'Network', 'lag', 'published', 'price', 'quality', 'expensive', 'doang', 'good', ' Kaga ']")</f>
        <v>['Combo', 'Sakti', 'gabisa', 'kah', 'gabisa', 'picture', 'youtube', 'chember', 'sakti', 'comment', 'kyk', 'gini', ' just ',' told ',' contact ',' mimin ',' doang ',' kagak ',' repair ',' already ',' buy ',' combo ',' magic ',' wish ',' wish ' , 'quota', 'Unlimitied', 'YouTube', 'UDH', 'Network', 'lag', 'published', 'price', 'quality', 'expensive', 'doang', 'good', ' Kaga ']</v>
      </c>
      <c r="D2822" s="3">
        <v>1.0</v>
      </c>
    </row>
    <row r="2823" ht="15.75" customHeight="1">
      <c r="A2823" s="1">
        <v>2821.0</v>
      </c>
      <c r="B2823" s="3" t="s">
        <v>2824</v>
      </c>
      <c r="C2823" s="3" t="str">
        <f>IFERROR(__xludf.DUMMYFUNCTION("GOOGLETRANSLATE(B2823,""id"",""en"")"),"['Network', 'ilang', 'settings',' already ',' right ',' good ',' network ',' telkomsel ',' customer ',' loyal ',' network ',' internet ',' Kenceng ',' really ',' dizzy ',' please ',' fix ',' package ',' internet ',' expensive ',' expensive ',' really ',' "&amp;"peels', 'satisfying', 'area' , 'Tasikmalaya', 'Sariwangi']")</f>
        <v>['Network', 'ilang', 'settings',' already ',' right ',' good ',' network ',' telkomsel ',' customer ',' loyal ',' network ',' internet ',' Kenceng ',' really ',' dizzy ',' please ',' fix ',' package ',' internet ',' expensive ',' expensive ',' really ',' peels', 'satisfying', 'area' , 'Tasikmalaya', 'Sariwangi']</v>
      </c>
      <c r="D2823" s="3">
        <v>1.0</v>
      </c>
    </row>
    <row r="2824" ht="15.75" customHeight="1">
      <c r="A2824" s="1">
        <v>2822.0</v>
      </c>
      <c r="B2824" s="3" t="s">
        <v>2825</v>
      </c>
      <c r="C2824" s="3" t="str">
        <f>IFERROR(__xludf.DUMMYFUNCTION("GOOGLETRANSLATE(B2824,""id"",""en"")"),"['buy', 'package', 'internet', 'cheerful', 'contents',' reset ',' pulse ',' package ',' cheerful ',' buy ',' out ',' contents', ' pulse ',' package ',' internet ',' cheerful ',' already ',' lost ',' package ',' internet ',' cheerful ',' show ',' person ',"&amp;"' contents', 'pulses' , 'Thank you', 'Fraud', 'If', 'APK', 'Love', 'Bintang', 'already', 'Love', 'star', 'usually', 'minimal', 'already', ' Love ',' Bintang ',' ']")</f>
        <v>['buy', 'package', 'internet', 'cheerful', 'contents',' reset ',' pulse ',' package ',' cheerful ',' buy ',' out ',' contents', ' pulse ',' package ',' internet ',' cheerful ',' already ',' lost ',' package ',' internet ',' cheerful ',' show ',' person ',' contents', 'pulses' , 'Thank you', 'Fraud', 'If', 'APK', 'Love', 'Bintang', 'already', 'Love', 'star', 'usually', 'minimal', 'already', ' Love ',' Bintang ',' ']</v>
      </c>
      <c r="D2824" s="3">
        <v>1.0</v>
      </c>
    </row>
    <row r="2825" ht="15.75" customHeight="1">
      <c r="A2825" s="1">
        <v>2823.0</v>
      </c>
      <c r="B2825" s="3" t="s">
        <v>2826</v>
      </c>
      <c r="C2825" s="3" t="str">
        <f>IFERROR(__xludf.DUMMYFUNCTION("GOOGLETRANSLATE(B2825,""id"",""en"")"),"['expensive', 'price', 'package', 'signal', 'bad', 'how', 'cook', 'pending', 'youtube', 'little', 'muter', 'sempak', ' Loss', 'buy', 'package', 'Ngilak', 'price', 'lipata']")</f>
        <v>['expensive', 'price', 'package', 'signal', 'bad', 'how', 'cook', 'pending', 'youtube', 'little', 'muter', 'sempak', ' Loss', 'buy', 'package', 'Ngilak', 'price', 'lipata']</v>
      </c>
      <c r="D2825" s="3">
        <v>1.0</v>
      </c>
    </row>
    <row r="2826" ht="15.75" customHeight="1">
      <c r="A2826" s="1">
        <v>2824.0</v>
      </c>
      <c r="B2826" s="3" t="s">
        <v>2827</v>
      </c>
      <c r="C2826" s="3" t="str">
        <f>IFERROR(__xludf.DUMMYFUNCTION("GOOGLETRANSLATE(B2826,""id"",""en"")"),"['Haii', 'Telkomsel', 'updated', 'version', 'promo', 'rb', 'GB', 'missing', 'yaa', 'solution', 'return it', ""]")</f>
        <v>['Haii', 'Telkomsel', 'updated', 'version', 'promo', 'rb', 'GB', 'missing', 'yaa', 'solution', 'return it', "]</v>
      </c>
      <c r="D2826" s="3">
        <v>3.0</v>
      </c>
    </row>
    <row r="2827" ht="15.75" customHeight="1">
      <c r="A2827" s="1">
        <v>2825.0</v>
      </c>
      <c r="B2827" s="3" t="s">
        <v>2828</v>
      </c>
      <c r="C2827" s="3" t="str">
        <f>IFERROR(__xludf.DUMMYFUNCTION("GOOGLETRANSLATE(B2827,""id"",""en"")"),"['complain', 'download', 'safe', 'yaa', 'contents',' pulse ',' trs', 'buy', 'package', 'data', 'pulse', 'the rest', ' Until ',' Tomorrow ',' Tomorrow ',' Tomorrow ',' Buy ',' Credit ',' TRS ',' Buy ',' Package ',' Data ',' Hour ',' Udh ',' No "" , 'pulse'"&amp;", 'the rest', 'leftover', 'pulses',' rich ',' that's', 'Sis',' leftover ',' pulses', 'Not bad', 'bought', 'package', ' Data ',' again ',' ']")</f>
        <v>['complain', 'download', 'safe', 'yaa', 'contents',' pulse ',' trs', 'buy', 'package', 'data', 'pulse', 'the rest', ' Until ',' Tomorrow ',' Tomorrow ',' Tomorrow ',' Buy ',' Credit ',' TRS ',' Buy ',' Package ',' Data ',' Hour ',' Udh ',' No " , 'pulse', 'the rest', 'leftover', 'pulses',' rich ',' that's', 'Sis',' leftover ',' pulses', 'Not bad', 'bought', 'package', ' Data ',' again ',' ']</v>
      </c>
      <c r="D2827" s="3">
        <v>1.0</v>
      </c>
    </row>
    <row r="2828" ht="15.75" customHeight="1">
      <c r="A2828" s="1">
        <v>2826.0</v>
      </c>
      <c r="B2828" s="3" t="s">
        <v>2829</v>
      </c>
      <c r="C2828" s="3" t="str">
        <f>IFERROR(__xludf.DUMMYFUNCTION("GOOGLETRANSLATE(B2828,""id"",""en"")"),"['signal', 'severe', 'signal', 'fulll', 'slow', 'abis',' open ',' Telkomsel ',' difficult ',' admin ',' response ',' explanation ',' Divert ',' Tweeter ',' Faceboo ',' What's', 'Shape', 'Terms',' Customer ']")</f>
        <v>['signal', 'severe', 'signal', 'fulll', 'slow', 'abis',' open ',' Telkomsel ',' difficult ',' admin ',' response ',' explanation ',' Divert ',' Tweeter ',' Faceboo ',' What's', 'Shape', 'Terms',' Customer ']</v>
      </c>
      <c r="D2828" s="3">
        <v>1.0</v>
      </c>
    </row>
    <row r="2829" ht="15.75" customHeight="1">
      <c r="A2829" s="1">
        <v>2827.0</v>
      </c>
      <c r="B2829" s="3" t="s">
        <v>2830</v>
      </c>
      <c r="C2829" s="3" t="str">
        <f>IFERROR(__xludf.DUMMYFUNCTION("GOOGLETRANSLATE(B2829,""id"",""en"")"),"['Plis',' deh ',' Telkomsel ',' please ',' addin ',' tower ',' area ',' plungok ',' susaaah ',' really ',' search ',' get ',' Point ',' Loading ',' Browser ',' Ngegame ',' Lag ',' Severe ',' ']")</f>
        <v>['Plis',' deh ',' Telkomsel ',' please ',' addin ',' tower ',' area ',' plungok ',' susaaah ',' really ',' search ',' get ',' Point ',' Loading ',' Browser ',' Ngegame ',' Lag ',' Severe ',' ']</v>
      </c>
      <c r="D2829" s="3">
        <v>3.0</v>
      </c>
    </row>
    <row r="2830" ht="15.75" customHeight="1">
      <c r="A2830" s="1">
        <v>2828.0</v>
      </c>
      <c r="B2830" s="3" t="s">
        <v>2831</v>
      </c>
      <c r="C2830" s="3" t="str">
        <f>IFERROR(__xludf.DUMMYFUNCTION("GOOGLETRANSLATE(B2830,""id"",""en"")"),"['signal', 'Telkomsel', 'bad', 'already', 'package', 'expensive', 'signal', 'severe', 'understand', 'what', 'oprator', 'severe', ' very', '']")</f>
        <v>['signal', 'Telkomsel', 'bad', 'already', 'package', 'expensive', 'signal', 'severe', 'understand', 'what', 'oprator', 'severe', ' very', '']</v>
      </c>
      <c r="D2830" s="3">
        <v>1.0</v>
      </c>
    </row>
    <row r="2831" ht="15.75" customHeight="1">
      <c r="A2831" s="1">
        <v>2829.0</v>
      </c>
      <c r="B2831" s="3" t="s">
        <v>2832</v>
      </c>
      <c r="C2831" s="3" t="str">
        <f>IFERROR(__xludf.DUMMYFUNCTION("GOOGLETRANSLATE(B2831,""id"",""en"")"),"['Application', 'Bolot', 'SMNTR', 'Application', 'Current', 'Jaya', 'Pulse', 'Kaga', 'Dipake', 'Out', 'Subscribe', 'Tone', ' Ringing ',' Something ',' sucked ',' pulse ',' run out ',' reduced ',' banngke ',' emang ',' Telkomsel ',' pengindikhh ',' replace"&amp;" ',' number ', ""]")</f>
        <v>['Application', 'Bolot', 'SMNTR', 'Application', 'Current', 'Jaya', 'Pulse', 'Kaga', 'Dipake', 'Out', 'Subscribe', 'Tone', ' Ringing ',' Something ',' sucked ',' pulse ',' run out ',' reduced ',' banngke ',' emang ',' Telkomsel ',' pengindikhh ',' replace ',' number ', "]</v>
      </c>
      <c r="D2831" s="3">
        <v>1.0</v>
      </c>
    </row>
    <row r="2832" ht="15.75" customHeight="1">
      <c r="A2832" s="1">
        <v>2830.0</v>
      </c>
      <c r="B2832" s="3" t="s">
        <v>2833</v>
      </c>
      <c r="C2832" s="3" t="str">
        <f>IFERROR(__xludf.DUMMYFUNCTION("GOOGLETRANSLATE(B2832,""id"",""en"")"),"['JUM', 'Date', 'January', 'Natural', 'Failure', 'Application', 'Telkomsel', 'Gara', 'Gara', 'Update', 'Turuti', 'His Will' Results', 'Trouble', 'Readers',' Helping ',' Find ',' Solution ',' ']")</f>
        <v>['JUM', 'Date', 'January', 'Natural', 'Failure', 'Application', 'Telkomsel', 'Gara', 'Gara', 'Update', 'Turuti', 'His Will' Results', 'Trouble', 'Readers',' Helping ',' Find ',' Solution ',' ']</v>
      </c>
      <c r="D2832" s="3">
        <v>5.0</v>
      </c>
    </row>
    <row r="2833" ht="15.75" customHeight="1">
      <c r="A2833" s="1">
        <v>2831.0</v>
      </c>
      <c r="B2833" s="3" t="s">
        <v>2834</v>
      </c>
      <c r="C2833" s="3" t="str">
        <f>IFERROR(__xludf.DUMMYFUNCTION("GOOGLETRANSLATE(B2833,""id"",""en"")"),"['pulse', 'free', 'download', 'application', 'Telkomsel', 'can', 'pulse', 'free', 'thousand', 'fraud', ""]")</f>
        <v>['pulse', 'free', 'download', 'application', 'Telkomsel', 'can', 'pulse', 'free', 'thousand', 'fraud', "]</v>
      </c>
      <c r="D2833" s="3">
        <v>2.0</v>
      </c>
    </row>
    <row r="2834" ht="15.75" customHeight="1">
      <c r="A2834" s="1">
        <v>2832.0</v>
      </c>
      <c r="B2834" s="3" t="s">
        <v>2835</v>
      </c>
      <c r="C2834" s="3" t="str">
        <f>IFERROR(__xludf.DUMMYFUNCTION("GOOGLETRANSLATE(B2834,""id"",""en"")"),"['Good', 'mah', 'yahh', 'unlimited', 'adin', 'price', 'expensive', 'expensive', 'mah', 'thanks']")</f>
        <v>['Good', 'mah', 'yahh', 'unlimited', 'adin', 'price', 'expensive', 'expensive', 'mah', 'thanks']</v>
      </c>
      <c r="D2834" s="3">
        <v>5.0</v>
      </c>
    </row>
    <row r="2835" ht="15.75" customHeight="1">
      <c r="A2835" s="1">
        <v>2833.0</v>
      </c>
      <c r="B2835" s="3" t="s">
        <v>2836</v>
      </c>
      <c r="C2835" s="3" t="str">
        <f>IFERROR(__xludf.DUMMYFUNCTION("GOOGLETRANSLATE(B2835,""id"",""en"")"),"['Telkomsel', 'active', 'buy', 'buy', 'pulse', 'fill', 'active', 'rb', 'pay', 'active', 'want', 'bandingin', ' Provider ',' next door ',' contents', 'credit', 'RB', 'already', 'automatic', 'active', 'a year', 'pulse', 'whole', ""]")</f>
        <v>['Telkomsel', 'active', 'buy', 'buy', 'pulse', 'fill', 'active', 'rb', 'pay', 'active', 'want', 'bandingin', ' Provider ',' next door ',' contents', 'credit', 'RB', 'already', 'automatic', 'active', 'a year', 'pulse', 'whole', "]</v>
      </c>
      <c r="D2835" s="3">
        <v>3.0</v>
      </c>
    </row>
    <row r="2836" ht="15.75" customHeight="1">
      <c r="A2836" s="1">
        <v>2834.0</v>
      </c>
      <c r="B2836" s="3" t="s">
        <v>2837</v>
      </c>
      <c r="C2836" s="3" t="str">
        <f>IFERROR(__xludf.DUMMYFUNCTION("GOOGLETRANSLATE(B2836,""id"",""en"")"),"['original', 'emotion', 'really', 'pulse', 'package', 'cheerful', 'GB', 'appears',' nawarain ',' sell ',' loss', 'right', ' Check ',' Come here ',' leftover ',' buy ',' check ',' missing ',' intention ',' no ',' gave ',' promo ',' disappointed ']")</f>
        <v>['original', 'emotion', 'really', 'pulse', 'package', 'cheerful', 'GB', 'appears',' nawarain ',' sell ',' loss', 'right', ' Check ',' Come here ',' leftover ',' buy ',' check ',' missing ',' intention ',' no ',' gave ',' promo ',' disappointed ']</v>
      </c>
      <c r="D2836" s="3">
        <v>1.0</v>
      </c>
    </row>
    <row r="2837" ht="15.75" customHeight="1">
      <c r="A2837" s="1">
        <v>2835.0</v>
      </c>
      <c r="B2837" s="3" t="s">
        <v>2838</v>
      </c>
      <c r="C2837" s="3" t="str">
        <f>IFERROR(__xludf.DUMMYFUNCTION("GOOGLETRANSLATE(B2837,""id"",""en"")"),"['WiFi', 'Main', 'Game', 'Open', 'Application', 'Doang', 'Connection', 'Needed', 'Open', 'Application', 'Rich', 'Gini', ' Doang ',' MySF ',' Pubgm ',' MLBB ',' Current ',' Jaya ',' Disappointing ',' ']")</f>
        <v>['WiFi', 'Main', 'Game', 'Open', 'Application', 'Doang', 'Connection', 'Needed', 'Open', 'Application', 'Rich', 'Gini', ' Doang ',' MySF ',' Pubgm ',' MLBB ',' Current ',' Jaya ',' Disappointing ',' ']</v>
      </c>
      <c r="D2837" s="3">
        <v>1.0</v>
      </c>
    </row>
    <row r="2838" ht="15.75" customHeight="1">
      <c r="A2838" s="1">
        <v>2836.0</v>
      </c>
      <c r="B2838" s="3" t="s">
        <v>2839</v>
      </c>
      <c r="C2838" s="3" t="str">
        <f>IFERROR(__xludf.DUMMYFUNCTION("GOOGLETRANSLATE(B2838,""id"",""en"")"),"['fill in', 'package', 'complicated', 'quota', 'telkomsel', 'package', 'run out', 'mytelkomsel', 'wifi', 'sense', 'finished', 'buy', ' pulses', 'packages',' internet ',' giga ',' contents', 'reset', 'total', 'add', 'active', 'total', 'giga', 'check', 'pul"&amp;"se' , 'Telkomsel', 'Nelpun', 'pulse', 'sufficient', 'check', 'stay', 'Rupiah', ""]")</f>
        <v>['fill in', 'package', 'complicated', 'quota', 'telkomsel', 'package', 'run out', 'mytelkomsel', 'wifi', 'sense', 'finished', 'buy', ' pulses', 'packages',' internet ',' giga ',' contents', 'reset', 'total', 'add', 'active', 'total', 'giga', 'check', 'pulse' , 'Telkomsel', 'Nelpun', 'pulse', 'sufficient', 'check', 'stay', 'Rupiah', "]</v>
      </c>
      <c r="D2838" s="3">
        <v>1.0</v>
      </c>
    </row>
    <row r="2839" ht="15.75" customHeight="1">
      <c r="A2839" s="1">
        <v>2837.0</v>
      </c>
      <c r="B2839" s="3" t="s">
        <v>2840</v>
      </c>
      <c r="C2839" s="3" t="str">
        <f>IFERROR(__xludf.DUMMYFUNCTION("GOOGLETRANSLATE(B2839,""id"",""en"")"),"['taking', 'quota', 'missing', 'collect', 'stemp', 'until', 'stuck', 'turn', 'take', 'enter', 'option', 'enter']")</f>
        <v>['taking', 'quota', 'missing', 'collect', 'stemp', 'until', 'stuck', 'turn', 'take', 'enter', 'option', 'enter']</v>
      </c>
      <c r="D2839" s="3">
        <v>1.0</v>
      </c>
    </row>
    <row r="2840" ht="15.75" customHeight="1">
      <c r="A2840" s="1">
        <v>2838.0</v>
      </c>
      <c r="B2840" s="3" t="s">
        <v>2841</v>
      </c>
      <c r="C2840" s="3" t="str">
        <f>IFERROR(__xludf.DUMMYFUNCTION("GOOGLETRANSLATE(B2840,""id"",""en"")"),"['Operator', 'Updated', 'Package', 'Promo', 'Combo', 'Sakti', 'Wandering', 'Updated', 'Promotions',' Lost ',' ugly ',' Already ',' The package is 'expensive', '']")</f>
        <v>['Operator', 'Updated', 'Package', 'Promo', 'Combo', 'Sakti', 'Wandering', 'Updated', 'Promotions',' Lost ',' ugly ',' Already ',' The package is 'expensive', '']</v>
      </c>
      <c r="D2840" s="3">
        <v>1.0</v>
      </c>
    </row>
    <row r="2841" ht="15.75" customHeight="1">
      <c r="A2841" s="1">
        <v>2839.0</v>
      </c>
      <c r="B2841" s="3" t="s">
        <v>2842</v>
      </c>
      <c r="C2841" s="3" t="str">
        <f>IFERROR(__xludf.DUMMYFUNCTION("GOOGLETRANSLATE(B2841,""id"",""en"")"),"['Please', 'Telkomsel', 'Out', 'Quota', 'Package', 'Data', 'Direct', 'You', 'Eat', 'Credit', 'Out', 'System', ' Arrange ',' pulse ',' person ',' package ',' data ',' run out ', ""]")</f>
        <v>['Please', 'Telkomsel', 'Out', 'Quota', 'Package', 'Data', 'Direct', 'You', 'Eat', 'Credit', 'Out', 'System', ' Arrange ',' pulse ',' person ',' package ',' data ',' run out ', "]</v>
      </c>
      <c r="D2841" s="3">
        <v>1.0</v>
      </c>
    </row>
    <row r="2842" ht="15.75" customHeight="1">
      <c r="A2842" s="1">
        <v>2840.0</v>
      </c>
      <c r="B2842" s="3" t="s">
        <v>2843</v>
      </c>
      <c r="C2842" s="3" t="str">
        <f>IFERROR(__xludf.DUMMYFUNCTION("GOOGLETRANSLATE(B2842,""id"",""en"")"),"['cool', 'really', 'bonus',' stamp ',' daily ',' right ',' can ',' bonus', 'GB', 'absent', 'daily', 'app', ' Telkomsel ',' Satisfied ',' Overnight ',' Telkomsel ',' Bonus']")</f>
        <v>['cool', 'really', 'bonus',' stamp ',' daily ',' right ',' can ',' bonus', 'GB', 'absent', 'daily', 'app', ' Telkomsel ',' Satisfied ',' Overnight ',' Telkomsel ',' Bonus']</v>
      </c>
      <c r="D2842" s="3">
        <v>5.0</v>
      </c>
    </row>
    <row r="2843" ht="15.75" customHeight="1">
      <c r="A2843" s="1">
        <v>2841.0</v>
      </c>
      <c r="B2843" s="3" t="s">
        <v>2844</v>
      </c>
      <c r="C2843" s="3" t="str">
        <f>IFERROR(__xludf.DUMMYFUNCTION("GOOGLETRANSLATE(B2843,""id"",""en"")"),"['Application', 'Not bad', 'good', 'cheap', 'cheap', 'package', 'cellow', 'permissal', 'ngc', 'cite', 'application', 'good' Ngetop ',' Hopefully ',' Application ',' Lost ',' Indonesia ', ""]")</f>
        <v>['Application', 'Not bad', 'good', 'cheap', 'cheap', 'package', 'cellow', 'permissal', 'ngc', 'cite', 'application', 'good' Ngetop ',' Hopefully ',' Application ',' Lost ',' Indonesia ', "]</v>
      </c>
      <c r="D2843" s="3">
        <v>2.0</v>
      </c>
    </row>
    <row r="2844" ht="15.75" customHeight="1">
      <c r="A2844" s="1">
        <v>2842.0</v>
      </c>
      <c r="B2844" s="3" t="s">
        <v>2845</v>
      </c>
      <c r="C2844" s="3" t="str">
        <f>IFERROR(__xludf.DUMMYFUNCTION("GOOGLETRANSLATE(B2844,""id"",""en"")"),"['', 'Package', 'Internet', 'Changed', 'Change', 'Price', 'Huh', 'Disappointing', 'Deceiving', 'Customer', 'Trying', 'Look', 'Free ',' Daily ',' checkin ',' additional ',' lectures', 'online', 'mocked', 'Telkomsel', 'MKSD', 'Reply', 'Review', 'Copas',' se"&amp;"rvice ', 'according to', 'price']")</f>
        <v>['', 'Package', 'Internet', 'Changed', 'Change', 'Price', 'Huh', 'Disappointing', 'Deceiving', 'Customer', 'Trying', 'Look', 'Free ',' Daily ',' checkin ',' additional ',' lectures', 'online', 'mocked', 'Telkomsel', 'MKSD', 'Reply', 'Review', 'Copas',' service ', 'according to', 'price']</v>
      </c>
      <c r="D2844" s="3">
        <v>1.0</v>
      </c>
    </row>
    <row r="2845" ht="15.75" customHeight="1">
      <c r="A2845" s="1">
        <v>2843.0</v>
      </c>
      <c r="B2845" s="3" t="s">
        <v>2846</v>
      </c>
      <c r="C2845" s="3" t="str">
        <f>IFERROR(__xludf.DUMMYFUNCTION("GOOGLETRANSLATE(B2845,""id"",""en"")"),"['Disappointed', 'Telkomsel', 'Network', 'already', 'a week', 'Edge', 'then', 'disappointed', 'cave', 'replace', 'network', 'BNR', ' already ',' a week ',' emg ',' kagak ',' bnrin ',' telek ']")</f>
        <v>['Disappointed', 'Telkomsel', 'Network', 'already', 'a week', 'Edge', 'then', 'disappointed', 'cave', 'replace', 'network', 'BNR', ' already ',' a week ',' emg ',' kagak ',' bnrin ',' telek ']</v>
      </c>
      <c r="D2845" s="3">
        <v>1.0</v>
      </c>
    </row>
    <row r="2846" ht="15.75" customHeight="1">
      <c r="A2846" s="1">
        <v>2844.0</v>
      </c>
      <c r="B2846" s="3" t="s">
        <v>2847</v>
      </c>
      <c r="C2846" s="3" t="str">
        <f>IFERROR(__xludf.DUMMYFUNCTION("GOOGLETRANSLATE(B2846,""id"",""en"")"),"['The network', 'Please', 'Weighted', 'MAH', 'Telkomsel', 'Indonesia', 'Item', 'Different', 'Network', 'Singapore', 'Mah', 'Please', ' used ',' network ',' network ',' slow ',' download ',' video ',' minutes', 'current', 'wait', 'hour', 'buy', 'loss',' re"&amp;"gret ' ]")</f>
        <v>['The network', 'Please', 'Weighted', 'MAH', 'Telkomsel', 'Indonesia', 'Item', 'Different', 'Network', 'Singapore', 'Mah', 'Please', ' used ',' network ',' network ',' slow ',' download ',' video ',' minutes', 'current', 'wait', 'hour', 'buy', 'loss',' regret ' ]</v>
      </c>
      <c r="D2846" s="3">
        <v>1.0</v>
      </c>
    </row>
    <row r="2847" ht="15.75" customHeight="1">
      <c r="A2847" s="1">
        <v>2845.0</v>
      </c>
      <c r="B2847" s="3" t="s">
        <v>2848</v>
      </c>
      <c r="C2847" s="3" t="str">
        <f>IFERROR(__xludf.DUMMYFUNCTION("GOOGLETRANSLATE(B2847,""id"",""en"")"),"['want', 'enter', 'the application', 'ajj', 'really', 'loading', 'hadehhh', 'kmrn', 'udh', 'fill', 'pulse', 'apk', ' Tetep ',' ajj ',' warning ',' grace ',' pdhl ',' fill in ',' please ',' repaired ',' system ']")</f>
        <v>['want', 'enter', 'the application', 'ajj', 'really', 'loading', 'hadehhh', 'kmrn', 'udh', 'fill', 'pulse', 'apk', ' Tetep ',' ajj ',' warning ',' grace ',' pdhl ',' fill in ',' please ',' repaired ',' system ']</v>
      </c>
      <c r="D2847" s="3">
        <v>1.0</v>
      </c>
    </row>
    <row r="2848" ht="15.75" customHeight="1">
      <c r="A2848" s="1">
        <v>2846.0</v>
      </c>
      <c r="B2848" s="3" t="s">
        <v>2849</v>
      </c>
      <c r="C2848" s="3" t="str">
        <f>IFERROR(__xludf.DUMMYFUNCTION("GOOGLETRANSLATE(B2848,""id"",""en"")"),"['Severe', 'Telkomsel', 'Tibas',' Signal ',' ilang ',' emng ',' rich ',' gini ',' price ',' package ',' internet ',' down ',' already ',' package ',' expensive ',' quality ',' ugly ',' really ',' want ',' move ',' propider ',' darling ',' numbers', 'alrea"&amp;"dy', 'lazy' , 'Change', 'number', 'Telkomsel', 'quality', 'bad', 'really', 'severe']")</f>
        <v>['Severe', 'Telkomsel', 'Tibas',' Signal ',' ilang ',' emng ',' rich ',' gini ',' price ',' package ',' internet ',' down ',' already ',' package ',' expensive ',' quality ',' ugly ',' really ',' want ',' move ',' propider ',' darling ',' numbers', 'already', 'lazy' , 'Change', 'number', 'Telkomsel', 'quality', 'bad', 'really', 'severe']</v>
      </c>
      <c r="D2848" s="3">
        <v>1.0</v>
      </c>
    </row>
    <row r="2849" ht="15.75" customHeight="1">
      <c r="A2849" s="1">
        <v>2847.0</v>
      </c>
      <c r="B2849" s="3" t="s">
        <v>2850</v>
      </c>
      <c r="C2849" s="3" t="str">
        <f>IFERROR(__xludf.DUMMYFUNCTION("GOOGLETRANSLATE(B2849,""id"",""en"")"),"['Telkomsel', 'signal', 'UDH', 'Bagua', 'UDH', 'Kayak', 'Taik', 'Leet', 'Bangat', 'oath', 'business',' failed ',' Gara ',' signal ',' slow ',' like ',' taik ',' please ',' repaired ',' signal ',' optimal ',' kayak ',' gini ',' loss']")</f>
        <v>['Telkomsel', 'signal', 'UDH', 'Bagua', 'UDH', 'Kayak', 'Taik', 'Leet', 'Bangat', 'oath', 'business',' failed ',' Gara ',' signal ',' slow ',' like ',' taik ',' please ',' repaired ',' signal ',' optimal ',' kayak ',' gini ',' loss']</v>
      </c>
      <c r="D2849" s="3">
        <v>1.0</v>
      </c>
    </row>
    <row r="2850" ht="15.75" customHeight="1">
      <c r="A2850" s="1">
        <v>2848.0</v>
      </c>
      <c r="B2850" s="3" t="s">
        <v>2851</v>
      </c>
      <c r="C2850" s="3" t="str">
        <f>IFERROR(__xludf.DUMMYFUNCTION("GOOGLETRANSLATE(B2850,""id"",""en"")"),"['Telkomshit', 'Sunday', 'Signal', 'Stable', 'Buy', 'Extra', 'Quota', 'Internet', 'Error', 'Increases',' Improvement ',' Dreaming ',' Network ',' stable ', ""]")</f>
        <v>['Telkomshit', 'Sunday', 'Signal', 'Stable', 'Buy', 'Extra', 'Quota', 'Internet', 'Error', 'Increases',' Improvement ',' Dreaming ',' Network ',' stable ', "]</v>
      </c>
      <c r="D2850" s="3">
        <v>1.0</v>
      </c>
    </row>
    <row r="2851" ht="15.75" customHeight="1">
      <c r="A2851" s="1">
        <v>2849.0</v>
      </c>
      <c r="B2851" s="3" t="s">
        <v>2852</v>
      </c>
      <c r="C2851" s="3" t="str">
        <f>IFERROR(__xludf.DUMMYFUNCTION("GOOGLETRANSLATE(B2851,""id"",""en"")"),"['apk', 'help', 'user', 'android', 'unfortunately', 'easy', 'direct', 'faham', 'difficult', 'raised', 'process',' information ',' Guarantee ',' pulse ',' quota ',' top ',' interesting ',' mungurai ',' pulse ',' paa ',' process', 'login', 'citizen', 'Indon"&amp;"esia', 'appreciates' , 'APK', 'apk', 'difficult', 'process', 'thank you', ""]")</f>
        <v>['apk', 'help', 'user', 'android', 'unfortunately', 'easy', 'direct', 'faham', 'difficult', 'raised', 'process',' information ',' Guarantee ',' pulse ',' quota ',' top ',' interesting ',' mungurai ',' pulse ',' paa ',' process', 'login', 'citizen', 'Indonesia', 'appreciates' , 'APK', 'apk', 'difficult', 'process', 'thank you', "]</v>
      </c>
      <c r="D2851" s="3">
        <v>3.0</v>
      </c>
    </row>
    <row r="2852" ht="15.75" customHeight="1">
      <c r="A2852" s="1">
        <v>2850.0</v>
      </c>
      <c r="B2852" s="3" t="s">
        <v>2853</v>
      </c>
      <c r="C2852" s="3" t="str">
        <f>IFERROR(__xludf.DUMMYFUNCTION("GOOGLETRANSLATE(B2852,""id"",""en"")"),"['Proposal', 'Souses',' MyTelkomsel ',' Kenai ',' Costs', 'Data', 'Enter', 'Application', 'List', 'Paketan', 'right', 'Paketan', ' empty ',' pulse ',' sumps', 'decent', 'pulse', 'rb', 'leftover', 'rb', '']")</f>
        <v>['Proposal', 'Souses',' MyTelkomsel ',' Kenai ',' Costs', 'Data', 'Enter', 'Application', 'List', 'Paketan', 'right', 'Paketan', ' empty ',' pulse ',' sumps', 'decent', 'pulse', 'rb', 'leftover', 'rb', '']</v>
      </c>
      <c r="D2852" s="3">
        <v>1.0</v>
      </c>
    </row>
    <row r="2853" ht="15.75" customHeight="1">
      <c r="A2853" s="1">
        <v>2851.0</v>
      </c>
      <c r="B2853" s="3" t="s">
        <v>2854</v>
      </c>
      <c r="C2853" s="3" t="str">
        <f>IFERROR(__xludf.DUMMYFUNCTION("GOOGLETRANSLATE(B2853,""id"",""en"")"),"['Please', 'Package', 'Promo', 'Cheap', 'Special', 'Updated', 'Sis', 'Delete', 'Waiting', 'Thank', 'Love', ""]")</f>
        <v>['Please', 'Package', 'Promo', 'Cheap', 'Special', 'Updated', 'Sis', 'Delete', 'Waiting', 'Thank', 'Love', "]</v>
      </c>
      <c r="D2853" s="3">
        <v>5.0</v>
      </c>
    </row>
    <row r="2854" ht="15.75" customHeight="1">
      <c r="A2854" s="1">
        <v>2852.0</v>
      </c>
      <c r="B2854" s="3" t="s">
        <v>2855</v>
      </c>
      <c r="C2854" s="3" t="str">
        <f>IFERROR(__xludf.DUMMYFUNCTION("GOOGLETRANSLATE(B2854,""id"",""en"")"),"['area', 'have', 'speed', 'signal', 'severe', 'buy', 'package', 'phone', 'application', 'use', 'pulse', 'run out', ' Package ',' TLPN ',' ']")</f>
        <v>['area', 'have', 'speed', 'signal', 'severe', 'buy', 'package', 'phone', 'application', 'use', 'pulse', 'run out', ' Package ',' TLPN ',' ']</v>
      </c>
      <c r="D2854" s="3">
        <v>1.0</v>
      </c>
    </row>
    <row r="2855" ht="15.75" customHeight="1">
      <c r="A2855" s="1">
        <v>2853.0</v>
      </c>
      <c r="B2855" s="3" t="s">
        <v>2856</v>
      </c>
      <c r="C2855" s="3" t="str">
        <f>IFERROR(__xludf.DUMMYFUNCTION("GOOGLETRANSLATE(B2855,""id"",""en"")"),"['Contents',' pulse ',' automatic ',' package ',' nelvon ',' contents', 'pulse', 'interest', 'Telkomsel', 'disappointed', 'please', 'Telkomsel', ' Dragus ',' Network ',' JLAS ',' JRNGAN ',' LAG ',' SKIT ',' SKIT ',' LOS'S, '']")</f>
        <v>['Contents',' pulse ',' automatic ',' package ',' nelvon ',' contents', 'pulse', 'interest', 'Telkomsel', 'disappointed', 'please', 'Telkomsel', ' Dragus ',' Network ',' JLAS ',' JRNGAN ',' LAG ',' SKIT ',' SKIT ',' LOS'S, '']</v>
      </c>
      <c r="D2855" s="3">
        <v>1.0</v>
      </c>
    </row>
    <row r="2856" ht="15.75" customHeight="1">
      <c r="A2856" s="1">
        <v>2854.0</v>
      </c>
      <c r="B2856" s="3" t="s">
        <v>2857</v>
      </c>
      <c r="C2856" s="3" t="str">
        <f>IFERROR(__xludf.DUMMYFUNCTION("GOOGLETRANSLATE(B2856,""id"",""en"")"),"['Disappointed', 'Ama', 'Telkomsel', 'BANGKE', 'Fill', 'pls',' Cut ',' just ',' cave ',' contents', 'package', 'emergency', ' Cut ',' automatic ',' contents', 'pls',' pig ',' take care ',' rich ',' gini ',' hope ',' pay attention ']")</f>
        <v>['Disappointed', 'Ama', 'Telkomsel', 'BANGKE', 'Fill', 'pls',' Cut ',' just ',' cave ',' contents', 'package', 'emergency', ' Cut ',' automatic ',' contents', 'pls',' pig ',' take care ',' rich ',' gini ',' hope ',' pay attention ']</v>
      </c>
      <c r="D2856" s="3">
        <v>1.0</v>
      </c>
    </row>
    <row r="2857" ht="15.75" customHeight="1">
      <c r="A2857" s="1">
        <v>2855.0</v>
      </c>
      <c r="B2857" s="3" t="s">
        <v>2858</v>
      </c>
      <c r="C2857" s="3" t="str">
        <f>IFERROR(__xludf.DUMMYFUNCTION("GOOGLETRANSLATE(B2857,""id"",""en"")"),"['', 'Telkomsel', 'here', 'destroyed', 'times',' open ',' application ',' direct ',' dead ',' automatic ',' Please ',' sorry ',' application ',' Uninstall ']")</f>
        <v>['', 'Telkomsel', 'here', 'destroyed', 'times',' open ',' application ',' direct ',' dead ',' automatic ',' Please ',' sorry ',' application ',' Uninstall ']</v>
      </c>
      <c r="D2857" s="3">
        <v>1.0</v>
      </c>
    </row>
    <row r="2858" ht="15.75" customHeight="1">
      <c r="A2858" s="1">
        <v>2856.0</v>
      </c>
      <c r="B2858" s="3" t="s">
        <v>2859</v>
      </c>
      <c r="C2858" s="3" t="str">
        <f>IFERROR(__xludf.DUMMYFUNCTION("GOOGLETRANSLATE(B2858,""id"",""en"")"),"['MyTelkomsel', 'Apps',' Not bad ',' Good ',' Easy ',' Look ',' Promotions', 'Points',' Hopefully ',' Good ',' Tight ',' Success', ' MyTelkomsel ',' apps', '']")</f>
        <v>['MyTelkomsel', 'Apps',' Not bad ',' Good ',' Easy ',' Look ',' Promotions', 'Points',' Hopefully ',' Good ',' Tight ',' Success', ' MyTelkomsel ',' apps', '']</v>
      </c>
      <c r="D2858" s="3">
        <v>5.0</v>
      </c>
    </row>
    <row r="2859" ht="15.75" customHeight="1">
      <c r="A2859" s="1">
        <v>2857.0</v>
      </c>
      <c r="B2859" s="3" t="s">
        <v>2860</v>
      </c>
      <c r="C2859" s="3" t="str">
        <f>IFERROR(__xludf.DUMMYFUNCTION("GOOGLETRANSLATE(B2859,""id"",""en"")"),"['KNPA', 'quota', 'lap', 'error', 'trs',' pulse ',' run out ',' pengapa ',' gajelas', 'card', 'prime', 'already', ' So ',' Features', 'Lock', 'Credit', 'era', 'Kek', 'Gini', 'miss',' Males', 'cave', 'make', 'Mending', 'card' , 'Perdana', 'Telkomsel', 'Ple"&amp;"ase', 'Read', 'Complaints']")</f>
        <v>['KNPA', 'quota', 'lap', 'error', 'trs',' pulse ',' run out ',' pengapa ',' gajelas', 'card', 'prime', 'already', ' So ',' Features', 'Lock', 'Credit', 'era', 'Kek', 'Gini', 'miss',' Males', 'cave', 'make', 'Mending', 'card' , 'Perdana', 'Telkomsel', 'Please', 'Read', 'Complaints']</v>
      </c>
      <c r="D2859" s="3">
        <v>1.0</v>
      </c>
    </row>
    <row r="2860" ht="15.75" customHeight="1">
      <c r="A2860" s="1">
        <v>2858.0</v>
      </c>
      <c r="B2860" s="3" t="s">
        <v>2861</v>
      </c>
      <c r="C2860" s="3" t="str">
        <f>IFERROR(__xludf.DUMMYFUNCTION("GOOGLETRANSLATE(B2860,""id"",""en"")"),"['', 'Cigadog', 'Padamukti', 'Kec', 'Pasirwangi', 'Kab', 'Garut', 'Disorders',' Network ',' already ',' subscribing ',' right ',' Dead ',' lamp ',' rain ',' auto ',' connection ',' internet ',' deh ',' keep ',' habit ',' tekomsel ',' wrong ',' weather ','"&amp;" stream ', 'electricity']")</f>
        <v>['', 'Cigadog', 'Padamukti', 'Kec', 'Pasirwangi', 'Kab', 'Garut', 'Disorders',' Network ',' already ',' subscribing ',' right ',' Dead ',' lamp ',' rain ',' auto ',' connection ',' internet ',' deh ',' keep ',' habit ',' tekomsel ',' wrong ',' weather ',' stream ', 'electricity']</v>
      </c>
      <c r="D2860" s="3">
        <v>1.0</v>
      </c>
    </row>
    <row r="2861" ht="15.75" customHeight="1">
      <c r="A2861" s="1">
        <v>2859.0</v>
      </c>
      <c r="B2861" s="3" t="s">
        <v>2862</v>
      </c>
      <c r="C2861" s="3" t="str">
        <f>IFERROR(__xludf.DUMMYFUNCTION("GOOGLETRANSLATE(B2861,""id"",""en"")"),"['application', 'good', 'menu', 'checkin', 'daily', 'lost', 'bonus',' menu ',' missing ',' where ',' found ',' appears', ' Checkin ',' Daily ',' Lost ',' Hangus', ""]")</f>
        <v>['application', 'good', 'menu', 'checkin', 'daily', 'lost', 'bonus',' menu ',' missing ',' where ',' found ',' appears', ' Checkin ',' Daily ',' Lost ',' Hangus', "]</v>
      </c>
      <c r="D2861" s="3">
        <v>3.0</v>
      </c>
    </row>
    <row r="2862" ht="15.75" customHeight="1">
      <c r="A2862" s="1">
        <v>2860.0</v>
      </c>
      <c r="B2862" s="3" t="s">
        <v>2863</v>
      </c>
      <c r="C2862" s="3" t="str">
        <f>IFERROR(__xludf.DUMMYFUNCTION("GOOGLETRANSLATE(B2862,""id"",""en"")"),"['card', 'Hello', 'signal', 'ugly', 'Mulu', 'signal', 'dead', 'total', 'pay', 'bill', 'knp', ""]")</f>
        <v>['card', 'Hello', 'signal', 'ugly', 'Mulu', 'signal', 'dead', 'total', 'pay', 'bill', 'knp', "]</v>
      </c>
      <c r="D2862" s="3">
        <v>1.0</v>
      </c>
    </row>
    <row r="2863" ht="15.75" customHeight="1">
      <c r="A2863" s="1">
        <v>2861.0</v>
      </c>
      <c r="B2863" s="3" t="s">
        <v>2864</v>
      </c>
      <c r="C2863" s="3" t="str">
        <f>IFERROR(__xludf.DUMMYFUNCTION("GOOGLETRANSLATE(B2863,""id"",""en"")"),"['expensive', 'Doang', 'Network', 'Rich', 'Next', 'Severe', 'Search', 'Muter', 'Please', 'Please', 'Adin', 'Feature', ' the key ',' credit ',' Telkomsel ',' data ',' ngak ',' intentionally ',' life ',' pulse ',' undalamin ',' ngelamin ',' events', 'beg', "&amp;"'his understanding' , 'Telkomsel', '']")</f>
        <v>['expensive', 'Doang', 'Network', 'Rich', 'Next', 'Severe', 'Search', 'Muter', 'Please', 'Please', 'Adin', 'Feature', ' the key ',' credit ',' Telkomsel ',' data ',' ngak ',' intentionally ',' life ',' pulse ',' undalamin ',' ngelamin ',' events', 'beg', 'his understanding' , 'Telkomsel', '']</v>
      </c>
      <c r="D2863" s="3">
        <v>1.0</v>
      </c>
    </row>
    <row r="2864" ht="15.75" customHeight="1">
      <c r="A2864" s="1">
        <v>2862.0</v>
      </c>
      <c r="B2864" s="3" t="s">
        <v>2865</v>
      </c>
      <c r="C2864" s="3" t="str">
        <f>IFERROR(__xludf.DUMMYFUNCTION("GOOGLETRANSLATE(B2864,""id"",""en"")"),"['complaints', 'enter', 'none', 'admin', 'weight', 'answer', 'tend to', 'settlement', 'kah', 'finish', ""]")</f>
        <v>['complaints', 'enter', 'none', 'admin', 'weight', 'answer', 'tend to', 'settlement', 'kah', 'finish', "]</v>
      </c>
      <c r="D2864" s="3">
        <v>1.0</v>
      </c>
    </row>
    <row r="2865" ht="15.75" customHeight="1">
      <c r="A2865" s="1">
        <v>2863.0</v>
      </c>
      <c r="B2865" s="3" t="s">
        <v>2866</v>
      </c>
      <c r="C2865" s="3" t="str">
        <f>IFERROR(__xludf.DUMMYFUNCTION("GOOGLETRANSLATE(B2865,""id"",""en"")"),"['offer', 'card', 'Hallo', 'stop', 'number', 'block', 'scorched', 'solution', 'stop', 'subscription', 'card', 'hello', ' number ',' please ',' think ',' that's', 'Telkomsel', 'JDI', 'Harm']")</f>
        <v>['offer', 'card', 'Hallo', 'stop', 'number', 'block', 'scorched', 'solution', 'stop', 'subscription', 'card', 'hello', ' number ',' please ',' think ',' that's', 'Telkomsel', 'JDI', 'Harm']</v>
      </c>
      <c r="D2865" s="3">
        <v>1.0</v>
      </c>
    </row>
    <row r="2866" ht="15.75" customHeight="1">
      <c r="A2866" s="1">
        <v>2864.0</v>
      </c>
      <c r="B2866" s="3" t="s">
        <v>2867</v>
      </c>
      <c r="C2866" s="3" t="str">
        <f>IFERROR(__xludf.DUMMYFUNCTION("GOOGLETRANSLATE(B2866,""id"",""en"")"),"['sorry', 'ksh', 'star', 'knp', 'signal', 'telkomsel', 'difficult', 'rare', 'kek', 'gini', 'noon', 'signal', ' difficult ',' right ',' MLM ',' Morning ',' smooth ',' Please ',' concern ',' Thank you ',' ']")</f>
        <v>['sorry', 'ksh', 'star', 'knp', 'signal', 'telkomsel', 'difficult', 'rare', 'kek', 'gini', 'noon', 'signal', ' difficult ',' right ',' MLM ',' Morning ',' smooth ',' Please ',' concern ',' Thank you ',' ']</v>
      </c>
      <c r="D2866" s="3">
        <v>2.0</v>
      </c>
    </row>
    <row r="2867" ht="15.75" customHeight="1">
      <c r="A2867" s="1">
        <v>2865.0</v>
      </c>
      <c r="B2867" s="3" t="s">
        <v>2868</v>
      </c>
      <c r="C2867" s="3" t="str">
        <f>IFERROR(__xludf.DUMMYFUNCTION("GOOGLETRANSLATE(B2867,""id"",""en"")"),"['Disappointed', 'Service', 'Telkomsel', 'Branch', 'Ringrud', 'City', 'Walk', 'Meraka', 'Complete', 'Help', 'told', 'Customer', ' Phone ',' Call ',' Center ',' Office ',' Branch ',' Call ',' Call ',' Center ',' Office ',' Branch ',' ']")</f>
        <v>['Disappointed', 'Service', 'Telkomsel', 'Branch', 'Ringrud', 'City', 'Walk', 'Meraka', 'Complete', 'Help', 'told', 'Customer', ' Phone ',' Call ',' Center ',' Office ',' Branch ',' Call ',' Call ',' Center ',' Office ',' Branch ',' ']</v>
      </c>
      <c r="D2867" s="3">
        <v>1.0</v>
      </c>
    </row>
    <row r="2868" ht="15.75" customHeight="1">
      <c r="A2868" s="1">
        <v>2866.0</v>
      </c>
      <c r="B2868" s="3" t="s">
        <v>2869</v>
      </c>
      <c r="C2868" s="3" t="str">
        <f>IFERROR(__xludf.DUMMYFUNCTION("GOOGLETRANSLATE(B2868,""id"",""en"")"),"['recommendation', 'user', 'network', 'internet', 'use', 'Telkomsel', 'tissue', 'slow', 'pke', 'slow', 'know', 'remote', ' signal ',' tetep ',' Joss', 'hope', 'Telkomsel', 'allocate', 'package', 'monthly', 'cheap', 'network', 'stable', 'thank', 'love' , '"&amp;"Telkomsel', '']")</f>
        <v>['recommendation', 'user', 'network', 'internet', 'use', 'Telkomsel', 'tissue', 'slow', 'pke', 'slow', 'know', 'remote', ' signal ',' tetep ',' Joss', 'hope', 'Telkomsel', 'allocate', 'package', 'monthly', 'cheap', 'network', 'stable', 'thank', 'love' , 'Telkomsel', '']</v>
      </c>
      <c r="D2868" s="3">
        <v>5.0</v>
      </c>
    </row>
    <row r="2869" ht="15.75" customHeight="1">
      <c r="A2869" s="1">
        <v>2867.0</v>
      </c>
      <c r="B2869" s="3" t="s">
        <v>2870</v>
      </c>
      <c r="C2869" s="3" t="str">
        <f>IFERROR(__xludf.DUMMYFUNCTION("GOOGLETRANSLATE(B2869,""id"",""en"")"),"['buy', 'Package', 'Telkomsel', 'Function', 'SIH', 'PEAKE', 'Credit', 'Regular', 'Sampe', 'Abis',' Credit ',' Regular ',' Sometimes', 'gatau', 'until', 'run out', 'list', 'package', 'right', 'pulse', 'pulse', 'regular', 'abis',' package ',' coakes' , 'Pli"&amp;"ss', 'fix', '']")</f>
        <v>['buy', 'Package', 'Telkomsel', 'Function', 'SIH', 'PEAKE', 'Credit', 'Regular', 'Sampe', 'Abis',' Credit ',' Regular ',' Sometimes', 'gatau', 'until', 'run out', 'list', 'package', 'right', 'pulse', 'pulse', 'regular', 'abis',' package ',' coakes' , 'Pliss', 'fix', '']</v>
      </c>
      <c r="D2869" s="3">
        <v>1.0</v>
      </c>
    </row>
    <row r="2870" ht="15.75" customHeight="1">
      <c r="A2870" s="1">
        <v>2868.0</v>
      </c>
      <c r="B2870" s="3" t="s">
        <v>2871</v>
      </c>
      <c r="C2870" s="3" t="str">
        <f>IFERROR(__xludf.DUMMYFUNCTION("GOOGLETRANSLATE(B2870,""id"",""en"")"),"['Hello', 'admin', 'Telkomsel', 'Help', 'gave', 'TELKOMSEL', 'SMS', 'Times',' Download ',' Telkomsel ',' pulses', ' rb ',' hoax ',' bangsd ',' apk ',' idiot ']")</f>
        <v>['Hello', 'admin', 'Telkomsel', 'Help', 'gave', 'TELKOMSEL', 'SMS', 'Times',' Download ',' Telkomsel ',' pulses', ' rb ',' hoax ',' bangsd ',' apk ',' idiot ']</v>
      </c>
      <c r="D2870" s="3">
        <v>1.0</v>
      </c>
    </row>
    <row r="2871" ht="15.75" customHeight="1">
      <c r="A2871" s="1">
        <v>2869.0</v>
      </c>
      <c r="B2871" s="3" t="s">
        <v>2872</v>
      </c>
      <c r="C2871" s="3" t="str">
        <f>IFERROR(__xludf.DUMMYFUNCTION("GOOGLETRANSLATE(B2871,""id"",""en"")"),"['jerk', 'pulse', 'take', 'reason', 'pay off', 'credit', 'emergency', 'credit', 'emergency', 'buy', 'pulses',' Teus', ' Try ',' credit ',' emergency ',' meets', 'criteria', 'package', 'steal', 'name', 'report', '']")</f>
        <v>['jerk', 'pulse', 'take', 'reason', 'pay off', 'credit', 'emergency', 'credit', 'emergency', 'buy', 'pulses',' Teus', ' Try ',' credit ',' emergency ',' meets', 'criteria', 'package', 'steal', 'name', 'report', '']</v>
      </c>
      <c r="D2871" s="3">
        <v>1.0</v>
      </c>
    </row>
    <row r="2872" ht="15.75" customHeight="1">
      <c r="A2872" s="1">
        <v>2870.0</v>
      </c>
      <c r="B2872" s="3" t="s">
        <v>2873</v>
      </c>
      <c r="C2872" s="3" t="str">
        <f>IFERROR(__xludf.DUMMYFUNCTION("GOOGLETRANSLATE(B2872,""id"",""en"")"),"['network', 'Telkomsel', 'Severe', 'really', 'original', 'browsing', 'home', 'dlu', 'look for', 'looked', 'signal', 'then' Application ',' Telkomsel ',' Mnta ',' Upgrade ',' Mulu ',' Lost ',' Card ',' The Network ',' Sekrg ',' Speaking ',' Dline ',' Home "&amp;"', ""]")</f>
        <v>['network', 'Telkomsel', 'Severe', 'really', 'original', 'browsing', 'home', 'dlu', 'look for', 'looked', 'signal', 'then' Application ',' Telkomsel ',' Mnta ',' Upgrade ',' Mulu ',' Lost ',' Card ',' The Network ',' Sekrg ',' Speaking ',' Dline ',' Home ', "]</v>
      </c>
      <c r="D2872" s="3">
        <v>1.0</v>
      </c>
    </row>
    <row r="2873" ht="15.75" customHeight="1">
      <c r="A2873" s="1">
        <v>2871.0</v>
      </c>
      <c r="B2873" s="3" t="s">
        <v>2874</v>
      </c>
      <c r="C2873" s="3" t="str">
        <f>IFERROR(__xludf.DUMMYFUNCTION("GOOGLETRANSLATE(B2873,""id"",""en"")"),"['subscription', 'so "",' TPI ',' LEG ',' Internet ',' People ',' Customers ',' Good ',' Mgkin ',' Good ',' Mending ',' Move ',' Operators', 'may', 'in the future', 'Telkomsel', 'UDH', 'Rely on', '']")</f>
        <v>['subscription', 'so ",' TPI ',' LEG ',' Internet ',' People ',' Customers ',' Good ',' Mgkin ',' Good ',' Mending ',' Move ',' Operators', 'may', 'in the future', 'Telkomsel', 'UDH', 'Rely on', '']</v>
      </c>
      <c r="D2873" s="3">
        <v>1.0</v>
      </c>
    </row>
    <row r="2874" ht="15.75" customHeight="1">
      <c r="A2874" s="1">
        <v>2872.0</v>
      </c>
      <c r="B2874" s="3" t="s">
        <v>2875</v>
      </c>
      <c r="C2874" s="3" t="str">
        <f>IFERROR(__xludf.DUMMYFUNCTION("GOOGLETRANSLATE(B2874,""id"",""en"")"),"['Telkomsel', 'savage', 'here', 'package', 'ilang', 'signal', 'bad', 'tsel', 'mending', 'think', ""]")</f>
        <v>['Telkomsel', 'savage', 'here', 'package', 'ilang', 'signal', 'bad', 'tsel', 'mending', 'think', "]</v>
      </c>
      <c r="D2874" s="3">
        <v>1.0</v>
      </c>
    </row>
    <row r="2875" ht="15.75" customHeight="1">
      <c r="A2875" s="1">
        <v>2873.0</v>
      </c>
      <c r="B2875" s="3" t="s">
        <v>2876</v>
      </c>
      <c r="C2875" s="3" t="str">
        <f>IFERROR(__xludf.DUMMYFUNCTION("GOOGLETRANSLATE(B2875,""id"",""en"")"),"['buy', 'quota', 'shopee', 'pay', 'balance', 'shopee', 'pay', 'truncated', 'notification', 'Telkomsel', 'payment', 'canceled', ' Cashback ',' Coins', 'Then', 'Balance', 'Shopee', 'Solution', 'Please', 'Resolved', 'Rating', 'Best', 'Thank', 'Love']")</f>
        <v>['buy', 'quota', 'shopee', 'pay', 'balance', 'shopee', 'pay', 'truncated', 'notification', 'Telkomsel', 'payment', 'canceled', ' Cashback ',' Coins', 'Then', 'Balance', 'Shopee', 'Solution', 'Please', 'Resolved', 'Rating', 'Best', 'Thank', 'Love']</v>
      </c>
      <c r="D2875" s="3">
        <v>1.0</v>
      </c>
    </row>
    <row r="2876" ht="15.75" customHeight="1">
      <c r="A2876" s="1">
        <v>2874.0</v>
      </c>
      <c r="B2876" s="3" t="s">
        <v>2877</v>
      </c>
      <c r="C2876" s="3" t="str">
        <f>IFERROR(__xludf.DUMMYFUNCTION("GOOGLETRANSLATE(B2876,""id"",""en"")"),"['Please', 'signal', 'slow', 'signal', 'no', 'sya', 'buy', 'quota', 'no', 'enter', 'balance', 'gwe', ' Reduced ',' Please ',' Fix ',' Thanks', '']")</f>
        <v>['Please', 'signal', 'slow', 'signal', 'no', 'sya', 'buy', 'quota', 'no', 'enter', 'balance', 'gwe', ' Reduced ',' Please ',' Fix ',' Thanks', '']</v>
      </c>
      <c r="D2876" s="3">
        <v>1.0</v>
      </c>
    </row>
    <row r="2877" ht="15.75" customHeight="1">
      <c r="A2877" s="1">
        <v>2875.0</v>
      </c>
      <c r="B2877" s="3" t="s">
        <v>2878</v>
      </c>
      <c r="C2877" s="3" t="str">
        <f>IFERROR(__xludf.DUMMYFUNCTION("GOOGLETRANSLATE(B2877,""id"",""en"")"),"['Telkomsel', 'Please', 'Looked', 'Kulitas',' The Line ',' Subang ',' Javanese ',' West ',' Waiting ',' Getting ',' Play ',' Game ',' Onlaine ',' ping ',' down ',' ']")</f>
        <v>['Telkomsel', 'Please', 'Looked', 'Kulitas',' The Line ',' Subang ',' Javanese ',' West ',' Waiting ',' Getting ',' Play ',' Game ',' Onlaine ',' ping ',' down ',' ']</v>
      </c>
      <c r="D2877" s="3">
        <v>1.0</v>
      </c>
    </row>
    <row r="2878" ht="15.75" customHeight="1">
      <c r="A2878" s="1">
        <v>2876.0</v>
      </c>
      <c r="B2878" s="3" t="s">
        <v>2879</v>
      </c>
      <c r="C2878" s="3" t="str">
        <f>IFERROR(__xludf.DUMMYFUNCTION("GOOGLETRANSLATE(B2878,""id"",""en"")"),"['Help', 'Telkomsel', 'Please', 'Signal', 'Location', 'Increase', 'Stable', 'Telkomsel', 'Points', 'Lottery', 'SUCCESS']")</f>
        <v>['Help', 'Telkomsel', 'Please', 'Signal', 'Location', 'Increase', 'Stable', 'Telkomsel', 'Points', 'Lottery', 'SUCCESS']</v>
      </c>
      <c r="D2878" s="3">
        <v>5.0</v>
      </c>
    </row>
    <row r="2879" ht="15.75" customHeight="1">
      <c r="A2879" s="1">
        <v>2877.0</v>
      </c>
      <c r="B2879" s="3" t="s">
        <v>2880</v>
      </c>
      <c r="C2879" s="3" t="str">
        <f>IFERROR(__xludf.DUMMYFUNCTION("GOOGLETRANSLATE(B2879,""id"",""en"")"),"['Telkomsel', 'Nambah', 'ugly', 'network', 'buy', 'package', 'expensive', 'the network', 'ugly', 'disappointed', 'really', 'people', ' SAFE ',' AJH ',' Telkomsel ',' No "", 'Network', 'neighbor', 'Next to', 'UDH', 'Cheap', 'Network', 'Good', 'Smooth']")</f>
        <v>['Telkomsel', 'Nambah', 'ugly', 'network', 'buy', 'package', 'expensive', 'the network', 'ugly', 'disappointed', 'really', 'people', ' SAFE ',' AJH ',' Telkomsel ',' No ", 'Network', 'neighbor', 'Next to', 'UDH', 'Cheap', 'Network', 'Good', 'Smooth']</v>
      </c>
      <c r="D2879" s="3">
        <v>1.0</v>
      </c>
    </row>
    <row r="2880" ht="15.75" customHeight="1">
      <c r="A2880" s="1">
        <v>2878.0</v>
      </c>
      <c r="B2880" s="3" t="s">
        <v>2881</v>
      </c>
      <c r="C2880" s="3" t="str">
        <f>IFERROR(__xludf.DUMMYFUNCTION("GOOGLETRANSLATE(B2880,""id"",""en"")"),"['Network', 'Papua', 'Kab', 'Keerom', 'ugly', 'Open', 'Game', 'Play', 'Game', 'Ngelag', 'Watch', 'YouTube', ' slow ',' pulse ',' buy ',' stop ',' subscribe ',' Telkomsel ']")</f>
        <v>['Network', 'Papua', 'Kab', 'Keerom', 'ugly', 'Open', 'Game', 'Play', 'Game', 'Ngelag', 'Watch', 'YouTube', ' slow ',' pulse ',' buy ',' stop ',' subscribe ',' Telkomsel ']</v>
      </c>
      <c r="D2880" s="3">
        <v>1.0</v>
      </c>
    </row>
    <row r="2881" ht="15.75" customHeight="1">
      <c r="A2881" s="1">
        <v>2879.0</v>
      </c>
      <c r="B2881" s="3" t="s">
        <v>2882</v>
      </c>
      <c r="C2881" s="3" t="str">
        <f>IFERROR(__xludf.DUMMYFUNCTION("GOOGLETRANSLATE(B2881,""id"",""en"")"),"['love', 'star', 'I', 'love', 'deh', 'times',' comment ',' play ',' store ',' please ',' telkomsel ',' ride ',' Price ',' Doang ',' Ride ',' Quality ',' Sousal ',' I ',' Buy ',' Package ',' Money ',' Rich ',' Gini ',' Sia ',' really ' , 'I', 'buy', 'searc"&amp;"hing', 'google', 'bngt', 'please', 'love', 'quality', 'closed', 'already']")</f>
        <v>['love', 'star', 'I', 'love', 'deh', 'times',' comment ',' play ',' store ',' please ',' telkomsel ',' ride ',' Price ',' Doang ',' Ride ',' Quality ',' Sousal ',' I ',' Buy ',' Package ',' Money ',' Rich ',' Gini ',' Sia ',' really ' , 'I', 'buy', 'searching', 'google', 'bngt', 'please', 'love', 'quality', 'closed', 'already']</v>
      </c>
      <c r="D2881" s="3">
        <v>1.0</v>
      </c>
    </row>
    <row r="2882" ht="15.75" customHeight="1">
      <c r="A2882" s="1">
        <v>2880.0</v>
      </c>
      <c r="B2882" s="3" t="s">
        <v>2883</v>
      </c>
      <c r="C2882" s="3" t="str">
        <f>IFERROR(__xludf.DUMMYFUNCTION("GOOGLETRANSLATE(B2882,""id"",""en"")"),"['Didown', 'Migration', 'Hello', 'Speed', 'Wow', 'Agree', 'Hello', 'Jeblooooooook', 'Nyeseeel', 'Lost', 'Smartfren', 'Region', ' Gebang ',' Raya ',' Tangerang ',' aseeeeeeem ']")</f>
        <v>['Didown', 'Migration', 'Hello', 'Speed', 'Wow', 'Agree', 'Hello', 'Jeblooooooook', 'Nyeseeel', 'Lost', 'Smartfren', 'Region', ' Gebang ',' Raya ',' Tangerang ',' aseeeeeeem ']</v>
      </c>
      <c r="D2882" s="3">
        <v>1.0</v>
      </c>
    </row>
    <row r="2883" ht="15.75" customHeight="1">
      <c r="A2883" s="1">
        <v>2881.0</v>
      </c>
      <c r="B2883" s="3" t="s">
        <v>2884</v>
      </c>
      <c r="C2883" s="3" t="str">
        <f>IFERROR(__xludf.DUMMYFUNCTION("GOOGLETRANSLATE(B2883,""id"",""en"")"),"['min', 'sorry', 'open', 'application', 'Telkomsel', 'package', 'internet', 'try', 'fix', 'min', 'aspects',' price ',' quality ',' internet ',' min ',' pay ',' expensive ',' quality ',' nil ',' costumer ',' moved ',' neighbor ',' next door ',' min ',' inp"&amp;"ut ' , 'Min', 'hope', 'in the future']")</f>
        <v>['min', 'sorry', 'open', 'application', 'Telkomsel', 'package', 'internet', 'try', 'fix', 'min', 'aspects',' price ',' quality ',' internet ',' min ',' pay ',' expensive ',' quality ',' nil ',' costumer ',' moved ',' neighbor ',' next door ',' min ',' input ' , 'Min', 'hope', 'in the future']</v>
      </c>
      <c r="D2883" s="3">
        <v>3.0</v>
      </c>
    </row>
    <row r="2884" ht="15.75" customHeight="1">
      <c r="A2884" s="1">
        <v>2882.0</v>
      </c>
      <c r="B2884" s="3" t="s">
        <v>2885</v>
      </c>
      <c r="C2884" s="3" t="str">
        <f>IFERROR(__xludf.DUMMYFUNCTION("GOOGLETRANSLATE(B2884,""id"",""en"")"),"['hello', 'me', 'msukk', 'message', 'aqu', 'download', 'application', 'telkomsel', 'pulse', 'thousand', 'kahhh', 'please' JWB ',' ']")</f>
        <v>['hello', 'me', 'msukk', 'message', 'aqu', 'download', 'application', 'telkomsel', 'pulse', 'thousand', 'kahhh', 'please' JWB ',' ']</v>
      </c>
      <c r="D2884" s="3">
        <v>1.0</v>
      </c>
    </row>
    <row r="2885" ht="15.75" customHeight="1">
      <c r="A2885" s="1">
        <v>2883.0</v>
      </c>
      <c r="B2885" s="3" t="s">
        <v>2886</v>
      </c>
      <c r="C2885" s="3" t="str">
        <f>IFERROR(__xludf.DUMMYFUNCTION("GOOGLETRANSLATE(B2885,""id"",""en"")"),"['here', 'signal', 'chaotic', 'wfh', 'like', 'era', 'pandemic', 'skrg', 'signal', 'good', 'letoy', 'mending', ' drpd ',' panty ',' gorgeous', 'average', 'quality', 'signal', 'region', 'min', 'surf', 'internet', 'add', 'stress' ]")</f>
        <v>['here', 'signal', 'chaotic', 'wfh', 'like', 'era', 'pandemic', 'skrg', 'signal', 'good', 'letoy', 'mending', ' drpd ',' panty ',' gorgeous', 'average', 'quality', 'signal', 'region', 'min', 'surf', 'internet', 'add', 'stress' ]</v>
      </c>
      <c r="D2885" s="3">
        <v>1.0</v>
      </c>
    </row>
    <row r="2886" ht="15.75" customHeight="1">
      <c r="A2886" s="1">
        <v>2884.0</v>
      </c>
      <c r="B2886" s="3" t="s">
        <v>2887</v>
      </c>
      <c r="C2886" s="3" t="str">
        <f>IFERROR(__xludf.DUMMYFUNCTION("GOOGLETRANSLATE(B2886,""id"",""en"")"),"['Paketan', 'buy', 'missing', 'UDH', 'Betah', 'Telkomsel', 'Karna', 'Paketan', 'Cheap', 'Rijassin', 'Credit', 'Like', ' Sumpot ',' Open ',' Telkomsel ',' Leet ']")</f>
        <v>['Paketan', 'buy', 'missing', 'UDH', 'Betah', 'Telkomsel', 'Karna', 'Paketan', 'Cheap', 'Rijassin', 'Credit', 'Like', ' Sumpot ',' Open ',' Telkomsel ',' Leet ']</v>
      </c>
      <c r="D2886" s="3">
        <v>1.0</v>
      </c>
    </row>
    <row r="2887" ht="15.75" customHeight="1">
      <c r="A2887" s="1">
        <v>2885.0</v>
      </c>
      <c r="B2887" s="3" t="s">
        <v>2888</v>
      </c>
      <c r="C2887" s="3" t="str">
        <f>IFERROR(__xludf.DUMMYFUNCTION("GOOGLETRANSLATE(B2887,""id"",""en"")"),"['card', 'Hello', 'Pay', 'thousands',' transaction ',' buy ',' package ',' subscribe ',' rb ',' internet ',' GB ',' contents', ' additional ',' extra ',' quota ',' fine ',' yaa ',' pay ',' bill ',' card ',' activated ',' ']")</f>
        <v>['card', 'Hello', 'Pay', 'thousands',' transaction ',' buy ',' package ',' subscribe ',' rb ',' internet ',' GB ',' contents', ' additional ',' extra ',' quota ',' fine ',' yaa ',' pay ',' bill ',' card ',' activated ',' ']</v>
      </c>
      <c r="D2887" s="3">
        <v>2.0</v>
      </c>
    </row>
    <row r="2888" ht="15.75" customHeight="1">
      <c r="A2888" s="1">
        <v>2886.0</v>
      </c>
      <c r="B2888" s="3" t="s">
        <v>2889</v>
      </c>
      <c r="C2888" s="3" t="str">
        <f>IFERROR(__xludf.DUMMYFUNCTION("GOOGLETRANSLATE(B2888,""id"",""en"")"),"['sympathy', 'right', 'pakek', 'play', 'pub', 'mobile', 'bug', 'severe', 'right', 'play', 'signal', 'lost', ' right ',' relog ',' ngebug ',' play ',' arena ',' ngebug ',' until ',' game ',' finished ',' quota ',' expensive ',' quality ',' abal ' , 'Lose',"&amp;" 'Ama', 'Im', 'quota', 'cheap', 'signal', 'Mak', 'nyossss', ""]")</f>
        <v>['sympathy', 'right', 'pakek', 'play', 'pub', 'mobile', 'bug', 'severe', 'right', 'play', 'signal', 'lost', ' right ',' relog ',' ngebug ',' play ',' arena ',' ngebug ',' until ',' game ',' finished ',' quota ',' expensive ',' quality ',' abal ' , 'Lose', 'Ama', 'Im', 'quota', 'cheap', 'signal', 'Mak', 'nyossss', "]</v>
      </c>
      <c r="D2888" s="3">
        <v>1.0</v>
      </c>
    </row>
    <row r="2889" ht="15.75" customHeight="1">
      <c r="A2889" s="1">
        <v>2887.0</v>
      </c>
      <c r="B2889" s="3" t="s">
        <v>2890</v>
      </c>
      <c r="C2889" s="3" t="str">
        <f>IFERROR(__xludf.DUMMYFUNCTION("GOOGLETRANSLATE(B2889,""id"",""en"")"),"['disappointing', 'signal', 'Telkomsel', 'Disappointed', 'Signal', 'Often', 'Lost', 'Amid "",' City ',' authority ',' Normal ',' User ',' Telkomsel ',' Change ',' Card ',' Operator ',' What ',' ']")</f>
        <v>['disappointing', 'signal', 'Telkomsel', 'Disappointed', 'Signal', 'Often', 'Lost', 'Amid ",' City ',' authority ',' Normal ',' User ',' Telkomsel ',' Change ',' Card ',' Operator ',' What ',' ']</v>
      </c>
      <c r="D2889" s="3">
        <v>1.0</v>
      </c>
    </row>
    <row r="2890" ht="15.75" customHeight="1">
      <c r="A2890" s="1">
        <v>2888.0</v>
      </c>
      <c r="B2890" s="3" t="s">
        <v>2891</v>
      </c>
      <c r="C2890" s="3" t="str">
        <f>IFERROR(__xludf.DUMMYFUNCTION("GOOGLETRANSLATE(B2890,""id"",""en"")"),"['Kartuku', 'application', 'promo', 'tetep', 'changed', 'di card', 'tmnku', 'promo', 'sometimes',' signal ',' slow ',' please ',' His wisdom ',' already ',' card ',' disappointing ',' user ',' trimakasih ', ""]")</f>
        <v>['Kartuku', 'application', 'promo', 'tetep', 'changed', 'di card', 'tmnku', 'promo', 'sometimes',' signal ',' slow ',' please ',' His wisdom ',' already ',' card ',' disappointing ',' user ',' trimakasih ', "]</v>
      </c>
      <c r="D2890" s="3">
        <v>2.0</v>
      </c>
    </row>
    <row r="2891" ht="15.75" customHeight="1">
      <c r="A2891" s="1">
        <v>2889.0</v>
      </c>
      <c r="B2891" s="3" t="s">
        <v>2892</v>
      </c>
      <c r="C2891" s="3" t="str">
        <f>IFERROR(__xludf.DUMMYFUNCTION("GOOGLETRANSLATE(B2891,""id"",""en"")"),"['APK', 'Login', 'account', 'difficult', 'forgiveness',' want ',' directly ',' uninstall ',' already ',' so ',' once ',' login ',' Reducing ',' pulse ',' forgiveness', 'Mending', 'Gausah', 'APK', ""]")</f>
        <v>['APK', 'Login', 'account', 'difficult', 'forgiveness',' want ',' directly ',' uninstall ',' already ',' so ',' once ',' login ',' Reducing ',' pulse ',' forgiveness', 'Mending', 'Gausah', 'APK', "]</v>
      </c>
      <c r="D2891" s="3">
        <v>1.0</v>
      </c>
    </row>
    <row r="2892" ht="15.75" customHeight="1">
      <c r="A2892" s="1">
        <v>2890.0</v>
      </c>
      <c r="B2892" s="3" t="s">
        <v>2893</v>
      </c>
      <c r="C2892" s="3" t="str">
        <f>IFERROR(__xludf.DUMMYFUNCTION("GOOGLETRANSLATE(B2892,""id"",""en"")"),"['Please', 'Telkomsel', 'Buy', 'Package', 'Telkomsel', 'Credit', 'Cut', 'Package', 'Uda', 'Enter', 'Tomorrow', 'Get', ' sms', 'non', 'non', 'package', 'check', 'quota', 'buy', 'enter', 'pulse', 'already', 'cut', 'package', 'enter' , 'Plus', 'sucked', 'pul"&amp;"ses']")</f>
        <v>['Please', 'Telkomsel', 'Buy', 'Package', 'Telkomsel', 'Credit', 'Cut', 'Package', 'Uda', 'Enter', 'Tomorrow', 'Get', ' sms', 'non', 'non', 'package', 'check', 'quota', 'buy', 'enter', 'pulse', 'already', 'cut', 'package', 'enter' , 'Plus', 'sucked', 'pulses']</v>
      </c>
      <c r="D2892" s="3">
        <v>1.0</v>
      </c>
    </row>
    <row r="2893" ht="15.75" customHeight="1">
      <c r="A2893" s="1">
        <v>2891.0</v>
      </c>
      <c r="B2893" s="3" t="s">
        <v>2894</v>
      </c>
      <c r="C2893" s="3" t="str">
        <f>IFERROR(__xludf.DUMMYFUNCTION("GOOGLETRANSLATE(B2893,""id"",""en"")"),"['signal', 'declined', 'watch', 'youtube', 'mah', 'already', 'telkomsel', 'stable', 'signal', 'indosat']")</f>
        <v>['signal', 'declined', 'watch', 'youtube', 'mah', 'already', 'telkomsel', 'stable', 'signal', 'indosat']</v>
      </c>
      <c r="D2893" s="3">
        <v>1.0</v>
      </c>
    </row>
    <row r="2894" ht="15.75" customHeight="1">
      <c r="A2894" s="1">
        <v>2892.0</v>
      </c>
      <c r="B2894" s="3" t="s">
        <v>2895</v>
      </c>
      <c r="C2894" s="3" t="str">
        <f>IFERROR(__xludf.DUMMYFUNCTION("GOOGLETRANSLATE(B2894,""id"",""en"")"),"['Telkomsel', 'slumped', 'intention', 'fix', 'all', 'complaints',' customers', 'loyal', 'network', 'slow', 'try', 'compare', ' Developer ',' Next to ',' Auto ',' Change ',' Card ',' Internet ']")</f>
        <v>['Telkomsel', 'slumped', 'intention', 'fix', 'all', 'complaints',' customers', 'loyal', 'network', 'slow', 'try', 'compare', ' Developer ',' Next to ',' Auto ',' Change ',' Card ',' Internet ']</v>
      </c>
      <c r="D2894" s="3">
        <v>1.0</v>
      </c>
    </row>
    <row r="2895" ht="15.75" customHeight="1">
      <c r="A2895" s="1">
        <v>2893.0</v>
      </c>
      <c r="B2895" s="3" t="s">
        <v>2896</v>
      </c>
      <c r="C2895" s="3" t="str">
        <f>IFERROR(__xludf.DUMMYFUNCTION("GOOGLETRANSLATE(B2895,""id"",""en"")"),"['buy', 'package', 'data', 'gabisa', 'star', 'rb', 'description', 'can', 'get', 'package', 'combo', 'main', ' entry ',' think ',' bonus', 'times',' yaa ',' ehh ',' later ',' gabisa ',' leftover ',' pulse ',' because ',' curious', 'check' , 'pulses', 'alre"&amp;"ady', 'reduced', 'pulse', 'interrupted', 'in the future', 'hope', 'fix', 'system']")</f>
        <v>['buy', 'package', 'data', 'gabisa', 'star', 'rb', 'description', 'can', 'get', 'package', 'combo', 'main', ' entry ',' think ',' bonus', 'times',' yaa ',' ehh ',' later ',' gabisa ',' leftover ',' pulse ',' because ',' curious', 'check' , 'pulses', 'already', 'reduced', 'pulse', 'interrupted', 'in the future', 'hope', 'fix', 'system']</v>
      </c>
      <c r="D2895" s="3">
        <v>1.0</v>
      </c>
    </row>
    <row r="2896" ht="15.75" customHeight="1">
      <c r="A2896" s="1">
        <v>2894.0</v>
      </c>
      <c r="B2896" s="3" t="s">
        <v>2897</v>
      </c>
      <c r="C2896" s="3" t="str">
        <f>IFERROR(__xludf.DUMMYFUNCTION("GOOGLETRANSLATE(B2896,""id"",""en"")"),"['Signal', 'Telkomsel', 'ugly', 'already', 'package', 'expensive', 'signal', 'ugly', 'already', 'subscription', 'signal', 'ugly', ' Please ',' repaired ']")</f>
        <v>['Signal', 'Telkomsel', 'ugly', 'already', 'package', 'expensive', 'signal', 'ugly', 'already', 'subscription', 'signal', 'ugly', ' Please ',' repaired ']</v>
      </c>
      <c r="D2896" s="3">
        <v>1.0</v>
      </c>
    </row>
    <row r="2897" ht="15.75" customHeight="1">
      <c r="A2897" s="1">
        <v>2895.0</v>
      </c>
      <c r="B2897" s="3" t="s">
        <v>2898</v>
      </c>
      <c r="C2897" s="3" t="str">
        <f>IFERROR(__xludf.DUMMYFUNCTION("GOOGLETRANSLATE(B2897,""id"",""en"")"),"['Please', 'repaired', 'signal', 'yesterday', 'signal', 'changed', 'drastic', 'smooth', 'smooth', 'please', 'repaired', 'please', ' His understanding ', ""]")</f>
        <v>['Please', 'repaired', 'signal', 'yesterday', 'signal', 'changed', 'drastic', 'smooth', 'smooth', 'please', 'repaired', 'please', ' His understanding ', "]</v>
      </c>
      <c r="D2897" s="3">
        <v>1.0</v>
      </c>
    </row>
    <row r="2898" ht="15.75" customHeight="1">
      <c r="A2898" s="1">
        <v>2896.0</v>
      </c>
      <c r="B2898" s="3" t="s">
        <v>2899</v>
      </c>
      <c r="C2898" s="3" t="str">
        <f>IFERROR(__xludf.DUMMYFUNCTION("GOOGLETRANSLATE(B2898,""id"",""en"")"),"['Woy', 'Points',' empty ',' Asapi ',' ilang ',' Litu ',' please ',' telkomsel ',' play ',' take ',' point ',' person ',' UDH ',' Cape ',' collecting it ',' ilang ',' Restore ',' Points', '']")</f>
        <v>['Woy', 'Points',' empty ',' Asapi ',' ilang ',' Litu ',' please ',' telkomsel ',' play ',' take ',' point ',' person ',' UDH ',' Cape ',' collecting it ',' ilang ',' Restore ',' Points', '']</v>
      </c>
      <c r="D2898" s="3">
        <v>1.0</v>
      </c>
    </row>
    <row r="2899" ht="15.75" customHeight="1">
      <c r="A2899" s="1">
        <v>2897.0</v>
      </c>
      <c r="B2899" s="3" t="s">
        <v>2900</v>
      </c>
      <c r="C2899" s="3" t="str">
        <f>IFERROR(__xludf.DUMMYFUNCTION("GOOGLETRANSLATE(B2899,""id"",""en"")"),"['Please', 'Telkomsel', 'Increase', 'Quality', 'Signal', 'PAS', 'BLM', 'Quota', 'Learning', 'Signal', 'Current', 'Lemot', ' Pakek ',' Telkomsel ',' Quality ',' Decreases', 'Please', 'Repaired', 'Yaa', 'Thanks']")</f>
        <v>['Please', 'Telkomsel', 'Increase', 'Quality', 'Signal', 'PAS', 'BLM', 'Quota', 'Learning', 'Signal', 'Current', 'Lemot', ' Pakek ',' Telkomsel ',' Quality ',' Decreases', 'Please', 'Repaired', 'Yaa', 'Thanks']</v>
      </c>
      <c r="D2899" s="3">
        <v>5.0</v>
      </c>
    </row>
    <row r="2900" ht="15.75" customHeight="1">
      <c r="A2900" s="1">
        <v>2898.0</v>
      </c>
      <c r="B2900" s="3" t="s">
        <v>2901</v>
      </c>
      <c r="C2900" s="3" t="str">
        <f>IFERROR(__xludf.DUMMYFUNCTION("GOOGLETRANSLATE(B2900,""id"",""en"")"),"['Daily', 'check', 'locked', 'already', 'max', 'point', 'already', 'Points',' Lock ',' feeling ',' like ',' Gini ',' network ',' fix ',' until ',' signal ',' Ngejump ',' Severe ']")</f>
        <v>['Daily', 'check', 'locked', 'already', 'max', 'point', 'already', 'Points',' Lock ',' feeling ',' like ',' Gini ',' network ',' fix ',' until ',' signal ',' Ngejump ',' Severe ']</v>
      </c>
      <c r="D2900" s="3">
        <v>1.0</v>
      </c>
    </row>
    <row r="2901" ht="15.75" customHeight="1">
      <c r="A2901" s="1">
        <v>2899.0</v>
      </c>
      <c r="B2901" s="3" t="s">
        <v>2902</v>
      </c>
      <c r="C2901" s="3" t="str">
        <f>IFERROR(__xludf.DUMMYFUNCTION("GOOGLETRANSLATE(B2901,""id"",""en"")"),"['Sya', 'promo', 'price', 'expensive', 'min', 'gax', 'like', 'get', 'promo', 'cheap', 'hasn't', 'get', ' Promo ',' cheap ',' ']")</f>
        <v>['Sya', 'promo', 'price', 'expensive', 'min', 'gax', 'like', 'get', 'promo', 'cheap', 'hasn't', 'get', ' Promo ',' cheap ',' ']</v>
      </c>
      <c r="D2901" s="3">
        <v>1.0</v>
      </c>
    </row>
    <row r="2902" ht="15.75" customHeight="1">
      <c r="A2902" s="1">
        <v>2900.0</v>
      </c>
      <c r="B2902" s="3" t="s">
        <v>2903</v>
      </c>
      <c r="C2902" s="3" t="str">
        <f>IFERROR(__xludf.DUMMYFUNCTION("GOOGLETRANSLATE(B2902,""id"",""en"")"),"['', 'buy', 'quota', 'unlimited', 'chat', 'sosmed', 'game', 'TPI', 'knp', 'play', 'game', 'lag', 'open ',' Instagram ',' Facebook ',' WhatsApp ',' smooth ',' right ',' check ',' quota ',' say it ',' quota ',' game ',' what ',' card ']")</f>
        <v>['', 'buy', 'quota', 'unlimited', 'chat', 'sosmed', 'game', 'TPI', 'knp', 'play', 'game', 'lag', 'open ',' Instagram ',' Facebook ',' WhatsApp ',' smooth ',' right ',' check ',' quota ',' say it ',' quota ',' game ',' what ',' card ']</v>
      </c>
      <c r="D2902" s="3">
        <v>1.0</v>
      </c>
    </row>
    <row r="2903" ht="15.75" customHeight="1">
      <c r="A2903" s="1">
        <v>2901.0</v>
      </c>
      <c r="B2903" s="3" t="s">
        <v>2904</v>
      </c>
      <c r="C2903" s="3" t="str">
        <f>IFERROR(__xludf.DUMMYFUNCTION("GOOGLETRANSLATE(B2903,""id"",""en"")"),"['MFF', 'before', 'sassy', 'stay', 'rural', 'Javanese', 'West', 'exact', 'Majalengka', 'signal', 'Telkom', 'smooth', ' Consistent ',' Ntah ',' KNP ',' Signal ',' TSB ',' Slow ',' Dipake ',' Game ',' UDH ',' Try ',' Signal ',' Tsb ',' Good ' , 'Live', 'tur"&amp;"n off', 'mode', 'plane', 'mode', 'restart', 'tsb', 'vain', 'vain', 'tsb', 'please', 'explanation', ' The solution ',' response ',' Say ',' Thank you ', ""]")</f>
        <v>['MFF', 'before', 'sassy', 'stay', 'rural', 'Javanese', 'West', 'exact', 'Majalengka', 'signal', 'Telkom', 'smooth', ' Consistent ',' Ntah ',' KNP ',' Signal ',' TSB ',' Slow ',' Dipake ',' Game ',' UDH ',' Try ',' Signal ',' Tsb ',' Good ' , 'Live', 'turn off', 'mode', 'plane', 'mode', 'restart', 'tsb', 'vain', 'vain', 'tsb', 'please', 'explanation', ' The solution ',' response ',' Say ',' Thank you ', "]</v>
      </c>
      <c r="D2903" s="3">
        <v>2.0</v>
      </c>
    </row>
    <row r="2904" ht="15.75" customHeight="1">
      <c r="A2904" s="1">
        <v>2902.0</v>
      </c>
      <c r="B2904" s="3" t="s">
        <v>2905</v>
      </c>
      <c r="C2904" s="3" t="str">
        <f>IFERROR(__xludf.DUMMYFUNCTION("GOOGLETRANSLATE(B2904,""id"",""en"")"),"['Times',' Roving ',' Customer ',' Moving ',' Card ',' Hello ',' Bener ',' Batalin ',' Package ',' Move ',' Telkom ',' Kecapri ',' Blom ',' Move ',' TELKOM ',' PINTER ',' VAUT ',' BEGOIN ',' People ']")</f>
        <v>['Times',' Roving ',' Customer ',' Moving ',' Card ',' Hello ',' Bener ',' Batalin ',' Package ',' Move ',' Telkom ',' Kecapri ',' Blom ',' Move ',' TELKOM ',' PINTER ',' VAUT ',' BEGOIN ',' People ']</v>
      </c>
      <c r="D2904"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2022-02-26T06:46:48Z</dcterms:created>
  <dc:creator>openpyxl</dc:creator>
</cp:coreProperties>
</file>