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WeswzPXv277ffA2/MoLu9Lh7NcQ=="/>
    </ext>
  </extLst>
</workbook>
</file>

<file path=xl/sharedStrings.xml><?xml version="1.0" encoding="utf-8"?>
<sst xmlns="http://schemas.openxmlformats.org/spreadsheetml/2006/main" count="9240" uniqueCount="8893">
  <si>
    <t>text_review</t>
  </si>
  <si>
    <t>text_review_english</t>
  </si>
  <si>
    <t>score</t>
  </si>
  <si>
    <t>['bagus', 'suka', 'apk', '']</t>
  </si>
  <si>
    <t>['telkomsel', 'ngebadut', 'mulu', 'suruh', 'mulu', 'perbaiki', 'operator', 'butuh', 'banget', 'operator', 'telkomsel', 'cocok', 'namanya', 'telkomsel', 'telkomnyet', 'cocok', 'kayaknya']</t>
  </si>
  <si>
    <t>['aplikasi', 'provider', 'buka', 'app', 'load', 'data', 'bnyak', 'bener', 'free', 'maunya', '']</t>
  </si>
  <si>
    <t>['mati', 'listrik', 'lngsung', 'hilang', 'sinyalnya', 'bngt', 'jelek', 'nggk', 'berkualitas', 'buruk', 'sinyalnya', 'hilang', 'pas', 'mati', 'listrik', 'jelek', 'banget', 'nggak', 'sesuai', 'harganya', 'mahal', 'bagus']</t>
  </si>
  <si>
    <t>['', 'lho', 'apalag', 'menu', 'internet', 'sakti', 'cari', 'orderan', 'online', 'gacor', 'bos']</t>
  </si>
  <si>
    <t>['aplikasi']</t>
  </si>
  <si>
    <t>['paket', 'internetan', 'murah', 'promo']</t>
  </si>
  <si>
    <t>['suka', 'aplikasi']</t>
  </si>
  <si>
    <t>['nyedot', 'paketnya', 'boros', 'kasih', 'bintang', 'tolong', 'perbaiki', 'lgi', 'berbisnis']</t>
  </si>
  <si>
    <t>['', 'allah', 'angkatlah', 'derajatku', 'ekonomi', 'aminn']</t>
  </si>
  <si>
    <t>['oke', 'membantu', '']</t>
  </si>
  <si>
    <t>['puas', 'maju', '']</t>
  </si>
  <si>
    <t>['trimakasih', 'apk', 'beli', 'paket', 'internet', 'hambatan', 'cepat', 'kekurangan', 'apk', 'memiliki', 'sytem', 'top', 'game', 'online']</t>
  </si>
  <si>
    <t>['jaringan', 'lelet', '']</t>
  </si>
  <si>
    <t>['telkomsel', 'mantul']</t>
  </si>
  <si>
    <t>['semoga', 'telkomsel', 'jaya', 'sukses']</t>
  </si>
  <si>
    <t>['telkom', 'jaringan', 'parah', 'mahal', 'doang', 'tpi', 'jaringan', 'kaya', 'keong', 'lambat', 'bangeet']</t>
  </si>
  <si>
    <t>['bagus', 'menuaskan']</t>
  </si>
  <si>
    <t>['buruk']</t>
  </si>
  <si>
    <t>['maaf', 'duluu', 'mlm', 'beli', 'pulsa', 'ttpi', 'beda', 'wkt', 'via', 'bangking', 'saldo', 'kepotong', 'ttpi', 'pulsa', 'dak', 'masuk', 'ngurus', 'bca', 'ttpi', 'solusi', 'bingung', 'urus', 'kemana', 'uang', 'kembalikin', 'skrg', 'pulsa', 'nambah']</t>
  </si>
  <si>
    <t>['mudah', 'diakses']</t>
  </si>
  <si>
    <t>['telkomsel', 'parah', 'maen', 'game', 'ngelek', 'parah']</t>
  </si>
  <si>
    <t>['mahal', 'berat', 'teknisi', 'handphone', 'merekomendasikan', 'uninstall', 'aplikasi', 'kegunaan', 'aplikasi', 'pilihan', 'paket', 'itupun', 'harganya', 'memberatkan', 'kalangan', 'pelanggan', 'kerugian', 'install', 'aplikasi', 'ukuran', 'menuh', 'menuhin', 'memori', 'notifikasi', 'iklan', 'mengganggu', 'jarang', 'berguna', 'update', 'maksa', 'update', 'dibuka', 'kesimpulan', '']</t>
  </si>
  <si>
    <t>['jaringanmu', 'lelet', 'mohon', 'perbaiki', 'jaringannya']</t>
  </si>
  <si>
    <t>['jaringan', 'ampas', 'buka', 'mode', 'gratis', 'tuker', 'udh', 'beli', 'paket', 'beli', 'paket', 'gajelas', 'rating', 'karna', 'buruk', '']</t>
  </si>
  <si>
    <t>['saran', 'kuota', 'unlimited', 'jadiin', 'full', 'internet', 'nggak', 'nggak', 'nyaman', 'kecepatan', 'beda', 'bedain', 'udah', 'unlimited', 'nggak', 'ribet', 'abis', 'kuota', 'internet', 'yaw', 'abis', 'pisah', 'pisah', '']</t>
  </si>
  <si>
    <t>['halo', 'min', 'knp', 'masuk', 'apk', 'telkomsel', 'udh', 'isi', 'nomor', 'masuk', 'mohon', 'bantuan', 'min', 'terimakasih', '']</t>
  </si>
  <si>
    <t>['bos', 'telkomsel', 'tolong', 'benerin', 'jaringan', 'internet', 'stabil', 'enak', 'langsung', 'hilang', 'total', 'main', 'game', 'disconnect', 'kacau', 'denganmu', 'telkomsel', 'biarkan', 'pelangganmu', 'hijrah']</t>
  </si>
  <si>
    <t>['jaringan', 'telkomsel', 'buruk', 'ayo', 'penggunantelkomsel', 'beralih', 'operator', 'upaya', 'perbaikan', 'telkomsel', 'jaringannya', 'lelet']</t>
  </si>
  <si>
    <t>['complan', 'cash', 'back', 'pengisian', 'pulsa', 'kaga', 'bales', 'ama', 'komplan', 'jawabannya', 'kga', 'memuaskan']</t>
  </si>
  <si>
    <t>['paketan', 'mahal', 'sinyal', 'kek', 'babi', 'kartu', 'rakyat', 'pemilik', 'telkomsel', 'kayaknya', 'ngaku', 'ngentod']</t>
  </si>
  <si>
    <t>['tlg', 'perbaiki', 'internet', 'wilayah', 'jatikramat', 'kota', 'bekasi']</t>
  </si>
  <si>
    <t>['sangt', 'mudah', 'pengecekn', 'pembelian', 'paket', 'internet']</t>
  </si>
  <si>
    <t>['telkomsel', 'kek', 'ajg']</t>
  </si>
  <si>
    <t>['cepat', 'mudah']</t>
  </si>
  <si>
    <t>['bertahun', 'pakai', 'kartu', 'combo', 'sakti', 'penawaran', 'paket', 'internet', 'unlimited', 'teman', 'pelanggan', 'paket', 'tsb', '']</t>
  </si>
  <si>
    <t>['jaringan', 'bosok', 'anjink', 'mahal', 'doang']</t>
  </si>
  <si>
    <t>['gimana', 'sihhh', 'beli', 'paket', 'kuota', 'pakai', 'gop', 'kuotanya', 'masuk', 'komplen', 'ribet', '']</t>
  </si>
  <si>
    <t>['udah', 'mahal', 'jaringan', 'stabil', 'kapok', 'telkomsel']</t>
  </si>
  <si>
    <t>['membantu', 'keuangan', 'murah']</t>
  </si>
  <si>
    <t>['', 'beli', 'paket', 'ketengan', 'instagram', 'paket', 'internet', 'utama', 'kesedot', '']</t>
  </si>
  <si>
    <t>['teruslah', 'terbaik', '']</t>
  </si>
  <si>
    <t>['kuota', 'yaaa', 'game', 'nii', 'ksih', 'bintang']</t>
  </si>
  <si>
    <t>['semoga', 'hadiah', 'telkomsel', 'merubah', 'kehidupan', 'kedepan', 'terimakasih', 'telkomsel']</t>
  </si>
  <si>
    <t>['bagus', 'transaksi', 'mantap']</t>
  </si>
  <si>
    <t>['tolong', 'nomer', 'tingkatkan', 'promonya']</t>
  </si>
  <si>
    <t>['pulsa', 'telkomsel', 'kecolongan', 'hilang', 'top', 'internetan', 'data', 'seluler', 'sedah', 'pakai', 'wifi', 'tanggung', 'telkomsel', 'provider', '']</t>
  </si>
  <si>
    <t>['mantap', 'aplikasi']</t>
  </si>
  <si>
    <t>['telkomsel', 'mengambil', 'kuota', 'darurat', 'kuota', 'masuk', 'tolong', 'telkomsel']</t>
  </si>
  <si>
    <t>['paketannya', 'kemahalan']</t>
  </si>
  <si>
    <t>['aplikasi', 'bgus']</t>
  </si>
  <si>
    <t>['unlimited', 'sesuai', 'catatan', 'tertera', 'game', 'game']</t>
  </si>
  <si>
    <t>['jaringan', 'nyunsepppp', 'lemot']</t>
  </si>
  <si>
    <t>['paket', 'permanent', 'kemarin', 'kemarinya', 'paket', 'sungguh', 'memuaskan']</t>
  </si>
  <si>
    <t>['beli', 'kuota', 'sinyal', 'lemot', 'bangke', 'jakarta', 'mahal', 'doang', 'kualitas', '']</t>
  </si>
  <si>
    <t>['huuu', 'beda', 'nomer', 'beda', 'promo', 'nyari', 'combo', 'sakti', '']</t>
  </si>
  <si>
    <t>['bagus', 'memuaskan']</t>
  </si>
  <si>
    <t>['knpa', 'login']</t>
  </si>
  <si>
    <t>['tingkatkan', 'kualitas', 'nys']</t>
  </si>
  <si>
    <t>['bagus', 'tingkatkan', 'pnukaran', 'point']</t>
  </si>
  <si>
    <t>['praktis', 'aplikasinya', 'banyakin', 'promo', 'murahnya']</t>
  </si>
  <si>
    <t>['aplikasi', 'membantu', 'membeli', 'pulsa', 'data', 'dll', 'praktis', 'dipakai', 'mantul', 'dehh', '']</t>
  </si>
  <si>
    <t>['sgt', 'puas', 'menyenangkan', 'semoga', 'sinyalnya', 'lbh', 'bagus']</t>
  </si>
  <si>
    <t>['otw', 'signal', 'telkomsel', 'parah', 'mahal', 'sesuka', 'hati', 'telkomsel', '']</t>
  </si>
  <si>
    <t>['mya', 'telkomsel', 'membantu', 'cepat']</t>
  </si>
  <si>
    <t>['tolong', 'promonya']</t>
  </si>
  <si>
    <t>['aplikasi', 'bagus', 'berharap', 'pemenang', 'undian', 'kali', 'aminnn']</t>
  </si>
  <si>
    <t>['mengalami', 'pengalaman', 'buruk', 'telkomsel', 'komen', 'negatif', 'kuota', 'aktif', 'pulsa', 'tetep', 'amblas', 'pelayanannya', 'mempekerjakan', 'sistemnya', 'becus', 'kerja', 'bintang', 'minus', 'kasih', 'minus', 'ratingnya', 'mengecewakan', 'layanannya', 'sesuai', 'harga', 'paket', 'mahal', '']</t>
  </si>
  <si>
    <t>['sinyal', 'telkomsel', 'tinggal', 'perkotaan', 'sinyal', 'zonk', 'kadang', 'kadang', 'jabodetabek', 'harga', 'doang', 'mahal', 'kualitas', 'kalah', 'sebelah', '']</t>
  </si>
  <si>
    <t>['membantu', 'mobil']</t>
  </si>
  <si>
    <t>['terima', 'kasih', 'paket', 'murahnya']</t>
  </si>
  <si>
    <t>['kecepatan']</t>
  </si>
  <si>
    <t>['puas', 'telkomsel', 'paket', 'murah', 'kartu', 'blm', 'trims', 'telkomsel']</t>
  </si>
  <si>
    <t>['update', 'aplikasinya', 'tolong', 'perbaiki', '']</t>
  </si>
  <si>
    <t>['beli', 'paket', 'kouta', 'pulsa', 'lemah', 'udah', 'shopeepay', 'dana', 'ovo']</t>
  </si>
  <si>
    <t>['aplikasi', 'telkomsel', 'mudah', 'cek', 'kuota', 'beli', 'paket', 'combo', 'sakti', 'harapan', 'semoga', 'kedepan', 'jaringan', 'telkomsel', 'bagus', 'terima', 'kasih', '']</t>
  </si>
  <si>
    <t>['pketnya', 'murahin', 'lgi', 'planggan', 'ttp', 'telkomsel', '']</t>
  </si>
  <si>
    <t>['membantu', '']</t>
  </si>
  <si>
    <t>['aplikasi', 'bagus']</t>
  </si>
  <si>
    <t>['buka', 'aplikasi', 'update', 'buka', 'appstore', 'update', 'klik', 'buka', 'tpi', 'aplikasi', 'telkomsel', 'update', 'muter', 'jdinya', 'masuk', 'app']</t>
  </si>
  <si>
    <t>['ngelag', 'yaa', 'sinyal', 'telkomsel', 'tolong', 'jaringannya', 'ditingkatkan', 'kubanting', 'mulu', '']</t>
  </si>
  <si>
    <t>['sinyalnya', 'lelet', 'lancaar', 'lelet', 'tower', 'buang', 'kartu']</t>
  </si>
  <si>
    <t>['parah', 'jaringanya']</t>
  </si>
  <si>
    <t>['kuota', 'mahal', 'pembagian', 'sesuai', 'kuota', 'giga', 'max', 'giga', 'pembagian', 'kuota', 'internet', 'giga', 'selebihnya', 'kuota', 'multimedia', 'jarang', 'pembagian', 'kuota', 'internet', 'lbh', 'kebaikannya', '']</t>
  </si>
  <si>
    <t>['jaringan', 'lambat', 'jalan', 'normall', 'pas', 'ngaktifin', 'paket', 'darurat', 'lemot', 'kek', 'gini', 'jaringannya', 'tolong', 'bantuannya', '']</t>
  </si>
  <si>
    <t>['udh', 'isi', 'shopee', 'pay', 'lgi', 'link', 'ajaa', '']</t>
  </si>
  <si>
    <t>['paketan', 'ngelek', 'telkom', 'mmmmm', 'tolong', 'perbaiki', 'sinyal']</t>
  </si>
  <si>
    <t>['aplikasi', 'sulit', 'membeli', 'paket', 'nelpon', 'internet', 'ribet', '']</t>
  </si>
  <si>
    <t>['mantul', 'linenya', 'lancar', 'kawasan', '']</t>
  </si>
  <si>
    <t>['sialan', 'luwh', 'telkomsel', 'paket', 'mahal', 'cepat', 'boros', 'jaringan', 'ilang', 'luwh', 'pelanggan', 'nyaman', 'jaringan', 'drop', 'pelanggan', 'puas', 'spam', 'gajelas', 'gaguna']</t>
  </si>
  <si>
    <t>['belom', 'nyakin']</t>
  </si>
  <si>
    <t>['paket', 'mahal', 'bosku', 'murahkan']</t>
  </si>
  <si>
    <t>['nutup']</t>
  </si>
  <si>
    <t>['kek', 'babi', 'jaringan']</t>
  </si>
  <si>
    <t>['promo', 'mudah', 'nyari', 'paket']</t>
  </si>
  <si>
    <t>['bagus', 'tpi', 'tingkatkan', '']</t>
  </si>
  <si>
    <t>['signal', 'buruk', '']</t>
  </si>
  <si>
    <t>['kartu', 'sampah', 'penipu', 'telkomsel', 'unlimited', 'pas', 'udah', 'pakai', 'habis', 'nyesal', 'gua', 'make', 'telkomsel', 'make', 'mantap']</t>
  </si>
  <si>
    <t>['memudahkan', 'pengecekan', 'kuota', 'pilihan', 'pembelian']</t>
  </si>
  <si>
    <t>['aplikasi', 'bagus', 'banget', '']</t>
  </si>
  <si>
    <t>['lelet', 'apk']</t>
  </si>
  <si>
    <t>['sinyalnya', 'lemot', 'pas', 'cuaca', 'mendung', 'hujan', 'layanan', 'telkomsel', 'menarik', '']</t>
  </si>
  <si>
    <t>['udah', 'mahal', 'jaringan', 'jelek', 'gimananxyatawmahhahauha', 'aiwuuuu', 'hiuuuu', 'uawa', 'dimakan', 'hiu', 'waw', 'laggghh', 'ujan', 'laghhhhhh', 'amazing', 'laggg', 'wuaawwwwwa', 'ikan', 'terbamg', 'wakkaiakjajajjiajak', 'wakakkakanndanaanjakkajajjajajjajajahehehhehehhehehhehehu', 'hiuuuuuuu', 'laggggg', 'makan', 'lag', 'lag', 'lag', 'lag', 'lag', 'ping', 'lag', 'banh', 'sinyal', 'lag', 'kartu', 'laen', 'bang', 'kencang', 'sekaeang', 'lemot', 'wuaw', 'perkembangan', 'amazing', '']</t>
  </si>
  <si>
    <t>['plis', 'knp', 'telkomsel', 'isi', 'pulsa', 'masuk', 'cek', 'utuh', 'pas', 'besoknya', 'pulsa', 'tinggal', 'beli', 'paket', 'internet', 'mengalami', 'tolong', 'perbaiki', '']</t>
  </si>
  <si>
    <t>['kadang', 'nggak', 'sampe', 'sebulan', 'nggak', 'kek', 'cepet', 'boros']</t>
  </si>
  <si>
    <t>['jelek', 'jaringa', 'telkomsel', 'maju', 'mengecewakan', 'pelanggan']</t>
  </si>
  <si>
    <t>['berguna', 'memudah', 'transsaksi', 'pulsa', 'trimakasih', 'telkomsel']</t>
  </si>
  <si>
    <t>['jaringan', 'kadang', 'stabil']</t>
  </si>
  <si>
    <t>['kereenn', 'semoga', 'paket', 'unlimited', 'yaaa']</t>
  </si>
  <si>
    <t>['paket', 'internet', 'murah']</t>
  </si>
  <si>
    <t>['mantat', 'seringkan', 'promonya']</t>
  </si>
  <si>
    <t>['isi', 'pulsa', 'rb', 'masuknya', 'rb', 'doang', 'kali', 'isi', 'pulsa', 'nominal', 'rb', 'dapatnya', 'sesuai', 'saldo', 'isikan', 'telkomsel', 'lemot', 'udah', 'mahal', 'lemot', 'isi', 'pulsa', 'korupsi', 'thank', 'you', 'yaaa', '']</t>
  </si>
  <si>
    <t>['kayak', 'berat', 'banget', 'aplikasinya', 'lambaaaat', 'bukanya', 'payah', 'hrg', 'paketnya', 'smakin', 'mahal', 'sesuai', 'hrg', 'yaaa', 'jaringan', 'lelet', 'hdeh', '']</t>
  </si>
  <si>
    <t>['telkomtol', 'jaringan', 'kayak', 'babiiii', 'jaringan', 'kayak', 'siput', 'diperbaiki']</t>
  </si>
  <si>
    <t>['promonya', 'jelek', '']</t>
  </si>
  <si>
    <t>['membeli', 'paket', 'gamemax', 'diamond', 'free', 'fire', 'sms', 'kode', 'voucher', 'dunia', 'game', 'masuk', 'inbox', 'sms']</t>
  </si>
  <si>
    <t>['tolong', 'tambahkan', 'metode', 'pembelian', 'pulsa', 'virtual', 'account', 'bri']</t>
  </si>
  <si>
    <t>['mudah', 'pengoprasiannya']</t>
  </si>
  <si>
    <t>['ayo', 'beli', 'paket', 'data', 'telkomsel']</t>
  </si>
  <si>
    <t>['mudah']</t>
  </si>
  <si>
    <t>['daerah', 'sinyal', 'balok', 'mati', 'lampu', 'sinyal', 'lngsung', 'hilang', 'memuaskan', 'telkomsel', 'bengkulu', 'utara', 'air', 'besi', '']</t>
  </si>
  <si>
    <t>['kadang', 'heran', 'koneksi', 'internet', 'meningkat', 'tajam', 'membuka', 'aplikasi', 'telkomsel', 'adil', 'server', 'koneksi', 'program', 'lancar', 'malam', 'pagi', '']</t>
  </si>
  <si>
    <t>['mahal', 'paketan', 'internet']</t>
  </si>
  <si>
    <t>['paket', 'mahal', 'jaringan', 'lelet', 'bagus', 'karna', 'nomor', 'nomor', 'urusan', 'kerja', 'pindah', '']</t>
  </si>
  <si>
    <t>['paket', 'internet', 'mahal']</t>
  </si>
  <si>
    <t>['nyesal', 'massa', 'poin', 'tukur', 'pulsa', 'telfn']</t>
  </si>
  <si>
    <t>['kasih', 'bintang', 'deh', 'karna', 'parah', 'bnget', 'cek', 'kuota', 'beli', 'paket', 'internet', 'loading', 'mulu']</t>
  </si>
  <si>
    <t>['perbanyak', 'promo', 'murah', '']</t>
  </si>
  <si>
    <t>['bermampaat']</t>
  </si>
  <si>
    <t>['internetnya', 'super', 'lemot', 'udah', 'lapor', 'berkali', 'kali', 'ngirim', 'data', 'tetep', 'lemot', 'perubahan']</t>
  </si>
  <si>
    <t>['bener', 'bener', 'simpati', 'sinyal', 'parah', 'banget', 'udh', 'kaya', 'kuota', 'pdahal', 'isi', 'kuota', 'gaush', 'hubungi', 'situ', 'perbaiki', 'ajah', 'langsung', 'sinyal', 'jngan', 'mahal', 'kualitas', 'hubungan', 'kerjaan', 'udh', 'ganti', 'dri', 'kpan', 'tolong', 'perbaiki', 'sinyal', 'masi', 'tinggal', 'kota', 'sinyal', 'udh', 'kaya', 'gunung']</t>
  </si>
  <si>
    <t>['keren']</t>
  </si>
  <si>
    <t>['bagus', 'membantu', '']</t>
  </si>
  <si>
    <t>['cerita', 'sesuai', 'fakta', 'sms', 'promosi', 'realisasinya']</t>
  </si>
  <si>
    <t>[]</t>
  </si>
  <si>
    <t>['skrg', 'telkomsel', 'internet', 'wilayah', 'banjarmasin', 'kal', 'sel', 'jaringan', 'lemot', 'skrg', 'uda', 'pke', 'telkomsel', 'internit', '']</t>
  </si>
  <si>
    <t>['jaringan', 'buruk', 'bagus', 'exis']</t>
  </si>
  <si>
    <t>['paket', 'datanya', 'mahal', 'pindah', 'kartu', 'sim', 'merek', 'sebelah', 'low', 'gini', 'mah', 'mahal', 'malas', 'beli', '']</t>
  </si>
  <si>
    <t>['jaringan', 'kacau', 'woy', 'niat', 'mqkin', 'mahal', 'quota', 'internet', 'bangkrut', 'kecewa', '']</t>
  </si>
  <si>
    <t>['sya', 'nyoba', 'apl', 'semoga', 'bagus', '']</t>
  </si>
  <si>
    <t>['aplikasi', 'mantap', 'beli', 'paket', 'aplikasi', 'disconnya']</t>
  </si>
  <si>
    <t>['cocok', 'mudah', 'membantu']</t>
  </si>
  <si>
    <t>['mantap', 'membantu', '']</t>
  </si>
  <si>
    <t>['min', 'tambahin', 'lock', 'pulsa', 'kepotong', 'pas', 'nyalain', 'data']</t>
  </si>
  <si>
    <t>['memudah', 'membeli', 'memilih', 'paket', '']</t>
  </si>
  <si>
    <t>['jaringan', 'nambah', 'nambah', 'busuk', 'telkomsel', 'kecewa', 'kapok']</t>
  </si>
  <si>
    <t>['aplikasix', 'koq', 'kemaren', 'buka', '']</t>
  </si>
  <si>
    <t>['terimah', 'kasih', 'telkomsel', 'lumayan', 'bagus', '']</t>
  </si>
  <si>
    <t>['jaringan', 'paraahh', 'kuota', 'mahal', '']</t>
  </si>
  <si>
    <t>['detail', 'paket', 'mantap', 'promo', 'pertahankan', 'kualitas']</t>
  </si>
  <si>
    <t>['bgus', 'sngt', 'membantu']</t>
  </si>
  <si>
    <t>['memuaskan']</t>
  </si>
  <si>
    <t>['bagus', 'promonya', 'bagus', '']</t>
  </si>
  <si>
    <t>['mantap']</t>
  </si>
  <si>
    <t>['mantap', 'bos', '']</t>
  </si>
  <si>
    <t>['harga', 'paket', 'murah', 'aplikasi']</t>
  </si>
  <si>
    <t>['knp', 'yya', 'data', 'seluler', 'nyatapi', 'pulsa', 'berkurang', 'pdhl', 'ngapa', 'ngapain', 'ngalain', 'data', 'seluler', 'kesel', 'ckkk', 'berkurang', 'kmrn', 'saldo', 'berkurang', 'trs', 'trs', 'ber', 'gmn', 'sie', '']</t>
  </si>
  <si>
    <t>['lumayan']</t>
  </si>
  <si>
    <t>['telkomnyet', 'ajgx', 'pulsa', 'gua', 'sedot', 'mulu', 'ajx', 'emang']</t>
  </si>
  <si>
    <t>['lemot', 'banget', '']</t>
  </si>
  <si>
    <t>['mudah', 'cepat']</t>
  </si>
  <si>
    <t>['bagus', 'berguna']</t>
  </si>
  <si>
    <t>['baguss', 'simple', 'ribett', 'semoga', 'kedepan', 'gampang', 'untk', 'transaksi', '']</t>
  </si>
  <si>
    <t>['proses', 'cepat', 'promo', 'harga', 'sesuai', 'dibilang', '']</t>
  </si>
  <si>
    <t>['jaringan', 'buruk', 'pembayaran', 'pembelian', 'paket', 'dpersulit', '']</t>
  </si>
  <si>
    <t>['bingung', 'tagihan']</t>
  </si>
  <si>
    <t>['siip', 'mantab', 'telkomsel']</t>
  </si>
  <si>
    <t>['tolong', 'telkomsel', 'jelek', 'udah', 'mahal', 'sinyal', 'suka', 'ngelag', 'kalah', 'njirr', 'ngk', 'kayak', 'telkomsel', 'parah', 'gini', 'benerin', 'turunin', 'harga', 'udh', 'mahal', 'ngelag', 'njirr', '']</t>
  </si>
  <si>
    <t>['keren', 'abis', 'pokoknya']</t>
  </si>
  <si>
    <t>['gue', 'telkomsel', 'kartu', 'terbaik', 'indonesia', 'kekuatan', 'jaringan', 'sinyal', 'jaringan', 'lelet', 'tergantung', 'situasi', 'kartu', 'jaringan', 'lelet', 'mah']</t>
  </si>
  <si>
    <t>['ngk', 'bonus', 'beli', 'pulsa', 'aplikasi', 'telkomsel', 'pembayaran', 'shopeepay', 'ngk', 'bonus', 'mengecewakan', '']</t>
  </si>
  <si>
    <t>['pokonya', 'mantap']</t>
  </si>
  <si>
    <t>['merugikan', 'paket', 'pinjaman', 'aktif', 'habis', 'bawar']</t>
  </si>
  <si>
    <t>['setia', 'telkomsel', 'idr', 'aga', 'mahal', 'tpi', 'ssuai', 'urusan', 'signal', 'jaringan', 'down', 'paraaaahhhh', 'kebalik', 'kartu', 'sebelah', 'lancar', 'biaya', 'tpi', 'signal', 'jaringan', 'down', 'gini', 'tahan', 'banting', '']</t>
  </si>
  <si>
    <t>['aplikasinya', 'bgus', 'bnget']</t>
  </si>
  <si>
    <t>['enak', 'mudah', 'cek', 'paket', 'pulsa', 'poin', 'telkomsel']</t>
  </si>
  <si>
    <t>['paket', 'mahal', 'kualitas', 'jaringan', 'kualitas', 'emang', 'sampahh']</t>
  </si>
  <si>
    <t>['bagus', 'aman', 'memuaskan']</t>
  </si>
  <si>
    <t>['loading', 'lelet']</t>
  </si>
  <si>
    <t>['bagus', 'membantu', 'bray']</t>
  </si>
  <si>
    <t>['respon', 'cepat', 'baikj']</t>
  </si>
  <si>
    <t>['aplikasinya', 'bagus', 'memebantu', 'program', 'telkomsel']</t>
  </si>
  <si>
    <t>['pembayaran', 'cepat']</t>
  </si>
  <si>
    <t>['bagus', 'membantu', 'ngecek', 'kuota', 'banget', 'promo', 'kuotanya', 'makasih', 'mytekkomsel']</t>
  </si>
  <si>
    <t>['pembelian', 'pulsa', 'ditelkomsel', 'sungguh', 'mudah', 'memilih', 'harian', 'mingguan', 'bulanaan', 'gampang', 'transaksinya', 'lgsg', 'aktif']</t>
  </si>
  <si>
    <t>['telkomsel', 'buruk']</t>
  </si>
  <si>
    <t>['app', 'membantu', 'tuk', 'trx', '']</t>
  </si>
  <si>
    <t>['promo', '']</t>
  </si>
  <si>
    <t>['', 'membantu']</t>
  </si>
  <si>
    <t>['pulsa', 'kesedot', 'pilih', 'paket']</t>
  </si>
  <si>
    <t>['tolong', 'perbaiki', 'jaringan', 'sinyalnya', 'jaringan', 'konektivitas', 'hilang', '']</t>
  </si>
  <si>
    <t>['jaringan', 'jelek', 'musim', 'hujan', 'mati', 'listrik', 'harga', 'mahal', 'sebanding', 'kualitas', 'performanya', 'tlg', 'perbaiki', 'customer', 'pindah', 'kartu', '']</t>
  </si>
  <si>
    <t>['', 'size', 'apk', 'mb', 'sesuai', 'fungsinya', 'bwt', 'cek', 'kuota', 'daftar', 'paket', 'disederhanakan', 'admin', 'aplikasinya', 'konfirmasi', 'verifikasi', 'ribet', 'sesuai', 'fungsi', 'aplikasinya', 'semoga', 'ditanggapin', 'terimakasih']</t>
  </si>
  <si>
    <t>['aplikasi', 'bagus', 'membantu', 'mempermudah', 'akses', 'beli', 'kuota', 'cek', 'pulsa', 'tagihan', 'kartu', 'hallo', 'kirim', 'hadiah', 'kuota', 'pulsa', 'keluarga', 'teman', 'fungsi', 'didalamnya', 'repot', 'telpon', 'call', 'center', 'maju', 'trus', 'berkarya', 'mytelkomsel', '']</t>
  </si>
  <si>
    <t>['biarkan', 'bintang', 'bicara', 'pokoknya', 'nyaman', 'telkomsel', 'ditingkatkan', 'pelayanannya', '']</t>
  </si>
  <si>
    <t>['', 'telkomsel', 'oke']</t>
  </si>
  <si>
    <t>['woy', 'balikin', 'paket', 'omg', 'udh', 'paket', 'mahal', 'balikin', '']</t>
  </si>
  <si>
    <t>['parah', 'kekuatan', 'sinyalnya', 'lemot', 'banget', 'anjaayyy', 'gimna', 'telkomsel', 'parah', 'parah', 'pelayanan', 'jaringannya', 'makain', 'buruk']</t>
  </si>
  <si>
    <t>['perbaiki', 'jaringanya', 'udah', 'belain', 'beli', 'kuota', 'mahal', 'giliran', 'nge', 'game', 'sinyal', 'suka', 'ilang', 'main', 'pingnya', 'lompat', 'mulu', 'pubg', 'ketemu', 'musuh', 'langsung', 'nge', 'frame', 'parah', 'jaringan', 'merah', 'kuota', 'sisa', 'gb', 'parah', 'parah', 'gitu', 'udah', 'coba', 'ganti', 'apn', 'macem', 'tetep', 'kaga', 'perubahan', 'jawa', 'ngga', 'sumatera', 'sinyalnya', '']</t>
  </si>
  <si>
    <t>['buruk', 'buka', 'aplikqsi', 'telkomsel', 'doang', 'ajh', 'langsung', 'kepotong', 'rbu', 'sungguh', 'walanda']</t>
  </si>
  <si>
    <t>['puas', 'pelayanan', 'telkomsel']</t>
  </si>
  <si>
    <t>['jaringan', 'telkosel', 'terjelek']</t>
  </si>
  <si>
    <t>['main', 'game', 'lag', 'nonton', 'bokep', 'lancar', 'emg', 'otak', 'telkomsel']</t>
  </si>
  <si>
    <t>['beli', 'pulsa', 'aktifin', 'kuota', 'gagal', 'pulsa', 'mencukupi', 'udah', 'coba', 'beli', 'kuota', 'tetep', 'gagal', 'ehhh', 'pulsa', 'habis', 'merugikan', 'pulsa', 'kesedot', 'gitu', 'dipake', 'cuman', 'buka', 'aplikasi', 'doang', 'keselllll', 'merugikan', 'bgttt']</t>
  </si>
  <si>
    <t>['jaringan', 'buruk', 'whatsap', 'lelet', 'banget', 'parah', 'banget', 'telkomsel', 'udah', 'komplen', 'berkali', 'kali', 'nggak', 'denger', 'pliiss', 'perbaikin', '']</t>
  </si>
  <si>
    <t>['terimksih', 'telkomsel', 'paket', 'super', 'murahnya']</t>
  </si>
  <si>
    <t>['membantuu']</t>
  </si>
  <si>
    <t>['membantu', 'baget']</t>
  </si>
  <si>
    <t>['kartu', 'haloo', 'pliss', 'deh', 'tagihan', 'sesuai', 'paket', 'banget', 'total', 'daftar', 'kartu', 'halo', 'oke', 'bayar', 'sesuai', 'paket', 'nyedot', 'curang', 'banget', 'telkomsel', 'nyedot', 'uang', 'customer', 'model', 'nyesel', 'banget', 'daftar', 'paket', 'kartu', 'halo', 'rugii', 'nambh', 'kuota', 'bayar', 'banget', '']</t>
  </si>
  <si>
    <t>['semoga', 'sukser', 'user', 'makai']</t>
  </si>
  <si>
    <t>['santan', 'mudah', 'gampang', 'beli', 'paket']</t>
  </si>
  <si>
    <t>['beli', 'paket', 'tsel', 'beli', 'paket', 'masalh', 'koneksi', 'sblm', '']</t>
  </si>
  <si>
    <t>['lumayan', 'biaya', 'transfer', 'pulsanya', 'dikurangi', 'verifikasinya', 'pakai', 'nomor', 'link', 'ribet', '']</t>
  </si>
  <si>
    <t>['jaringan', 'telkomsel', 'lbh', 'fokuskan', 'pengguna', 'wifi', 'indihome', 'jaringan', 'data', 'lemot', 'mending', 'rb', 'dpt', 'gb', 'tsel', 'rb', 'dpt', 'jaringan', 'kuat']</t>
  </si>
  <si>
    <t>['mangkin', 'mangkin', 'buruk', 'jaringannya', 'menyesal', '']</t>
  </si>
  <si>
    <t>['puas', 'membantu']</t>
  </si>
  <si>
    <t>['udah', 'mahal', 'pas', 'hujan', 'internet', 'mending', 'kartu', 'sebelah', 'murah', 'hujan', 'speednya', 'turun', 'ilang', 'internetnya', '']</t>
  </si>
  <si>
    <t>['', 'telkomsel']</t>
  </si>
  <si>
    <t>['pulsa', 'kepotong', 'jaringan', 'lelet', 'paket', 'kuota', 'pas', 'dibeli', 'sesuai', 'ditampilkan', 'telkomsel', 'meresahkan', '']</t>
  </si>
  <si>
    <t>['nyesel', 'bet', 'mending', 'beli', 'kartu', 'jaringan', 'kuota', 'niat', 'hati', 'ngisi', 'pulsa', 'beli', 'kuota', 'tambahan', 'pulsaku', 'berkurang', 'buka', 'apps', 'telkomsel', 'gabusa', 'beli', 'kuota', 'janc', 'hati', 'kawan', 'ganti', 'provider', 'diisipulsa', 'aktif', 'tenggang', 'disedot', 'mulu', 'kuota', 'internet', 'assudahlah', '']</t>
  </si>
  <si>
    <t>['']</t>
  </si>
  <si>
    <t>['pas', 'mati', 'lampu', 'sinyal', 'ngeleg', 'sekarng', 'beda', 'bnget', 'paketan', 'mahal', 'sinyal', 'kek', '']</t>
  </si>
  <si>
    <t>['beli', 'paket', 'jebak', 'berlangganan', 'seumur', 'hidup', '']</t>
  </si>
  <si>
    <t>['kartu', 'orang', 'kaya']</t>
  </si>
  <si>
    <t>['jaringan', 'telkomsel', 'pututs', 'putus', 'tolong', 'diperbaiki', 'main', 'jaringan', 'hilang', 'kesal', 'kecewa', 'berat', 'jaringan', 'telkomsel', 'main', 'game', 'kayak', 'robot', '']</t>
  </si>
  <si>
    <t>['bagus', 'banyakin', 'promo']</t>
  </si>
  <si>
    <t>['paketnya', 'enak', 'kek', 'vaganza']</t>
  </si>
  <si>
    <t>['uhhhhh', 'mahal', 'lelet', 'mnding', 'mahal', 'gacor', 'sinyalnya', 'kalah', 'exis']</t>
  </si>
  <si>
    <t>['sinyal', 'telkomsel', 'buruk', 'kampung', 'kota', 'perbaiki', 'donk', 'pelanggan', 'simpati']</t>
  </si>
  <si>
    <t>['', 'membantu', 'penguna', 'stress']</t>
  </si>
  <si>
    <t>['paket', 'data', 'internet', 'murah', 'meriah', 'thanks', 'telkomsel', 'the', 'best', 'pokoknya', '']</t>
  </si>
  <si>
    <t>['', 'desaku', 'tepatnya', 'dsn', 'sukosari', 'purwosari', 'kec', 'wonoasri', 'kab', 'madiun', 'caruban', 'kualitas', 'sinyal', 'jelek', 'pakai', 'banget', 'tolong', 'solusi', 'terimakasih']</t>
  </si>
  <si>
    <t>['', 'bintang', 'suka', 'mandek', 'sinyal', '']</t>
  </si>
  <si>
    <t>['kecewa', 'telkomsel', 'bermasalah', 'beli', 'paket', 'error', 'please', 'fix', 'thank', 'you', '']</t>
  </si>
  <si>
    <t>['telkomsel', 'telkomsel', 'harga', 'mahal', 'jaringannya', 'lemot', 'ujan', 'jan', 'tetep', 'lemot']</t>
  </si>
  <si>
    <t>['sekelas', 'telkomsel', 'jaringan', 'parah', 'banget', 'sekelas', 'telkomsel', 'paket', 'mahal', 'mahal', 'pelayanan', 'peningkatan', 'jaringan', 'parah', 'mahal', 'orang', 'beli', 'bro', 'bayar', 'gratis', 'tolong', 'beneran', 'kek', 'kek', 'untung', 'untung', '']</t>
  </si>
  <si>
    <t>['memudahkan', 'penguna', 'telkomsel']</t>
  </si>
  <si>
    <t>['oke', 'banget', 'dehhh', 'promonya', 'ayo', 'buruan', 'download']</t>
  </si>
  <si>
    <t>['setuju']</t>
  </si>
  <si>
    <t>['beli', 'paket', 'gangguan', 'terossss', '']</t>
  </si>
  <si>
    <t>['senang', 'beruntung', 'hadiah', 'karna', 'blm', 'prnh', 'mndapatkan', 'kejutan', 'hadiah']</t>
  </si>
  <si>
    <t>['mahal']</t>
  </si>
  <si>
    <t>['sinyal', 'buruk', 'jam', 'jam', 'wib', 'kode', 'pos', '']</t>
  </si>
  <si>
    <t>['okee', 'bagus', 'ceria', 'kartu', 'tolong', 'dihapus', 'operator', 'telkomsel', 'hati', 'pintar', 'rajin', 'menabung', 'sombong']</t>
  </si>
  <si>
    <t>['mohon', 'maaf', 'sinyalnya', 'bahagia', 'bahagia', 'nonton', 'youtube', 'sepuasnya', 'sosmed', 'main', 'game', 'endingnya', 'kuota', 'sisa', 'hebat', 'sinyalnya', 'tolong', 'perbaiki', '']</t>
  </si>
  <si>
    <t>['knapa', 'skrang', 'jaringan', 'telkomsel', 'volte', 'volte', 'itukan', 'dibawah', 'dibawah', 'sdangkan', 'jringan', 'tampil', 'itukan', 'pembohongan', 'namany', 'download', 'nyampek', 'mbps', 'apanih', 'tanggapanny']</t>
  </si>
  <si>
    <t>['telkomsel', 'babi', 'jaringan', 'kayak', 'taiiiiiiii', 'mending', 'beralih', 'operator']</t>
  </si>
  <si>
    <t>['kondisikan', 'pemakaian', 'paket', 'flash', 'multimedia', 'paket', 'flash', 'duluan', 'habis', 'paket', 'multimedia', 'tepakai', 'itupun', 'kekurangan', 'mbps', 'dikurangi', 'fair']</t>
  </si>
  <si>
    <t>['mantap', 'signal', 'greget', 'teruskan', '']</t>
  </si>
  <si>
    <t>['game', 'online', 'nyendat', 'nyendat', '']</t>
  </si>
  <si>
    <t>['jaringanya', 'jelek', 'daerah', 'daeraj', 'batura', 'timur', 'sekarjaya', 'mohon', 'perbaiki', 'pasang', 'tower', 'lokasi']</t>
  </si>
  <si>
    <t>['mantap', 'jaya', 'semoga', 'telkomsel', 'pelayanan', 'terbaik', 'konsumen', 'banyakin', 'diskon', 'paket', 'data', 'murah', '']</t>
  </si>
  <si>
    <t>['telkomsel', 'top', 'banget', 'anti', 'lemot']</t>
  </si>
  <si>
    <t>['sukses', 'memuaaskan']</t>
  </si>
  <si>
    <t>['update', 'android', 'pixel', 'aplikasi', 'install', 'parah', 'fah']</t>
  </si>
  <si>
    <t>['telkomsel', 'parah', 'harga', 'kuota', 'internet', 'ngga', 'ngotak', 'udah', 'berdirinya', 'serakahnya', 'saran', 'teman', 'im', 'mantap', 'telkomsel', 'payah', '']</t>
  </si>
  <si>
    <t>['mambantu', 'cman', 'sinsalnya', 'tingkat', 'kab', '']</t>
  </si>
  <si>
    <t>['semoga', 'bsa', 'irit', 'pandemi', '']</t>
  </si>
  <si>
    <t>['semoga', 'sehat', 'amin']</t>
  </si>
  <si>
    <t>['riwayat', 'pengeluaran', 'pembelian', 'tersedia', 'pelanggan', 'pulsa', 'potong', '']</t>
  </si>
  <si>
    <t>['pulsa', 'berkurang', '']</t>
  </si>
  <si>
    <t>['jaringan', 'bagus']</t>
  </si>
  <si>
    <t>['jaringan', 'jelek', 'bngt', 'gini', 'aduuuuh', 'beli', 'kuotanya', '']</t>
  </si>
  <si>
    <t>['profesional']</t>
  </si>
  <si>
    <t>['', 'jaringan', 'bagus']</t>
  </si>
  <si>
    <t>['simple', 'beli', 'paket', 'internet']</t>
  </si>
  <si>
    <t>['mudah', 'beli', 'paket', 'internet']</t>
  </si>
  <si>
    <t>['heran', 'jaringan', 'buruk', 'unggul', 'jaringan', 'indosat', 'smartfren', 'sulsel', 'tepatnya', 'moncongloe', 'kab', 'gowa', 'kec', 'pattallassang', 'harap', 'perbagus', 'jaringannya', 'boskuuu', 'kasih', 'ratingg', 'bintang', 'oke', '']</t>
  </si>
  <si>
    <t>['tukar', 'poin', 'gagal', 'trus', 'ajg', 'tolol']</t>
  </si>
  <si>
    <t>['tingkat', 'paketnya', 'murah', 'lalot', 'lalot', '']</t>
  </si>
  <si>
    <t>['jaringan', 'lelet', 'stabil', 'rekomen', 'main', 'game', 'sumpah', 'main', 'game', 'kartu', 'telkomsel', 'nyaman', 'sinyal', 'turun', 'kesini', 'kecewa', 'jaringan', 'telkomsel', '']</t>
  </si>
  <si>
    <t>['lagu', 'pas', 'buka', 'mytelkomsel', 'paketan', 'boros', 'telkomsel', 'deng', 'deng', 'deng']</t>
  </si>
  <si>
    <t>['mempermudah', '']</t>
  </si>
  <si>
    <t>['masuk', 'dipersulit']</t>
  </si>
  <si>
    <t>['bagus', 'bngt', 'paket', 'mahal', 'murah', 'gratis']</t>
  </si>
  <si>
    <t>['', 'pengguna', 'setia', 'telkomsel', 'bbrp', 'kecewa', 'jaringan', 'telkomsel', 'semenjak', 'isue', 'katanye', 'makan', 'hiu', 'jaringannye', 'down', 'banget', 'pekerjaan', 'driver', 'ojek', 'online', 'membutuhkan', 'jaringan', 'stabil', 'orderan', 'akhirnye', 'kecewa', 'jaringan', 'telkomsel', 'down', 'banget', 'pendapatan', 'tlg', 'telkomsel', 'perbaiki', 'pengguna', 'setia', 'telkomsel', 'pindah', 'provider']</t>
  </si>
  <si>
    <t>['min', 'tdi', 'beli', 'paket', 'aplikasi', 'telkomsel', 'tpi', 'blom', 'msuk', 'jaringan', 'bagus', 'pulsa', 'mohon', 'saran', 'makasih']</t>
  </si>
  <si>
    <t>['gangguan', 'sistem', 'ndak', 'beli', 'paket']</t>
  </si>
  <si>
    <t>['telkomsel', 'emang', 'mantap', '']</t>
  </si>
  <si>
    <t>['dimana', 'sinyal', 'kuat', 'putus', 'putus', 'pokoknya', 'puas', 'pakainya', '']</t>
  </si>
  <si>
    <t>['beli', 'paketan', 'pengalaman', 'lupa', 'apanya', 'pokoknya', 'upgrade', 'system', 'otomatis', 'provider', 'tsb', 'paketan', 'sisa', 'gb', 'lenyap', 'gitu', 'telkomsel', 'diganti', 'kuota', 'hilang', 'sediiihhhh', 'beuuut', 'udah', 'tolonglah', 'perbaiki', 'system', 'kecewa', 'pakai', 'providee', 'lbh', 'th', '']</t>
  </si>
  <si>
    <t>['jaringan', 'tsel', 'silang', 'kesel', 'yaampun', 'beli', 'kuota', 'ribu', 'dapet', 'gapernah', 'kepake', 'kenapasi', 'dipisah', 'gitu', 'kesel']</t>
  </si>
  <si>
    <t>['man', 'cucuk', 'atap', 'mantap']</t>
  </si>
  <si>
    <t>['suka', 'banget', 'apps']</t>
  </si>
  <si>
    <t>['lancar', 'disetiap', 'situasi']</t>
  </si>
  <si>
    <t>['pengguna', 'simpati', 'sinyal', 'bagus', 'hujan', 'parung', 'bogor', 'dipakai', 'zoom', 'metting', 'google', 'meting', 'terputus', 'kuotanya', 'cepat', 'habis', 'notif', 'paket', 'kuota', 'hemat', 'tolong', 'tingkatkan', 'pelayanan', 'kepuasan', 'pelanggan', 'terimakasih', '']</t>
  </si>
  <si>
    <t>['bagus', 'membantu']</t>
  </si>
  <si>
    <t>['telkomsel', 'jaringan', 'terluas', 'temudah', 'akses', 'manapun', 'ber']</t>
  </si>
  <si>
    <t>['murah', 'telkomsel']</t>
  </si>
  <si>
    <t>['pulsa', 'kesedot', 'bnyk', 'anjingggggg', 'udh', 'duit', 'cmn', 'maketin', 'kuotaaa', 'anjinggg', 'anjingg', 'anjinggg', 'balikin', 'duit', 'bangsattttt', 'mati', 'semuaaa', '']</t>
  </si>
  <si>
    <t>['untungan']</t>
  </si>
  <si>
    <t>['tingkatkan', 'jaringan', '']</t>
  </si>
  <si>
    <t>['mantap', 'memuaskan', 'semoga', 'paket', 'murah', 'promo', 'kedepannya']</t>
  </si>
  <si>
    <t>['apk', 'telkomsel', 'promo', 'kouta', 'baguss', '']</t>
  </si>
  <si>
    <t>['update', 'progres', 'nggak', 'piye', '']</t>
  </si>
  <si>
    <t>['bagus', 'simpel', 'beli', 'paket', 'data', 'mahal']</t>
  </si>
  <si>
    <t>['sumpah', 'gue', 'nyesel', 'banget', 'telkomsel', 'kali', 'gue', 'aktivasi', 'paket', 'internet', 'jaringan', 'sibuk', 'mohon', 'coba', 'udah', 'gue', 'restart', 'hpnya', 'tetep', 'bagusan', 'indosat', 'kemana', 'mahal', 'doang', 'internet', 'lemot']</t>
  </si>
  <si>
    <t>['aplikasi', 'susah', 'akses', 'login', 'berkali', 'kali', 'komplain', 'mesin', 'penjawab', 'keluhan', 'terselesaikan', '']</t>
  </si>
  <si>
    <t>['mbanking', 'buruk', 'aplikasi']</t>
  </si>
  <si>
    <t>['pulsa', 'hilang', 'dipakai', 'mmg', 'pemotongan', 'kasih', 'notifikasi', 'ambil', 'pulsa']</t>
  </si>
  <si>
    <t>['paketan', 'internetnya', 'mahaaallll', 'turunin', 'harganya', 'woyyyyy', 'pakai', 'telkomsel', 'ngabisin', 'duit', 'tabungan', '']</t>
  </si>
  <si>
    <t>['berharap', 'hadiah', 'point', 'point', '']</t>
  </si>
  <si>
    <t>['jaringan', 'wilayah']</t>
  </si>
  <si>
    <t>['', 'promo', 'murah']</t>
  </si>
  <si>
    <t>['sinyal', 'simpati', 'dearah', 'susah', '']</t>
  </si>
  <si>
    <t>['beli', 'paket', 'udh']</t>
  </si>
  <si>
    <t>['masukan', 'telkomsel', 'sinyal', 'diperbagus', 'kdg', 'sinyal', 'sesuai', 'harga', 'mahal', 'beli', 'kuota', 'sinyal', 'jelek', 'maaf', 'mah', 'review', 'jujur', 'terima', 'kasih', '']</t>
  </si>
  <si>
    <t>['gmn', 'pulsa', 'kemarin', 'rb', 'lbh', 'trs', 'beli', 'paket', 'data', 'rb', 'balance', 'pulsanya', 'rb', 'lbh', 'lahhh', 'sisa', 'rb', 'lbh', 'trs', 'pulsa', 'rb', 'makan', 'gerandong', '']</t>
  </si>
  <si>
    <t>['kuota', 'internet', 'ceupeut', 'habis', 'harga', 'mahal', 'klu', 'turunin']</t>
  </si>
  <si>
    <t>['maaf', 'bintang', 'dipakai', 'sungguh', 'kecewa', 'internetan', 'pakai', 'telkom', 'harga', 'terbilang', 'mahal', 'gb', 'ribu', 'gb', 'dipake', 'kualitas', 'pantasnya', 'ribu', 'telkom', 'telkom', 'pantaskan', 'dirimu', 'layak', 'kecepatan', 'kestabilan', 'bandwith', 'sesuaikan', 'tarif', 'kemampuan', 'kualitas', 'layanan', 'parah', 'banget', 'sinyalnya', 'ngelek', 'mulu', 'semegah', 'tarifnya', '']</t>
  </si>
  <si>
    <t>['pakai', 'kartu', 'telkomsel', '']</t>
  </si>
  <si>
    <t>['jaringan', 'internet', 'lemah', '']</t>
  </si>
  <si>
    <t>['membantu', 'terima', 'kasih', 'sahabat', 'telkomsel']</t>
  </si>
  <si>
    <t>['knp', 'bukak']</t>
  </si>
  <si>
    <t>['kali', 'beli', 'paket', 'gangguan', 'tunggu', 'lgi', 'menit', 'nunggu', 'gangguan', 'trus', '']</t>
  </si>
  <si>
    <t>['halo', 'admin', 'telkomsel', 'update', 'perubahan', 'signifikan', 'diupdate', '']</t>
  </si>
  <si>
    <t>['mantaab', 'cepat', 'hebat']</t>
  </si>
  <si>
    <t>['sinyal', 'parah', 'udah', '']</t>
  </si>
  <si>
    <t>['bagus', 'semoga', 'depanya', 'promo', 'kuota', 'data']</t>
  </si>
  <si>
    <t>['sinyal', 'kuat', 'bagus']</t>
  </si>
  <si>
    <t>['telkomsel']</t>
  </si>
  <si>
    <t>['mudah', 'pahami', 'makasihh', 'tellkomsel']</t>
  </si>
  <si>
    <t>['telkomsel', 'hancur', 'gini', 'sinyalnya', 'hilang', 'mulu', 'pas', 'push', 'rank', 'sinyal', 'hilang', 'kesel', 'ganti', 'kartu']</t>
  </si>
  <si>
    <t>['aplikasinya', 'gampang', 'operasikan', 'membantu', 'informasi']</t>
  </si>
  <si>
    <t>['ribed', 'masuknya']</t>
  </si>
  <si>
    <t>['kecewa', 'tagihan', 'darurat', 'kuota']</t>
  </si>
  <si>
    <t>['update', 'daftar', 'paket', 'pindah', 'provider', 'gitu', '']</t>
  </si>
  <si>
    <t>['upgrade', 'terbaru', 'telkomse', 'jelek', 'loading', 'hapus', 'pasang', 'paket', 'paket', 'promo', 'jaringan', 'lancar', 'lelet']</t>
  </si>
  <si>
    <t>['udah', 'jaringan', 'ngeleg', 'paket', 'data', 'murah', 'berlaku', 'beli', 'pembelian', 'paket', 'berlaku', 'paket', 'konsisten', 'kecewa', 'telkomsel', 'banyakin', 'promo', 'taunya', 'harga', 'paket', 'untung', 'jaringan', 'lancar', 'paket', 'mahal', 'jaringan', 'ngeleg', 'parah', 'teknik', 'marketing', 'jaringan', 'ngeleg', 'beralih', 'otomatis', 'pemakaian', 'data', 'utamanya', 'jaringan', 'stabil', '']</t>
  </si>
  <si>
    <t>['mudah', 'akses', 'cepat']</t>
  </si>
  <si>
    <t>['mantab', 'check', 'dapet', 'koin', 'rupiah', 'semoga', 'sukses']</t>
  </si>
  <si>
    <t>['memiliki', 'kuota', 'pulsa', 'terpotong', 'login', 'aplikasi', 'tolong', 'tambahkan', 'fitur', 'mengunci', 'pulsa', 'terpakai', 'aplikasi', 'sebelah', 'tambahkan', 'bintangnya']</t>
  </si>
  <si>
    <t>['banyakin', 'promo', 'paketnya']</t>
  </si>
  <si>
    <t>['mudahan', 'membantu']</t>
  </si>
  <si>
    <t>['bagus', 'terpercaya']</t>
  </si>
  <si>
    <t>['beli', 'paket', 'nlp', 'ngk', '']</t>
  </si>
  <si>
    <t>['cepat', 'diakses', 'mudah']</t>
  </si>
  <si>
    <t>['mudah', 'dipahami']</t>
  </si>
  <si>
    <t>['telkomsel', 'hati']</t>
  </si>
  <si>
    <t>['suka', 'bagus']</t>
  </si>
  <si>
    <t>['bagus', 'suka']</t>
  </si>
  <si>
    <t>['bagus', 'cepat', 'paket', 'darurat', 'membantu']</t>
  </si>
  <si>
    <t>['kuota', 'video', 'max', 'pas', 'nonton', 'viu', 'kepotong', 'kuota', 'utama', 'sisa', 'kuota', 'video', 'max', 'dipake', 'nonton', 'komplen', 'customer', 'service', 'responnya', 'lelet', 'banget']</t>
  </si>
  <si>
    <t>['mahal', 'dimanakah', 'paket', 'combo', 'sakti', 'maaf', 'tolong', 'kembalikan', 'paketnya', '']</t>
  </si>
  <si>
    <t>['membantu', 'murah']</t>
  </si>
  <si>
    <t>['banyakin', 'diskon', 'wkwkw']</t>
  </si>
  <si>
    <t>['lemot', 'apk', '']</t>
  </si>
  <si>
    <t>['telkomsel', 'pelayanan', 'pelanggan', 'buruk', 'jaringan', 'lelet', 'kouta', 'harga', 'mahal', 'tempt', 'gwa', 'jaringan', 'bagus', 'lelet', 'ampun', 'kouta', 'internet']</t>
  </si>
  <si>
    <t>['promo', 'suka']</t>
  </si>
  <si>
    <t>['bagus', 'membantu', 'suka']</t>
  </si>
  <si>
    <t>['kecewa', 'banget', 'jaringan', 'buruk', 'combo', 'sakti', 'mahal', 'auto', 'beralih', 'indosat', 'bye', 'telkomsel', '']</t>
  </si>
  <si>
    <t>['susah', 'loginnya']</t>
  </si>
  <si>
    <t>['perubahan', 'bagus']</t>
  </si>
  <si>
    <t>['booting', 'aplikasi']</t>
  </si>
  <si>
    <t>['jaringan', 'telkomsel', 'buruk', 'bandingkan', 'lancar', 'nonton', 'youtube', 'ngegeme', 'mendownload', 'nonton', 'vidio', 'youtube', 'ngegeme', 'jaringannya', 'buruk', 'nggak', 'work', '']</t>
  </si>
  <si>
    <t>['jarang', 'trouble']</t>
  </si>
  <si>
    <t>['kecewa', 'telkomsel', 'pulsa', 'safe', 'paketan', 'habis', 'langsung', 'kepotong', 'pulsanya', '']</t>
  </si>
  <si>
    <t>['aplikasinya', 'error']</t>
  </si>
  <si>
    <t>['aneh', 'beli', 'omg', 'besoknya', 'beli', 'paket', 'ketengan', 'utama', 'pengen', 'download', 'file', 'pas', 'paket', 'ketengannya', 'abis', 'data', 'abis', 'bingung', 'paket', 'ketengan', 'utama', 'unlimited', 'yaa', 'data', 'habis', 'paket', 'ketengan', 'data', 'habis', '']</t>
  </si>
  <si>
    <t>['internet', 'lelet', 'sesuai', 'iklannya', '']</t>
  </si>
  <si>
    <t>['kecewa', 'udah', 'telkomsel', 'sinyal', 'perkembangan', 'kota', 'sinyal', 'akses', 'aplikasi', 'aman', 'giliran', 'turun', 'kek', 'ingus', 'ngelag', 'ampun', 'tolong', 'telkomsel', 'diperhatikan', 'sinyal', 'iya', 'beda', 'kayak', 'kartu', 'sebelah']</t>
  </si>
  <si>
    <t>['parah', 'beeuddd', 'lemot', 'paraaaaaahhhhhh', 'bli', 'vocer', 'mahal', 'lemot', 'buka', 'maps', 'jalan', 'rekomendasi', 'pokonnya', '']</t>
  </si>
  <si>
    <t>['jaringan', 'mantap']</t>
  </si>
  <si>
    <t>['kasih', 'promo', 'murah', 'min']</t>
  </si>
  <si>
    <t>['jaringanya', 'eror', 'sedih']</t>
  </si>
  <si>
    <t>['rekomendasi', 'maen', 'game']</t>
  </si>
  <si>
    <t>['memiliki', 'kuota', 'internet', 'berlaku', 'pkl', 'kuota', 'maxstream', 'berlaku', 'pkl', 'kuota', 'internet', 'berlaku', 'pkl', 'dpt', 'cek', 'kuota', 'telkomsel', 'app', 'klik', 'tsel', 'mytsel', 'dpt', 'sms', 'sepeti', 'mksdnya', 'coba', 'quota', 'ketiga', 'quota', 'telkomsel', 'neh', '']</t>
  </si>
  <si>
    <t>['layanan', 'buruk', 'beli', 'kuota', 'masuk']</t>
  </si>
  <si>
    <t>['paket', 'mahal', 'mencekik', 'jaringan', 'jelek', 'lelet', 'sesuai', 'paket', 'harga', 'jaringan', 'terperosok', 'kayak', 'tinggal', 'hutan']</t>
  </si>
  <si>
    <t>['keluarga', 'hadiah', 'telkomsel', 'semoga', 'beruntung', 'menutupi', 'kekurangan', 'mohon', 'bebankan', 'hadiah', 'kebutuhan', 'penuhi', 'keterbatasan', 'fisik', 'semangat', 'berjuang', 'hidup', 'semoga', 'allah', 'swt', 'meridhoi', 'hadiah', 'kesempatan', 'semoga', 'goresan', 'pertimbangan', 'telkomsel', 'aamiin', 'allah', 'assalamu', 'alaikum', '']</t>
  </si>
  <si>
    <t>['sinyal', 'buruk', 'boro', 'masuk', 'tlong', 'merata', 'sinyal', 'telkomesl', 'pdahal', 'area', 'kota', 'palembang']</t>
  </si>
  <si>
    <t>['bagus', 'sinyal']</t>
  </si>
  <si>
    <t>['tingkatkan', 'sinyal', 'daerah', 'terpencil']</t>
  </si>
  <si>
    <t>['membantu', 'mudah', 'difahami', 'tpi', 'suka', 'lemot', 'tolong', 'dibikin', 'ringan', 'buka', 'aplikasi', 'loadingnya']</t>
  </si>
  <si>
    <t>['keren', 'banget', 'pokonya', 'suka', 'pulsa', 'ilang', 'kuotanya', 'tolong', 'perbaiki', 'aplikasinya', 'ngambil', 'pulsa', 'orang', 'segitu', 'one', 'banget', 'pokonya', 'tooppp', 'ngambil', 'pulsa', 'orang', 'oke', '']</t>
  </si>
  <si>
    <t>['chat', 'veronika', 'berguna', 'keluhan']</t>
  </si>
  <si>
    <t>['berubah', 'paket', 'combo', 'kemarin', 'beli', 'paket', 'combo', 'gb', 'rb', 'pas', 'update', 'berubah', 'paket', 'combonya', 'gb', 'rb', 'gila', 'telkomsel', 'jaringan', 'ampun', 'dahh', '']</t>
  </si>
  <si>
    <t>['jaringan', 'buruk', 'harga', 'internetnya', 'mahal', 'promosinya', 'kualitasnya', 'menurun', 'buruk', 'mohon', 'diperbaiki', 'kasih', 'promo', 'melulu', 'harga', 'paketannya', '']</t>
  </si>
  <si>
    <t>['emosi', 'telkomsel', 'enak', 'main', 'game', 'sinyal', 'hilang', 'tolong', 'perbaiki', 'biyarin', '']</t>
  </si>
  <si>
    <t>['sinyal', 'telkomsel', 'menang', 'mahal']</t>
  </si>
  <si>
    <t>['signal', 'bagus']</t>
  </si>
  <si>
    <t>['bermanfaat', '']</t>
  </si>
  <si>
    <t>['waaaaaaaaaaaaaaaaaaaaaa', 'bagus']</t>
  </si>
  <si>
    <t>['jelek', 'kagak', 'bagus']</t>
  </si>
  <si>
    <t>['tolong', 'dikurangi', 'harga', 'paket', 'data', 'bosku']</t>
  </si>
  <si>
    <t>['simpati', 'enak', 'pelanggan', 'beli', 'paket', 'mahal', 'nguras', 'kantong', 'pindah', '']</t>
  </si>
  <si>
    <t>['mudah', 'cepat', 'mkasih', 'telkomsel']</t>
  </si>
  <si>
    <t>['kelalaian', 'sistem', 'lambat', 'isi', 'pulsa', 'langsung', 'daftar', 'paket', 'kesedot', 'pulsanya', 'taunya', 'pulsa', 'diisi', 'kesedot', 'sia', 'sia', 'daftar', 'paket', 'sampe', 'kali', 'berulang', 'ulang', 'proses', 'namanya', 'mengerikan', 'menurutku', '']</t>
  </si>
  <si>
    <t>['sssssangat', 'bagus']</t>
  </si>
  <si>
    <t>['apk', 'bagus', 'terima', 'kasih']</t>
  </si>
  <si>
    <t>['lelet', '']</t>
  </si>
  <si>
    <t>['download', 'google', 'pixel', '']</t>
  </si>
  <si>
    <t>['telkomsel', 'beres', 'beli', 'kuota', 'gb', 'semingguan', 'udah', 'abis', 'parah', 'beres', 'telkomsel', 'udah', 'bbrp', 'kali', 'kapok', 'deh', 'kuota', 'telkomsel', '']</t>
  </si>
  <si>
    <t>['udah', 'mahal', 'koneksi', 'lelet', 'beg', 'udah', 'jam', 'malem', 'ampas', 'mikir', 'bayar', 'kasih', 'layanan', 'selayaknya', 'pembayaran', 'mahal', 'gini', 'mending', 'beli', 'tlol', 'maju']</t>
  </si>
  <si>
    <t>['wort', 'bnget', 'aplikasinya', 'mantapp']</t>
  </si>
  <si>
    <t>['paket', 'data', 'mahal', 'suka', 'nyedot', 'pulsa', 'paket', 'habis', 'data', 'mati', 'pulsa', 'sedot', 'buruk', 'buruk', 'kasi', 'bintang', 'nol', 'sayang', 'bintang', 'nol', '']</t>
  </si>
  <si>
    <t>['jaringan', 'telkomsel', 'udah', 'kaya', 'signyal', 'kura', 'kura', 'mending', 'signyal', 'udah', 'kaya', 'kereta', 'mono', 'tell']</t>
  </si>
  <si>
    <t>['aplikasinya', 'lemot']</t>
  </si>
  <si>
    <t>['semoga', 'jaringan', 'telkomsel', 'namanya', 'pembagian', 'jaringan', 'ratakan', 'jaringannya', 'lokasi', 'dimana', 'penggunaan', 'data', 'jaringan', 'model', 'pembagiannya', 'harapkan', 'ratakan', 'pelosok', 'pelosok', 'distabilkan', 'jaringannya', 'lelet', 'terganggu', 'pemminat', 'kartu', 'telkomsel', 'aktivitasnya', '']</t>
  </si>
  <si>
    <t>['bintang', 'menang', 'hadiah', 'undian', 'full', 'bintang', '']</t>
  </si>
  <si>
    <t>['sinyal', 'busuk', 'kali']</t>
  </si>
  <si>
    <t>['puas', 'membeli', 'paket', 'gb', '']</t>
  </si>
  <si>
    <t>['cuman', 'dimahalin', 'paketnya', 'periksa', 'sinyal', 'dipelosok', 'pelosok', 'susah', 'sinyal', 'terusan', 'kayak', 'gini', 'sinyal', 'hilang', 'hilang', 'timbul', 'tolong', 'dirantau', 'susah', 'ngehubungin', 'orang', 'dikampung', 'orang', 'tua', 'pacar', 'susah', 'dihubungi', 'kayak', 'gini', '']</t>
  </si>
  <si>
    <t>['memuasakan']</t>
  </si>
  <si>
    <t>['woii', 'adain', 'fitur', 'lock', 'pulsa', 'pulsa', 'kesedot']</t>
  </si>
  <si>
    <t>['mencoba']</t>
  </si>
  <si>
    <t>['males', 'beli', 'kuota', 'telkomsel', 'nge', 'lag', 'bangett', 'jaringan']</t>
  </si>
  <si>
    <t>['banyakin', 'promo', '']</t>
  </si>
  <si>
    <t>['isi', 'pulsa', 'udah', 'terkuras', 'tolong', 'perbaiki', 'kuota', 'hariannya', 'mahak', 'banget', '']</t>
  </si>
  <si>
    <t>['bagus', 'kmdahan', 'beli', 'paket']</t>
  </si>
  <si>
    <t>['pulsa', 'beli', 'beli', 'paket', 'refresh', 'sampe', 'aplikasi', 'saldo', 'pas', 'beli', 'saldo', 'mencukupi', 'jam', 'pulsa', 'berkurang', 'dilakuin', 'ttep', 'bgitu', 'gokil']</t>
  </si>
  <si>
    <t>['coba', 'lumayan']</t>
  </si>
  <si>
    <t>['', 'banget', 'telkomsel', 'bertabur', 'hadiah', 'menukarkan', 'poin', 'semoga', 'kali', 'keberuntungan']</t>
  </si>
  <si>
    <t>['gampang', 'cepat']</t>
  </si>
  <si>
    <t>['lumayan', 'menyenangkan']</t>
  </si>
  <si>
    <t>['layak', 'beli', 'kuota', 'mahal', 'mahal', 'muter', 'muter', 'doank', 'kali', 'berkali', 'kali', 'tutup', 'kasih', 'layanan', 'pas', 'menklaim', 'jaringan', 'telekomunikasi', 'terbaik']</t>
  </si>
  <si>
    <t>['operator', 'top', '']</t>
  </si>
  <si>
    <t>['lancar', 'aman', '']</t>
  </si>
  <si>
    <t>['paket', 'berguna', 'paket', 'bundling', '']</t>
  </si>
  <si>
    <t>['gabis', 'apake', 'emoney', 'link', 'udah', 'bener', 'kemaren', 'emoney', 'skrg', 'dikurangin', '']</t>
  </si>
  <si>
    <t>['logis', 'jing', 'masak', 'iya', 'beli', 'paket', 'combo', 'sakti', 'unlimited', 'gb', 'hilang', 'menit', 'trus', 'tinggal', 'gb', 'paket', 'multimedia', 'nyesel', 'beli', 'paket', 'lgi', '']</t>
  </si>
  <si>
    <t>['cepat']</t>
  </si>
  <si>
    <t>['smgh', 'muda', 'gampang']</t>
  </si>
  <si>
    <t>['sinyal', 'ancur', 'kawan']</t>
  </si>
  <si>
    <t>['ditunggu', 'promo', 'kuota', 'hematnya', '']</t>
  </si>
  <si>
    <t>['tolong', 'kuota', 'gb']</t>
  </si>
  <si>
    <t>['apalah', 'telkomsel', 'trus', 'babi']</t>
  </si>
  <si>
    <t>['internet', 'buruk', 'ganti', 'guys', 'kartu', 'telkomsel', 'buruk', 'jaringan', 'paketan', 'mahak']</t>
  </si>
  <si>
    <t>['bintang', 'karna', 'sanangt', 'bagus']</t>
  </si>
  <si>
    <t>['paket', 'mahal', 'sinyal', 'buruk', 'tolonglah', 'telkomsel', 'sinyal', 'buruk', 'mulu']</t>
  </si>
  <si>
    <t>['jaringan', 'jelek', 'tinggal', 'kota', 'main', 'game', 'terganggu', 'kartu', 'kartu', 'bagus', 'telkomsel', 'blog', '']</t>
  </si>
  <si>
    <t>['kak', 'gimana', 'kode', 'otp', 'masuk', 'gmail']</t>
  </si>
  <si>
    <t>['kartu', 'perdana', 'skrg', 'gitu', 'trmasuklah', 'tsel', 'memotong', 'pulsa', 'terpotong', 'kecewa', 'isi', 'pulsa', 'blm', 'karna', 'kuota', 'ujung', 'pulsa', 'uda', 'lenyap', 'ngak', 'kmna', '']</t>
  </si>
  <si>
    <t>['lumayan', 'bagus', 'akurat']</t>
  </si>
  <si>
    <t>['blum', 'beli', 'kartu', 'telkomsel', 'mending', 'ngak', 'usa', 'beli', 'kartu', 'nyesel', 'lelet', 'ampun', 'mending', 'pinda', 'kartu', 'lainya']</t>
  </si>
  <si>
    <t>['paketnya', 'berubah', 'ubah', 'terusssss', 'konsisten']</t>
  </si>
  <si>
    <t>['semoga', 'terbantu']</t>
  </si>
  <si>
    <t>['knapa', 'potongan', 'pulsa']</t>
  </si>
  <si>
    <t>['membantu', 'hemat']</t>
  </si>
  <si>
    <t>['bagus', 'kartu', 'telkomsel', 'sinyal', 'parah', 'buka', 'game', 'mlbb', 'pancing', 'wifi']</t>
  </si>
  <si>
    <t>['bagus', 'promo', 'menarik', 'lainya']</t>
  </si>
  <si>
    <t>['pke', 'telkomsel', 'sinyal', 'gua', 'jlek', 'mnta', 'ampun', 'pdhal', 'bkn', 'daerah', 'gunung', 'gunung', 'ktnya', 'jringan', 'terluas', 'tipu']</t>
  </si>
  <si>
    <t>['telkomsel', 'jaringannya', 'lancar', 'jaya', 'kaya', 'gini', 'ganti', 'kartu', 'please', 'perbaiki', 'jaringannya', 'susah', 'internetan', '']</t>
  </si>
  <si>
    <t>['terima', 'kasih', 'telkomsel', '']</t>
  </si>
  <si>
    <t>['aplikasi', 'main', 'game', 'enak', 'pas', 'musuh', 'ngelag', 'pas', 'belik', 'paket', 'gini', 'semenjak', 'pakek', 'aplikasi', 'sinyal', 'sya']</t>
  </si>
  <si>
    <t>['aplikasi', 'bagus', 'memudahkan', 'bertransaksi', 'paket', 'kasih', 'murah', 'hehee']</t>
  </si>
  <si>
    <t>['parah', 'telkomsel', '']</t>
  </si>
  <si>
    <t>['telkomsel', 'terbaik', '']</t>
  </si>
  <si>
    <t>['lumayan', 'bagus', 'apk']</t>
  </si>
  <si>
    <t>['moga', 'hadiahnya', '']</t>
  </si>
  <si>
    <t>['penawaran', 'murah', 'murah']</t>
  </si>
  <si>
    <t>['bagus', 'murah']</t>
  </si>
  <si>
    <t>['telkomsel', 'cacat', 'giliran', 'beli', 'paket', 'kuota', 'utama', 'sinyalnya', 'ngelag', 'beh', 'ampun', 'cok', 'nge', 'game', 'pingnya', 'ayolah', 'telkomsel', 'tingkatkan', 'kekuatan', 'jaringan', 'promosi', 'mulu', 'bangke', 'perbaiki', 'jaringan', 'kasih', 'bintang', 'deh']</t>
  </si>
  <si>
    <t>['down', 'servernya', 'area', 'tanggungharjo', 'awen', 'desa', 'brabo', 'padang', 'jual', 'mahal', 'mengecewakan', 'situ', 'operator', 'kaum', 'betina', 'benahi', 'tuu', 'terserah']</t>
  </si>
  <si>
    <t>['klw', 'murah', 'harga', 'paket', 'teleponnya']</t>
  </si>
  <si>
    <t>['tanggal', 'ktober', 'sinyal', 'terparah', 'jam', '']</t>
  </si>
  <si>
    <t>['payahhhhhhhhhhhhhhhh', 'paket', 'ketengan', 'youtube', 'notif', 'masuk', 'kuota', 'nol', 'rugi', 'bandar', 'dikirim', 'hadiah', 'paket', 'berulangkali']</t>
  </si>
  <si>
    <t>['paketnya', 'internetnya', 'harga', 'dimurahin']</t>
  </si>
  <si>
    <t>['pergaulan', 'teman']</t>
  </si>
  <si>
    <t>['main', 'push', 'rank', 'sinyal', 'down', 'anjay', 'tolong', 'perbaiki', 'jaringan']</t>
  </si>
  <si>
    <t>['berkat', 'aplikasi', 'transaksi', 'mudah']</t>
  </si>
  <si>
    <t>['telkomsel', 'mantap', 'jaringan', '']</t>
  </si>
  <si>
    <t>['malu', 'maluin', 'telkomsel', 'lemot', 'parah', 'temen', 'gue', 'sinyal', 'pakai', 'kartu', 'gue', 'bandingin', 'kecepatan', 'cepet', 'malu', 'jaringan', 'diatas', 'tpi', 'kecepatan', 'mending', 'bubar', 'telkomsel', 'pelayan', 'kyak', 'taik', '']</t>
  </si>
  <si>
    <t>['paket', 'telkomsel', 'mahal', 'kasikan', 'opsi', 'harga', 'masyarakat', 'menengah', 'promo', 'paketnya']</t>
  </si>
  <si>
    <t>['aplikasi', 'lumayan', 'bagus']</t>
  </si>
  <si>
    <t>['jaringan', 'kadang', 'kadang', 'bagus', 'kadang', 'kadang', 'jelek']</t>
  </si>
  <si>
    <t>['dasar', 'pencuri', 'orang', 'isi', 'pulsa', 'rb', 'menit', 'tinggal', 'rb', 'langsung', 'lahap', 'telkomsel', 'payah', 'banget', 'aplikasinya', '']</t>
  </si>
  <si>
    <t>['delevoper', 'mytelkomsel', 'main', 'game', 'contoh', 'roblox', 'masuk', 'diperbaiki', '']</t>
  </si>
  <si>
    <t>['bintang', 'telkomsel', 'riau', 'lemot']</t>
  </si>
  <si>
    <t>['membantu', 'baguss']</t>
  </si>
  <si>
    <t>['aplikasi', 'sangay', 'bagus']</t>
  </si>
  <si>
    <t>['beli', 'data', 'pulsa', 'mudah', '']</t>
  </si>
  <si>
    <t>['make', 'paketan', 'kartu', 'telkomsel', 'mending', 'dipikir', 'kecewa', 'nyesel', 'jaringan', 'buruk', 'suka', 'ilang', 'ilangan', 'suka', 'nyedot', 'pulsa', 'kmana', 'ilangnya', 'okeh', 'bngsttttt', '']</t>
  </si>
  <si>
    <t>['jaringannya', 'jelek']</t>
  </si>
  <si>
    <t>['puas', 'telkomsel', 'dimana', 'beraktifitas', 'jaringan', 'terbaik', '']</t>
  </si>
  <si>
    <t>['paket', 'mahal']</t>
  </si>
  <si>
    <t>['proses', 'bonus', 'disamakan', 'kartu', 'modem', 'orbit', 'pass']</t>
  </si>
  <si>
    <t>['cewa', 'telkomsel', 'ahir', 'ahir', 'sinyal', 'kayak', 'taiikkk', '']</t>
  </si>
  <si>
    <t>['jaringan', 'kuat', 'hutan', 'kota', '']</t>
  </si>
  <si>
    <t>['iklannya', 'doang', 'menjangkau', 'pelosok', 'faktanya', 'dipelosok', 'susah', 'jaringan']</t>
  </si>
  <si>
    <t>['mrsa', 'rugi', 'stlah', 'beli', 'kuota', 'combo', 'sakti', 'hnya', 'gb', 'terpakai', 'sisa', 'gb', 'cmn', 'bsa', 'sosial', 'media', 'daong', 'buka', 'crome', 'lemot', 'mls', 'beli', 'tolong', 'costumer', 'kecewa', '']</t>
  </si>
  <si>
    <t>['internet', 'lambat', 'isi', 'paket', 'isi', 'pulsa', 'beli', 'paket', 'berkurang', 'paket', 'tersisa', 'ratusan', 'internetnya', 'kedip', 'pulsa', 'darurat', 'bbrp', 'menit', 'teler', 'habis', '']</t>
  </si>
  <si>
    <t>['tolong', 'telkomsel', 'paket', 'datanya', 'habis', 'olotomatis', 'terhubung', 'internet', 'pulsanya', 'utuh', 'kepotong']</t>
  </si>
  <si>
    <t>['telkomsel', 'kususmya', 'simpati', 'sinyal', 'internetnya', 'jelek', 'stabil', 'kalah', 'propider', 'harganya', 'terjangkau']</t>
  </si>
  <si>
    <t>['memudahkan', 'pembelian']</t>
  </si>
  <si>
    <t>['apknya', 'bagus', 'bermanfaat']</t>
  </si>
  <si>
    <t>['pelayanan', 'customer', 'servis', 'dri', 'telkomsel', 'bayar', 'penuh', 'laporan', 'responya', 'penyikapannya', 'buruk', '']</t>
  </si>
  <si>
    <t>['kenyataanya', 'telkomsel', 'adlh', 'penjajah', 'negri', 'penjualannya', 'lazim', 'etis', 'bayangkan', 'beli', 'beras', 'kg', 'dimasak', 'nasi', 'paham', '']</t>
  </si>
  <si>
    <t>['menunya', 'mudah', 'update']</t>
  </si>
  <si>
    <t>['tukar', 'point', '']</t>
  </si>
  <si>
    <t>['kuoata', 'mahal', 'jaringan', 'jelek', 'telkom']</t>
  </si>
  <si>
    <t>['app', 'membantu']</t>
  </si>
  <si>
    <t>['tingkatkan', 'connection', 'stabil', 'cepat', 'all', 'area', 'area', 'susah', 'signal', '']</t>
  </si>
  <si>
    <t>['kuota', 'mahal', '']</t>
  </si>
  <si>
    <t>['mohon', 'jaringan', 'dioptimalkan', 'puas', 'koneksi', 'kalbar', 'bengkayang', 'suka', 'maju']</t>
  </si>
  <si>
    <t>['menengah', '']</t>
  </si>
  <si>
    <t>['update', 'andro', 'tetiba', 'app', 'hilang', 'instal', 'ulang', '']</t>
  </si>
  <si>
    <t>['apk', 'baguss', 'bnget', 'puas', 'pokok']</t>
  </si>
  <si>
    <t>['semoga', 'hadiah']</t>
  </si>
  <si>
    <t>['bagus', 'mudah']</t>
  </si>
  <si>
    <t>['signal', 'cepat']</t>
  </si>
  <si>
    <t>['lelet', 'gila', 'mak', 'diupdate', 'dibuka', 'aplikasi', 'buruk', 'aplilasiny', '']</t>
  </si>
  <si>
    <t>['gimana', 'telkomsel', 'beli', 'paket', 'games', 'nggak', 'nge', 'game', 'kecewa', 'dahhh', 'udah', 'nggak', 'uang', 'beli', 'paket', 'nyesel', 'beli', 'telkomsel']</t>
  </si>
  <si>
    <t>['susah', 'download']</t>
  </si>
  <si>
    <t>['aplikasi', '']</t>
  </si>
  <si>
    <t>['sinyal', 'jelek', 'perbaiki', '']</t>
  </si>
  <si>
    <t>['', 'merespon', 'mail', 'kirim']</t>
  </si>
  <si>
    <t>['mahal', 'jaringan', 'lemot', 'game', 'ngedadak', 'leg', 'parah', '']</t>
  </si>
  <si>
    <t>['membantu', 'bagus']</t>
  </si>
  <si>
    <t>['bagus', 'memudahkan', 'bertransaksi', 'saran', 'dibtambah', 'item', 'beli', 'token', 'listrik', 'pakai', 'pulsa', '']</t>
  </si>
  <si>
    <t>['telkomsel', 'provider', 'mantul']</t>
  </si>
  <si>
    <t>['tlg', 'telkomsel', 'perbaiki', 'jaringannya', 'super', 'lelet', 'klau', 'msih', 'dipakai', 'masyarakat', 'bru', 'ngisi', 'paket', 'mcm', 'paket', '']</t>
  </si>
  <si>
    <t>['kali', 'gue', 'kecewa', 'telkomsel', 'berhari', 'aplikasi', 'error', 'gabisa', 'dibuka', 'gue', 'gatau', 'sisa', 'kuota', 'udh', 'kredit', 'jengkel', 'netflix', 'diblokir', '']</t>
  </si>
  <si>
    <t>['semoga', 'kedepannya', 'smakin', 'bagus', 'menarik', 'makasi', 'mytelkomsel', 'bnyak', 'membantu', 'suka', 'bnget', '']</t>
  </si>
  <si>
    <t>['jaringan', 'lelet', 'daerah', 'denpasar', 'tolong', 'perbaiki', 'jaringan', 'buka', 'lelet', 'kali', 'kecewa', 'telkomsel']</t>
  </si>
  <si>
    <t>['semoga']</t>
  </si>
  <si>
    <t>['memudahkan', 'transaksi', 'maju', 'trs', 'telkomsel']</t>
  </si>
  <si>
    <t>['udah', 'telkomsel', 'emang', 'jaringan', 'bagus', 'paket', 'internet', 'mahal', 'berhenti', 'member', 'telkomsel', 'gini']</t>
  </si>
  <si>
    <t>['bagus', 'pemakai']</t>
  </si>
  <si>
    <t>['pulsa', 'buka', 'aplikasi', 'ilang', 'pulsa', 'kesedot', 'perak', 'buka', 'aplikasi', 'jancuuuuukkk']</t>
  </si>
  <si>
    <t>['semoga', 'aflikasi', 'membantu']</t>
  </si>
  <si>
    <t>['aplikasi', 'ter', 'bodoh', 'indonesia', 'masuk', 'aplikasi', 'susah', 'ampun', 'bolak', 'ngirim', 'link']</t>
  </si>
  <si>
    <t>['anjjj', 'enak', 'nge', 'game', 'fushrank', 'muncul', 'periksa', 'koneksi', 'jaringan', 'mati', 'konyol', 'taiii', 'internet', 'mahal', 'jaringan', 'murahan', 'jcok']</t>
  </si>
  <si>
    <t>['hay', 'admin', 'telkomsel', 'paket', 'combo', 'sakit', 'berubah', 'gb', 'gitu', 'paket', 'sampe', 'bln', 'aduh', 'mimin']</t>
  </si>
  <si>
    <t>['sinyalnya', 'ksini', 'buruk', '']</t>
  </si>
  <si>
    <t>['reward', 'kasih', 'bintang', 'wkwkwk']</t>
  </si>
  <si>
    <t>['mohon', 'harga', 'paket', 'internet', 'reguler', 'murah', 'komentar', 'ulasan', 'tgl', 'oktober', 'masuk', 'aplikasi', 'mytelkomsel', 'terhenti', 'menerus', 'dicoba', 'berkali', 'kali', 'uninstall', 'install', 'ulang', 'masuk', 'capek', 'deh', 'lihat', 'kondisi', 'pulsa', 'paket', 'beli', 'coba', 'cek', 'via', 'tolak', 'sakit', 'hati', 'padang', 'pakai', 'telkomsel', '']</t>
  </si>
  <si>
    <t>['top', 'pokoknya']</t>
  </si>
  <si>
    <t>['pulsa', 'berkurang', 'sim', 'kartu', 'tri', 'sim', 'telkomsel', 'pulsa', 'berkurang', 'omg', 'salah', 'paketnya', 'mahal']</t>
  </si>
  <si>
    <t>['efektif', 'bertransaksi', 'via', 'tel', 'komsel']</t>
  </si>
  <si>
    <t>['tolong', 'promo', 'paket', 'internet', 'murah', 'mahal']</t>
  </si>
  <si>
    <t>['senang', 'suka', 'kartu', 'telkomsel', 'salam', 'hati', 'bahhar', 'rhuddin', 'terimakasi', '']</t>
  </si>
  <si>
    <t>['jaringannya', 'lemot', 'loading', 'aplikasi', 'eror']</t>
  </si>
  <si>
    <t>['paketnya', 'murahin', 'gan', 'nnti', 'kasih', 'bintang', 'tuju']</t>
  </si>
  <si>
    <t>['kuota', 'mahal', 'jaringan', 'lemot', 'ngentod', 'game', 'lancar', '']</t>
  </si>
  <si>
    <t>['jaringan']</t>
  </si>
  <si>
    <t>['membantu', 'suukkkaaa', 'aplikasi', '']</t>
  </si>
  <si>
    <t>['kesini', 'jelek', 'sinyalnya', 'harga', 'kuota', 'kesini', 'mahal', 'harga', 'sesuai', 'daerahnha', 'pendapatan', 'kota', 'kampung', 'beda', 'beli', 'cilok', 'kota', 'serebu', 'cuman', 'segede', 'kelereng', 'kampung', 'rb', 'udapet', 'udah', 'gitu', 'segede', 'jempol', 'orang', 'dewasa', 'please', 'mohon', 'tanggapi', '']</t>
  </si>
  <si>
    <t>['beli', 'paket', 'combo', 'sakti', 'unlimited', 'gagal', 'mohon', 'pencerahan', '']</t>
  </si>
  <si>
    <t>['login', 'susah', 'parah', 'ulang', 'kli', 'bru']</t>
  </si>
  <si>
    <t>['bagus', 'mantap']</t>
  </si>
  <si>
    <t>['kartu', 'udah', 'upgrade', 'kuota']</t>
  </si>
  <si>
    <t>['mahal', 'paket', 'internet', 'tolong', 'murah', 'sdkit', 'beda', 'ama', 'kartu', 'telkomsel', 'jdi', 'kasih', 'bintang', '']</t>
  </si>
  <si>
    <t>['kasih', 'bintang', 'tolong', 'perbaiki', 'secepatnya', 'koneksinya', 'maen', 'game', 'sinyal', 'stabil', 'tolong', 'perbaiki', 'pengguna', 'kecewa', 'terimakasih']</t>
  </si>
  <si>
    <t>['mudah', 'penggunaan']</t>
  </si>
  <si>
    <t>['dear', 'telkomsel', 'tolonglah', 'perhatikan', 'kualitas', 'signalnya', 'pemakaian', 'kemang', 'membeli', 'kuota', 'uang', 'hasil', 'kerja', 'keras', 'hasil', 'korupsi', 'jujur', 'harga', 'kuotamu', 'mahal', 'sebanding', 'kualitas', 'kau', '']</t>
  </si>
  <si>
    <t>['jaringan', 'telkomsel', 'jelek']</t>
  </si>
  <si>
    <t>['mantap', 'tambahkan', 'bonus', 'fitur', 'gratis', 'kuota']</t>
  </si>
  <si>
    <t>['jaringan', 'kontoll']</t>
  </si>
  <si>
    <t>['suka', 'telkomsel']</t>
  </si>
  <si>
    <t>['telkomsel', 'mahal', 'jaringan', 'buruk', '']</t>
  </si>
  <si>
    <t>['buka', 'aza', 'uninstal', 'instal', 'balek', 'parah', 'aza', 'app']</t>
  </si>
  <si>
    <t>['sinyal', 'mengecewakan', 'telkomsel', 'mengecewakan', '']</t>
  </si>
  <si>
    <t>['pulsa', 'hilang', 'gimana', 'sistemnya', 'wahhh', 'parah', 'telkomsel', '']</t>
  </si>
  <si>
    <t>['bagus', 'membatu']</t>
  </si>
  <si>
    <t>['berguna']</t>
  </si>
  <si>
    <t>['klau', 'kalbar', 'susah', 'masuk', 'daerah', 'etikong', 'sungai', 'kelik', 'perbatasan', 'malaysia', 'menangkap', 'einyal', 'telkom', 'antenenya', 'daerah', 'pakan', 'kalbar', 'pedalaman']</t>
  </si>
  <si>
    <t>['', 'telkomsel', 'smua', 'mudah']</t>
  </si>
  <si>
    <t>['good', 'jobs', 'sayang', 'lemot', 'smoga', 'kedepannya', '']</t>
  </si>
  <si>
    <t>['sumpah', 'pingin', 'gua', 'datangin', 'perusahaan', 'langsung', 'gua', 'protes', 'ngelek', 'sinyal', 'mati', 'babi', 'pas', 'main', 'rank', 'sinyal', 'hilang', 'gitu', 'mending', 'ditutup', 'perusahaan']</t>
  </si>
  <si>
    <t>['provider', 'paket', 'mahal', 'jaringan', 'lelet', 'kayak', 'eek']</t>
  </si>
  <si>
    <t>['bismillah', 'semoga', 'brio', '']</t>
  </si>
  <si>
    <t>['bagus', 'pengguna', '']</t>
  </si>
  <si>
    <t>['jaringan', 'lancar', 'promo', 'kuota', 'unlimited']</t>
  </si>
  <si>
    <t>['sumpah', 'sinyal', 'jelek', 'bngt', 'bagusan', 'tri', 'tutor', 'sinyal', 'stabil', 'jelek', 'bngt', 'sinyal', 'najisssss', 'hujan', 'dikit', 'sinyal', 'hilang', 'harga', 'mahal', 'banget', '']</t>
  </si>
  <si>
    <t>['mahal', 'paketnya']</t>
  </si>
  <si>
    <t>['jaringan', 'lelet', 'knp', '']</t>
  </si>
  <si>
    <t>['jaringan', 'buruk', 'kaya', 'peningkatannya', 'daerah', 'kab', 'pulang', 'pisau', 'lost', 'bar', 'doang', 'turun', 'main', 'game', 'browsing', 'apapun', 'nyaman', 'pasang', 'wifi', 'beli', 'paketan', 'combo', 'diatas', 'cuman', 'gangguan', 'jaringan', 'bayar', 'perbulan', 'peningkatan', '']</t>
  </si>
  <si>
    <t>['berpengalaman']</t>
  </si>
  <si>
    <t>['langganan', 'bertahun', 'dapet', 'promo', 'internet', 'murah', 'aplikasi', 'kasih', 'mahal', '']</t>
  </si>
  <si>
    <t>['smg', 'telkomsel', 'lancar', 'terkemuka', 'dunia', 'maya', 'melayani', 'publik']</t>
  </si>
  <si>
    <t>['', 'dipake', 'pulsa', 'kepotong', 'rb', 'eror', 'data', 'seluler', 'otomatis', 'pindah', 'telkomsel', 'bener', 'ptg', 'pulsa', 'mending', 'dipake', 'kagak', 'pnh', 'telkomsel', 'data', 'seluler', '']</t>
  </si>
  <si>
    <t>['jaringan', 'internet', 'terbaik', '']</t>
  </si>
  <si>
    <t>['kasih', 'bintang', 'dikit', 'banget', 'pilihan', 'kuotanya', 'udah', 'mahal', 'enakan', 'indosat']</t>
  </si>
  <si>
    <t>['membantu', 'bertransaksi', 'mudah', 'penggunanya']</t>
  </si>
  <si>
    <t>['jaringannya', 'cacat', 'telkomsel', '']</t>
  </si>
  <si>
    <t>['', 'like', 'kartu', 'bagus', 'plosok', 'jaringan', 'ngak', 'lelet', 'thanks', 'telkomel', '']</t>
  </si>
  <si>
    <t>['harga', 'promo', 'paket', 'internetnya', 'berubah', 'mahal', '']</t>
  </si>
  <si>
    <t>['susah', 'masuknya', 'udh', 'brapa', 'kali', 'klik', 'tautan', 'tautan', 'males', 'pakenya', 'skali']</t>
  </si>
  <si>
    <t>['bagus', 'cepat', '']</t>
  </si>
  <si>
    <t>['aplikasi', 'bagus', 'tpi', 'sayang', 'kuotanya', 'mahal', 'mahal']</t>
  </si>
  <si>
    <t>['menbantu', 'isi', 'paket']</t>
  </si>
  <si>
    <t>['maaf', 'telkomsel', 'pulsa', 'kepotong', 'tinggal', 'seminggu', 'kemana', 'nggk', '']</t>
  </si>
  <si>
    <t>['pakai', 'kartu', 'telkomsel', 'mending', 'ganti', 'karna', 'telkomsel', 'sinyal', 'buruk', 'gue', 'sumpahin', 'semoga', 'jaringan', 'telkomsel', 'hapus', 'dunia', '']</t>
  </si>
  <si>
    <t>['promo', 'hadiah', 'tulisan', 'doang', '']</t>
  </si>
  <si>
    <t>['bagus', 'mudah', 'beli', 'paket', 'internet', '']</t>
  </si>
  <si>
    <t>['mohon', 'tingkatkan', 'kualitas', 'jaringanya', 'lemot', 'musti', 'nyalakan', 'ulang', 'normal']</t>
  </si>
  <si>
    <t>['nyaman', 'telkomsel', 'trpaksa', 'telkomsel', 'karna', 'kmpung', 'telkomsel', 'lumayan', 'bagus', 'risih', 'denga', 'sms', 'menawarkan', 'pinjaman', 'toko', 'meubel', 'outlet', 'junk', 'food', 'penipuan', 'mengiming', 'ngi', 'hadiah', 'puluhan', 'juta', 'sms', 'org', 'kenal', 'ngasih', 'rek', 'bank', 'mohon', 'kenyamanan', 'telkomsel', 'udah', 'saia', 'menulis', 'lebar', 'gubris', 'smpe', 'skrang', 'sms', 'jls', '']</t>
  </si>
  <si>
    <t>['telkomsel', 'profesional', 'penyedot', 'pulsa', 'siluman', 'otomatis', 'kuota', 'data', 'internet', 'habis', 'amsyong', 'pulsa', 'langsung', 'habis', 'sekejab', 'sistem', 'block', 'ditelkomsel', 'sedot', 'pulsa', 'otomatis', 'kuota', 'habis', 'takjub', 'provider', 'kuota', 'internet', 'habis', 'internet', 'langsung', 'mati', 'pulsa', 'aman', 'tersedot', 'biarpun', 'data', 'nyala']</t>
  </si>
  <si>
    <t>['mantab', 'akurat', 'terpercaya', '']</t>
  </si>
  <si>
    <t>['muahal', 'tenggat', 'pendek', 'aplikasi', 'provider', 'kesadaran', 'nurunin', 'harga']</t>
  </si>
  <si>
    <t>['unlimited', 'game', 'tpi', 'main', 'pubg', 'ping', 'down', 'gateratur', 'asw', 'udah', 'beli', 'paket', 'msih', 'gastabil', 'emg', 'gajelas', 'internet', 'selamat', 'tinggal', 'pindah', 'indosat', 'gua', 'stabil', 'dripada']</t>
  </si>
  <si>
    <t>['terbukti', 'terbaik']</t>
  </si>
  <si>
    <t>['telkomsel', 'terbaik', 'jangkauan', 'luas', 'aman', 'menikmati', 'internet', 'lancar', 'telkomsel', 'terimakasih', 'telkomsel']</t>
  </si>
  <si>
    <t>['perbaharui', 'mlh', 'layanannya', 'buruk', 'blm', 'beli', 'paket', 'aplikasi', 'pdhl', 'bagus', 'pembaruan', 'mlh', '']</t>
  </si>
  <si>
    <t>['perfect', 'and', 'fast', 'lelet', 'beli', 'giga', 'perbulan', 'beli', 'giga', 'lelet', '']</t>
  </si>
  <si>
    <t>['untung', 'banget', 'apk', 'telkomsel', 'beli', 'paket', 'gb', 'cuman', 'rb']</t>
  </si>
  <si>
    <t>['aplikasi', 'bagus', '']</t>
  </si>
  <si>
    <t>['knp', 'update', 'android', 'google', 'pixel', 'telkomsel', 'hapus', 'sndiri', 'install', 'bsa', '']</t>
  </si>
  <si>
    <t>['gimana', 'telkomsel', 'halooooww', 'kuwalitas', 'jeleek', '']</t>
  </si>
  <si>
    <t>['pilihan', 'paket', 'promo', 'aplikasi', 'telkomsel']</t>
  </si>
  <si>
    <t>['simpel', 'mudah']</t>
  </si>
  <si>
    <t>['poko', 'bagus', 'bintang', 'bicara']</t>
  </si>
  <si>
    <t>['paketnya', 'murah', 'murah']</t>
  </si>
  <si>
    <t>['moga', 'telkomsel', 'mempermudah', 'urusan']</t>
  </si>
  <si>
    <t>['woy', 'benerin', 'sinyal', 'paketan', 'mahal', 'sinyal', 'kaya', 'eek', 'blokkk']</t>
  </si>
  <si>
    <t>['gas', 'full', 'telkomsel', '']</t>
  </si>
  <si>
    <t>['tolong', 'kampung', 'jaringannya', 'perkuat', 'kota', 'kota', 'jaringannya', 'bagus', 'kampung', 'kecewa', 'jaringan', 'telkomsel', 'lampu', 'padam', 'jaringan', 'hujan', 'jaringan', 'cuman', 'kota', 'kota', 'jaringannya', 'bagus', 'kampung', 'kampung', 'jaringan', 'bagus', 'telkomsel', 'pemancar', 'kampung', 'kampung', 'mendingan', 'pemancarnya', 'sja', 'kota', 'kecewa', 'jaringan', 'telkomsel']</t>
  </si>
  <si>
    <t>['beli', 'mahal', 'sinyal', 'burik', 'blog']</t>
  </si>
  <si>
    <t>['kmarin', 'beli', 'kuota', 'ketengan', 'udah', 'bayar', 'pesan', 'notifikasi', 'hohon', 'maaf', 'jaringan', 'sibuk', 'saldo', 'berkuraang', 'gmnaa', 'gini', 'rugi', 'curangin', 'mohon', 'perbaiki', 'yaaa', 'min']</t>
  </si>
  <si>
    <t>['kartu', 'sinyal', 'internet', 'bayak', 'kepakek', 'internet', 'mahat', 'pakek', 'kecewa', 'buang', 'telkomsel', 'kuota', 'sinyal', 'sampah']</t>
  </si>
  <si>
    <t>['jaringan', 'busukkk', 'wes', 'kui', 'tok', 'wae']</t>
  </si>
  <si>
    <t>['jaringan', 'jelek', 'jeleknya', 'kemaren', 'tgl', 'oktober', 'kubu', 'raya', 'kalimantan', 'barat', 'gangguan', 'kirain', 'sehari', 'doang', 'sampe', 'gangguan', 'kirain', 'sinyal', 'dirumah', 'dimana', 'manapun', 'udah', 'chat', 'customer', 'servis', 'via', 'twitter', 'kemajuan', 'pas', 'chat', 'customer', 'servis', 'suruh', 'cek', 'lokasi', 'telkomsel', 'aman', 'aman', 'tgl', 'jaringan', 'lancar', 'sinyal', 'dirumah', 'bergeser', '']</t>
  </si>
  <si>
    <t>['tolong', 'sinyal', 'perawang', 'riau', 'bangun', 'tower', 'sinyal', 'sinyal', 'susah', 'banget', 'kalah', 'kartu', 'sebelah']</t>
  </si>
  <si>
    <t>['tolong', 'diperbaiki', 'jaringan', 'stabil', 'jaringan', 'telkomsel', 'cepat', 'sayang', 'stabil', 'pingnya', 'mohon', 'diperbaiki']</t>
  </si>
  <si>
    <t>['okey', 'suka', 'aplikasi']</t>
  </si>
  <si>
    <t>['jaringan', 'telkomsel', 'jelek', 'harga', 'paket', 'mahal', 'sesuai', 'kualitas', 'mending', 'im', 'paket', 'murah', 'jaringan', 'berkualitas']</t>
  </si>
  <si>
    <t>['sangatt', 'membantuu']</t>
  </si>
  <si>
    <t>['jaringan', 'jelek', 'beli', 'paket', 'eror', 'mulu', 'udah', 'minggu', 'kayak', 'gitu', 'tolong', 'perbaiki', 'beli', 'paket', 'situ']</t>
  </si>
  <si>
    <t>['tahap', 'uji', 'coba']</t>
  </si>
  <si>
    <t>['pulsa', '']</t>
  </si>
  <si>
    <t>['goods', 'banyakin', 'bonusan', 'lebihin', 'murahnya', '']</t>
  </si>
  <si>
    <t>['nomer', 'sya', 'blokir', 'tida', 'perbaiki', 'tida', 'pemberitahuan', 'hangus', 'gini', 'pengguna', 'telkom', 'berkurang', '']</t>
  </si>
  <si>
    <t>['mytelkomsel', 'perbarui', 'padahan', 'gua', 'perbarui', 'dibuka', 'baget']</t>
  </si>
  <si>
    <t>['bintang', 'telkomsel', 'leletnya', 'ampun', 'udah', 'gitu', 'mahaaaal', 'lancar', 'murmer', 'pelanggan', 'telkomsel', 'udah', 'thn', 'ngga', 'ganti', 'nomor', 'kecewa', '']</t>
  </si>
  <si>
    <t>['exis', 'perbanyak', 'menara', 'jaringan', 'telkomsel', 'pelosok', 'desa', 'terpencil', 'indonesia', 'diwil', 'kec', 'dumoga', 'kab', 'bolmong', 'prov', 'sulut']</t>
  </si>
  <si>
    <t>['aplikasinya', 'engga', 'jelek', 'jaringan', 'telkomsel', 'jelek', 'udah', 'mahal', 'stabil']</t>
  </si>
  <si>
    <t>['mantap', 'gampang', 'beli', 'paket']</t>
  </si>
  <si>
    <t>['telkomsel', 'maha', 'sihl', 'sesuai', 'kemampuan', 'sinyal', 'fitur', 'ditawarkan', '']</t>
  </si>
  <si>
    <t>['paket', 'datanya', 'mahal', 'persyaratan', 'mundur']</t>
  </si>
  <si>
    <t>['heran', 'aplikasi', 'setting', 'notifikasinya', 'udah', 'dimatiin', 'pas', 'masuk', 'gunanya', 'fungsi', 'off', '']</t>
  </si>
  <si>
    <t>['wow', 'senang', 'medapat', 'paket', 'har', 'gaya', 'ter', 'jangkau']</t>
  </si>
  <si>
    <t>['aplikasi', 'membantu', 'kenyamanan', 'akses', 'informasi', '']</t>
  </si>
  <si>
    <t>['mantap', 'mempermudah', 'akses', 'pengguna', 'telkomsel']</t>
  </si>
  <si>
    <t>['paket', 'doang', 'mahal', 'pelayanan', 'kaya', 'babi', 'benerin', 'kinerja', 'ajg', 'monyet', 'payah', 'pulsa', 'gua', 'sedot', 'paket', 'promo', 'muncul', 'payah', 'mahal', 'doang', 'pelayanan', 'kaya', 'monyet', 'becus', 'ajg']</t>
  </si>
  <si>
    <t>['mantap', 'promo', '']</t>
  </si>
  <si>
    <t>['terbaik', 'mengerti', 'pelanggan', 'nggak', 'duit', 'murah']</t>
  </si>
  <si>
    <t>['mudah', 'bermanfaat']</t>
  </si>
  <si>
    <t>['bagus', 'banget', 'aplikasi', 'mytelkomsel']</t>
  </si>
  <si>
    <t>['jaringan', 'jelek', 'paket', 'mahal']</t>
  </si>
  <si>
    <t>['woi', 'benerin', 'sinyalnya', 'maen', 'mulu', 'kuota', 'mahal', 'kualitas', 'jaringan', 'jelek', 'nyesel', 'nyesel', 'telkomsel', '']</t>
  </si>
  <si>
    <t>['gini', 'tolong', 'perbaiki', 'promo', 'udah', 'jarang', 'lelet', 'internetnya', 'tolong', 'bantu', 'perbaiki']</t>
  </si>
  <si>
    <t>['sarankan', 'tutup', 'beli', 'rb', 'kualitas', 'jaringan', 'rendah', 'orang', 'stres']</t>
  </si>
  <si>
    <t>['promonya']</t>
  </si>
  <si>
    <t>['kualitas', 'bagus']</t>
  </si>
  <si>
    <t>['sinyal', 'perbaiki', 'merata', 'indonesia', 'daerah', 'telkomsel', 'sinyal', 'gangguan', 'giamana', 'saran', 'semoga', 'perbaiki', 'sinyal', 'seenggak', 'menyaingin', 'tetanga', 'sebalah']</t>
  </si>
  <si>
    <t>['bagus', 'pengguna', 'tolong', 'paket', 'promo', 'banyakin', 'makasih']</t>
  </si>
  <si>
    <t>['mempermudah', 'hidup']</t>
  </si>
  <si>
    <t>['bagus', 'benget', 'membantu', 'belajar', 'main', 'game', 'beli', 'sepuasnya', 'data', 'kuota', 'terimakasih', 'telkomsel']</t>
  </si>
  <si>
    <t>['unlimited', 'mak', 'mahal', 'doang']</t>
  </si>
  <si>
    <t>['paket', 'internet', 'murah', 'mahal', 'kwalitas', 'bobrok', '']</t>
  </si>
  <si>
    <t>['pembelian', 'paket', 'data', 'aplikasi', 'update']</t>
  </si>
  <si>
    <t>['mudah', 'ribet', '']</t>
  </si>
  <si>
    <t>['parah', 'telkomsel', 'susah', 'beli', 'packet']</t>
  </si>
  <si>
    <t>['kouta', 'habis', 'nyedot', 'pulsa']</t>
  </si>
  <si>
    <t>['kali', 'login', 'gagal']</t>
  </si>
  <si>
    <t>['telkomsel', 'sindy', 'aura', 'ayu', 'dewi', 'samsung', 'galaksi', '']</t>
  </si>
  <si>
    <t>['mengambil', 'kuota', 'tambahan', 'eror']</t>
  </si>
  <si>
    <t>['sinyal', 'hilang']</t>
  </si>
  <si>
    <t>['aplikasi', 'membantu', 'mudah', 'pokoknya', 'sukses', 'telkomsel']</t>
  </si>
  <si>
    <t>['harganya', '']</t>
  </si>
  <si>
    <t>['', 'google', 'pixel', 'download', 'ngasih', 'saran', 'clear', 'cache', 'udah', 'sampe', 'factory', 'reset', 'tetep']</t>
  </si>
  <si>
    <t>['utamain', 'knymanan', 'pngguna', 'provider', 'mahal', 'layanannya', 'prah', 'kyk', 'gini', 'jringannya', 'jga', 'kdng', 'mati', 'lemot', 'pket', 'nelpon', 'jga', 'kdng', 'brmslh', 'kuota', 'mltimedia', 'dipake', 'game', 'bbrpa', 'apk', 'game', 'dibatasin', 'kcptnnya', 'paket', 'cmbo', 'skti', 'unlimtednya', 'dibagi', 'sgla', 'lgi', 'parah', 'trus', 'paketnya', 'kemahalan', 'udah', 'mahal', 'dibagi', 'hedeh', 'nyusain', 'pengguna', 'kuota', 'multimedia', 'nggur', 'kepake', 'udh', 'numpuk', 'smpe', 'puluhan', 'miris', '']</t>
  </si>
  <si>
    <t>['signal', 'lelet', 'lambat']</t>
  </si>
  <si>
    <t>['bagus', 'jaringan', '']</t>
  </si>
  <si>
    <t>['inspiratif', 'puas', 'kuotanya', 'mahal', 'mahal']</t>
  </si>
  <si>
    <t>['bagus']</t>
  </si>
  <si>
    <t>['bintang', 'dlu', 'selanjut', 'kasih', 'bntang', 'volt']</t>
  </si>
  <si>
    <t>['percaya', 'telkomsel', 'memakai', 'kartu', 'telkomsel']</t>
  </si>
  <si>
    <t>['simpati', 'plus', 'sinyal', 'wokeeeh', 'wlw', 'pedesaan', 'pegunungan', 'minusnya', 'boros', 'mahal', '']</t>
  </si>
  <si>
    <t>['pokonya', 'baguss']</t>
  </si>
  <si>
    <t>['jaringan', 'jelek', 'paket', 'unlimeted', 'jelek', 'sumpah', 'asli', 'jeleknya', 'bagusan', 'indosat', 'jaringannya', 'mandang', 'tanggal', 'bagus', 'beli', 'unlimited', 'ujung', 'ujungnya', 'jelek', '']</t>
  </si>
  <si>
    <t>['telkomsel', 'hati', 'hidup', 'bumn', 'indonesia']</t>
  </si>
  <si>
    <t>['bagus', 'pelayanan', 'transaksi']</t>
  </si>
  <si>
    <t>['mempermudah', 'transaksi', 'suka']</t>
  </si>
  <si>
    <t>['senang', 'cepat']</t>
  </si>
  <si>
    <t>['terimakasih', 'telkomsel', 'memudah', 'membeli', 'paket']</t>
  </si>
  <si>
    <t>['kualitas', 'produk', 'bagus', 'jaringan', 'oke', 'tpi', 'sayang', 'nggak', 'gratis', 'youtube']</t>
  </si>
  <si>
    <t>['sinyal', 'telkomsel', 'jelek', 'terluas', 'stabil']</t>
  </si>
  <si>
    <t>['', 'scroll', 'kebawah', 'udh', 'bagus', 'aplikasinya', 'rekomended']</t>
  </si>
  <si>
    <t>['', 'lupa']</t>
  </si>
  <si>
    <t>['mengaktifkan', 'kartu', 'halo', 'non', 'aktifkan', 'telkomsel', '']</t>
  </si>
  <si>
    <t>['susah', 'banget', 'masuknya', 'ribet', 'gaya', 'pakai', 'otp', 'sampah']</t>
  </si>
  <si>
    <t>['aplikasi', 'rumit', 'huruf', 'histori', 'pembelian', 'aktif']</t>
  </si>
  <si>
    <t>['bagus', 'beli', 'paket', 'internet', 'mudah', 'mudah', 'sinyalnya', 'terimakasih']</t>
  </si>
  <si>
    <t>['kwalitas', 'jaringan', 'buruk', 'tolong', 'dibenahi', 'jaringannya', 'pelanggan', 'pindah', 'operator', '']</t>
  </si>
  <si>
    <t>['mantap', 'pertahankna', 'kualitas', 'pelayanan', '']</t>
  </si>
  <si>
    <t>['beli', 'kuota', 'masuk', 'masuk', 'suruh', 'nunggu', 'sampe', 'kasih', 'bintang', 'harga', 'mahal', 'doang', 'pelayanan', 'parah', '']</t>
  </si>
  <si>
    <t>['jaringan', 'lemot', 'ganti', 'pascabayar', 'prabayar', 'kartu', 'dipakai', 'haduh', 'jaringan', 'gpp', 'mah', 'lemot', 'banget']</t>
  </si>
  <si>
    <t>['bertahun', 'pke', 'simpati', 'kesini', 'jaringan', 'mahal', 'doang', 'kuota', 'jaringan', 'parahhhhh', 'enak', 'maen', 'game', 'online', 'telkomsel', 'sumpahhhh', 'telkomsel', 'ngeluarin', 'jngn', 'tower', 'simpati', 'makannya', 'jaringan', 'simpati', 'kebagi', 'ngerti', 'lgi', 'gua', '']</t>
  </si>
  <si>
    <t>['memudahkan', 'cek', 'pulsa', 'kuota', '']</t>
  </si>
  <si>
    <t>['kouta', 'mahal', 'bangett']</t>
  </si>
  <si>
    <t>['knapa', 'beli', 'kuota', 'internet', 'unlimited', 'max']</t>
  </si>
  <si>
    <t>['apk', 'mantap']</t>
  </si>
  <si>
    <t>['heran', 'telkomsel', 'paket', 'data', 'byk', 'jaringan', 'sinyal', 'jelek', 'motong', 'pulsa', 'utama', 'pulsa', 'utama', 'habis', 'telkomsel', 'kecewa']</t>
  </si>
  <si>
    <t>['nyoba', 'apk', 'semoga', 'memuaskan', '']</t>
  </si>
  <si>
    <t>['paket', 'gb', 'adakah']</t>
  </si>
  <si>
    <t>['pelayanannya', 'buruk', 'banget', 'pls', 'kepotong', 'pelunasan', 'pls', 'darurat', 'kpn', 'weee', 'telkomsel', 'ngutang', '']</t>
  </si>
  <si>
    <t>['telkomsel', 'the', 'best', 'deh', '']</t>
  </si>
  <si>
    <t>['keren', 'semakn', 'bertumbuh']</t>
  </si>
  <si>
    <t>['kasi', 'bintang', 'bika', 'lemot', 'bagus', 'kasih', 'bintang', '']</t>
  </si>
  <si>
    <t>['melangkah', 'puas', 'pelanggan', '']</t>
  </si>
  <si>
    <t>['jaringan', 'telkomsel', 'daerah', 'merangin', 'jelek', 'pengguna', 'setia']</t>
  </si>
  <si>
    <t>['mantap', 'sukses', 'telkomsel', 'boskuh', 'mohon', 'ditingkatkan', 'kualitasnya', 'sinyal', '']</t>
  </si>
  <si>
    <t>['tolong', 'perbaiki', 'jaringan', 'kuota', 'lokal', 'maen', 'babi']</t>
  </si>
  <si>
    <t>['kecewa', 'sinyal', 'gila', 'rusak', 'rusak', 'apk', 'telkomselnya', 'rusak', 'udah', 'update', 'bsa', 'buka', 'rusak', 'rusak']</t>
  </si>
  <si>
    <t>['apk', 'bagus', 'moga', 'tkmsl', 'mangkin', 'baikkkkkkkkkkkkkkkkkk', '']</t>
  </si>
  <si>
    <t>['mudah', 'promonya']</t>
  </si>
  <si>
    <t>['okelah']</t>
  </si>
  <si>
    <t>['paketan', 'mahal', 'error', 'kontolll']</t>
  </si>
  <si>
    <t>['apasih', 'telkomsel', 'buka', 'game', 'ngelag', 'buka', 'situs', 'bokep', 'lancar', 'main', 'gue', 'beralih', 'gitu']</t>
  </si>
  <si>
    <t>['klau', 'tukar', 'poin', 'data', 'persulit']</t>
  </si>
  <si>
    <t>['ntap', 'pokoknya']</t>
  </si>
  <si>
    <t>['memuaska', 'semoga', 'kedepannya', '']</t>
  </si>
  <si>
    <t>['jeda', 'buka', 'aplikasi', '']</t>
  </si>
  <si>
    <t>['menyesal', 'pakai', 'telkomsel', 'merasakan', 'memakai', 'simpati', 'tergabung', 'telkomsel']</t>
  </si>
  <si>
    <t>['paket', 'data', 'unlimited', 'max', 'teman', 'teman', 'aneh', 'pdhl', 'pengguna', 'setia', 'telkomsel', 'udh', 'dri', '']</t>
  </si>
  <si>
    <t>['susah', 'payah', 'bukanya', 'aksesnya', 'pdhl', 'update']</t>
  </si>
  <si>
    <t>['telkomsel', 'masyarakat', 'dunia', 'menilainya', 'terbaik', '']</t>
  </si>
  <si>
    <t>['tingkatkan', 'pelayanan']</t>
  </si>
  <si>
    <t>['knp', 'skrng', 'telkomsel', 'hilang', 'signal', 'pdhal', 'telkomsel', 'kenceng', 'dimana']</t>
  </si>
  <si>
    <t>['apk', 'baguss']</t>
  </si>
  <si>
    <t>['', 'komenlah', 'pnya', 'telkomsel', '']</t>
  </si>
  <si>
    <t>['alhamdulillah', 'semoga', 'berbuat', 'konsumen', 'konsumen', '']</t>
  </si>
  <si>
    <t>['jaringan', 'jeleeeekkkkkkkk']</t>
  </si>
  <si>
    <t>['tawaran', 'paket', 'berbeda', 'teman', 'nomor', 'telkomsel', 'tawaran', 'paket', 'internet', 'mahal', 'mahal', 'teman', 'murah', 'murah', 'pelanggan', 'setia', 'telkomsel', 'teman', 'pelanggan', 'telkomsel', 'mohon', 'diperbaiki', 'tawaran', 'internet', 'merata', '']</t>
  </si>
  <si>
    <t>['telkomsel', 'parah', 'beli', 'paket', 'data', 'maunya', 'aplikasi', 'telkomsel', 'mahal', 'susah', 'beli', 'paketnya', 'parah']</t>
  </si>
  <si>
    <t>['bagus', 'jaringan', 'kuat', '']</t>
  </si>
  <si>
    <t>['magic', 'linknya', 'dikirim', 'via', 'cargo', 'laut', 'nyampe', '']</t>
  </si>
  <si>
    <t>['terbantu', 'aplikasi', 'telkomsel', 'semoga', 'sukses', '']</t>
  </si>
  <si>
    <t>['jaringan', 'telkomsel', 'smakin', 'buruk', '']</t>
  </si>
  <si>
    <t>['aplikasi', 'mudah', 'pahami', 'mudah']</t>
  </si>
  <si>
    <t>['membantu']</t>
  </si>
  <si>
    <t>['mtanap', 'cepat']</t>
  </si>
  <si>
    <t>['bagus', 'banget', 'murah', 'meria']</t>
  </si>
  <si>
    <t>['jaringan', 'kadang', 'lemah', 'tolong', 'tingkatkan', 'jaringannya']</t>
  </si>
  <si>
    <t>['pulsa', 'terpotong', 'topup', 'berlangganan', 'muffin', 'holster']</t>
  </si>
  <si>
    <t>['praktis', 'membantu', '']</t>
  </si>
  <si>
    <t>['telkomsel', 'apk', 'bagus', 'fitur', 'ngabusin', 'udah', 'masukin', 'trus', 'masuk', 'kirim', 'link', 'mulu', 'kali', 'masuk', 'ngabusin', 'link', 'capek', 'kartu', 'jadii', 'kuotany']</t>
  </si>
  <si>
    <t>['jaringan', 'telkomsel', 'bagus', 'tolong', 'diperbaiki', '']</t>
  </si>
  <si>
    <t>['pertahankan', 'promo', 'kouta', '']</t>
  </si>
  <si>
    <t>['kasih', 'bintang', 'malam', 'isi', 'pas', 'lgi', 'main', 'game', 'mobile', 'legend', 'jalan', 'pas', 'lihat', 'jringan', 'hilang', 'trus', 'muncul', 'gara', 'gara', 'telkomsel', 'game', 'kena', 'afk', 'tinggal', 'kota', 'gunung', 'kesini', 'jaringan', 'telkomsel', 'mendingan', 'ganti', 'kartu', 'seblah', 'wlau', 'kartu', 'mhal', 'lancar', 'jaringan', 'hilang', 'kaya', 'bgitu']</t>
  </si>
  <si>
    <t>['donk', 'paket', 'internet']</t>
  </si>
  <si>
    <t>['mempermudah', 'dlm', 'transaksi', 'pulsa', 'kuota', 'internet', 'suka', 'aplikasinya']</t>
  </si>
  <si>
    <t>['apk', 'bagus', 'mudah']</t>
  </si>
  <si>
    <t>['harganya', 'mahal']</t>
  </si>
  <si>
    <t>['promo', 'paket', 'beli', 'paket', 'combo', 'gb', 'pas', 'beli', 'paket', 'hilang', 'kasi', 'bintang']</t>
  </si>
  <si>
    <t>['pilihan', 'paketan', 'internet']</t>
  </si>
  <si>
    <t>['mantapp', 'perbanyak', 'promo', 'pengguna', 'betah']</t>
  </si>
  <si>
    <t>['kasi', 'bintang']</t>
  </si>
  <si>
    <t>['jaringan', 'dimnapun', '']</t>
  </si>
  <si>
    <t>['jenis', 'istilah', 'paketan', 'terkesan', 'ribet', 'simpel']</t>
  </si>
  <si>
    <t>['paket', 'murahin']</t>
  </si>
  <si>
    <t>['log', 'pulsa']</t>
  </si>
  <si>
    <t>['puas']</t>
  </si>
  <si>
    <t>['upgrade', 'kartu', 'usim', 'paket', 'paket', 'hilang', 'gb', 'tertipu', 'suruh', 'ganti', 'smpai', 'telponin', 'meresahkan', 'makai', 'nomernya', 'udah', 'tahunan', 'stelah', 'ganti', 'reset', 'pemakaian', 'kartunya', 'menyesal', 'ganti', 'usim', 'balikin', 'kartu', '']</t>
  </si>
  <si>
    <t>['', 'diskon', 'harga', 'paket', 'telpon', 'paket', 'data', '']</t>
  </si>
  <si>
    <t>['mahal', 'paketannya']</t>
  </si>
  <si>
    <t>['kasih', 'bintang', 'karna', 'jaringan', 'telkomsel', 'papua', 'bagus']</t>
  </si>
  <si>
    <t>['seneng', 'pelanggan', 'telkomsel']</t>
  </si>
  <si>
    <t>['suka', 'aplikasi', 'telkomsel']</t>
  </si>
  <si>
    <t>['semoga', 'berkembang', 'aamiin', '']</t>
  </si>
  <si>
    <t>['paket', 'habis', 'langsung', 'dipotong', 'berlangganan', 'engga', '']</t>
  </si>
  <si>
    <t>['beli', 'paket', '']</t>
  </si>
  <si>
    <t>['tolong', 'dibantu', 'daerah', 'parung', 'kab', 'bogor', 'daerah', 'udh', 'oke', '']</t>
  </si>
  <si>
    <t>['kuota', 'game', 'dipakai']</t>
  </si>
  <si>
    <t>['promo', 'mudah', 'hilng']</t>
  </si>
  <si>
    <t>['aplikasi', 'daily', 'checkin', 'blom', 'klaim', 'udah', 'reset', 'sinyal', 'ujan', 'down', 'mahal', 'doang', 'kualitas', 'ancur']</t>
  </si>
  <si>
    <t>['jaringan', 'memuaskan']</t>
  </si>
  <si>
    <t>['', 'tukang', 'kasir', 'alfamart', 'berhak', 'mencari', 'doang', 'paham']</t>
  </si>
  <si>
    <t>['berfungsi', 'update', 'tolong', 'dipertahankan', 'pelayanannya']</t>
  </si>
  <si>
    <t>['untung', 'banget', 'pokok']</t>
  </si>
  <si>
    <t>['paket', 'sosmed', 'gb', 'lgi', 'buka', 'twitter', 'lemot', 'kayak', 'jalan', 'kura', 'pincang', '']</t>
  </si>
  <si>
    <t>['mengada', 'ngada', 'harga', 'promosi', 'paket', 'internet']</t>
  </si>
  <si>
    <t>['warga', 'indonesia', 'jangn', 'memakai', 'kartu', 'telkomsel', 'kartu', 'mahal', 'sinyal', 'kayak', 'ajeng', 'mudah', 'telkomsel', 'cepat', 'kabali']</t>
  </si>
  <si>
    <t>['pulsa', 'hilang', 'riwayat', 'transaksi', 'admin', 'bermain', 'telkomsel', 'kecewa', 'pelanggang']</t>
  </si>
  <si>
    <t>['suka', 'banget', 'aplikasi', 'membantu', 'aman', 'terpercaya', 'hadiah', 'pemenang', 'beruntung', 'berkah', 'rezeki']</t>
  </si>
  <si>
    <t>['jalan', 'langsung', 'tujuan', 'you', 'know', 'that']</t>
  </si>
  <si>
    <t>['jaringan', 'burukkk', 'ngepush', 'rank']</t>
  </si>
  <si>
    <t>['maaf', 'mba', 'mas', 'please', 'sinyalnya', 'perbaiki', 'game', 'lag', 'mulu', 'paket', 'gb', 'unlimited', 'tinggal', 'unlimited', 'main', 'game', 'delay', 'sinyalnya', 'please', 'gini', 'mulu', 'pindah', 'provider', '']</t>
  </si>
  <si>
    <t>['mudah', 'beli', 'kuota', 'bonusnya']</t>
  </si>
  <si>
    <t>['bayar', 'mahal', 'jaringn', 'kek', 'eeq', '']</t>
  </si>
  <si>
    <t>['pulihkan', 'jaringan', 'daerah', 'kota', 'bogor']</t>
  </si>
  <si>
    <t>['aplikasi', 'taeee', 'telkomsel', 'liat', 'sisa', 'kuota', 'ggal', 'mllu', 'jaringannya', 'error']</t>
  </si>
  <si>
    <t>['malem', 'gangguan', 'mulu', 'kaga', 'maketin', 'gimana', '']</t>
  </si>
  <si>
    <t>['semoga', 'signal', 'kedepan', '']</t>
  </si>
  <si>
    <t>['aplikasi', 'udah', 'knp', 'ngisi', 'paket', '']</t>
  </si>
  <si>
    <t>['sinyal', 'lemah', 'aplikasinya', 'suka', 'eror', '']</t>
  </si>
  <si>
    <t>['ngutang', 'pulsa', 'bos']</t>
  </si>
  <si>
    <t>['paketin', 'kuota', 'erornya', 'udah', 'isi', 'pulsa']</t>
  </si>
  <si>
    <t>['telkomsel', 'ancur', 'parah', 'udah', 'kenyamanan', 'telkomsel', 'beralih', 'aaaaaannnnnnnnnnnccccccccccccuuuurrrrrrrrrrrrr']</t>
  </si>
  <si>
    <t>['maaf', 'kecewa', 'telkomsel', 'beli', 'paket', 'kouta', 'pembayaran', 'ovo', 'saldo', 'berkurang', 'paket', 'kouta', 'masuk']</t>
  </si>
  <si>
    <t>['telkomsel', 'wow', 'banget', 'pengin', 'ngebating', 'kuota', 'apapun', 'jaringan', 'terjelek', 'kartu', 'dulunya', 'jaringan', 'terbagus', 'jaringan', 'teburuk', '']</t>
  </si>
  <si>
    <t>['telkomsel', 'ganguan', 'sistem', 'mulu']</t>
  </si>
  <si>
    <t>['paket', 'langganan', 'hilang', 'knp', 'tolong', 'info', '']</t>
  </si>
  <si>
    <t>['update', 'kek', 'sampah', 'aplikasi', 'beli', 'paket', 'susah']</t>
  </si>
  <si>
    <t>['promo', 'internet', 'murah', 'telkomsel', '']</t>
  </si>
  <si>
    <t>['tup', 'game', 'free', '']</t>
  </si>
  <si>
    <t>['tanyak', 'kartu', 'hidup', 'data', 'internet', 'pulsa', 'berkurang', 'karenakan', 'biaya', 'akses', 'internet', 'sekian', 'jdi', 'tersedot', 'pulsa', 'tolong', 'jls', 'telkomsel', 'hidup', 'data', 'kenak', 'biaya', '']</t>
  </si>
  <si>
    <t>['semankin', 'bagus']</t>
  </si>
  <si>
    <t>['terbaik']</t>
  </si>
  <si>
    <t>['menolong']</t>
  </si>
  <si>
    <t>['perasaan', 'parah', 'jaringan', 'internet', 'malam', 'tes', 'buka', 'youtube', 'muter', 'muter', 'buruk', 'jaringan', '']</t>
  </si>
  <si>
    <t>['jaringan', 'peratiin', 'sikit', 'aceh', 'turun', 'naek', 'pikir', 'gratis', 'kartu', 'bayar', 'ngemis', 'asik', 'dikomplain', 'pengembangan', 'sampe', 'kiamat', 'pengembangan', 'tagihan', 'telat', 'jaringan', 'stabil', 'tutup', 'mata', '']</t>
  </si>
  <si>
    <t>['paket', 'puas', 'aktif', 'puas', 'kalou', 'harga', 'segini', 'bln', 'tersisa']</t>
  </si>
  <si>
    <t>['beruntung']</t>
  </si>
  <si>
    <t>['main', 'kuota', 'multimedia', 'emang', 'gabisa', 'kepake', 'main', 'game', 'dipake', 'apk', 'lemotttttt', 'ampun', 'beli', 'paket', 'kuota', 'multimedia', 'sisa', 'kepake', 'kuota', 'utama', 'beli', 'sisa', 'kuota', 'multimedia', 'hangus', 'gitu', 'gimana', 'min', 'rugikan', 'kaya', 'gini', '']</t>
  </si>
  <si>
    <t>['aplikasi', 'diupdate', 'parah', 'aplikasinya', 'jarang', 'kebukak', 'ditambah', 'jaringan', 'jelek', 'lelet', 'harga', 'paketnya', 'mahal', 'sesuai', 'harga', 'paketnya', 'jaringannya', 'parah', 'jaringan', 'telkomsel', 'bagus', 'jelek', 'jaringannya']</t>
  </si>
  <si>
    <t>['kenap', 'hri', 'sinyal', 'ilang', 'setabil', 'internetnya', 'mohon', 'perbaiki', 'daerh', 'jaktim', 'cakung']</t>
  </si>
  <si>
    <t>['asli', 'telkomsel', 'burikkkkk', 'kali', 'kek', 'babi', 'udah', 'jaringan', 'jelek', 'kemaren', 'beli', 'paket', 'pembayaran', 'shoppee', 'pay', 'masuk', 'diisi', 'pulsa', 'kepotong']</t>
  </si>
  <si>
    <t>['aplikasi', 'berguna', '']</t>
  </si>
  <si>
    <t>['sinyal', 'penuh', 'kecepatan', 'mohon', 'perbaiki', 'terimakasih']</t>
  </si>
  <si>
    <t>['harga', 'kuota', 'kompetitif']</t>
  </si>
  <si>
    <t>['mantap', 'telkomsel', 'bagus', 'suka', 'banget', 'aplikasi', 'saran', 'ajasih', 'bener', 'orang', 'fitur', 'unlock', 'pulsa', 'nge', 'amanin', 'pulsa', 'isi', 'pulsa', 'trus', 'paketin', 'make', 'wifi', 'takut', 'kesedot', 'kesedot', 'kali', 'mohon', 'developernya', 'dipikirkan', 'team', 'telkomsel', 'user', 'sia', 'sia', 'pulsanya', 'ilang', 'data', 'seluler', 'thx', '']</t>
  </si>
  <si>
    <t>['sinyal', 'telkomsel', 'buruk', 'ngegaming', 'lancar', 'sinyal', 'buruk', 'internet', 'gaming', 'sungguh', 'mengecewakan', 'tolong', 'penjelasan', 'pelangan', 'setia', 'telkomsel', 'sebenar', 'telkomsel']</t>
  </si>
  <si>
    <t>['mempermudah', 'pengecekan', 'pulsa', 'kuota', 'data']</t>
  </si>
  <si>
    <t>['promo', 'mahal', 'mahal']</t>
  </si>
  <si>
    <t>['ngebantu', 'cek', 'kuota', 'praktisssd']</t>
  </si>
  <si>
    <t>['muka', 'sangt', 'mmuaskn']</t>
  </si>
  <si>
    <t>['gini', 'gabisa', 'internet', 'banking']</t>
  </si>
  <si>
    <t>['membantu', 'mudah', 'semoga', 'sukses', 'kedepannya']</t>
  </si>
  <si>
    <t>['telkomsel', 'tolong', 'pelanggan', 'dilanda', 'krisis', 'jaringan', 'sakit', 'hati', 'berasa', 'pindah', 'operator', 'tolong', 'toleransi', 'mengganggu', 'kenyamanan', 'pengguna', 'jaringan', 'telkomsel']</t>
  </si>
  <si>
    <t>['pakai', 'telkomsel', 'kecewa', 'berat', 'harga', 'mahal', 'jaringan', 'telkomsel', 'point', 'tukar', 'paket', 'data', 'sms', 'undia', 'hala', 'menang', 'nukar', 'point', 'perminggu', 'pulsa', 'terpaksa', 'kartu', 'bakar', 'rugi', 'make', 'telkomsel', 'karna', 'masi', 'bnyak', 'pengguna', 'telkomsel', 'tipu', 'selamat', 'tinggal', 'telkomsel']</t>
  </si>
  <si>
    <t>['jaringan', 'telkomsel', 'derah', 'kecamatan', 'peranap', 'amburadul', 'jaringan', 'lelet', 'tolong', 'perbaiki', 'trmksih', '']</t>
  </si>
  <si>
    <t>['tolong', 'dibaca', 'telkomsel', 'sinyal', 'buruk', 'rugii', 'bener', 'pelayanan', 'telkomsel']</t>
  </si>
  <si>
    <t>['paket', 'doang', 'mahal', 'sinyal', 'urus']</t>
  </si>
  <si>
    <t>['udah', 'komplain', 'peka', 'udah', 'lingkungan', 'padat', 'penduduk', 'pengguna', 'tambahin', 'kuota', 'kecepatan', 'biarin', 'numpuk', 'pengguna', 'alhasil', 'lemoot', 'mahalnya', 'doang', '']</t>
  </si>
  <si>
    <t>['oke', 'banget', 'deh', 'gan']</t>
  </si>
  <si>
    <t>['aplikasi', 'bagus', 'mudah', 'mohon', 'kedepannya', 'dipermudah', 'promo', 'promo', 'menarik', 'menarik']</t>
  </si>
  <si>
    <t>['suka', 'lag', 'susah', 'akses', 'kesusahan', 'pengguna']</t>
  </si>
  <si>
    <t>['haloooooo', 'telkomsel', 'jaringan', 'jelek', 'kaya', 'tinggal', 'gunung', 'udah', 'ancur', 'gara', 'jaringan', 'kaya', 'taiiiiiiiiiiiiiiiiiiiiiiiiiiiiiiiiiiiiiiiiiiiiiiiiiiiiik', 'promow', 'iklan', 'liat', 'ulasan', 'pengguna', 'telkomsel', 'kecewa', 'gara', 'jaringan']</t>
  </si>
  <si>
    <t>['jaringan', 'lemoottttttttttt']</t>
  </si>
  <si>
    <t>['semoga', 'gangguan', 'sinyal', 'telkomsel', 'cepat', 'terkendali', 'normal', 'bintangnya', 'balikan', 'bintang']</t>
  </si>
  <si>
    <t>['jaringan', 'jelek']</t>
  </si>
  <si>
    <t>['maap', 'enak', 'ilang', 'enak', 'gitu', 'sampe', 'afk', 'main', 'game', 'habis', 'ilang', 'sinyal', 'memuaskan', 'kuota', 'mahal', 'jaringan', 'busuk']</t>
  </si>
  <si>
    <t>['', 'byk', 'promo']</t>
  </si>
  <si>
    <t>['pulsa', 'udah', 'isi', 'tpi', 'beli', 'pket', 'data', 'sisa', 'pulsa', 'aneh', 'kebeli', 'paket', 'pulsa', 'bnyak', 'tpi', 'ckup', 'pulsa', 'beli', 'paket']</t>
  </si>
  <si>
    <t>['kadang', 'suka', 'eror', 'aplikasi']</t>
  </si>
  <si>
    <t>['gue', 'saranin', 'pakai', 'telkom', 'emosi', 'kecepatanya', 'sesuai', 'harganya', 'emosi', 'orang', 'dosa', 'pakai', 'telkomsel', 'karan', 'terpaksa', 'gue', 'pakai', 'telkomsel']</t>
  </si>
  <si>
    <t>['kak', 'jaringan', 'mohon', 'cepat', 'perbaiki', 'ntar', 'jack', 'pot', '']</t>
  </si>
  <si>
    <t>['memuaskan', 'dikit', 'dikit', 'rating']</t>
  </si>
  <si>
    <t>['alhamdulillah', 'dmudahkan']</t>
  </si>
  <si>
    <t>['jaringan', 'kuat']</t>
  </si>
  <si>
    <t>['mantul', 'paketnya', 'murah']</t>
  </si>
  <si>
    <t>['loading', 'diawal', 'lemot', 'banget', '']</t>
  </si>
  <si>
    <t>['mengecewakan', 'telkomsel', 'lancar', 'tinggal', 'kenangan']</t>
  </si>
  <si>
    <t>['', 'perluas', 'mulu', 'jaringannya']</t>
  </si>
  <si>
    <t>['paketan', 'habis', 'trs', 'langsung', 'beralih', 'non', 'paket', 'otomatis', 'plng', 'benci', 'nggak', 'ngerasain', 'orang', 'lgi', 'nggak', 'duwit', 'provider']</t>
  </si>
  <si>
    <t>['membantu', 'efisien', 'beli', 'paketan', 'tinggal', 'pilih', 'aplikasi']</t>
  </si>
  <si>
    <t>['tolong', 'tsel', 'sinyal', 'lemot', 'paket', 'knp', 'lemot', 'tolong', 'perbaiki', 'sinyalnya']</t>
  </si>
  <si>
    <t>['senang', 'aplikasi']</t>
  </si>
  <si>
    <t>['jaringan', 'telkom', 'kencang', 'salut', 'ama', 'miminnya', 'pengen', 'banting', 'kepalanya']</t>
  </si>
  <si>
    <t>['miris', 'jaringan', 'suka', 'eror', 'pusat', 'ibukota', 'harga', 'kuota', 'doang', 'ngotak', 'tpi', 'kualitas', 'jaringan', 'dii', 'perhatiin', 'giliran', 'duit', 'cepeeet']</t>
  </si>
  <si>
    <t>['transaksi', 'cepat']</t>
  </si>
  <si>
    <t>['hhhhhhhhh', 'mohon', 'diperbaiki', 'jaringannya', 'kali', 'push', 'rank', 'pingnya', 'enak', 'banget', 'sumpah', 'mainnya', 'mohon', 'diperbaiki', '']</t>
  </si>
  <si>
    <t>['jaringan', 'lemot', 'wooooooyyyyyyyyy']</t>
  </si>
  <si>
    <t>['tnyata', 'ulasan', 'ulasan', 'kwalitasnya', 'lemah', 'shawat', 'nabsu', 'kenceng', 'tenaga', 'meeeengecewakan', '']</t>
  </si>
  <si>
    <t>['provider', 'mekaniknya', 'otak', 'atik', 'sinyal', 'kaga', 'stabil', 'pakai', 'mekanik', 'mekanik', 'paki', 'mekanik', 'kaleng', 'kaleng', 'otaknya', 'ngisi', 'celengan']</t>
  </si>
  <si>
    <t>['membantu', 'mempermudah', 'kebutuhan', 'pelanggan', 'telkomsel', '']</t>
  </si>
  <si>
    <t>['aplikasinya', 'bagus', '']</t>
  </si>
  <si>
    <t>['telkomsel', 'buruk', 'kaya', 'dlu', 'jaringannya', 'ska', 'drop', 'kalah', 'skarng', '']</t>
  </si>
  <si>
    <t>['semoga', 'membantu', 'kasi', 'bintang']</t>
  </si>
  <si>
    <t>['pingin', 'honda', 'brio']</t>
  </si>
  <si>
    <t>['bingung', 'lemot', 'sinyalnya', 'didaerah', 'rumah', 'kalah', 'ngebut', 'kartu', 'paketnya', 'hemat', '']</t>
  </si>
  <si>
    <t>['telkomsel', 'jariangan', 'kayak', 'taik', 'ganti', 'kartu', 'telkomsel', 'telkomsel', 'udah', 'mahal', 'jaringan', 'kayak', 'taik', '']</t>
  </si>
  <si>
    <t>['pulsa', 'masuk', 'kemana', 'nyasarnya', 'telkomsel', 'respon', 'pelayanan', 'lambat', '']</t>
  </si>
  <si>
    <t>['mahal', 'beli', 'paket']</t>
  </si>
  <si>
    <t>['membantu', 'mantap']</t>
  </si>
  <si>
    <t>['halo', 'nyaman']</t>
  </si>
  <si>
    <t>['aplikasi', 'membantu', 'isi', 'paket', '']</t>
  </si>
  <si>
    <t>['pulsa', 'kali', 'sedot', 'telkomsel', 'tingkah', 'telkomsel', 'isi', 'ribu', 'sisa', 'ribu', 'nyedotnya', 'dikit', 'nyedotnya', 'kek', 'taik']</t>
  </si>
  <si>
    <t>['', 'kali', 'beli', 'paketan', 'masuk', 'alhasil', 'duit', 'ilang']</t>
  </si>
  <si>
    <t>['diungkap']</t>
  </si>
  <si>
    <t>['perbaiki', 'tual', 'merata', 'undian', 'nomor', 'cantik', 'menang', 'rakyat', 'jelata', 'menang', '']</t>
  </si>
  <si>
    <t>['bagus', 'cma', 'nukar', 'poin', 'menang', '']</t>
  </si>
  <si>
    <t>['kasih', 'bintang', 'karna', 'sinyal', 'lag', 'parah', 'paketan', 'mahal', 'perbaiki', 'sinyal', 'dlu', 'kasih', 'bintang', '']</t>
  </si>
  <si>
    <t>['udah', 'paket', 'kuotanya', 'mahal', 'jaringannya', 'lelet', 'aplikasinya', 'disuruh', 'update', '']</t>
  </si>
  <si>
    <t>['puas', 'pakai', 'telkomsel']</t>
  </si>
  <si>
    <t>['mantap', 'gratis', 'quota']</t>
  </si>
  <si>
    <t>['senag', 'telkomsel', 'skarang', 'rumah', 'beli', 'paketan', 'konter', 'mksih', 'telkomsel']</t>
  </si>
  <si>
    <t>['sinyal', 'jelek', 'mulu', 'males', 'berlangganan', 'telkomsel', 'gini', 'beli', 'kuota', 'rugi', 'beli', 'kuota', 'ngelag']</t>
  </si>
  <si>
    <t>['kasi', 'bintang', 'pulsaku', 'suka', 'kepotong', 'masi', 'giga', 'kuota', 'gjelas', 'bat', 'tolong', 'perbaiki']</t>
  </si>
  <si>
    <t>['pengguna', 'telkomsel', 'cek', 'kartu', 'udah', 'kali', 'lemotnya', 'ampun', 'kerjaan', 'paket', 'combo', 'sakti', 'unlimited', 'dibagi', 'habis', 'duluan', 'paket', 'utama', 'buka', 'file', 'dikirim', 'tolong', 'perbaiki', 'jaringannya', 'beralih', 'provider', 'rumah', 'tsel', 'turunin', 'bintangnya', 'perbaikan']</t>
  </si>
  <si>
    <t>['paket', 'nelpon', 'internet', 'termahal', 'indonesia', 'jaringan', 'harganya', 'selangit', 'mbledos', '']</t>
  </si>
  <si>
    <t>['aneh', 'kuota', 'mahal', 'leletnya', 'ampun', 'istimewanya', 'kayak', 'tinggal', 'pedalaman', '']</t>
  </si>
  <si>
    <t>['aplikasi', 'tulul', 'sinyal', 'full', 'kuota', 'ready', 'masuk', 'aplikasi']</t>
  </si>
  <si>
    <t>['bedebahh', 'jaringaaan', 'makiin', 'lelett', 'gara', 'garaa', 'putus', 'kabel', 'laut', 'skrg', 'benerin', 'jaringannya', 'sialaann', '']</t>
  </si>
  <si>
    <t>['menarik', 'membantu', '']</t>
  </si>
  <si>
    <t>['bintang', 'kasih', 'udah', 'langganan', 'th', 'kesini', 'parah', 'bayar', 'mahal', 'kualitas', 'sampah', '']</t>
  </si>
  <si>
    <t>['telkomsel', 'bangkrut', 'jaringan', 'bagus', 'ancur']</t>
  </si>
  <si>
    <t>['gimana', 'penggunaan', 'data', 'sesuai', 'deskripsi', 'kuota', 'maxstream', 'kepakai', 'nonton', 'disney', 'hbo', 'kuota', 'utama', 'terpakai', '']</t>
  </si>
  <si>
    <t>['worth', 'beli', 'kuota', 'tsel', 'sinyal', 'terparah', 'gabisa', 'main', 'game', 'yutuban', 'maaf', 'perbaikin', 'jaringan', '']</t>
  </si>
  <si>
    <t>['waw', 'mntap', 'hadiah', 'dri', 'poin', 'pokok', 'the', 'best', 'dech', 'sya', 'ksih', 'bntang', '']</t>
  </si>
  <si>
    <t>['sinyal', 'jelek', 'paketan', 'mahal', 'gerimis', 'dikit', 'sinyal', 'ilang', 'paket', 'kumplit']</t>
  </si>
  <si>
    <t>['telkomsel', 'lemot', 'jaringannya', 'bagus', 'pdhl', 'dikota', 'lho', 'sisa', 'kuota', 'ampun', 'lemotnya', 'perbaiki', 'byk', 'pindah', 'provider']</t>
  </si>
  <si>
    <t>['sekarsng', 'jaringan', 'telkomsel', 'leletnya', '']</t>
  </si>
  <si>
    <t>['ngegame', 'jaringan', 'hilang', 'kek', 'doi', 'harganya', 'dimaklumi', 'tolonglah', 'kuota', 'dibagi', 'kuota', 'ngapain', 'alhasil', 'terbuang', 'mending', 'bansos', 'kesini', 'aneh', 'pilihan', 'kuotanya', 'dahla', 'gini', 'mah', 'mending', 'pindah', 'provider', 'ajaaa']</t>
  </si>
  <si>
    <t>['tukr', 'point', 'paket', 'gb', 'tolong', 'dibetulin']</t>
  </si>
  <si>
    <t>['sengga', 'dowlot', 'supayah', 'lepasin', 'unek', 'tolong', 'harga', 'paket', 'data', 'sesuai', 'degan', 'kwalitasnya', 'masah', 'kalah', 'degan', 'paket', 'data', 'murah', 'kualitasnya', 'oke', 'buang', 'duit', 'beli', 'kartu', 'trs', 'beli', 'paket', 'data', 'ehh', 'pas', 'mabar', 'jaringan', 'cacatt', 'trus', 'paket', 'data', 'buka', 'lag', 'pengguna', 'pelanggan', 'telkom', 'kecewa', '']</t>
  </si>
  <si>
    <t>['kenapaa', 'pulsa', 'hilang', 'tolong', 'penjelqsannya', 'kuota', 'samaa', 'kakak', 'teman', 'hilang', '']</t>
  </si>
  <si>
    <t>['penggunaan', 'mudah']</t>
  </si>
  <si>
    <t>['telkomsel', 'bersahabat', 'sma', 'mengunakan', 'kartunya']</t>
  </si>
  <si>
    <t>['kuota', 'mahal', 'jaringan', 'lemot', 'hadeehhh', 'main', 'game', 'lemotttt', 'patah', 'recommended', 'ngegame', 'patah', '']</t>
  </si>
  <si>
    <t>['terima', 'kasih', 'telkomsel', 'respon', 'pulsa', 'maaf', 'tolong', 'perbaiki', 'performa', 'pelayanan', 'panik', 'signal', 'terima', 'kasih', 'telkomsel', 'kasih', 'bintang', '']</t>
  </si>
  <si>
    <t>['jaringannya', 'bagus', 'harga', 'paket', 'data', 'mahal', '']</t>
  </si>
  <si>
    <t>['gampang', 'isi', 'kuota']</t>
  </si>
  <si>
    <t>['kasih', 'bintang', 'sampek', 'menang', 'undian', 'telkomsel', 'poin', 'ikutan', 'program', 'undian', 'telkomsel', 'poin', 'menang', 'bintang', '']</t>
  </si>
  <si>
    <t>['ariantositumeang', 'sgt']</t>
  </si>
  <si>
    <t>['ahamdulillah', 'apknya', 'bagus', 'membantu']</t>
  </si>
  <si>
    <t>['enak', 'enak', 'main', 'sinyal', 'downn', 'telkomsel', 'komtolll', 'lolololollollllllllllllllllllllll', 'sia', 'sia', 'telkomtol']</t>
  </si>
  <si>
    <t>['gimana', 'bagus', 'operator', 'jaringannya', 'bermasalah', 'hilang', 'hilang', 'trus', 'jaringan', 'jelek', 'penanganan', '']</t>
  </si>
  <si>
    <t>['bagus', 'jaringan', 'suka', 'suka']</t>
  </si>
  <si>
    <t>['parah', 'bener', 'ditlp', 'operator', 'ditawari', 'kartu', 'prabayar', 'menolak', 'jaringan', 'sinyal', 'lemot', 'bener', 'telkomsel', 'parah', 'bener', '']</t>
  </si>
  <si>
    <t>['jujur', 'penguna', 'telkomsel', 'sqya', 'kecewa', 'jaringan', 'lemot', 'lelet', 'kaya', 'mna', 'pektan', 'kuota', 'mahal', 'tolong', 'perkuat', 'jaringan', 'jgan', 'lelet', 'kaya', 'gini', 'kasian', 'pengguna', 'beli', 'kuota']</t>
  </si>
  <si>
    <t>['kualitasnya', 'terjaga', 'layanan', 'prima', 'puas', 'berkelanjutan']</t>
  </si>
  <si>
    <t>['terima', 'kasih', 'melayani']</t>
  </si>
  <si>
    <t>['terkadang', 'pulsa', 'habis']</t>
  </si>
  <si>
    <t>['jos', 'walupun', 'sinyal', 'aga', 'lemot']</t>
  </si>
  <si>
    <t>['telkomsel', 'plis', 'user', 'kecewa', 'percaya', 'app', 'gb', 'kemenag', 'kepake', 'hilang', 'jaringannya', 'pagi', 'malam']</t>
  </si>
  <si>
    <t>['isi', 'pulsa', 'rb', 'beli', 'kuota', 'rb', 'hei', 'kepotong', 'jalanin', 'apk', 'maksudnya', 'bos', 'giliran', 'matiin', 'data', 'connect', 'maunya', 'udah', 'sinyalnya', 'kadang', 'jelek', 'provider', 'cacat', 'diuntung', 'mending', 'pindah', 'gini', '']</t>
  </si>
  <si>
    <t>['lumayan', 'membantu', 'kadang', 'error']</t>
  </si>
  <si>
    <t>['beli', 'paket', 'mahal', 'jrngan', 'stabil', 'tolong', 'tingkatkan', 'kualitas', 'jaringan', 'telkomsel']</t>
  </si>
  <si>
    <t>['aplikasinya', '']</t>
  </si>
  <si>
    <t>['beli', 'pulsa', 'beli', 'paket', 'data', 'transfer', 'pulsa', 'mudah']</t>
  </si>
  <si>
    <t>['kecewa', 'sinyal', 'telkomsel', 'menurun', 'drastis', 'mobilitas', 'jakarta', 'depok', 'sinyal', 'hilang', '']</t>
  </si>
  <si>
    <t>['telkomsel', 'sinyalnya', 'bagus', 'tolong', 'perbaiki']</t>
  </si>
  <si>
    <t>['mantap', 'semoga', 'beruntung']</t>
  </si>
  <si>
    <t>['keren', 'pokonya']</t>
  </si>
  <si>
    <t>['', 'provider', 'nusantara', 'indonesia', 'tiada', 'knp', 'kesini', 'program', 'layanan', 'bagus', 'kusut', 'jelek', 'jaringan', 'signal', 'pdhal', 'dikota', 'aneh', 'gmn', 'pelosok', 'haduh', 'haduh', 'kebanyakan', 'implentasi', 'bnyk', 'ikutan', 'program', 'org', 'gini', 'ngeselin', 'pdhal', 'menganggap', 'telkomsel', 'provider', 'good', 'the', 'best', 'indonesia', 'komplend', 'gpp', 'sbg', 'masukan', 'lbh', 'cermat', 'lbh', 'edukatif', 'jls', 'program', '']</t>
  </si>
  <si>
    <t>['celeng', 'aplikasi', 'celeng']</t>
  </si>
  <si>
    <t>['mntap', 'trus', 'promo', 'kece']</t>
  </si>
  <si>
    <t>['bagus', 'promo']</t>
  </si>
  <si>
    <t>['udah', 'pakai', 'telkomsel', 'blm', 'dpt', 'undian', 'beneran', 'undian', 'karna', 'blm', 'lihat', 'buktinya', '']</t>
  </si>
  <si>
    <t>['membeli', 'paket', 'internet', 'app', 'telkomsel', 'pembayaran', 'mengunakan', 'shopee', 'pay', 'saldo', 'berkurang', 'paket', 'internet', 'masuk']</t>
  </si>
  <si>
    <t>['mengunakanya']</t>
  </si>
  <si>
    <t>['telkomsel', 'membantu', 'komunikasi', 'disemua', 'area', 'indonesia']</t>
  </si>
  <si>
    <t>['kecepatan', 'internet', 'telkomsel', 'melemah', 'kalah', 'provider', 'kuning', 'hem', 'harga', 'paket', 'internet', 'telkomsel', 'mahal', 'dibanding', 'provider', 'mahal', 'doang', 'cepet', 'kaga', '']</t>
  </si>
  <si>
    <t>['isi', 'pulsa', 'kemarin', 'masuk']</t>
  </si>
  <si>
    <t>['mari', 'repot', 'telkom', 'sadar']</t>
  </si>
  <si>
    <t>['aplikasi', 'beli', 'paket', 'ribet', 'balikin', 'menu', 'call', 'dial', 'telkomsel', 'provider', 'bumn', 'bagus', 'ehh', '']</t>
  </si>
  <si>
    <t>['pembohongan', 'publik', 'kemaren', 'tgl', 'dpt', 'bonus', 'gb', 'penukaran', 'poin', '']</t>
  </si>
  <si>
    <t>['', 'banget', '']</t>
  </si>
  <si>
    <t>['combo', 'unlimited', 'telkomsel', 'promo', 'real', 'paket', 'multimedia', 'paket', 'utama', 'terkuras', 'batas', 'kadaluarsa', 'paket', 'multi', 'media', 'berkurang', 'nonton', 'vidio', 'maxtream', 'games', 'nyaman', 'ditipu']</t>
  </si>
  <si>
    <t>['woy', 'telkomsel', 'tolong', 'sinyal', 'tingkatkan', 'lgi', 'kuota', 'mahal', 'tpi', 'jaringan', 'jelek', 'kecewain', 'customer']</t>
  </si>
  <si>
    <t>['aplikasi', 'kerenn', '']</t>
  </si>
  <si>
    <t>['apkx', 'bagus']</t>
  </si>
  <si>
    <t>['jaringan', 'busuk', 'seputaran', 'kabupaten', 'siak']</t>
  </si>
  <si>
    <t>['aplikasinya', 'mantaaaap', 'bangeeeet', '']</t>
  </si>
  <si>
    <t>['kasi', 'bintang', 'jaringan', 'stabil', '']</t>
  </si>
  <si>
    <t>['tolong', 'min', 'jaringan', 'perbaiki', 'provider', 'termahal', 'jaringan', 'mengecewakan', '']</t>
  </si>
  <si>
    <t>['nyaman', 'tsel', 'prabayar', 'ganti', 'pasca', 'bayar', 'kecewa', 'banget', 'paketanya', 'mahal', '']</t>
  </si>
  <si>
    <t>['updte', 'mlu', 'mahal', 'pketannya']</t>
  </si>
  <si>
    <t>['bagus', 'bngt', 'cobain', '']</t>
  </si>
  <si>
    <t>['telkomsel', 'menjengkelkan', 'mahalnya', 'lhooo', 'ampun', 'kuota', 'tolong', 'kuota', 'tolong', 'diturunkan', 'harganya', 'perbaiki', 'signanya']</t>
  </si>
  <si>
    <t>['', 'telkomsel', 'memudahkan', 'pembayaran', 'menjangkau', 'wilayah', '']</t>
  </si>
  <si>
    <t>['bagus', 'sinyale']</t>
  </si>
  <si>
    <t>['kuota', 'murah', 'murah', 'mudah', 'cek', 'paket']</t>
  </si>
  <si>
    <t>['saldo', 'shopeepay', 'kepotong', 'paket', 'malam', 'aktif', 'telkomsel', 'penipu']</t>
  </si>
  <si>
    <t>['mantap', 'sinyalnya', 'tingkatkan', 'kualitasnya']</t>
  </si>
  <si>
    <t>['developer', 'telkomsel', 'poin', 'tuker', 'top', 'mobile', 'legend', 'poin']</t>
  </si>
  <si>
    <t>['', 'beli', 'paketan', 'pakai', 'dana', 'saldo', 'dana', 'terpotong', 'paketannya', 'masuk', 'tolong', 'proses']</t>
  </si>
  <si>
    <t>['terimakasih', 'telkomsel', 'pelanggan', 'beruntung', 'mahal', 'paket', 'bertahun', 'kartu', 'telkomsel', 'paket', 'masuk', 'promo', 'bertambah', 'mahal', '']</t>
  </si>
  <si>
    <t>['terima', 'kasih', 'mytelkomsel', 'bermampaat', 'berguna']</t>
  </si>
  <si>
    <t>['tingkatkan', 'kestabilan', 'jaringannya', 'semoga', 'telkomsel', 'sukses']</t>
  </si>
  <si>
    <t>['apk', 'kerennnnnn', 'skli', 'knp', 'liat', 'liat', 'bagus']</t>
  </si>
  <si>
    <t>['', 'dibuka']</t>
  </si>
  <si>
    <t>['parah', 'banget', 'jaringan', 'telkomsel', 'stabil', 'mending', 'kartu', 'sebelah', 'bagus', 'jelek', 'telkomsel']</t>
  </si>
  <si>
    <t>['pertahankan', 'leletnya', '']</t>
  </si>
  <si>
    <t>['mudah', 'menyenangkan']</t>
  </si>
  <si>
    <t>['semoga', 'tingkatkan', 'dlm', 'pelayanan']</t>
  </si>
  <si>
    <t>['jaringan', 'telkomsel', 'lemot', 'banget', 'buka', 'aplikasi', 'telkomsel', 'quota', 'halo', 'bln', 'telkomsel', 'diandalkan', 'berulang', 'kali', 'restart', 'ubah', 'ubah', 'mode', 'pesawat', 'lelah', 'jugalah', 'mulu', 'mohon', 'diperhatikan', '']</t>
  </si>
  <si>
    <t>['pokok', 'mantap']</t>
  </si>
  <si>
    <t>['pokoknya', 'urusan', 'lancar', 'posisi', 'dimana', 'situasi', '']</t>
  </si>
  <si>
    <t>['mohon', 'kartu', 'beli', 'update', 'paket', 'datanya', 'murahan', 'dikit', '']</t>
  </si>
  <si>
    <t>['mantap', 'mudah', 'aplikasi', 'telkomsal', 'beli', 'pulsa']</t>
  </si>
  <si>
    <t>['undian']</t>
  </si>
  <si>
    <t>['bermamfaat']</t>
  </si>
  <si>
    <t>['sumpah', 'cok', 'sinyal', 'gmn', 'min', 'harga', 'kuota', 'yak', 'mahal', 'kualitas', 'sinyal', 'benerin', 'yak', 'nunggu', 'bulanan', 'sinyal', 'mao', 'harga', 'kualitas', 'sinyal', 'donk', 'harga', 'mending', 'smarfren', 'telkomsel', 'jelek', 'banget', 'sinyal', 'rating', 'sinyal', 'telkomsel', 'jelek', 'banget', 'mending', 'smarfren', 'yak', 'telkomsel', 'yak', 'nyesel', 'beli']</t>
  </si>
  <si>
    <t>['jaringan', 'internet', 'buruk', 'bayar', 'mahal', 'mahal', 'sinyal', 'ilang', 'terimakasih']</t>
  </si>
  <si>
    <t>['cepat', 'peoses', 'jaring', 'cepat', '']</t>
  </si>
  <si>
    <t>['harga', 'paketnya', 'tergolong', 'mahal', 'semoga', 'kedepannya', 'ekonomis', '']</t>
  </si>
  <si>
    <t>['gratis', 'kali']</t>
  </si>
  <si>
    <t>['burun', 'donlod', 'biyar', 'kuota', 'geratis']</t>
  </si>
  <si>
    <t>['wwe', 'lite', 'andro', 'youtube', 'iso', 'arsip', 'terduga', 'kesalahan', 'data', 'kesalahan', 'data', 'kesalahan', 'data', 'kesalahan', 'data', 'kesalahan', 'data', 'kesalahan', 'data', 'kesalahan', 'data', 'kesalahan', 'data', 'kesalahan', 'data', 'kesalahan', 'data', 'kesalahan', 'data', 'kesalahan', 'data', 'kesalahan', 'data', 'kesalahan', 'data', 'kesalahan', 'data', 'kesalahan', 'data', 'kesalahan', 'data', 'kesalahan', 'data', 'kesalahan', 'data', 'kesalahan', 'data', 'kesalahan', 'data', 'kesalahan', 'data', 'kesalahan', 'data', 'kesalahan', 'data', '']</t>
  </si>
  <si>
    <t>['pulsanya', 'hoax', 'sms', 'pulsanya', 'hoax']</t>
  </si>
  <si>
    <t>['provider', 'bermasalah', 'kah', 'sya', 'main', 'game', 'online', 'ping']</t>
  </si>
  <si>
    <t>['kesini', 'telkomsel', 'kayak', 'sampah', 'jaringan', 'hilang', 'timbul', 'ngezoom', 'daring', 'jaringan', 'hilang', 'sumpah', 'telkomsel', 'sampah', 'kadang', 'suka', 'emosi', 'gara', 'telkom', 'kayak', 'sampah', '']</t>
  </si>
  <si>
    <t>['makasih', 'kemudahan', '']</t>
  </si>
  <si>
    <t>['skrg', 'telkomsel', 'buka', 'error', 'musti', 'bolak', 'download', 'ulang', 'ribet']</t>
  </si>
  <si>
    <t>['gampang', 'singkat']</t>
  </si>
  <si>
    <t>['sinyal', 'susah', 'mulu', 'sosmed', 'lancar', 'klw', 'game', 'susah', 'kek', 'arghhhhh']</t>
  </si>
  <si>
    <t>['keren', 'promo']</t>
  </si>
  <si>
    <t>['suka', 'nyedot', 'pulsa', 'orang']</t>
  </si>
  <si>
    <t>['tanks', 'pertahankan', 'kualitasnya', '']</t>
  </si>
  <si>
    <t>['mohon', 'maaf', 'mytelkomsel', 'mytelkomsel', 'pas', 'beli', 'kuota', 'kuota', 'masuk', 'pas', 'pesa', 'selamat', 'kuota', 'gb', 'kalu', 'kuota', 'beli', 'gb', 'pasya', 'kuota', 'gb', 'kuota', 'darurat', 'guwe', 'daftar', 'kuota', 'darurat', 'beli', 'kuota', 'gb', 'kuota', 'darurat', 'kebeli', 'otomatis', 'menyesal', 'tolong', 'baiki', 'mytelkomsel']</t>
  </si>
  <si>
    <t>['maaf', 'kecewa', 'kwalitas', 'sinyal', 'telkomsel', 'pilih', 'pakaivtelkomsel', 'karna', 'terkenal', 'kwslitas', 'sinyalnya', 'bagus', 'bukanya', 'mundur', 'kwalitasnya', 'tuk', 'area', 'kecamatan', 'gunungpati', 'semarang', 'campurejo', 'boja', 'tolong', 'perbaiki', 'kwalitas', 'sinyalnya', 'jng', 'cuman', 'harga', 'nomer', 'kwqlitqsnya', 'nomer', '']</t>
  </si>
  <si>
    <t>['moga', 'brio']</t>
  </si>
  <si>
    <t>['doakan', 'telkomsel', 'semoga', 'cepat', 'bangkrut', 'pegawainya', 'amanah', 'semoga', 'cepat', 'dikasih', 'azab', '']</t>
  </si>
  <si>
    <t>['pliss', 'banget', 'telkomsel', 'instal', 'udah', 'nge', 'lag', 'aplikasinya', 'pas', 'daftar', '']</t>
  </si>
  <si>
    <t>['telkomsel', 'nyaman', 'jaringan', 'nga', 'ragukan', 'lagih', 'poko', 'mantaf', '']</t>
  </si>
  <si>
    <t>['good', 'job', 'telkomsel', 'aplikasi', 'bagus']</t>
  </si>
  <si>
    <t>['termakasih', 'telkomsel', 'kartu', 'telkomsel', 'loop']</t>
  </si>
  <si>
    <t>['suka', 'pas', 'promo']</t>
  </si>
  <si>
    <t>['sulit', 'respon']</t>
  </si>
  <si>
    <t>['', 'deh', 'telkomsel']</t>
  </si>
  <si>
    <t>['suka', 'layanannya']</t>
  </si>
  <si>
    <t>['coba', 'gimana', 'beli', 'paketan', 'ngojol', 'dipake', 'vermuk', 'loading', 'pas', 'ganti', 'kartu', 'internet', 'orderan', 'langsung', 'masuk', 'coba', 'gimana', 'nunggu', 'orderan', 'main', 'lancar', 'mon', 'maap', 'gimana', 'woy', 'telkomsel', 'telkomsel', 'ngehe', '']</t>
  </si>
  <si>
    <t>['manyap', 'promo']</t>
  </si>
  <si>
    <t>['sinyal', 'mantap', '']</t>
  </si>
  <si>
    <t>['oke', 'mantap']</t>
  </si>
  <si>
    <t>['pulsa', 'dipakai', 'bonus', 'pls', 'langsung', 'pls', 'pakai', '']</t>
  </si>
  <si>
    <t>['alhamdulillah', 'jaringannya', 'semoga', 'kedepannya', 'terbaik', 'pelayanan', 'terbaik', 'ditelkomsel', '']</t>
  </si>
  <si>
    <t>['mudah', 'membantu']</t>
  </si>
  <si>
    <t>['mantap', 'semoga', 'menang', 'undian', 'telkomsel']</t>
  </si>
  <si>
    <t>['sukaaaa', 'krna', 'kuota', 'promo', '']</t>
  </si>
  <si>
    <t>['gada', 'telkomsel', 'mahal', 'doangg', 'sinyall', 'gapernah', 'lancarrrrrr', 'bikinnnnn', 'lostrekkkk', 'bikinnnn', 'ketinggalannnnn', 'eventtt']</t>
  </si>
  <si>
    <t>['heh', 'internetnya', 'jelek', 'kadang', 'bagus', 'kadang']</t>
  </si>
  <si>
    <t>['pasang', 'paket', 'nga', 'pasang', 'paket', 'kartu', 'aktif', 'paketnya', 'gimana', 'nfa', 'banget']</t>
  </si>
  <si>
    <t>['merspon', 'pelanggan']</t>
  </si>
  <si>
    <t>['aplikasi', 'bagus', 'membantu', 'terimamasih', 'telkomsel']</t>
  </si>
  <si>
    <t>['', 'pulsa', 'dipake', 'aplikasinya', 'kaya', 'sampah', '']</t>
  </si>
  <si>
    <t>['kecewa', 'krna', 'paketnya', 'sllu', 'berubah']</t>
  </si>
  <si>
    <t>['udah', 'langganan', 'malam', 'nyedot', 'pulsa', 'payah']</t>
  </si>
  <si>
    <t>['protes', 'manager', 'ceo', 'telkomsel', 'klu', 'promo', 'baca', 'ulang', 'meeting', 'ulang', 'tepatya', 'kaji', 'ulang', 'contoh', 'kartu', 'hnya', 'beli', 'paket', 'nelpon', 'sli', 'negri', 'hilangkan', 'lucu', 'byk', 'kluarga', 'hidup', 'indonesia', 'negri', 'lucu', 'pokonya', '']</t>
  </si>
  <si>
    <t>['enak']</t>
  </si>
  <si>
    <t>['diupdate', 'lemot', 'mohon', 'diperbaiki']</t>
  </si>
  <si>
    <t>['kalah', 'biru', 'udah', 'fitur', 'kontrol', 'pulsa', 'mah', 'udah', 'kuota', 'tetep', 'pulsa', 'kesedot', '']</t>
  </si>
  <si>
    <t>['kadang', 'leleet', 'kadang', 'kuota', 'kuota', 'yutub', 'media', 'sosial', 'pke', 'kuota', 'utama', 'trusss', 'tolong', 'perbaiki', 'sistem', 'buang', 'kuota', 'utama', '']</t>
  </si>
  <si>
    <t>['udah', 'pembelian', 'data', 'uang', 'udah', 'berhasil', 'data', 'nga', 'muncul']</t>
  </si>
  <si>
    <t>['gimana', 'nau', 'pakai', 'telkomsel', 'telkomsel', 'kouta', 'mahal', 'mahal', 'bintang', 'laris', 'turunin', 'harga', 'kouta', 'min', 'convid', 'kerjaan', 'tutup', 'nggak', 'penghasilan', 'uang', 'tolong', 'turunin', 'manusiakan', 'makan', 'nasi', 'otak', 'turunin', 'harga', 'please']</t>
  </si>
  <si>
    <t>['aplikasi', 'telkomsel', 'terbaru', 'oke', 'penampilan', 'warnanya', 'menarik', '']</t>
  </si>
  <si>
    <t>['bagus', 'membantu', 'maubelu', 'paket']</t>
  </si>
  <si>
    <t>['telkomsel', 'emg', 'keren']</t>
  </si>
  <si>
    <t>['bintang', 'telkomsel', 'berulang', 'kali', 'membeli', 'paket', 'gagal', 'aktivasi', 'paket', 'proses', 'jenis', 'paket', 'beli', 'hilang', 'beli', 'beli', 'jujur', 'kecewa', 'telkomsel', 'jaringan', 'memburuk', 'pindah', 'provider', 'kebih', 'telkom']</t>
  </si>
  <si>
    <t>['force', 'close', 'google', 'berhenti', 'telkomsel', 'berhenti', 'app', 'lainya', 'tolong', 'diperbaiki', '']</t>
  </si>
  <si>
    <t>['aplikasi', 'busuk', 'beli', 'paket', 'seharian', 'masuk', 'masuk', '']</t>
  </si>
  <si>
    <t>['lemotnya']</t>
  </si>
  <si>
    <t>['kartu', 'mahalnya', 'doang', 'jaringan', 'kaga', 'udah', 'beli', 'kecewain', 'sok', 'sokan', 'mahal', 'jaringan', 'minus', 'dasar', 'telkomsel', 'bersanging', 'kedepanya', 'harga', 'perusahaan', 'malu', 'ama']</t>
  </si>
  <si>
    <t>['kalok', 'paket', 'internet', 'pakek', 'paket', 'internet', 'jaangan', 'dikuras', 'jugak', 'pulsa', 'tolong', 'diperbaiki', 'pulsa', 'paket', 'internet']</t>
  </si>
  <si>
    <t>['top', 'promo', 'murah', 'donk']</t>
  </si>
  <si>
    <t>['simpati', 'telkomsel', 'merubah', 'kebijakan', 'memakan', 'pulsa', 'utama', 'pengguna', 'lupa', 'mempaketkan', 'pulsanya', 'paket', 'data', 'menonaktifkan', 'setingan', 'data', 'diponselnya', 'telkomsel', 'bumn', 'kadrun']</t>
  </si>
  <si>
    <t>['gimana', 'akses', 'akses', 'apk', 'pilihan', 'kuota', 'hadeuuhhhh']</t>
  </si>
  <si>
    <t>['alhamdulillah', 'memakai', 'telkomsel', 'komunikasi', 'lancar', 'pertahankan', '']</t>
  </si>
  <si>
    <t>['aplikasi', 'mempermudah', 'memlilih', 'paket', 'diambil', 'karna', 'tersedia', 'pilihannya', 'telkomsel', 'mudah', 'gampang', 'kalangan', '']</t>
  </si>
  <si>
    <t>['memesan', 'paket', 'darurat', 'aktif', 'takut', 'kejadian', 'tsb', 'terulang', 'uninstall', 'aplikasi', 'takut', 'sengaja', 'terpencet', 'tanoa', 'konfirmasi', 'pengaktifan']</t>
  </si>
  <si>
    <t>['niat', 'aplikasi', 'nyet', 'bangke', '']</t>
  </si>
  <si>
    <t>['paket', 'unlimited']</t>
  </si>
  <si>
    <t>['aplikasi', 'burik', 'bohong', 'aplikasi', 'membantu', '']</t>
  </si>
  <si>
    <t>['coba', '']</t>
  </si>
  <si>
    <t>['pilihan', 'datanya', 'mantap']</t>
  </si>
  <si>
    <t>['telkomsel', 'barusan', 'main', 'gem', 'sinyal', 'ngeleg', 'mulu', 'sempak', 'ngepus', 'rank', 'njir', 'sinyal', 'lag', 'mulu', 'bangsad', 'jarian', 'udh', 'bagus', 'kasih', 'bintang', '']</t>
  </si>
  <si>
    <t>['tolong', 'tingkatkan', 'kestabilan', 'jaringan', 'min', 'daerah', 'jawa', 'trims']</t>
  </si>
  <si>
    <t>['deh', 'pakai', 'telkomsel', 'internet', 'paket', 'internet', 'dimakan', 'pulsa', 'jaringan', 'internetnya', 'stabil', 'hilang', 'jaringan', 'proses', 'paketnya', 'rekomenin', 'deh', 'telkomsel', 'udah', 'nyusahin']</t>
  </si>
  <si>
    <t>['berkelas']</t>
  </si>
  <si>
    <t>['udah', 'beli', 'paket', 'paket', 'paket', 'unlinited', 'habis', 'beli', 'bukti', 'pembayaran', 'jugo', 'timbul']</t>
  </si>
  <si>
    <t>['combo', 'sakti', 'gb', 'hilang', 'ngga', 'daftar', 'paket', 'pindah', 'operator', 'sebelah', 'nyesel', 'uda', '']</t>
  </si>
  <si>
    <t>['bodoh', 'pulsaku', 'langsung', 'barusan', 'diisi', '']</t>
  </si>
  <si>
    <t>['dibaca', 'papua', 'proveder', 'telkomsel', 'sumpah', 'tuhan', 'ganti', 'kartunya', 'telkomtol', 'parahh', 'sinyal', 'ilang', 'gangguan', 'udah', 'gtu', 'harga', 'paketan', 'mencekik', 'niat', 'jaringan', 'niat', 'mending', 'bubarin', 'kasian', 'rakyat', 'kya', 'menengah', 'kebawah', 'daerah', 'papua', 'harga', 'paketan', 'mahal', 'pelayanan', 'abal', '']</t>
  </si>
  <si>
    <t>['aplikasi', 'sangay', 'membantu', 'bagus', '']</t>
  </si>
  <si>
    <t>['bagus', 'membantu', 'promo', 'combonya']</t>
  </si>
  <si>
    <t>['', 'tetep', 'halo', 'karna', 'sayang', 'nomer', 'udah', 'dri', 'nonaktifkan', 'banget', 'sumpah', 'lemot', 'mahal', 'nyedotnya', 'cepet', 'pas', 'ikutan', 'undian', 'poin', 'kayak', 'prank', 'pemenangnya', 'ditampilkan', '']</t>
  </si>
  <si>
    <t>['mntap', 'aplikasi', 'sngt', 'membtu', 'skli']</t>
  </si>
  <si>
    <t>['mengisi', 'paket', 'semalam', 'telkomsel', 'saldo', 'kepotong', 'paket', 'masuk']</t>
  </si>
  <si>
    <t>['anak', 'dajal', 'babi', 'emang', 'daily', 'check', 'reset', 'apasi', 'monyet', '']</t>
  </si>
  <si>
    <t>['pointku', 'ditukar', 'heran', 'provider', '']</t>
  </si>
  <si>
    <t>['lake', 'telkomsel', 'pindah', 'im', 'pindah', 'telkomsel', 'kebanyakan', 'ulah', 'lemot', 'pulsa', 'kesedot', 'udah', 'paketin', 'masuk', 'aplikasi', 'telkomsel', 'eror', 'telkomsel', 'tumbang', 'bye']</t>
  </si>
  <si>
    <t>['susah', 'baim', 'mantap']</t>
  </si>
  <si>
    <t>['puas', 'pokonya']</t>
  </si>
  <si>
    <t>['mantap', 'paketnya', 'murahin', 'xxixi']</t>
  </si>
  <si>
    <t>['coba', 'dlu', 'bagus', 'kasih', 'bintang', '']</t>
  </si>
  <si>
    <t>['cashback', 'boong']</t>
  </si>
  <si>
    <t>['coba', 'aktipin', 'kode', 'gratisan', 'tlpon', 'sms', 'byr', 'rupiah', 'kode', 'nlpon', 'grtis', 'stlah', 'byr', 'grtis', 'sms', 'byr', 'mohon', 'aktipkan', '']</t>
  </si>
  <si>
    <t>['mimin', 'tolong', 'aplikasiny', 'bik', 'pengguan', 'telkimsel', 'nyaman', 'sampek', 'merugikn', '']</t>
  </si>
  <si>
    <t>['bingung']</t>
  </si>
  <si>
    <t>['kemajuan', 'jaringan', 'keren']</t>
  </si>
  <si>
    <t>['belom', 'dapet', 'hadiah', 'bintangy', 'belom', 'belom', 'dapet', 'makanan', 'hasil', 'poin']</t>
  </si>
  <si>
    <t>['jaringan', 'kartu', 'halo', 'lambat']</t>
  </si>
  <si>
    <t>['udah', 'beli', 'kuota', 'combo', 'sakti', 'pembayaran', 'lewar', 'shopeepay', 'internetnha', 'aktif', 'hubungi', 'suruh', 'hubungi', 'lavizydah', 'dihubungin', 'melayang']</t>
  </si>
  <si>
    <t>['penggalaman', 'kartu', 'telkomsel', 'aplikasinya', 'buruk', 'harga', 'promo', 'tersedia', 'hnya', 'pejabat', 'kualitas', 'jaringnnya', 'sngat', 'lelet', 'sngat', 'sarankn', 'mngunduh', 'apk', 'krna', 'hrga', 'promonya', 'luarbinasa', 'mahal', 'sekian', 'terima', 'kasih', 'salaaam', 'binjaaii', '']</t>
  </si>
  <si>
    <t>['murah', 'cepat']</t>
  </si>
  <si>
    <t>['harga', 'mahal', 'kapasitas', 'quota', '']</t>
  </si>
  <si>
    <t>['beli', 'paket', 'via', 'app', 'parahhhh']</t>
  </si>
  <si>
    <t>['aplikasi', 'mytelkomsel', 'versi', 'diakses', 'kuota', 'internet', 'versi', 'terbaru', 'pas', 'habis', 'kuota', 'apes', 'deh', 'mesti', 'ribet', 'sms', '']</t>
  </si>
  <si>
    <t>['jaringan', 'bagus', 'peningkatan', 'server', 'kususnya', 'daerah', 'kau', 'jangkauan']</t>
  </si>
  <si>
    <t>['bagus', 'banget', 'aplikasinya']</t>
  </si>
  <si>
    <t>['setan', 'telkomsel', 'sinyal', 'hilang', 'pilih', 'lokasi']</t>
  </si>
  <si>
    <t>['sekedar', 'masukan', 'penukaran', 'point', 'klik', 'hemat', 'point', 'dpt', 'telkomsel', 'transparan', 'undian', 'live', 'sia', 'sia', 'tukar', 'point', 'minimal', 'point', 'tukar', 'kuota', 'pelit', 'kuota', 'mahal', 'point', 'hadiah', 'tranparan', 'pengumuman', 'web', '']</t>
  </si>
  <si>
    <t>['miris', 'banget', 'kena', 'prankk', 'tross', 'tolong', 'perbaiki', '']</t>
  </si>
  <si>
    <t>['eror', 'trs', 'beli', 'kuota']</t>
  </si>
  <si>
    <t>['transaksi', 'lakukan', 'berhasil', 'kouta', 'masuk', 'tolong', 'banru', 'folow', '']</t>
  </si>
  <si>
    <t>['beli', 'paket', 'internet', 'telkomsel', 'ganguan', 'sistem', 'udah', 'minggu', 'beli', 'paket', 'pajak', 'mahal', 'ampunnn', 'telkomsel', 'bener', 'ngak', 'bermasyarakat', 'harga', 'paket', 'mahal', 'kualitas', 'sinyal', 'lelet', 'bobrok', 'ampunn', 'pehhhhh']</t>
  </si>
  <si>
    <t>['bsa', 'beli', 'paket', 'stiap', 'klik', 'beli', 'paket', 'slalu', 'tertera', 'kesalahan', 'sistem', 'silahkan', 'muat', 'ulang', 'telkomsel', 'sya', 'tinggalkan', 'thn', 'internet', 'sya', 'ulang']</t>
  </si>
  <si>
    <t>['tingkat', 'jaringan', 'internet', 'pelokeok', 'desa']</t>
  </si>
  <si>
    <t>['pulsa', 'byk']</t>
  </si>
  <si>
    <t>['bangke', 'pulsa', 'gue', 'terpotong', 'pakai', 'wifi', 'beli', 'paket', 'combo', 'sakti', 'gangguan', 'paket', 'engga', 'pulsa', 'dipotong']</t>
  </si>
  <si>
    <t>['maaf', 'bintanya', 'beli', 'paketan', 'susah', 'reload', 'trs', 'gmna', 'solusinya', 'yaaa', '']</t>
  </si>
  <si>
    <t>['signal', 'jelek', 'tolong', 'perbaiki', '']</t>
  </si>
  <si>
    <t>['beli', 'paket', 'habis', 'jam', 'gimana', 'telkom', '']</t>
  </si>
  <si>
    <t>['menyenangkan', 'info', 'update', 'promo', 'menarik']</t>
  </si>
  <si>
    <t>['telkomsel', 'mudah', 'cepat']</t>
  </si>
  <si>
    <t>['praktis', 'ribet']</t>
  </si>
  <si>
    <t>['beli', 'combo', 'sakti', 'jaringan', 'lelet', '']</t>
  </si>
  <si>
    <t>['terserah', 'beli', 'paket', 'loading']</t>
  </si>
  <si>
    <t>['aplikasi', 'tolol', 'beli', 'kuota', 'gopay', 'udah', 'kepotong', 'gopay', 'kuota', 'masuk', 'masuk', 'sampe', 'sekareng', 'chat', 'customer', 'servis', 'bot', 'aplikasi', 'ampas']</t>
  </si>
  <si>
    <t>['aplikasi', 'dibuka', 'nyedot', 'kuota', 'internet', 'spt', 'mendownload', 'hrs', 'force', 'close', 'bnr', 'berhenti', '']</t>
  </si>
  <si>
    <t>['kuota', 'omg', 'dibeli']</t>
  </si>
  <si>
    <t>['telkomsel', 'sinyal', 'kuat', 'bales', 'chat', 'sinyalnya', 'nyesel', 'ngisi', 'kuota', 'mahal', 'mahal', 'sinyal', 'leletnya', 'siput', '']</t>
  </si>
  <si>
    <t>['jaringan', 'buruk']</t>
  </si>
  <si>
    <t>['woi', 'prasaan', 'beli', 'pulsa', 'udah', 'abis', 'uda', 'paketkan', 'tulisan', 'maafcoba', 'kali', 'plis', 'tolong', 'benarkan', 'pelajar', 'daring', 'trganggu', '']</t>
  </si>
  <si>
    <t>['puas', 'telkom', 'jaringannya', 'buruk', 'main', 'game', 'ping', 'merah', 'udah', 'gitu', 'banget', 'jaringan', 'apapun', '']</t>
  </si>
  <si>
    <t>['jaringan', 'stabil', 'provider', 'indonesia', '']</t>
  </si>
  <si>
    <t>['jaringannya', 'internet', 'suka', 'ngilang', 'buka', 'aplikasi', 'mytelkomsel', 'kenceng', '']</t>
  </si>
  <si>
    <t>['aplikasi', 'sampah', 'reedem', 'point', 'dipersulit', 'mengunci', 'pulsa', 'kuota', 'habis', 'pulsa', 'langsung', 'tersedot', 'jarang', 'solusi', 'provider', 'termahal', 'menejemen', 'buruk', 'payah', '']</t>
  </si>
  <si>
    <t>['sprti', 'bnyk', 'beda', 'promo', 'realita', '']</t>
  </si>
  <si>
    <t>['telkomsel', 'donlot', 'aplikasi', 'hbes', 'donlot', 'kuota', 'ngk', 'hrs', 'donlot', 'lgi', 'babi', 'pembuat', 'aplikasi', 'ngabil', 'data', 'byk', 'donlot']</t>
  </si>
  <si>
    <t>['aplikasi', 'pembelian', 'paket', 'internet', 'error', '']</t>
  </si>
  <si>
    <t>['parahh', 'barusan', 'berhasil', 'beli', 'paket', 'internet', 'bayar', 'link', 'paket', 'internetnya', 'belom', 'aktif', 'sampe', 'telkomsel']</t>
  </si>
  <si>
    <t>['gua', 'beli', 'paket', 'kesalahan', 'sistem', 'mulu', '']</t>
  </si>
  <si>
    <t>['telkomsel', 'ngapain', 'ngasih', 'point', 'tukar', 'point', 'banyk', 'tukar', 'vocer', 'gb', 'gagal', 'point', 'sedng', 'nukar', 'cuman', 'butuh', 'point', 'ilang', 'pelanggan', 'woi', 'nipu', 'mulu']</t>
  </si>
  <si>
    <t>['hilang', 'sinyal', 'pas', 'daring', '']</t>
  </si>
  <si>
    <t>['mantap', 'pokoknya']</t>
  </si>
  <si>
    <t>['isi', 'paket', 'saldo', 'ovo', 'terpotong', 'masuk', 'masuk', 'chat', 'veronica', 'mesin']</t>
  </si>
  <si>
    <t>['aplikasi', 'berguna', 'beli', 'paket', 'saldo', 'potong', 'paket', 'masuk', 'nunggu', 'berhari']</t>
  </si>
  <si>
    <t>['paket', 'combo', 'sakti', 'max', 'akses']</t>
  </si>
  <si>
    <t>['beli', 'paket', 'mytelkomsel', 'bayar', 'pakai', 'linkaja', 'saldonya', 'terpotong', 'paket', 'datanya', 'masuk', 'kecewa', 'butuh', 'koneksi', 'internetnya', 'menghubungi', 'email', 'tindakan', 'saldo', 'kembalikan', 'pembelian', 'ulang', '']</t>
  </si>
  <si>
    <t>['buruk', 'error', 'pembelian', 'paket', 'internet', 'lancar', 'layanan', 'menu', 'aplikasi', 'berfungsi']</t>
  </si>
  <si>
    <t>['kecewa', 'aplikasi', 'beli', 'paket', 'aplikasi', 'taik']</t>
  </si>
  <si>
    <t>['lelet', 'merespon', 'beli', 'paket', 'internet', 'masuk', 'pulsa', 'kepotong', 'mahal', 'doang', 'tpi', 'kinerja', 'lelet']</t>
  </si>
  <si>
    <t>['keren', 'hadiahnya', 'fantastic', 'bangeet', '']</t>
  </si>
  <si>
    <t>['beli', 'paket', 'kesalahan', 'sistem']</t>
  </si>
  <si>
    <t>['maaf', 'min', 'kecewa', 'banget', 'udah', 'app', 'dibuka', 'sekedar', 'masukan', 'min', 'berguna', 'perbaiki', 'appnya', 'tipe', 'terkendala', 'apapun', 'pecuma', 'banget', 'gembar', 'gembor', 'promo', 'app', 'dibuka', 'restatlah', 'apalah', 'maaf', 'min', 'dianggap', 'abaikan', 'pelanggan', 'telkomsel', 'mytelkomsel', 'terima', 'kasih']</t>
  </si>
  <si>
    <t>['wow', 'aplikasi', 'bagus', '']</t>
  </si>
  <si>
    <t>['bagus', 'tingkatkan', 'kwalitas', 'signalnya', '']</t>
  </si>
  <si>
    <t>['beli', 'pulsa', 'bayar', 'muncul', 'pesan', 'maaf', 'kesalahan', 'system', 'diulang', 'msh', 'solution', '']</t>
  </si>
  <si>
    <t>['membantu', 'menyediakan', 'pilihan', 'pembelian', 'paket', 'promonya']</t>
  </si>
  <si>
    <t>['apk', 'bagus', 'mudah', 'tpi', 'kendala', 'link']</t>
  </si>
  <si>
    <t>['beli', 'paket', 'internet', 'combo', 'sakti', 'gb', '']</t>
  </si>
  <si>
    <t>['harga', 'mahal', 'kualitas', 'jaringan', 'abal', '']</t>
  </si>
  <si>
    <t>['menyukai', 'karna', 'simpel', 'mudah']</t>
  </si>
  <si>
    <t>['awas', 'paket', 'jebakan', 'abis', 'gb', '']</t>
  </si>
  <si>
    <t>['paket', 'data', 'ojol', 'all', 'operator', 'nelpon', 'data', 'aga', 'murah', 'diadakan']</t>
  </si>
  <si>
    <t>['sampah', 'butut', 'jaringan', 'ilang', '']</t>
  </si>
  <si>
    <t>['knpa', 'nda', 'beli', 'paketnya', 'cman', 'pulsaku', 'kepotong', '']</t>
  </si>
  <si>
    <t>['selamat', 'pagi', 'kak', 'pembelian', 'paket', 'data', 'masuk', 'malam', 'membeli', 'mytekomsel', 'pembayaran', 'melalu', 'shopeepay', 'paketan', 'senilai', 'masuk', 'saldo', 'berkurang', 'terimakasih', 'mohon', 'bantuannya', '']</t>
  </si>
  <si>
    <t>['pakai', 'telkomsel', 'pemancar', 'desa', 'terpencil', 'penduduk', 'pakai', 'jasa', 'telkomsel', 'tolong', 'adakan', 'pemancar', 'sinyalnya', 'genting', 'plantation', 'pasak', 'talawang', 'kapuas', 'barat', 'makasih']</t>
  </si>
  <si>
    <t>['tingkatkan', 'kualitasnya', 'aplikasi', 'mudah', 'orangtua', 'berumur', 'thn']</t>
  </si>
  <si>
    <t>['telkomsel', 'perbaiki', 'sistem', 'beli', 'paket', 'combo', 'sakti', 'max', 'beli', 'kesalahan', 'sistem']</t>
  </si>
  <si>
    <t>['pengguna', 'setia', 'dapet', 'harga', 'paketnya', 'murah', 'murah', 'kartu', '']</t>
  </si>
  <si>
    <t>['isi', 'pulsa', 'rb', 'kepake', 'paket', 'darurat', 'rb', 'cek', 'bener', 'sisa', 'rb', 'cek', 'menit', 'langsung', 'sisa', 'perak', 'berulang', 'kali', 'kejadian', 'data', 'aktif', 'bener', 'perampokan', 'halus', 'parah', 'banget', 'parah', 'banget', 'pesan', 'ditindaklanjuti', 'telkomsel', 'parah', 'banget']</t>
  </si>
  <si>
    <t>['telkomsel', 'tolong', 'jaringan', 'perbaiki', 'uang', 'pembeli', 'jaringan', 'urus', 'beli', 'mahal', 'mahal', 'jaringan', 'lelet', 'kalah', '']</t>
  </si>
  <si>
    <t>['telkomsel', 'gada', 'kemajuan', 'gitu', 'jelek', 'banget', 'kecepatan', 'jaringannya', 'setahun', 'paket', 'data', 'harganya', 'ngga', 'sepadan', 'kecepatannya', 'jelek', 'pol']</t>
  </si>
  <si>
    <t>['paket', 'internet', 'dibeli']</t>
  </si>
  <si>
    <t>['beli', 'paketan', 'via', 'ovo', 'saldo', 'berkurang', 'paketan', 'lapor', 'veronika', 'respon', 'kesekian', 'kali', 'telkomsel', 'kecewa', 'pelanggan', 'bangke', 'setaannnnnn', 'konfirmasi', '']</t>
  </si>
  <si>
    <t>['teman', 'terbaik']</t>
  </si>
  <si>
    <t>['bagus', 'apl']</t>
  </si>
  <si>
    <t>['kompatibel', 'android', '']</t>
  </si>
  <si>
    <t>['hey', 'telkomsel', 'semalem', 'beli', 'paket', 'combo', 'sakti', 'gb', 'harga', 'rb', 'pembayaran', 'shopepay', 'kuotanya', 'blm', 'masuk', 'semalam', 'smpe', 'udh', 'hubungi', 'ngebantu', 'gabisa', 'duit', 'balikin', 'rb', 'iklasin', 'rb', 'niat', 'beli', 'paket', 'duit', 'ilang', 'tolong', 'bantu', 'gmn', 'enaknya', 'selesaikan', '']</t>
  </si>
  <si>
    <t>['jaringannya', 'kecewa', '']</t>
  </si>
  <si>
    <t>['bagus', 'mengapresiasi', 'keluhan', 'konsumen']</t>
  </si>
  <si>
    <t>['tolong', 'sinyal', 'stabil', 'pas', 'push', 'rank', 'suka', 'ngelag', 'tower', 'telkomsel', 'disamping', 'rumah', 'ngelag', 'pas', 'war', 'sinyal', 'suka', 'merah', 'mulu', 'tolong', 'diperbaiki', '']</t>
  </si>
  <si>
    <t>['lumayan', 'bantu', 'internet', 'fungsinya', 'sayang', '']</t>
  </si>
  <si>
    <t>['kali', 'update', 'beli', 'paket', 'tulisan', 'ulangi', '']</t>
  </si>
  <si>
    <t>['udah', 'nggak', 'undian', 'maaf']</t>
  </si>
  <si>
    <t>['kuota', 'gb', 'dipakai', 'sosial', 'media', 'pulsa', 'hilang', '']</t>
  </si>
  <si>
    <t>['simpel', 'bagus', 'mudah']</t>
  </si>
  <si>
    <t>['kabar', 'kabel', 'optik', 'bwh', 'laut', 'tsel', 'berfungsi', 'normal', '']</t>
  </si>
  <si>
    <t>['alhamdulilah', 'era', 'digital', 'telkomsel', 'maju', 'terdepan', 'mensuport', 'technology', 'langit', 'indonesia', 'maju', 'yan', 'ber', 'wawasan', 'technology', '']</t>
  </si>
  <si>
    <t>['tolong', 'diperbanyak', 'promo', 'internetnya']</t>
  </si>
  <si>
    <t>['bli', 'pket', 'data']</t>
  </si>
  <si>
    <t>['min', 'beli', 'paket', 'kuota', 'internet', 'metode', 'pembayaran', 'gopay', 'paket', 'kuota', 'internet', 'masuk', 'saldo', 'gopay', 'potong', 'tertipu']</t>
  </si>
  <si>
    <t>['bgus', 'promo', 'paket']</t>
  </si>
  <si>
    <t>['harga', 'mahal', 'jaringannya', 'stabil', 'main', 'game', 'mending', 'operator', 'axis', 'indosat', '']</t>
  </si>
  <si>
    <t>['berfungsi', 'membantu', 'murah', '']</t>
  </si>
  <si>
    <t>['update']</t>
  </si>
  <si>
    <t>['miris', 'telkomsel', 'kesini', 'jaringannya', 'lemot', 'harga', 'paketnya', 'mahal', 'cepetan', 'provider', 'sebelah', 'harga', 'paket', 'murah', 'murah', '']</t>
  </si>
  <si>
    <t>['memuaskan', 'udah', 'mahal', 'jaringan', 'lemot', 'eror', 'paket', 'internet', 'habis', 'langsung', 'main', 'sedot', 'pulsa', 'pemberitahuan', 'pemberitahuan', 'tekomsel', 'sms', 'pulsanya', 'habis', 'pulsa', 'habis', 'diumumkan', 'paket', 'internet', 'habis', 'lucu', 'tekomsel', 'nyari', 'untung', '']</t>
  </si>
  <si>
    <t>['kesal', 'gitu', 'hargai', 'donk', 'pelangganmu', 'sakiti', '']</t>
  </si>
  <si>
    <t>['aplikasi', 'bagus', 'pengguna', 'provider', 'telkomsel', '']</t>
  </si>
  <si>
    <t>['sinyal', 'dimana', 'adaaa', 'terbaikkk']</t>
  </si>
  <si>
    <t>['', 'kuota', 'keluarga', 'paket', 'utama', 'habis', 'kuota', 'multimedia', 'sisa', 'gb', 'kemarin', 'gb', 'berlaku', 'paket', 'tolong', 'perbaiki']</t>
  </si>
  <si>
    <t>['mencoba', 'pembelian', 'paket', 'dgetode', 'pembayaran', 'shopeepay', 'saldo', 'kepotong', 'paket', 'kunjung', 'masuk', 'nomor', 'laporan', 'via', 'bit', 'veronica', 'perbaikan', 'laporan', 'via', 'email', 'respon', 'mahal', 'pelayanan', 'nampaknya', 'sepadan', '']</t>
  </si>
  <si>
    <t>['telkomsel', '']</t>
  </si>
  <si>
    <t>['hey', 'telkomsel', 'beli', 'paketan', 'hey']</t>
  </si>
  <si>
    <t>['mengecewakan', 'isi', 'paket', 'mytelkomsel', 'pembayaran', 'dana', 'transaksi', 'berhasil', 'saldo', 'dana', 'terpotong', 'kouta', 'masuk', 'akun', '']</t>
  </si>
  <si>
    <t>['pulsa', 'isi', 'isi', 'paketan', 'jek', 'gb', 'pulsa', 'server', 'liat', 'isi', 'pulsa', '']</t>
  </si>
  <si>
    <t>['bagus', 'paket', 'murah', '']</t>
  </si>
  <si>
    <t>['ngisi', 'pulsa', 'ribu', 'pas', 'buka', 'aplikasi', 'hilang', 'ribu', 'tolol']</t>
  </si>
  <si>
    <t>['tukar', 'pulsa', 'nggak', 'poinnya']</t>
  </si>
  <si>
    <t>['update', 'login', 'manual', 'bayar', 'pembelian', 'paket', 'kesalahan', 'sistem', 'hapus', 'aplikasi', 'kesulitan']</t>
  </si>
  <si>
    <t>['update', 'beli', 'paket', 'sistem', 'error', 'sebellll', 'deh', '']</t>
  </si>
  <si>
    <t>['pengguna', 'tergantung', 'sosialisasi', 'nyataan', '']</t>
  </si>
  <si>
    <t>['telkomsel', 'singnal', 'bagus', 'manapun', '']</t>
  </si>
  <si>
    <t>['beli', 'paketan', 'kadang', 'fail', 'terusss']</t>
  </si>
  <si>
    <t>['paket', 'combo', 'sakti', 'paket', 'ceria', 'hilang', 'beli', 'malas', 'telkomsel', '']</t>
  </si>
  <si>
    <t>['telkomsel', 'yaaa', 'beli', 'paket', 'data', 'pembayaran', 'berhasil', 'paket', 'datanya', 'masuk', 'kemaren', 'pulsa', 'suka', 'hilang', 'tertelan', 'bumi', 'kuota', 'banyakkkkk', 'dikomplen', 'jawabbbb', 'telkomsel', '']</t>
  </si>
  <si>
    <t>['aplikasi', 'tolol', 'beli', 'paket', 'kaga', 'masuk', 'ampe', 'kali', 'saldo', 'udh', 'kepotong', 'chat', 'telkomsel', 'bot', '']</t>
  </si>
  <si>
    <t>['mudah', 'aman', 'promo']</t>
  </si>
  <si>
    <t>['kasih', 'murah', 'bintangnya', '']</t>
  </si>
  <si>
    <t>['susah', 'beli', 'paket', 'aplikasi', 'paket', 'telkomsel', 'paket', 'nonton', 'doang', 'paket', 'bulanan', 'khusus', 'internet', 'telkomsel', 'mahal', 'internetnya', 'dibanding', 'payah', '']</t>
  </si>
  <si>
    <t>['telkomsel', 'mati', 'lampu', 'enak', 'main', 'game', 'busuk', 'kali', 'sinyal']</t>
  </si>
  <si>
    <t>['menarik', 'terimaksih', 'hadiah', 'hadiah', 'menarik', 'semoga', 'beruntung']</t>
  </si>
  <si>
    <t>['anjirrrrrrrrrrrr', 'download', 'disuruh', 'masukin', 'nomor', 'coba', 'masukin', 'nomor', 'nggak', 'udah', 'bener', 'isi', 'tanda', 'merah', 'disuruh', 'ngulang', 'gimana', '']</t>
  </si>
  <si>
    <t>['gangguan', 'eror', 'dll']</t>
  </si>
  <si>
    <t>['undian', 'poin', 'telkomsel', 'nyata', '']</t>
  </si>
  <si>
    <t>['option', 'internet', 'rb']</t>
  </si>
  <si>
    <t>['komentar', 'pelanggan', 'telkomsel', 'kekecewaan', 'baca', 'hadehhh', 'bangga', 'akibatnya', 'kecewakan', 'utamakan', 'kenyamanan', 'pelanggan', '']</t>
  </si>
  <si>
    <t>['parah', 'telkomsel', 'jaringan', 'lemot', 'lancar', 'kaya', 'paket', 'habis', 'pulsa', 'kesedot', 'paket', 'habis', 'pemberitahuan', 'pulsa', 'kesedot', 'paraaaaaaahhhhhhhhh']</t>
  </si>
  <si>
    <t>['jarang', 'buka', 'males', 'buka', 'disuruh', 'memperbaruhi', 'dipaksa', 'penilaian', 'ulasan', '']</t>
  </si>
  <si>
    <t>['telkomsel', 'mohon', 'maaf', 'pulsa', 'hilang']</t>
  </si>
  <si>
    <t>['memuaskan', 'fitur']</t>
  </si>
  <si>
    <t>['weeeee', 'kesalahan', 'sistem', 'rencana', 'beli', 'paket', 'app', 'murah', 'kebeli', 'hadehhhh', 'beli', 'voucher', 'mahal', 'rebu', 'beruntung', 'ribuan', '']</t>
  </si>
  <si>
    <t>['jos', 'mantap', 'pokoknya']</t>
  </si>
  <si>
    <t>['pelayanan', 'membantu', 'konsumen']</t>
  </si>
  <si>
    <t>['pembelian', 'pulsa', 'paket', 'data', 'mudah', '']</t>
  </si>
  <si>
    <t>['buka', 'aplikasi', 'update', 'pdhal', 'download', 'tolong', 'diperbaiki', '']</t>
  </si>
  <si>
    <t>['mantap', 'telkomsel', 'tampilannya', 'mudah', 'simple']</t>
  </si>
  <si>
    <t>['aplikasi', 'mudah', 'interaktif']</t>
  </si>
  <si>
    <t>['beli', 'pulsa', 'ribu', 'gakmasuk', 'saldo', 'link', 'potong', 'beli', 'ribu', 'saldo', 'link', 'potong', 'pulsa', 'masuk', '']</t>
  </si>
  <si>
    <t>['puas', 'kartu', 'halo', 'telkomsel']</t>
  </si>
  <si>
    <t>['paket', 'kuota', 'beli', 'daftar', 'paket', 'mahal', 'pulsa', 'rb', 'beli', 'promo', 'akses', 'ganti', 'provider', '']</t>
  </si>
  <si>
    <t>['wiw', 'mantap', 'apl', 'cepetan', 'download', '']</t>
  </si>
  <si>
    <t>['woi', 'udh', 'mahal', 'jaringannya', 'ssh', 'nonton', 'youtube', 'muter', 'mulu', 'buka', 'tiktok', 'nonton', 'story', 'main', 'game', 'turun', 'mahal', 'harga', 'kuotanya', 'gb', 'skrng', 'gb', 'skrng', 'pandemi', 'cri', 'uang', 'ssh', 'mahalin', 'bodoh', 'dhlh', 'ngerti', 'cri', 'uang', 'ssh', 'tolong', 'mahal', 'mahal', 'jaringan', 'enak', 'gpp', 'mahal', 'jaringan', 'lemot', 'tolong', 'mahal', 'kuotanya', '']</t>
  </si>
  <si>
    <t>['mempermudah', 'membeli', 'paket', 'tawarkan', '']</t>
  </si>
  <si>
    <t>['aplikasi', 'provider', 'komplit', 'fungsi', '']</t>
  </si>
  <si>
    <t>['telkomsel', 'kawasanku', 'suka', 'hilang', 'hilang', 'sinyalnya', 'problem', 'nyaman', 'sekian', 'terimakasih', '']</t>
  </si>
  <si>
    <t>['banyakin', 'promo', 'love', 'simpati']</t>
  </si>
  <si>
    <t>['kartu', 'paket', 'murah', 'pakai', 'katu', 'menangis', 'indosiar']</t>
  </si>
  <si>
    <t>['mkah', 'telkomsel', 'smoga', 'jaya', 'kian', 'merakyat']</t>
  </si>
  <si>
    <t>['good', 'telkomsel']</t>
  </si>
  <si>
    <t>['maaf', 'kurangi', 'bintangnya', 'sinyal', 'suka', 'ngehank', 'menyebabkan', 'pulsa', 'utama', 'terpotong', 'otomatis', 'telkomsel', 'ikon', 'sinyal', 'penuh', 'berubah', 'penilaian', '']</t>
  </si>
  <si>
    <t>['sial', 'lansung', 'kesedot', 'habis', 'pulsa', 'gua', 'ngak', 'dpt', 'dipercaya', '']</t>
  </si>
  <si>
    <t>['setia', 'telkomsel', '']</t>
  </si>
  <si>
    <t>['semoga', 'telkomsel', 'putus', 'nyambung', 'kabelnya', 'salam', 'sehat', '']</t>
  </si>
  <si>
    <t>['mantap', 'membantu']</t>
  </si>
  <si>
    <t>['maaf', 'aplikasi', 'merugi', 'isi', 'paket', 'ngak', 'masuk', 'penipuan', 'aplikasi']</t>
  </si>
  <si>
    <t>['kecewa', 'kinerja', 'jaringan', 'telkomsel', 'menurun', 'customer', 'berani', 'bayar', 'mahal', 'jaringan', 'bagus', 'jaringan', 'buruk', '']</t>
  </si>
  <si>
    <t>['model', 'isi', 'paket', 'kom', 'gangguan', 'sampe', 'aneh']</t>
  </si>
  <si>
    <t>['isi', 'kuota', 'gb', 'knpa', 'masuk', 'kuota', 'udah', 'berhasil', 'pembayaran', 'isi', 'pulsa', 'masuk', 'pdahal', 'udah', 'kepotong', 'saldo', 'skrg', 'isi', 'rb', 'pulsa', 'masuk', 'kmna', 'woyyy', 'duit', 'ilang', 'masuk', 'kmna', 'pulsa']</t>
  </si>
  <si>
    <t>['telkom', 'eror']</t>
  </si>
  <si>
    <t>['memuskan']</t>
  </si>
  <si>
    <t>['bismillah', 'semoga', 'pemenang']</t>
  </si>
  <si>
    <t>['beli', 'paket', 'jam', 'saldo', 'berasil', 'potong', 'paket', 'aktif', 'telkomsel', '']</t>
  </si>
  <si>
    <t>['perasaan', 'eror', 'deh', '']</t>
  </si>
  <si>
    <t>['beli', 'paket', 'aplikasi', 'masuk', 'potong', 'saldo', 'hubungi', 'nyaut', 'bot']</t>
  </si>
  <si>
    <t>['bintang', 'bicara', '']</t>
  </si>
  <si>
    <t>['pengguna', 'semoga', 'aplikasi', 'bermanfaat']</t>
  </si>
  <si>
    <t>['pulsa', 'sedot', 'pemberitahuan', 'beli', 'kuota', 'malam', 'jam', 'pulsa', 'disedot', 'pemberitahuan', 'penjelasan', 'pelayanan', 'nilai', 'kecewa', 'pelayanan', 'telkomsel', 'penipu']</t>
  </si>
  <si>
    <t>['membantu', 'quota', 'sekarat']</t>
  </si>
  <si>
    <t>['mantul', 'pokok', '']</t>
  </si>
  <si>
    <t>['parah', 'telkomsel', 'beli', 'paket', 'kombo', 'bilangnya', 'pulsanya', 'pulsanya', 'pulsa', 'pulsa', 'horror', 'lihat', 'sistem', 'lihat', '']</t>
  </si>
  <si>
    <t>['telkomsel', 'jaringan', 'lemot', 'telkomsel', 'gpp', 'mahal', 'jaringan', 'bagus', 'kecewa', 'banget', 'jaringan', 'telkomsel', 'skrg', 'beralih', 'kuning', 'paket', 'murah', 'jaringan', 'bagus', 'perbaiki', 'lari', 'pelanggan', 'telkomsel', '']</t>
  </si>
  <si>
    <t>['lelet', 'buka', 'mytelkomsel', '']</t>
  </si>
  <si>
    <t>['mengecewakan', 'lelet', 'kuota', 'boros', 'unlimitied', 'kuota', 'utama', 'habis', '']</t>
  </si>
  <si>
    <t>['parah', 'sinyal', 'udah', 'kayak', 'harga', 'mahal', 'ngelag', 'parah', 'muter', 'mulu', 'kek', 'siput', 'kouta', 'abis', 'angus', 'terbaik', 'untung', 'lm', 'sinyal', 'nggak', 'udah', 'kartu', 'gua', 'patahin', '']</t>
  </si>
  <si>
    <t>['sinyal', 'kenceng', 'suara']</t>
  </si>
  <si>
    <t>['cocok', 'pakai', 'kartu', 'telkomsel', 'daerah', 'tinggal']</t>
  </si>
  <si>
    <t>['', 'kali', 'transaksi', 'pembayarn', 'via', 'shope', 'sukses', 'tsel', 'notif', 'sma', 'skli', 'transaksi', 'berhasil', 'lenyap', 'saldo', 'shopepay', 'payah', 'tsel', '']</t>
  </si>
  <si>
    <t>['lumayan', 'bermanfaat', 'kadang', 'sinyal', 'telkomsel', 'hilang', 'pakai', 'maen', 'game', 'online', 'lag', '']</t>
  </si>
  <si>
    <t>['kirain', 'update', 'bagus', 'jelek', 'suka', 'masuk', 'bilangin', 'koneksi', 'internet', 'data', 'aktiv', 'gimana', 'pdahal', 'pke', 'tsel', 'jaringan', 'apk', 'abal', 'abal', 'update', 'apk', 'efisien', 'teliti', 'pelanggan', 'puas', 'puas', 'senang', 'bagus', 'menguntungkan', '']</t>
  </si>
  <si>
    <t>['masuppp', 'membantu']</t>
  </si>
  <si>
    <t>['semoga', 'aplikasi', 'sukses', 'aplikasi', 'bermamfaat']</t>
  </si>
  <si>
    <t>['error', 'gabisa', 'beli', 'kuota', 'pembayaran', 'shopeepay', 'dibatasi', 'minimum', 'pembelian', '']</t>
  </si>
  <si>
    <t>['gereget', 'make', 'telkomsel', 'skrg', 'sumpah', 'gamer', 'ancur', 'rank', 'main', 'provider', 'udh', 'emosi', 'telkomsel', 'skrg', 'udh', 'beralih', 'provider', 'bayangin', 'coba', 'emosi', 'game', 'eehh', 'jaringan', 'ilang', 'sumpah', 'kacau', 'telkomsel']</t>
  </si>
  <si>
    <t>['gagal', 'membeli', 'paket', 'internet']</t>
  </si>
  <si>
    <t>['membntu']</t>
  </si>
  <si>
    <t>['sukses', 'telkomsel']</t>
  </si>
  <si>
    <t>['diperbaiki', 'jaringan', '']</t>
  </si>
  <si>
    <t>['', 'jaringan', 'busuk', 'kuota', 'daftar', 'pulsanya', 'kepotng', '']</t>
  </si>
  <si>
    <t>['mantap', 'semangat', 'jaya', 'kasih', 'donk', 'skali', 'skali', 'kalimantan', 'undian', 'hepi', 'pulau', 'jawa', 'trus', 'trimakasih', '']</t>
  </si>
  <si>
    <t>['tinggal', 'kota', 'jaringan', 'lemot', 'kayak', 'siput']</t>
  </si>
  <si>
    <t>['mudah', 'peroses']</t>
  </si>
  <si>
    <t>['pembayaran', 'link', 'gagal', 'shoope', 'gagal', 'saldo', 'terpotong', 'data', 'terkirim', 'mohon', 'ditindaklanjuti']</t>
  </si>
  <si>
    <t>['assalamualaikum', 'min', 'paket', 'masuk', 'beli', 'beli', 'kali', 'gb', 'via', 'gopay', 'paket', 'masuk', 'admin', '']</t>
  </si>
  <si>
    <t>['pulsa', 'diisi', 'promo', 'nongol', 'giliran', 'diisi', 'ilang', 'simpati', 'simpati', 'phpin', 'coustamer', 'ditinggal', 'gini', 'perbaiki', 'layanan', 'jaringan', 'parah', 'kasih']</t>
  </si>
  <si>
    <t>['beli', 'paket', 'data', 'gangguan', 'paksa', 'orang', 'pulsa', 'internetan']</t>
  </si>
  <si>
    <t>['lemot', '']</t>
  </si>
  <si>
    <t>['gimna', 'telkomsel', 'sya', 'beli', 'pket', 'internet', 'pembayan', 'lwat', 'shopeepay', 'saldonya', 'kepotong', 'tpi', 'kuotanya', 'msuk', 'blikin', 'saldo', 'sya', 'tod']</t>
  </si>
  <si>
    <t>['telkomsel', 'mantap']</t>
  </si>
  <si>
    <t>['harga', 'mahal', 'dbarengin', 'kualitas', 'sinyal', 'gangguan', '']</t>
  </si>
  <si>
    <t>['saran', 'ngisi', 'kuota', 'nunggu', 'sampe', 'abis', 'kuota', 'suka', 'sengaja', 'jaringan', 'dibikin', 'lemot', 'nyedot', 'pulsa', 'dikit', 'lumayan', '']</t>
  </si>
  <si>
    <t>['nyaman', 'mahal']</t>
  </si>
  <si>
    <t>['aplikasi', 'gaguna', 'pulsa', 'kesedot', 'error', 'beli', 'paket', 'data', 'mohon', 'diperbaiki', 'sistemnya', 'error', 'aplikasi', 'orang', 'pusing', '']</t>
  </si>
  <si>
    <t>['membantu', 'proses', 'pembangunan', 'indonesia']</t>
  </si>
  <si>
    <t>['beli', 'paket', 'youtube', 'masuk', 'kemana', 'duitnya', '']</t>
  </si>
  <si>
    <t>['knpa', 'sayah', 'setuap', 'tuker', 'poin', 'dapet', 'mulu', 'tenggang', 'krtu', 'syah', 'isi', 'nmbh']</t>
  </si>
  <si>
    <t>['kesuluruhan', 'puas', 'semoga', 'kedepan', '']</t>
  </si>
  <si>
    <t>['saldo', 'dana', 'terpotong', 'kuota', 'beli', 'masuk', 'tujuan', 'membeli', 'kuota', 'disuruh', 'nunggu', 'harian', 'taikk', '']</t>
  </si>
  <si>
    <t>['bug', 'tulisan', 'detail', 'paket', 'data', 'combo', 'sakti', 'karenakan', 'youtube', 'zoom', 'gantiin', 'parah', '']</t>
  </si>
  <si>
    <t>['woy', 'gimana', 'beli', 'paketan', 'mahal', 'mahal', 'masuk', 'saldo', 'ilang', 'gimana', 'tanggung', '']</t>
  </si>
  <si>
    <t>['hebat', 'blm', 'bayar', 'pakai', 'saldo', 'dana']</t>
  </si>
  <si>
    <t>['veronikanya', 'kaya', 'ngomong', 'bod', 'baca', 'udh', 'paham', 'pas', 'sambungkan', 'custumer', 'ditunggu', 'tunggu', 'custumernya', '']</t>
  </si>
  <si>
    <t>['cekin', 'ngulang', 'udah']</t>
  </si>
  <si>
    <t>['koq', 'hilang', 'layar', 'utama']</t>
  </si>
  <si>
    <t>['mytelkomsel', 'terbaik', 'pakai', 'telkomsel', 'komunikasi', 'keluarga', 'nyaman', 'lancar', 'trima', 'kasih', 'telkomsel']</t>
  </si>
  <si>
    <t>['kapok', 'kartu', 'halo', 'udh', 'batasin', 'pemakaian', 'berhenti', 'bkln', 'angus', 'kartunya', 'stres', '']</t>
  </si>
  <si>
    <t>['jelek', 'jaringan', 'jelek', 'harga', 'jelek', 'parah']</t>
  </si>
  <si>
    <t>['klualitas', 'aplikasi', 'buruk']</t>
  </si>
  <si>
    <t>['beli', 'kuota', 'ketenangan', 'utama', 'udh', 'beli', 'via', 'gopay', 'masuk', 'coba', 'masuk', 'saldo', 'gopay', 'berkurang', 'kuotanya', 'masuk']</t>
  </si>
  <si>
    <t>['mantulllll', 'bintang', 'bicara', '']</t>
  </si>
  <si>
    <t>['min', 'yaa', 'nomer', 'kode', 'verifikasi', 'nomer', 'telkomsel', 'kunjung', 'muncul']</t>
  </si>
  <si>
    <t>['pulsa', 'auto', 'terpakai', 'paketan', 'internet', 'masuk', 'menit', 'putus', 'internet', 'terpakai', 'pulsanya', 'tolong', 'telkomsel', 'rubah', 'kecewa', '']</t>
  </si>
  <si>
    <t>['tolong', 'dipertingkatkan', 'sinyal', 'jaringan', 'internet']</t>
  </si>
  <si>
    <t>['paket', 'nelfon', 'sebulan', 'kenaoa', 'ilangin']</t>
  </si>
  <si>
    <t>['bagus', 'sinyalnya', 'boross']</t>
  </si>
  <si>
    <t>['pelayanan', 'lambat']</t>
  </si>
  <si>
    <t>['parah', 'sinyal', 'mndingan', 'ayo', 'ganti', 'kartu', 'telkomsel', 'parah', 'sinyalnya']</t>
  </si>
  <si>
    <t>['setia', 'telkomsel', 'kelain', 'hati', 'dec', 'semoga', 'menang', 'undiannya', 'penggunaan', 'kartu', 'telkomsel', 'disetiap', '']</t>
  </si>
  <si>
    <t>['bonus', 'paket', 'unlimited', 'youtube', 'abis', 'berbatas', 'youtube', 'abis', 'hilang', 'bonua', 'youtube', 'cacat']</t>
  </si>
  <si>
    <t>['mah', 'ngadain', 'promo', 'disuruh', 'update', 'aplikasi', 'mytelkomsel', 'doang', 'sue', 'banget', 'hadiahnya', 'mah', 'kaya', 'sang', 'iya', 'dpt', 'mobil', 'brio', 'dpt', 'motor', 'cbr', 'dpt', 'ehh', 'nyuruh', 'update', 'trus', 'suruh', 'bayar', 'poin', 'sungguh', 'pelanggan', 'setia', 'telkomsel', 'thn', 'komen', '']</t>
  </si>
  <si>
    <t>['nangis', 'beli', 'paket', 'data', 'mahal', 'mahal', 'perkampungan', 'serasa', 'hutan', 'rimba', '']</t>
  </si>
  <si>
    <t>['ampe', 'sim', 'card', 'telkom', 'sel', 'non', 'telkom', 'sel', 'berdomisili', 'telkomsel', 'jelek', 'sinyalnya', 'aplikasi', 'kecepatan', 'signal', 'kota', 'tower', 'mohon', 'telkomsel', 'perbaikin', 'signal', 'telkomsel', 'bagus', 'skrg', 'laku', 'jelek', 'signalnya', 'burik', 'operator', 'byk', 'membohongi', 'konsumen', 'telkomsel', 'maju', 'konsumen', 'tolong', 'perbaiki', 'berbisnis', 'tolong', 'mengeruk', 'keuntungan']</t>
  </si>
  <si>
    <t>['telkomsel', 'babi', 'gue', 'beli', 'paket', 'mahal', 'sinyal', 'setabil', '']</t>
  </si>
  <si>
    <t>['suka', 'mytelkomsel']</t>
  </si>
  <si>
    <t>['bagus', 'layanannya']</t>
  </si>
  <si>
    <t>['app', 'membantu', 'terimakasih', '']</t>
  </si>
  <si>
    <t>['telkomsel', 'kayak', 'telkomsel', 'enak', 'speednya', 'kenceng', 'lemoottttnya', 'ampun', 'udah', 'paketannya', 'mahal', 'hadeh', '']</t>
  </si>
  <si>
    <t>['jaringan', 'telkomsel', 'lelet', 'banget', 'internet', 'susah', 'paket', 'data', 'sinyal', 'bagus', 'lelet', 'nyaman', 'pakek', 'telkomsel', 'pelanggan', 'telkomsel', 'setia', 'kecewa']</t>
  </si>
  <si>
    <t>['kacau', 'sinyale', 'bapuk', 'mati', 'lampu', 'sinyal', 'perasaan', 'kga', 'sinyal', 'ngelag', 'trus', 'kacauuuuuuuuuuuuuuuu']</t>
  </si>
  <si>
    <t>['sinyal', 'dimanapun']</t>
  </si>
  <si>
    <t>['', 'daerah', 'tower', 'telkomsel', 'mati', 'lampu', 'langsung', 'hilang', 'jaringan', 'wkwkwk']</t>
  </si>
  <si>
    <t>['membantu', 'mohon', 'telkomsel', 'bermurah', 'hati', 'dlm', 'promo', 'paket', 'combo', 'tlpn', 'murah', 'meriah', 'hehehe', 'usulan', '']</t>
  </si>
  <si>
    <t>['', 'kasih', 'bintang', '']</t>
  </si>
  <si>
    <t>['anyinngggg', 'telkomsel', 'mahal', 'bener', 'paket', 'kmrin', 'ambil', 'paket', 'ngambil', 'hilang', 'telkomsel', 'payah', '']</t>
  </si>
  <si>
    <t>['harga', 'paket', 'khusus', 'telkomsel', 'mahal', 'sesuai', 'kapasitas', 'tolong', 'harga', 'pket', 'datanya', 'turunin']</t>
  </si>
  <si>
    <t>['semoga', 'sinyal', 'lancar', 'jaya']</t>
  </si>
  <si>
    <t>['membantu', 'pelayanan']</t>
  </si>
  <si>
    <t>['kuota', 'mahal', 'dibanding', 'provider', 'payah', 'ditinggalin', 'pengguna', 'promo', 'nggak', 'promo', 'mahal', '']</t>
  </si>
  <si>
    <t>['sinyal', 'didlm', 'rumah', '']</t>
  </si>
  <si>
    <t>['mudah', 'dipakai', 'harga', 'murah', 'beli', 'paket', 'internet']</t>
  </si>
  <si>
    <t>['lemot', 'beli', 'paket', 'game', 'susah', 'konek', 'beli', 'kuota', 'combo', 'sakti', 'unlimited', 'bonus', 'kuota', 'multimedia', 'paket', 'utamanya', 'habis', 'bonusnya', 'jalan', 'dibedain', 'jaringan', 'utama', 'ama', 'bonus', 'serasa', 'ditipu']</t>
  </si>
  <si>
    <t>['jaringan', 'kek', 'gimana', 'susah', 'paket', 'sebulan', 'kesel', 'gua', 'apapun', 'doangan', 'susah', 'ampun', 'tolong', 'perbaiki', 'ngirim', 'doang', 'susah', 'gagal']</t>
  </si>
  <si>
    <t>['berpergian', 'kota', 'andalan', 'signal', 'telkomsel', 'terbaik', 'kepelosok', 'desa', '']</t>
  </si>
  <si>
    <t>['pelayanan', 'burukn', 'disuruh', 'nunggu', 'menelfon', 'perbaikan', 'hati', 'aktifkan', 'kuota', 'lokal', 'telkomsel', 'kuota', 'lokal', 'terdata', 'diaktifkan', 'daerah', 'berbeda', 'mengaktifkannya', 'kompensasi', 'alias', 'rugi', '']</t>
  </si>
  <si>
    <t>['jaringan', 'udh', 'jelek', 'banget']</t>
  </si>
  <si>
    <t>['jaringan', 'kek', 'babi', 'harga', 'kek']</t>
  </si>
  <si>
    <t>['mahal', 'doang', 'jaringan', 'lelet', 'kek', 'taiikk']</t>
  </si>
  <si>
    <t>['trimakasih', 'telkomsel', 'saku', 'kosong', 'ngak', 'kwatir', 'telkomsel', '']</t>
  </si>
  <si>
    <t>['telkomsel', 'kemudahan', 'informasi', 'produk', 'produk', 'telkomsel', 'bonus', 'pulsa', 'kuota', 'promo', 'promo', 'telkomsel']</t>
  </si>
  <si>
    <t>['susah']</t>
  </si>
  <si>
    <t>['paket', 'kuota', 'internet', 'multimedia', 'alangkah', 'baiknya', 'kuota', 'multimedia', 'dipakai', 'menunggu', 'kuota', 'internet', 'hbs', 'pakai', 'kuota', 'multimedia', 'shg', 'kuota', 'internet', 'dipakai']</t>
  </si>
  <si>
    <t>['mantaaaaappp', 'transaksi', 'beli', 'paket', 'data', 'lbh', 'mudah', '']</t>
  </si>
  <si>
    <t>['bagus', 'aplikasi']</t>
  </si>
  <si>
    <t>['mudah', 'dimanapun', 'aplikasi', 'mytelkomsel']</t>
  </si>
  <si>
    <t>['luarbiasa', 'memuaskan']</t>
  </si>
  <si>
    <t>['halo', 'kak', 'admin', 'paket', 'flash', 'dihilangkan', 'knapa', 'pdahal', 'pket', 'favorit', 'terimakasih', '']</t>
  </si>
  <si>
    <t>['mantap', 'hemat', 'menghambur', 'hamburkan', 'uang', 'pokokke', 'menolong', 'this', 'appl', 'the', 'best']</t>
  </si>
  <si>
    <t>['login', 'berkali', 'kali', 'kuota', 'internet', 'lokalnya', 'engga', 'dipake', 'notifikasi', 'engga']</t>
  </si>
  <si>
    <t>['paket', 'doang', 'mahal', 'jaringan', 'jelek']</t>
  </si>
  <si>
    <t>['udah', 'pelaporan', 'sinyal', 'daerah', 'perubahan', 'nambah', 'buruk', 'jaringan', 'terluas', 'indonesia', 'hoax', 'laporan', 'konsumen', 'cepat', 'respon', 'iya', 'iya', 'tindakan', '']</t>
  </si>
  <si>
    <t>['jelek', 'sinyalnya', 'palet', 'data', 'mahal', 'sinyal', 'busuk', '']</t>
  </si>
  <si>
    <t>['kenyamanan', 'berinteraksi', 'mempedulikan', 'konsumen', 'kenyamanan', '']</t>
  </si>
  <si>
    <t>['telkomsel', 'mantulll', 'tingkat']</t>
  </si>
  <si>
    <t>['koneksi', 'cepat']</t>
  </si>
  <si>
    <t>['aplikasi', 'telkomsel', 'loding', 'roda', 'pedati', 'klw', 'bener', 'jngn', 'ganti', 'mending', 'beres', 'tpi', 'paksain', 'udh', 'lma', 'smnjak', 'gnti', 'smpi', 'skrg', 'tpi', 'jwban', 'oprator', 'telkomsel', 'maaffff', 'terussss', 'bknnya', 'cepet', 'cari', 'solusinya']</t>
  </si>
  <si>
    <t>['sinyal', 'burik', 'memperbaiki']</t>
  </si>
  <si>
    <t>['coba', 'enak']</t>
  </si>
  <si>
    <t>['kak', 'dpt', 'poin', 'bgmn', 'pengisian', 'pulsa', 'bertahun', 'isi', 'poin', 'kmrn', 'penulisan', 'aplikasi', 'dpt', 'poin', 'membeli', 'pulsa', 'poin', 'beli', 'poin', 'tolong', 'dbantu', 'kak', 'kendala', 'tsb', '']</t>
  </si>
  <si>
    <t>['', 'maaf', 'mohon', 'pamit', 'hijrah', 'indosat', 'terimakasih', 'melayani', 'th', 'simpati', 'kartu', 'hallo', 'migrasi', 'kartu', 'hallo', 'pelayannya', 'mengecewakan', 'internet', 'lelet', 'putus', 'putus', 'data', 'pindahkan', 'matikan', 'bekukan', 'kartu', 'hallo', 'kekecewaan', 'dpt', 'ditolelir', 'wasalam', '']</t>
  </si>
  <si>
    <t>['sinyal', 'daerah', 'bandongan', 'magelang', 'jawa', 'sore', 'jeleknya', 'ampun', 'maen', 'game', 'sinyal', 'buruk', 'boro', 'boro', 'game', 'buka', 'youtube', 'nunggu', 'malem', 'jam', 'lancar', 'jam', 'sore', 'cuman', 'muter', 'muter', 'tolong', 'benerin', 'doank', 'smakin', 'sinyal', 'bagus', 'buruk', 'berkembang', 'teknologi', 'bagus', 'buruk', 'jawabannya', 'comen', 'cuman', 'baca', 'berkembang', 'bagus', '']</t>
  </si>
  <si>
    <t>['jaringan', '']</t>
  </si>
  <si>
    <t>['udah', 'aman', 'telkomsel', 'kuota', 'gb', 'habis', 'gitu', 'jarang', 'dirumah', 'pakai', 'wifi', 'gb', 'gb', 'habis', 'paraaahhh']</t>
  </si>
  <si>
    <t>['jaringanya', 'rusak', 'bisanya', 'jaringnya', 'udh', 'telkomsel', '']</t>
  </si>
  <si>
    <t>['pelanggan', 'setia', 'tpi', 'promo']</t>
  </si>
  <si>
    <t>['telkomsel', 'parah', 'sinyal', 'kadang', 'kadang', 'menghilang', 'tolong', 'donk', 'perbaikannya', 'pelanggan', 'telkomsel', 'kaya', 'gini', 'gimana', 'berkembang', 'sinyal', 'lag', 'hilang']</t>
  </si>
  <si>
    <t>['aplikasinya', 'bagus']</t>
  </si>
  <si>
    <t>['mencoba', 'apk', 'memuaskan', 'nggak', '']</t>
  </si>
  <si>
    <t>['kesini', 'sinyal', 'jelek', 'banget', 'mending', 'akses', 'sosmed']</t>
  </si>
  <si>
    <t>['kemudahan', 'isi', 'kuota']</t>
  </si>
  <si>
    <t>['sinyal', 'telkomsel', 'busuk', 'semenjak', 'insiden', 'kemaren', 'ngak', 'ganti', 'rugi', 'kemaren']</t>
  </si>
  <si>
    <t>['nyekek', 'rakyat', 'jelata', 'paketan', 'mahal', 'udah', 'paketan', 'combo', 'lol', '']</t>
  </si>
  <si>
    <t>['', 'ngerti']</t>
  </si>
  <si>
    <t>['apk', 'perbaiki', 'jarngan', 'perrbaiki', 'njing']</t>
  </si>
  <si>
    <t>['semoga', 'undian', '']</t>
  </si>
  <si>
    <t>['bagiq', 'telkomsel', 'membantu']</t>
  </si>
  <si>
    <t>['sinyal', 'telkomsel', 'kek', 'anjink']</t>
  </si>
  <si>
    <t>['membantu', 'terhubung', 'ewallet', '']</t>
  </si>
  <si>
    <t>['dasar', 'sampah', 'udah', 'mahal', 'jaringan', 'lelet', '']</t>
  </si>
  <si>
    <t>['aplksi', 'bagus']</t>
  </si>
  <si>
    <t>['sinyal', 'tsel', 'daerah', 'unstable', 'minggu', 'normal', 'tolong', 'solusinya']</t>
  </si>
  <si>
    <t>['mantap', 'bagus', 'rekomendasi', 'apk']</t>
  </si>
  <si>
    <t>['jelek', 'jaringan', 'pdhl', 'setia', 'pakai', 'telkomsel']</t>
  </si>
  <si>
    <t>['sinyalnya', 'tingktkan']</t>
  </si>
  <si>
    <t>['jaringan', 'telkomsel', 'jelek', 'udah', 'paketan', 'kouta', 'mahal', 'tetep', 'jelek', 'jaringan', 'suka', 'maen', 'game']</t>
  </si>
  <si>
    <t>['aktif', 'berubah', 'kali', 'aktivasi', 'kartu', 'aktif', 'internet', 'minggu', 'kmudian', 'cek', 'prank', 'gmana', '']</t>
  </si>
  <si>
    <t>['tolong', 'perbaiki', 'sinyal', 'anjim', 'kuotanya', 'tinggal', 'gb', 'sinyalnya', 'ngelag', 'cokk', 'main', 'game', 'sinyal', 'jelek']</t>
  </si>
  <si>
    <t>['aplikasi', 'bobrok', 'payah', 'mmberi', 'pelayann', 'maksimal', 'terkesan', 'bohong', 'belaka', 'nyampah', 'beli', 'paket', 'unlimited', 'sma', 'system', 'kuota', 'parah', 'pmbagian', 'kuotanya', 'habis', 'kuota', 'unlimitednya', 'free', 'apps', 'berjalan', 'parah', 'semenjak', 'pke', 'kartu', 'telkomsel', 'berkali', 'menerima', 'notif', 'sms', 'modus', 'undian', 'pinjaman', 'tagihan', 'dll', 'indikasi', 'penipuan', 'pelayanan', 'memuaskn', 'harap', 'pengguna', 'betah']</t>
  </si>
  <si>
    <t>['jadikan', 'telkomsel']</t>
  </si>
  <si>
    <t>['kwulitas', 'sampah', 'mahal', 'sinyal', 'sampah', 'game', 'selevel', 'game', 'little', 'big', 'snake', 'telkomsel', 'sanggup', 'jaringan', 'internet', 'lancar', 'bangsa', 'hantu', 'jin', 'jam', 'malam', 'semoga', 'pelanggan', 'pindah', 'operator', 'daerah', 'kartu', 'telkomsel', 'juluki', 'kartu', 'sultan', 'telkomsel', 'pelanggan', 'ngisi', 'perut', 'pelanggan', 'adukan', 'keluhan', 'telkomsel', 'mengerti', 'keluhan', 'baca', '']</t>
  </si>
  <si>
    <t>['update', 'aplikasi', 'bner', 'masuk', 'susah', 'udh', 'masukin', 'email', 'udh', 'nunggu', 'masuk', 'pulsa', 'rb', 'jaringan', 'wifi', 'knpa', 'sebabi', 'telkomsel', 'kesini', 'udh', 'bget', 'pke', 'telkomsel', 'kartu', 'sampe', 'pakai', 'layanan', 'kesini', 'butut', 'sesuai', 'harapan', 'sorry', 'bintang', 'aplikasi', 'terbaru', '']</t>
  </si>
  <si>
    <t>['jaringan', 'telkomsel', 'memuaskan', 'harga', 'paketnya', 'dompet', 'kering', 'push', 'rank', 'terbang', '']</t>
  </si>
  <si>
    <t>['harga', 'mahal', 'jaringan', 'bagus', 'liat', 'jaringan', 'kuning', 'bagus', 'kemana', 'sinyal', 'harga', 'murah', 'operator', 'nge', 'prank']</t>
  </si>
  <si>
    <t>['sinyal', 'terburuk', 'tahub', 'gini', 'gini', '']</t>
  </si>
  <si>
    <t>['jaringan', 'krennn', 'banget', 'sampe', 'muter', 'muter', 'liat', 'youtube', '']</t>
  </si>
  <si>
    <t>['ngajo', 'emang', 'jaringan', 'telkomsel', 'niat', 'perbaiki', 'jaringan', 'tebas', 'towernya', 'harga', 'paket', 'gua', 'jaringannya', 'ampun', 'prank', 'gua', 'udah', 'pakai', 'telkom', 'gua', 'kecewa', 'telkom', '']</t>
  </si>
  <si>
    <t>['cek', 'pulsa', 'udh', 'isi', 'pulsa', 'masuk', 'nihh', 'hadehhh', '']</t>
  </si>
  <si>
    <t>['', 'mytelkomsel', 'cepat', 'terima', 'kasih']</t>
  </si>
  <si>
    <t>['jos', 'bos', 'sinyalnya']</t>
  </si>
  <si>
    <t>['bagus', 'jaringan', 'papua', 'perbaiki', 'ngecek', 'pulsanya', 'susah', 'dpt', 'jaringannya', 'setahun', 'ngecek', 'pulsa', 'gampang', 'ditambah', 'internetnya', 'lelet', 'online', 'wfh', 'daring', 'anak', 'sekolah', 'tlg', 'bos', 'diperbaiki', 'jaringannya', 'kuat', 'jaringan', 'internetnya', '']</t>
  </si>
  <si>
    <t>['alhamdulillah', 'setia', 'telkomsel', 'nomor', 'tahunan', 'mudah', 'mudahan', 'bertahan', 'istiqomah', '']</t>
  </si>
  <si>
    <t>['mudah', 'akses']</t>
  </si>
  <si>
    <t>['ikhlas', 'lillahita', 'ala', 'makan', 'pulsa', 'haram', 'pulsa', 'kena', 'sedot', 'in', 'udah', 'seringgg', 'bangettt', 'disedot', 'bgstttt', '']</t>
  </si>
  <si>
    <t>['isi', 'pulsa', 'top', 'diamond', 'ultraman', 'legend', 'heroes', 'kayak', 'isi', 'pulsa', 'koin', 'gunanya', 'isi', 'pulsa', 'uang', 'asli']</t>
  </si>
  <si>
    <t>['telpon', 'kartu', 'telkomsel', 'penggunaan', 'kartu', 'telkomsel', 'menyenangkan', 'sinyalnya', 'kuat', 'jarang', 'gangguan', 'telkomsel', 'super', 'keren']</t>
  </si>
  <si>
    <t>['seneng', 'jaringan', 'simpati', 'tolong', 'bagusin', 'sinyallnya']</t>
  </si>
  <si>
    <t>['lemotttt', 'banget', 'sihhh', 'kecewa', 'telkomsel', '']</t>
  </si>
  <si>
    <t>['internet', 'aman', 'mahal', 'anak', 'sultan', 'ehehehe', '']</t>
  </si>
  <si>
    <t>['aksesnya', 'lambat']</t>
  </si>
  <si>
    <t>['knp', 'apk', 'telkomsel', 'susah', 'login', 'parahhhh', 'uninstal', 'byeee', 'telkomsel', '']</t>
  </si>
  <si>
    <t>['login', 'susah', 'susah', 'susah', 'karuan', 'aplikasi', 'belajar']</t>
  </si>
  <si>
    <t>['kirain', 'ngalami', 'jaringan', 'bener', 'ternya', 'byk', 'pengguna', 'ngalami', 'jaringan', 'lelet', 'emg', 'sekrg', 'sel', 'bermutu', 'layananya', 'tinggal', 'jkt', 'singal', 'tinggal', 'hutan', 'dpt', 'garis', 'doank', 'malu', 'temn', 'pke', 'operator', 'sebelh', 'kalah', 'ngebut', '']</t>
  </si>
  <si>
    <t>['duh', 'kecewa', 'paketan', 'telkomsel', 'udah', 'pilihan', 'paket', 'inernet', 'omg', 'kadung', 'isi', 'kaya', 'gini']</t>
  </si>
  <si>
    <t>['sangant', 'puas', 'harga', 'intrnet', 'murah', 'skrang']</t>
  </si>
  <si>
    <t>['paketan', 'murah', 'nihh', 'penurunan', 'kualitas', 'jaringan', 'daerah', 'overall', 'oke']</t>
  </si>
  <si>
    <t>['paket', 'telkomsel', 'mahal', 'promo', 'mahal', 'kartu']</t>
  </si>
  <si>
    <t>['sinyal', 'lemot', 'benerin', 'woy']</t>
  </si>
  <si>
    <t>['harga', 'paket', 'mahal']</t>
  </si>
  <si>
    <t>['senang', 'puas']</t>
  </si>
  <si>
    <t>['emang', 'sich', 'telkomsel', 'kadang', 'lemot', '']</t>
  </si>
  <si>
    <t>['aplikasinya', 'bermanfaat']</t>
  </si>
  <si>
    <t>['membantu', 'roming', 'jugs']</t>
  </si>
  <si>
    <t>['knp', 'uda', 'diperbarui', 'diperbarui', 'lgi', 'dibuka', 'tolong', 'gimana']</t>
  </si>
  <si>
    <t>['makiin', 'kesini', 'jaringan', 'telkomsel', 'parah', 'jelek', 'aplikasi', 'lancar', 'main', 'game', 'masaalloh', 'apk', 'sinyal', 'tolong', 'perbaiki', 'kenyamanan', 'pengguna']</t>
  </si>
  <si>
    <t>['mantappppp', 'sinyalnya', 'suka', 'lemot', 'dikit', 'main', 'game', 'suka', 'lag']</t>
  </si>
  <si>
    <t>['bagus', 'kadang', 'susah', 'dapetin', 'bonus', 'kusta', 'hadiah', '']</t>
  </si>
  <si>
    <t>['tinggal', 'siyal', 'jos', 'ujan']</t>
  </si>
  <si>
    <t>['paket', 'combo', 'sakti', 'kecewa']</t>
  </si>
  <si>
    <t>['mantap', 'pokok', 'namah']</t>
  </si>
  <si>
    <t>['transfer', 'kuota', 'bayar', 'hapus', 'layanan', 'transfer', 'kuota', '']</t>
  </si>
  <si>
    <t>['aplikasi', 'sistem', 'bermasalah', 'beli', 'paket', 'aplikasi', 'berguna']</t>
  </si>
  <si>
    <t>['jagan', 'lihat', 'bintang']</t>
  </si>
  <si>
    <t>['mantap', 'puas', 'menelp', 'trims']</t>
  </si>
  <si>
    <t>['paketan', 'data', 'mahal', 'perbaiki', 'pindah', 'indosat', 'murah', '']</t>
  </si>
  <si>
    <t>['perusahaan', 'gede', 'sinyal', 'jaringan', 'bsa', 'memperbaiki', 'parahhhhh', 'coba', 'sistemnya', 'perbaiki', 'jaringan', 'sinyal', 'ilang', 'diem', 'udah', 'berlarut', 'larut', 'perubahan', 'niat', 'kagak', 'provider']</t>
  </si>
  <si>
    <t>['gatau', 'isi', 'bingung', 'isi', 'karna', 'jarang', 'pakai', 'aplikasi', '']</t>
  </si>
  <si>
    <t>['aplikasi', 'pancet', 'top', 'pokoknya', 'jempoll']</t>
  </si>
  <si>
    <t>['sinyal', 'buruk', 'lelet', 'kayak', 'siput']</t>
  </si>
  <si>
    <t>['telkomsel', 'aneh', 'pelayananya', 'paket', 'kuota', 'nelpon', 'dipakai', 'nelpon', 'pulsa', 'hanguss', 'gimana', 'sihh', '']</t>
  </si>
  <si>
    <t>['sinyal', 'lemot', 'banget', '']</t>
  </si>
  <si>
    <t>['tolong', 'donk', 'kartu', 'udah', 'internetnya', 'mahal', 'orang', 'kartu', 'langsung', 'internetnya', 'murah', 'angka', 'bintang', 'internetnya', 'murah', 'terimah', 'kasih', '']</t>
  </si>
  <si>
    <t>['membantu', 'informatif', '']</t>
  </si>
  <si>
    <t>['masuk', 'susah', 'ampun', 'kirim', 'link', 'udh', 'klik', 'sampe', 'dkirim', 'link', 'ttp', 'masuk', 'hapus', 'pke', 'apk', 'beli', 'pulsa', 'kuota']</t>
  </si>
  <si>
    <t>['mantep', 'promo', 'nyah']</t>
  </si>
  <si>
    <t>['promo']</t>
  </si>
  <si>
    <t>['aplikasi', 'ttg', 'telkomsel']</t>
  </si>
  <si>
    <t>['bagus', 'mantap', '']</t>
  </si>
  <si>
    <t>['gunanya', 'aplikasi', 'kuota', 'ditawarkan', 'ttp', 'mahal', 'liat', 'postingan', 'org', 'ttg', 'penawaran', 'kuota', 'internet', 'lbh', 'murah', 'penawaran', 'penawaran', 'kuota', 'ribu', 'ribu', 'ribu', 'bagusan', 'uninstal', 'aplikasi', '']</t>
  </si>
  <si>
    <t>['paketny', 'murah', 'pelanggan']</t>
  </si>
  <si>
    <t>['oke', 'tolong', 'paket', 'data', 'jual', 'mahal', 'doong', 'semoga', 'harga', 'bersaing', 'vonder', 'murah', 'yaaaa', 'banyakin', 'bonus', 'pengguna', 'setia', 'memakai', 'produk', 'telkomsel', 'terbantu', 'komunikasi', 'terima', 'kasih', '']</t>
  </si>
  <si>
    <t>['mohon', 'diperbaiki', 'aplikasi', 'susah', 'masuk', 'reload', 'aplikasi', 'buddy']</t>
  </si>
  <si>
    <t>['telkomsel', 'sinyal', 'lemah', 'pelayanan', 'buruk']</t>
  </si>
  <si>
    <t>['mohon', 'penyesuaian', 'tawaran', 'paket', 'bonus', 'spesial', 'sms', 'tawaran', 'telkomsel', 'beli', 'paket', 'combo', 'internet', 'telpon', 'sms', 'dapatkan', 'extra', 'pulsa', 'ribu', 'ribu', 'sms', 'telpon', 'tsel', 'bingung', 'xtra', 'pulsa', 'terpakai', 'gua', 'beli', 'paket', 'combo', 'extra', 'pulsanya', 'terpakai', 'dikomsusi', 'paket', 'combonya', 'mending', 'dikasi', 'tawaran', 'bersifat', 'membodohi', 'pelanggan']</t>
  </si>
  <si>
    <t>['jaringan', 'maksa', 'kali', 'kau', 'pandai', 'jaringan', 'main', 'moga', 'kau', 'kebakara']</t>
  </si>
  <si>
    <t>['promo', 'paket', 'internet', 'murah', 'kak', '']</t>
  </si>
  <si>
    <t>['sinyalnya', 'lancar', 'game', 'high', 'ping']</t>
  </si>
  <si>
    <t>['mantap', 'dapet', 'promo', 'rb', 'telfn', 'sepuasnya', '']</t>
  </si>
  <si>
    <t>['jaringan', 'buruk', 'bantu', 'kemaren', 'normal', 'lemot', '']</t>
  </si>
  <si>
    <t>['beli', 'paket', 'telkomsel', 'gb', 'yutuban', 'pesan', 'paket', 'habis']</t>
  </si>
  <si>
    <t>['bye', 'bye', 'telkomsel', 'wajib', 'ganti', 'kartu', 'telkomsel', 'kesini', 'ancur', 'sinyalnya', '']</t>
  </si>
  <si>
    <t>['telkomsel', 'kouta', 'internet', 'kouta', 'lokal', 'kouta', 'sosmed', 'dipakai', 'sisanya', 'sayang', 'banget', 'kepake', 'mohon', 'gampang', 'wkwkwk', 'kam', 'okt', '']</t>
  </si>
  <si>
    <t>['kecewa', 'kesini', 'ancuur', 'yaa', 'servisnya', 'pembedaan', 'kuota', 'utama', 'kuota', 'multimedia', 'kuota', 'utama', 'speed', 'ampe', 'mbps', 'giliran', 'kuota', 'multimedia', 'lgsung', 'anjlok', 'mbps', 'bertahan', 'telkomsel', 'terbaik', 'tpi', 'kyak', 'gini', 'psti', 'kecewa', 'beli', 'paketan', 'mahal', 'warkop', 'lgi']</t>
  </si>
  <si>
    <t>['telkomsel', 'niat', 'kerja', 'jaringan', 'leg', 'bodooo']</t>
  </si>
  <si>
    <t>['perbaikan', 'kayak', 'sinyal', 'hilang', 'timbul', '']</t>
  </si>
  <si>
    <t>['apk', 'bagus']</t>
  </si>
  <si>
    <t>['telkomsel', 'emang', 'siip']</t>
  </si>
  <si>
    <t>['sekelas', 'telkomsel', 'ngasih', 'hadiah', 'kuota', 'gratisan', 'pelit', 'wkkwkw', 'hadiah', 'chekin', 'mnarik', 'sma', 'skli']</t>
  </si>
  <si>
    <t>['telkomsrl']</t>
  </si>
  <si>
    <t>['layanannya', 'jelek']</t>
  </si>
  <si>
    <t>['kecepatan', 'mantab', 'room', 'dalem', 'room']</t>
  </si>
  <si>
    <t>['keuntungan']</t>
  </si>
  <si>
    <t>['kanapa', 'login', 'sms', 'masuk']</t>
  </si>
  <si>
    <t>['spek', 'disuruh', 'hubungi', 'nggak', 'dilempar', 'mulu', 'trus', 'agennya', 'beda', 'cerita', 'trus', 'ganti', 'ribet', '']</t>
  </si>
  <si>
    <t>['mantab', 'instal', 'langsung']</t>
  </si>
  <si>
    <t>['mantap', 'kali', '']</t>
  </si>
  <si>
    <t>['mohonlah', 'telkomsel', 'dikit', 'pulsa', 'darurat', 'pdhal', 'nge', 'aktifkan', 'gini', 'trus', 'rugi', 'bisaw', 'beralih', 'kartu', '']</t>
  </si>
  <si>
    <t>['sungguh', 'kecewa', 'udah', 'pulsa', 'berkurang', 'abis', 'buka', 'app', 'mytelkomsel', 'buka', 'app', 'pakai', 'paket', 'data', 'operator', 'pakai', 'telkomsel', '']</t>
  </si>
  <si>
    <t>['turun', 'harga', 'internet', 'mahal', 'terimakasih']</t>
  </si>
  <si>
    <t>['bagus', 'hrg', 'dikartuku', 'mahal', 'kbingit', '']</t>
  </si>
  <si>
    <t>['mkasih', 'kuota', 'gratis', 'semoga', 'sukses', 'amin']</t>
  </si>
  <si>
    <t>['semoga', 'membantu']</t>
  </si>
  <si>
    <t>['', 'igin', 'membeli', 'data']</t>
  </si>
  <si>
    <t>['kartu', 'simpati', 'tuk', 'internetan', '']</t>
  </si>
  <si>
    <t>['lambat', 'aksesnya']</t>
  </si>
  <si>
    <t>['hidup', 'telkomsel', 'bonus']</t>
  </si>
  <si>
    <t>['nyesel', 'beribu', 'penyesalan', 'gua', 'nyoba', 'kartu', 'mending', 'im', 'gua', 'beli', 'kuota', 'lelet', 'ampun', 'kaya', 'gaada', 'kuota', 'nonton', 'youtube', 'susah', 'buka', 'facebook', 'kaya', 'mode', 'gratis', 'ngabisin', 'uang', 'beli', 'kuota', 'internet', 'jaringan', 'telkomsel', 'mending', 'gausah', 'buang', 'buang', 'duit', 'manfaatnya', 'kaya', 'gini', 'nyoba', 'udah', 'kecewa', 'gimana', 'hadeh', 'kalah', 'skrg', 'im', 'kartu', 'sultan', 'syl', 'kek', 'rakyat', 'jelata']</t>
  </si>
  <si>
    <t>['sinyal', 'busuk', 'gini', '']</t>
  </si>
  <si>
    <t>['super', 'lemot', 'apkikasinya', 'dibuka', 'loading', 'logo', 'suwiii', 'aplikasi', 'wus', 'wus', 'wus']</t>
  </si>
  <si>
    <t>['kecewa', 'banget', 'telkomsel', 'susah', 'banget', 'masuknya', 'dibuka', 'mohon', 'bantuanya', 'kasih', 'bintah', 'bener', 'tambahi', 'bintangnya']</t>
  </si>
  <si>
    <t>['kecewa', 'jaringan', 'telkomsel', 'lag', '']</t>
  </si>
  <si>
    <t>['jaringan', 'telkomsel', 'kabupaten', 'pekalongan', 'skrg', 'leg', 'parah', 'kaya', 'nyentuh', '']</t>
  </si>
  <si>
    <t>['', 'sinyal', 'buruk', 'nge', 'game', 'susah', 'bet', 'mahal', 'boros', 'koneksi', 'buruk']</t>
  </si>
  <si>
    <t>['knp', 'beli', 'paket', 'data', 'pulsa', 'cek', 'koneksi', 'jaringan', 'bagus']</t>
  </si>
  <si>
    <t>['perbaiki', 'perbaiki', 'harganya', 'tolong', 'turunin', 'kemahalan']</t>
  </si>
  <si>
    <t>['cepet', 'lumayan', 'mahal', 'tolong', 'harga', 'turunin', 'kuota', 'bulanannya', 'internetnya', 'memuaskan', 'terima', 'kasih', 'telkomsel']</t>
  </si>
  <si>
    <t>['aplikasi', 'membantu', 'memudahkan', 'memenuhi', 'kebutuhan', 'internet', '']</t>
  </si>
  <si>
    <t>['aplikasinya', 'top']</t>
  </si>
  <si>
    <t>['aplikasi', 'bermanfaat']</t>
  </si>
  <si>
    <t>['semoga', 'menang', 'amin', '']</t>
  </si>
  <si>
    <t>['dpat', 'pulsa', 'dowload', 'telkomsel', 'dowload', 'login', 'udh', 'notif', 'pesan', 'dpt', 'pulsa', 'cek', 'knp', 'pulsa', 'gmna', 'buang', 'kuota', '']</t>
  </si>
  <si>
    <t>['udh', 'diperbrui', 'dibuka', 'gmnnn', 'pyaahhhhhh', 'sinyl', 'susah', 'telkomsel', 'payaaaahhhh', 'pdhl', 'pke', 'mkin', 'ksini', 'lemoottt']</t>
  </si>
  <si>
    <t>['pembelian', 'gagal', 'alasan', 'pulsa', 'mencukupi', 'isi', 'ribu', 'paket', 'harga', 'ribuk']</t>
  </si>
  <si>
    <t>['suka', 'mengunakan', 'telkomsel']</t>
  </si>
  <si>
    <t>['buruk', 'banget', 'dipakai', 'aplikasinya', 'jelek', 'buka', 'aplikasi', 'keterangannya', 'aplikasi', 'telkomsel', 'terhenti', 'muat', 'ulang', 'alhasil', 'langsung', 'sendir', 'buka', 'aplikasi', 'beli', 'paket', 'pulsa', 'dll', 'parah', 'jelek', 'banget', 'aplikasinya', 'bagus', 'pelayanannya', 'buruk']</t>
  </si>
  <si>
    <t>['telkomselll', 'skrg', 'lemoooooooooooooooootttttttt', 'bgettttttt', 'paraaahhh', 'sinyal', 'nyaa', 'paketan', 'udh', 'mahalll', 'sinyal', 'lemooottt', 'paraahhh', 'kek', 'duluu', 'mhn', 'perbaiki', '']</t>
  </si>
  <si>
    <t>['semoga', 'nomer', 'dunia']</t>
  </si>
  <si>
    <t>['paket', 'langganan', 'hilangkan', 'kecewa', 'merasakan', 'puas']</t>
  </si>
  <si>
    <t>['murah']</t>
  </si>
  <si>
    <t>['telkomsel', 'bagus', 'jaringan']</t>
  </si>
  <si>
    <t>['oops', 'kesalahan', 'melulu', 'login']</t>
  </si>
  <si>
    <t>['paket', 'murah', '']</t>
  </si>
  <si>
    <t>['assalamu', 'alaikum', 'minn', 'gini', 'topupp', 'digamee', 'kann', 'nahh', 'topupp', 'dm', 'harganya', 'rb', 'teruss', 'isii', 'pulsa', 'rb', 'pas', 'beli', 'yangg', 'timbul', 'pulsa', 'mencukupi', 'silakah', 'isi', 'ulang', 'pulsa', 'coba', 'pulsa', 'gabisa', 'masuk', 'sms', 'maaf', 'sisa', 'pulsa', 'mencukupi', 'melakukann', 'transfer', 'pulsa', 'sisa', 'pulsa', 'transfef', 'pas', 'cek', 'normal', 'rb', 'knapaa', 'ganti', 'logo', 'telkomsel', 'jadii', 'kekginii', 'maaf', 'min', 'ksih', 'bntang', '']</t>
  </si>
  <si>
    <t>['mudah', 'membeli', 'paket', 'kuota', '']</t>
  </si>
  <si>
    <t>['mudah', 'byk', 'promo']</t>
  </si>
  <si>
    <t>['mantap', 'telkomsel', 'andelin', '']</t>
  </si>
  <si>
    <t>['maaf', 'merevisi', 'ulasan', 'aplikasi', 'telkomsel', 'apk', 'kebutuhan', 'produk', 'telkomsel', 'mudah', 'jangkau', 'isi', 'pulsa', 'paket', 'internet', 'kemudahan', 'tsb', 'jangkauan', 'signal', 'klaim', 'tercepat', 'terluas', 'indonesia', 'gimmick', 'merasakan', 'telkomsel', 'janjikan', 'maaf', 'jelek', 'terimakasih', 'mohon', 'evaluasi']</t>
  </si>
  <si>
    <t>['mudah', 'membeli', 'data']</t>
  </si>
  <si>
    <t>['bagus', 'aplikasinya', 'pelayanannya', 'bagus']</t>
  </si>
  <si>
    <t>['sistem', 'sibuk']</t>
  </si>
  <si>
    <t>['', 'anjg', 'anjg', 'sinyal', 'burik', 'nyesel', 'telkomsel']</t>
  </si>
  <si>
    <t>['ngerti', 'telkomsel', 'jaringan', 'turun', 'udah', 'reboot', 'ber', 'kali', 'kali', 'install', 'uninstall', 'mode', 'pesawat', 'mati', 'hidup', 'jaringan', 'bad']</t>
  </si>
  <si>
    <t>['nunggu', 'kode', 'otp', 'jelek', 'pokoknya']</t>
  </si>
  <si>
    <t>['fungsi', 'kegunaannya', 'memudahkan', 'pelanggan', 'telkomsel']</t>
  </si>
  <si>
    <t>['bagus', 'terkdang', 'kalanya', 'lemot']</t>
  </si>
  <si>
    <t>['bagus', 'mudah', 'kasi', 'bintnag']</t>
  </si>
  <si>
    <t>['buset', 'enak', 'banget', 'beli', 'apk']</t>
  </si>
  <si>
    <t>['karna', 'bintang']</t>
  </si>
  <si>
    <t>['mantepp', 'pokonya']</t>
  </si>
  <si>
    <t>['udah', 'download', 'telkomsel', 'pulsa', 'rb', 'gitu', 'download', 'zonk', 'kemarin', 'sms', 'telkomsel', 'upgrade', 'sim', 'card', 'kuota', 'gb', 'zonk', 'php']</t>
  </si>
  <si>
    <t>['profider', 'telkomsel', 'puas']</t>
  </si>
  <si>
    <t>['penggunaan', 'muda']</t>
  </si>
  <si>
    <t>['menyesal', 'udah', 'instal', 'aplikasi', 'kuota', 'multimedia', 'pikir', 'beli', 'kuota', 'daun', 'yaa']</t>
  </si>
  <si>
    <t>['sesuai', 'iklan']</t>
  </si>
  <si>
    <t>['koneksi', 'telkomsel', 'buruk']</t>
  </si>
  <si>
    <t>['murmer', 'emang', 'telkomsel', 'keren']</t>
  </si>
  <si>
    <t>['main', 'game', 'lelet', 'knp', 'sihhhhh', 'lelwt', 'trus', 'trus', 'gunanya', 'internet', 'terbagus', 'kayak', 'gini', '']</t>
  </si>
  <si>
    <t>['mahal', 'cuk', 'kouta', 'boros', 'bnget', '']</t>
  </si>
  <si>
    <t>['sinyalnya', 'gampang', 'ngadat', 'udah', 'paket', 'mahal', 'sinyal', 'ngelag', 'maen', 'game', 'jijik']</t>
  </si>
  <si>
    <t>['gua', 'rugi', 'ganti', 'telkomsel', 'prioritas', 'bagus', 'lemot', 'anjiiiiiiing']</t>
  </si>
  <si>
    <t>['yahh', 'telkomsel', 'lemot', 'bangedt', 'gede', 'paketannya', 'doank', 'tpi', 'sinyalnya', 'buruk', '']</t>
  </si>
  <si>
    <t>['bagus', 'bermanfaat', '']</t>
  </si>
  <si>
    <t>['instal', 'android', '']</t>
  </si>
  <si>
    <t>['membantu', 'aplikasinya']</t>
  </si>
  <si>
    <t>['bagus', 'saraan', 'banyakin', 'promo', 'donkk', 'laris']</t>
  </si>
  <si>
    <t>['telkomsel', 'bagus', 'jaringan', 'lemot', 'nyesal', 'isi', 'paket', 'telkomsel', '']</t>
  </si>
  <si>
    <t>['', 'dipake', 'nyesel', '']</t>
  </si>
  <si>
    <t>['blank', 'putih', 'masuk', 'menu', '']</t>
  </si>
  <si>
    <t>['kasih', 'coba', '']</t>
  </si>
  <si>
    <t>['aplikasi', 'sundal', 'jaringan', 'langsung', 'jelek', 'trus', 'pulsa', 'kesedot', 'jga', '']</t>
  </si>
  <si>
    <t>['masuk']</t>
  </si>
  <si>
    <t>['menyebalkan', 'dibuka', 'bisaaa', 'trusss', '']</t>
  </si>
  <si>
    <t>['bagus', 'menarik']</t>
  </si>
  <si>
    <t>['kecewa', 'telkomsel', 'update', 'masuk', 'update', 'menyesal', '']</t>
  </si>
  <si>
    <t>['kasih', 'bintang', 'download', '']</t>
  </si>
  <si>
    <t>['sinyal', 'turun', 'beli', 'paket', 'mahal', 'jaringan', 'lemot', 'maen', 'game', 'lagging', 'parah', 'sesuai']</t>
  </si>
  <si>
    <t>['jaga', 'kwalitas', '']</t>
  </si>
  <si>
    <t>['anjg', 'gua', 'bayar', 'paket', 'darurat', 'seharga', 'dihisap', 'tolong', 'kembalikan', 'pulsa', 'woy', '']</t>
  </si>
  <si>
    <t>['iya', 'sngt']</t>
  </si>
  <si>
    <t>['bagus', 'banyakin', 'promony', 'lgi', 'yaa']</t>
  </si>
  <si>
    <t>['asw', 'download', 'telkomsel', 'dpat', 'pulsa', 'rbu', 'pas', 'udh', 'download', 'smsnya', 'dpat', 'rbu', 'cek', 'kagak', 'kontollllllllllllll', '']</t>
  </si>
  <si>
    <t>['mohon', 'paket', 'internetnya', 'permurah', '']</t>
  </si>
  <si>
    <t>['telkomsel', 'penipu', 'paket', 'data', 'internet', 'sesuai', 'beli', 'paket', 'internet', 'swadaya', 'gojek', 'giga', 'minggu', 'udah', 'habis', 'pulsa', 'utama', 'sisa', 'ribu', 'habis', 'dimaling', 'telkomsel', 'anjiiir', 'susah', 'driver', 'tipu', 'mentah', '']</t>
  </si>
  <si>
    <t>['aplikasi', 'bermanfaat', 'suka']</t>
  </si>
  <si>
    <t>['bintang', 'coz', 'operasikan']</t>
  </si>
  <si>
    <t>['admin', 'admin', 'ngga', 'baca', 'komentar', 'komentar', 'pelanggan', 'diem', 'diem', 'bae', 'parah', 'telkomsel', 'ngakak', '']</t>
  </si>
  <si>
    <t>['mksh', 'telkomsel', 'layanan', 'senang', 'bahagia', 'jaringan', '']</t>
  </si>
  <si>
    <t>['aplikasi', 'telkomsel', 'membantu', 'kuota', 'internet']</t>
  </si>
  <si>
    <t>['aplikasi', 'bagus', 'membantu']</t>
  </si>
  <si>
    <t>['apk', 'bagus', 'banget']</t>
  </si>
  <si>
    <t>['terima', 'kasih', 'apk', 'mytelkomsel', 'membantu', 'mempermudahkan']</t>
  </si>
  <si>
    <t>['paket', 'internet', 'sakti', 'tersedia', 'paketan', 'internet', 'mahal', 'telkomsel', 'belek', 'singa', 'ng', 'harga', 'paket', 'internetnya', 'ngotak', 'mahalnya']</t>
  </si>
  <si>
    <t>['apk', 'bagusssss', '']</t>
  </si>
  <si>
    <t>['mencoba', 'semogo', 'yes']</t>
  </si>
  <si>
    <t>['', 'dlu', 'bagus', 'ksh', '']</t>
  </si>
  <si>
    <t>['ancur', 'karukaruan', 'harga', 'mahal', 'koneksi', 'lemot', 'alasan', 'digigit', 'hiu', 'perawatan', 'kepuasan', 'bayar', 'paket', 'data', 'pinjam']</t>
  </si>
  <si>
    <t>['mudah', 'mengerti']</t>
  </si>
  <si>
    <t>['sinyal', 'hilang', 'ampas']</t>
  </si>
  <si>
    <t>['kasih', 'bonus', 'sayactambah']</t>
  </si>
  <si>
    <t>['heh', 'telkomsel', 'skrng', 'lemot', 'banget', 'pelanggan', 'telkomsel', 'bayi', 'skrng', 'lemot', 'gini', 'dipakai', 'main', 'game', 'sinyalnya', 'merah', 'tolonglah', 'utamakan', 'kenyamanan', 'pelanggan', 'njeng']</t>
  </si>
  <si>
    <t>['jaringan', 'telkomsel', 'lemot', 'bnget', 'paket', 'bnyk', 'tolong', 'diperbaiki', 'mohon', 'ditinjau', 'tolong']</t>
  </si>
  <si>
    <t>['', 'aplikasi', 'telkomsel', 'update', 'terbaru', 'buka', 'aplikasi', 'blink', 'putih', 'aplikasi', 'gmn', 'beli', 'paket', '']</t>
  </si>
  <si>
    <t>['', 'promo', 'promo', 'mahal', 'mahal']</t>
  </si>
  <si>
    <t>['mudah', 'murah', 'cepat']</t>
  </si>
  <si>
    <t>['cepat', 'akses', 'internetnya']</t>
  </si>
  <si>
    <t>['pelanggan', 'setia']</t>
  </si>
  <si>
    <t>['tingkat', 'sinyal']</t>
  </si>
  <si>
    <t>['danncvkkk', 'knp', 'telkom', 'sempet', 'hapuss', 'playstore', 'skrg', 'muncul', 'padahl', 'jaringan', 'busuk', 'nekat', 'bertahan']</t>
  </si>
  <si>
    <t>['terima', 'kasih', 'semoga', 'jaya']</t>
  </si>
  <si>
    <t>['menang', 'undian', 'telsel', 'poin', 'puas', 'berharap', 'menang', 'nie', 'boss', 'menang', 'capek', 'menukar', 'persatu', 'poin', 'boss']</t>
  </si>
  <si>
    <t>['mahal', 'mahal', 'paketnya']</t>
  </si>
  <si>
    <t>['bagus', 'mytelkomsel']</t>
  </si>
  <si>
    <t>['suka', 'php', 'promo', 'apk', 'promo', 'sms', 'menggebu', 'isi', 'pulsa', 'eeehhh', 'giliran', 'diklik', 'maaf', 'ancoooor', 'bos', 'uninstal', '']</t>
  </si>
  <si>
    <t>['bermanfaat', 'terima', 'kasih', 'telkomsel', 'semoga', 'kedepannya', 'lagu']</t>
  </si>
  <si>
    <t>['didaerah', 'bandung', 'sinyal', 'lemof']</t>
  </si>
  <si>
    <t>['mudah', 'pilih', 'paket', 'internet', 'cek', 'pulsa']</t>
  </si>
  <si>
    <t>['tukar', 'poin', 'gagal', 'bot', 'mengirim', 'membantu']</t>
  </si>
  <si>
    <t>['mudah', 'cepat', 'gampang', 'terima', 'kasih', 'telkomsel', '']</t>
  </si>
  <si>
    <t>['simple', 'ribet', 'bagus', '']</t>
  </si>
  <si>
    <t>['', 'telkomsel', 'beli', 'paket', 'multimedia', 'kuota', 'utama', 'kena', 'multimedia', 'terpakai', 'tolong', 'diperbaiki', 'sistemnya', 'setia', 'pakai', 'telkomsel', 'tergeser', 'provider', 'penawarannya', 'indosat', 'mantap', 'bonusnya', 'murah', 'paket', 'internetnya', 'thx']</t>
  </si>
  <si>
    <t>['aplikasi', 'bagus', 'memuaskan']</t>
  </si>
  <si>
    <t>['alhamdulillah', 'paket', 'combo', 'paket', 'combo', 'mantap', 'bosku', 'paket', 'combo', 'hilang']</t>
  </si>
  <si>
    <t>['aplikasi', 'membantu', 'banget', '']</t>
  </si>
  <si>
    <t>['sinyal', 'lemot', 'suka', 'ubah', 'sinyal', 'kota', 'nyesel', 'paketan', 'telkomsel', 'game', 'putus', '']</t>
  </si>
  <si>
    <t>['aplikasi', 'memudahkan', 'pelanggan', 'telkomsel', '']</t>
  </si>
  <si>
    <t>['sinyal', 'telkomsel', 'kuota', 'mahal', 'jaringan', 'pakai', 'puasss', 'pulsa', 'kesedot', 'pas', 'hidupkan', 'data', 'ngelag', 'terusssssssssssssssssssssssssss']</t>
  </si>
  <si>
    <t>['koin', 'tukarkan', 'kuota', 'dasar', 'penipuan']</t>
  </si>
  <si>
    <t>['membantu', 'makasih']</t>
  </si>
  <si>
    <t>['mibil']</t>
  </si>
  <si>
    <t>['tolong', 'bantu', 'topup', 'dihotbuku', 'dapet', 'koin', 'email', 'masuk', 'pulsa', 'ketarik', 'komplen', 'email', 'sukses', 'pulsanya', 'hilang']</t>
  </si>
  <si>
    <t>['mantap', 'eko']</t>
  </si>
  <si>
    <t>['jaringannya', 'lemot', 'kaya', '']</t>
  </si>
  <si>
    <t>['jarang', 'promo', 'murah', 'sinyal', 'kenceng']</t>
  </si>
  <si>
    <t>['aplikasi', 'bagus', 'cepat', 'mudah']</t>
  </si>
  <si>
    <t>['provider', 'kntl', 'isi', 'pulsa', 'beli', 'paket', 'tpi', 'pulsanya', 'mencukupi', 'pas', 'cek', 'udh', 'berkurang', 'pulsnya', 'ilangnya', 'ntah', 'kemana', 'ng', 'banget', 'kejadian', '']</t>
  </si>
  <si>
    <t>['paket', 'multimedia', '']</t>
  </si>
  <si>
    <t>['kasih', 'fitur', 'pulsa', 'dikunci']</t>
  </si>
  <si>
    <t>['jaringan', 'buruk', 'paket', 'data', 'mahal', 'jaringan', 'akhlak']</t>
  </si>
  <si>
    <t>['menjangkau', 'negeri']</t>
  </si>
  <si>
    <t>['cepat', 'berkualitas']</t>
  </si>
  <si>
    <t>['apk', 'berguna']</t>
  </si>
  <si>
    <t>['puas', 'telkomsel', 'pilihan', 'pakeett']</t>
  </si>
  <si>
    <t>['combo', 'sakti', 'harganya', 'udah', 'gilaa', 'mahal', 'promo', 'muncul', 'paket', 'terbeli', 'kuota', 'boros', 'tolong', 'lahh', 'internet', 'sakti', 'gb', 'mudahan', 'langgen']</t>
  </si>
  <si>
    <t>['', 'telkomsel', 'memudahkan', 'hidupku', '']</t>
  </si>
  <si>
    <t>['harga', 'pembelian', 'paket', 'pengguna', 'telkomsel', 'berbeda', 'beda', 'internet', 'daerah', 'tangerang', 'lemot', 'tolong', 'donk', 'diperbaiki', 'pelayanannya', 'terima', 'kasih', '']</t>
  </si>
  <si>
    <t>['diskonnya', 'bosssss']</t>
  </si>
  <si>
    <t>['pembatasa', 'konsumsi', 'pulsa', 'pulsa', 'ilang']</t>
  </si>
  <si>
    <t>['bagus', 'simpel', 'puas', '']</t>
  </si>
  <si>
    <t>['aekaramg', 'telkomsel', 'sinyalnya', 'stabil', 'pelanggan', 'setia', 'kecewa', 'banget', 'sinyal', 'buruk', 'bayarnya', 'mahal', 'anyinggg']</t>
  </si>
  <si>
    <t>['aplikasi', 'kaya', 'asw', 'babi', 'dajjal', 'jaringan', 'ngeleg', 'yrs', 'asw']</t>
  </si>
  <si>
    <t>['paket', 'combo', 'unlimited', 'hilang', '']</t>
  </si>
  <si>
    <t>['blom', 'menang', 'semoga', 'rezeki', 'keluarga', 'kecilku', 'anak', 'allah']</t>
  </si>
  <si>
    <t>['bermasalh']</t>
  </si>
  <si>
    <t>['provider', 'terjelek', 'beli', 'paket', 'kuota', 'kora', 'berhasil', 'gagal', 'gagal', 'alhasil', 'pulsa', 'hilang', 'merugikan', 'coba', 'kayak', 'axis', 'sistem', 'lock', 'pulsa', 'kayak', 'provider', 'kapitaslis', 'coba', 'chat', 'veronika', 'banget', 'responnya', 'pekerja', 'telkomsel', 'melayani', 'jutaan', 'user', 'tpi', 'sistem', 'merugikan', 'bertanggung', 'hilangnya', 'pulsa', '']</t>
  </si>
  <si>
    <t>['mahal', 'lemot', 'area']</t>
  </si>
  <si>
    <t>['mudah', 'hadiah']</t>
  </si>
  <si>
    <t>['syekali']</t>
  </si>
  <si>
    <t>['gagal', 'diinstal', 'android', '']</t>
  </si>
  <si>
    <t>['apk', 'crash', 'menanggapi']</t>
  </si>
  <si>
    <t>['akun', 'perangkat', 'diikutsertakan', 'proses', 'penerimaan', 'hadiah', 'telkomsel', 'mohon', 'petunjuk', 'ucapkan', 'terimakasih', '']</t>
  </si>
  <si>
    <t>['blom', 'prnh', 'rasain', 'penukaran', 'poin', 'slma', 'thn']</t>
  </si>
  <si>
    <t>['harga', 'paket', 'internetnya', 'mahal', '']</t>
  </si>
  <si>
    <t>['tolong', 'harga', 'kuota', 'murahin', 'susah', 'cari', 'uang', 'gegara', 'covid', 'tolong', 'murahin', 'kuota', 'telkomsel', 'paket', 'ceria', 'gb', 'rb', 'jadiin', 'permanen', 'butuh', 'kuotanya', 'promo', 'bener', 'promo', 'habis', 'tanggal', 'segitu', 'udah', 'habis', 'duluan', 'tanggalnya', 'segitu', 'kecewa', 'banget']</t>
  </si>
  <si>
    <t>['memudahkan', 'proses', 'pembelian', 'internet']</t>
  </si>
  <si>
    <t>['perbanyak', 'promo', 'bonus']</t>
  </si>
  <si>
    <t>['kesini', 'jelek', 'sinyal', 'kuota', 'mahalin', 'sinyal', 'jelek', 'ganti', 'gua', 'sim', 'card', 'najis', 'nyaman', 'main', 'game', 'gua', 'beli', 'kuota', 'telkomsel', '']</t>
  </si>
  <si>
    <t>['nomor', 'meresahkan', 'pengguna', 'telkomsel', 'penipuan', 'modus', 'hadiah', 'mhn', 'laporan', 'ditindak', 'lnjuti']</t>
  </si>
  <si>
    <t>['donk', 'tipu', 'masak', 'tema', 'aplikasinya', 'kayak', 'bisah', 'gunakakan', 'halal', 'bisnis']</t>
  </si>
  <si>
    <t>['telkomsel', 'informasi', 'cepat', 'akurat', '']</t>
  </si>
  <si>
    <t>['akses', 'dimanapun', 'lancar']</t>
  </si>
  <si>
    <t>['proses', 'cepat', 'detik', 'sungguh', 'pelayanan', 'semoga', 'bekerjasama', 'melayani', 'pelanggan', 'mepertahan', 'mutu', 'kedepan', 'telkomsel', 'jaya']</t>
  </si>
  <si>
    <t>['telkomsel', 'slalu', 'hati']</t>
  </si>
  <si>
    <t>['update', 'melulu']</t>
  </si>
  <si>
    <t>['sangatt', 'membantu']</t>
  </si>
  <si>
    <t>['uji', 'coba', '']</t>
  </si>
  <si>
    <t>['kecepatan', 'internet', 'lelet']</t>
  </si>
  <si>
    <t>['trimakasi', 'telkomsel', 'sepantas', 'bintang']</t>
  </si>
  <si>
    <t>['telkomsel', 'taik', 'harga', 'paket', 'internet', 'mahal', 'kualitas', 'jaringan', 'murahan', 'parahnya', 'paket', 'midnight', 'buka', 'internet', 'jam', 'midnight', 'paket', 'internet', 'terpotong', 'paket', 'multimedia', 'kecewa', 'berat']</t>
  </si>
  <si>
    <t>['good', 'membantu', '']</t>
  </si>
  <si>
    <t>['', 'bagus']</t>
  </si>
  <si>
    <t>['bagus', 'isinya', 'informatif', 'mudah', 'dipakai']</t>
  </si>
  <si>
    <t>['aplikasi', 'membantu', 'komunikasi', 'pengguna', 'telkomsel']</t>
  </si>
  <si>
    <t>['pulsa', 'gua', 'udh', 'kesedot', 'trs', 'belinya', 'susah', 'gua', 'udh', 'kirim', 'pesan', 'email', 'maunya', 'apasi', '']</t>
  </si>
  <si>
    <t>['', 'pakai', 'yaa', 'boas']</t>
  </si>
  <si>
    <t>['jaringan', 'stabil']</t>
  </si>
  <si>
    <t>['mengecewakan', 'bayar', 'sinyal', 'jelek', 'promo', '']</t>
  </si>
  <si>
    <t>['murah', 'murah', 'cepat', 'terjangkau']</t>
  </si>
  <si>
    <t>['aplikasi', 'gangguan', 'min', 'beli', 'paket']</t>
  </si>
  <si>
    <t>['inti', 'suka']</t>
  </si>
  <si>
    <t>['pengaturan', 'notifikasi', 'akurat', '']</t>
  </si>
  <si>
    <t>['jaringannnya', 'bagus', 'walaipin', 'bawa', 'pelosok', 'desa', '']</t>
  </si>
  <si>
    <t>['sinyal', 'diperbaiki']</t>
  </si>
  <si>
    <t>['cocok']</t>
  </si>
  <si>
    <t>['udah', 'lelet', 'harga', 'kuota', 'mahal', 'parah', 'telkomsel', 'preeetttttt', '']</t>
  </si>
  <si>
    <t>['membuka', 'info', 'paket', 'promonya', 'singkat']</t>
  </si>
  <si>
    <t>['mudah', 'beli', 'kuota', 'dapatkan', 'hadiah']</t>
  </si>
  <si>
    <t>['beli', 'pulsa', 'murah', '']</t>
  </si>
  <si>
    <t>['jaringan', 'lemah', 'desa', 'kota', 'dusun', 'kec', 'dolok', 'masihul', 'kab', 'serdang', 'bedagai', 'medan', 'sumut']</t>
  </si>
  <si>
    <t>['combo', 'sakti', '']</t>
  </si>
  <si>
    <t>['kesini', 'telkomsel', 'sinyal', 'jelek', 'lemot', 'mahal', 'hargga', 'paket', 'internetnya', 'provider', 'mahalll', 'sayangnya', 'diimbangi', 'sinyal', 'kuat', 'dikit', 'kena', 'pulsa', 'cek', 'poin', 'kena', 'pulsa', 'menggunakn', 'telkomsel', 'program', 'promo', 'pelanggan', 'mahal', '']</t>
  </si>
  <si>
    <t>['perbanyak', 'gratisan']</t>
  </si>
  <si>
    <t>['sinyal', 'banget', 'dimana']</t>
  </si>
  <si>
    <t>['sinyalnya', 'sekaliii']</t>
  </si>
  <si>
    <t>['kecewa', 'banget', 'telkomsel', 'menebar', 'marketing', 'kartu', 'halo', 'olah', 'kartu', 'hallo', 'bagus', 'menguntungkan', 'diikat', 'kuota', 'bulanan', 'hilangkan', 'berhenti', 'hapus', 'kartupun', 'persulit', 'grapari', 'daerah', 'terpencil', 'graparinya', 'kartu', 'halo', 'sialan', '']</t>
  </si>
  <si>
    <t>['nomer', 'simpatiku', 'sampe', 'sekaran', 'ttp', 'aktif']</t>
  </si>
  <si>
    <t>['layanan', 'informasi', 'mytelkomsel', 'membantu', 'pelanggan', 'apllikanya', 'berat', 'memakan', 'memori', '']</t>
  </si>
  <si>
    <t>['oke', 'mantap', 'telkom']</t>
  </si>
  <si>
    <t>['suka', 'aplikasi', 'telkomsel', 'jaringannya', 'teang', 'berinternetan', '']</t>
  </si>
  <si>
    <t>['pokok', 'nyesel', 'deh', 'downlot', 'aplikasi', 'telkomsel']</t>
  </si>
  <si>
    <t>['beli', 'kartu', 'terlanjur', 'isi', 'pulsa', 'paketan', 'mahal', 'telkomsel', 'harga', 'sesuai', 'bandwidth', 'lelet', 'banget', 'udah', 'make', 'tetep', 'game', 'ping', 'merah', 'nyesel', 'belinya', 'pindah', 'kartu', 'ajja']</t>
  </si>
  <si>
    <t>['jaringan', 'stabil', 'game', '']</t>
  </si>
  <si>
    <t>['harga', 'quota', 'berkurang', '']</t>
  </si>
  <si>
    <t>['signal', 'turun', 'lemah', 'pakai', 'pixel', 'android', 'telkomsel', 'update', 'coba', 'cek', 'kartu', 'halo', 'ngebug', 'tolong', 'diperbaiki']</t>
  </si>
  <si>
    <t>['mahal', 'kalangan', 'menengah', 'kebawa', 'membantu', 'ish', '']</t>
  </si>
  <si>
    <t>['bagus', 'mudah', 'fahami']</t>
  </si>
  <si>
    <t>['lemot', 'smooth']</t>
  </si>
  <si>
    <t>['harga', 'paket', 'mahal', 'paket', 'persingkat', 'mulu', 'jangka', 'pemakaian', 'ngak', 'paket', 'telkomsel', 'mendingan', 'pakai', 'kouta']</t>
  </si>
  <si>
    <t>['berterimakasih']</t>
  </si>
  <si>
    <t>['beli', 'pulsa', 'langsung', 'kepotong', 'semoga', 'barokah', '']</t>
  </si>
  <si>
    <t>['buka', 'aplikasi', 'telkomsel', 'muncul', 'logo', 'udah', 'ditunggu', 'tampilan', 'logo', 'gua', 'jaringan', 'udah', 'ama', 'data', 'seluler', 'aplikasi', 'nggak', 'detik', 'udah', 'muncul', 'tampilan', 'home']</t>
  </si>
  <si>
    <t>['tukar', 'poin', 'poin', 'gimana']</t>
  </si>
  <si>
    <t>['sinyal', 'krang', 'bagus']</t>
  </si>
  <si>
    <t>['dikabul', 'paket', 'internet', 'murahnya', 'lumayan', 'ngirit', 'mah', 'pertanin', 'mang', 'sesuai', 'janji', 'tmbahin', 'bintangnya', 'deh', '']</t>
  </si>
  <si>
    <t>['bagus', 'apknya', 'gaisss']</t>
  </si>
  <si>
    <t>['error', 'cek', 'pulsa', 'cek', 'pulsa', 'maaf', 'mulu', 'plat', 'merah']</t>
  </si>
  <si>
    <t>['mohon', 'perbaiki', 'jaringannya', 'gua', 'udh', 'kota', 'lelet', 'mohon', 'operator', 'yaa']</t>
  </si>
  <si>
    <t>['update', 'beli', 'paket', 'internet', 'pulsanya']</t>
  </si>
  <si>
    <t>['combo', 'sakti', 'boss', 'sakti', 'hilang', 'kah', 'udah', 'harga', 'paket', 'mahal', 'jaringan', 'lelet', 'pasca', 'kabar', 'gangguan', 'makan', 'hiu', 'unlimited', 'sosmed', 'combo', 'sakti', 'rb', 'dapet', 'gb', 'gb', 'kemana', 'kah', 'ngalamin', 'kaya', 'gini', 'kaya', 'gini', 'persis', 'kaya', 'gini', 'semoga', 'kedepan', 'telkomsel']</t>
  </si>
  <si>
    <t>['paket', 'combo', 'sakti', 'rb', 'kartu', 'knp', 'stiap', 'kartu', 'beda', 'kamprettt', 'pkai', 'telkomsel', 'ganti', 'kartu', 'kecewa', '']</t>
  </si>
  <si>
    <t>['tinggal', 'indonesia', 'kaya', 'tinggal', 'hutan', 'sinyal', 'bro', 'kota', 'telkomsel', 'jaringan', 'terburuk', 'indonesia', 'parah', 'banget', 'telkomsel']</t>
  </si>
  <si>
    <t>['kuota', 'bnyk', 'internet', 'lelet', 'bngt', 'giliran', 'pket', 'hbis', 'ngabisin', 'pulsa', 'parah', 'bngt', 'buka', 'aplikasi', 'telkomsel', 'pke', 'hotspot', 'tmn', 'suruh', 'daftar', '']</t>
  </si>
  <si>
    <t>['berau', 'kalimantan', 'timur', 'trouble', 'susah', 'kalik', 'sinyal', 'kadang', 'kadang', 'nggak', 'tolong', 'diperbaiki']</t>
  </si>
  <si>
    <t>['menjadikan', 'mudah', 'mengakses', 'kuota', 'pulsa', 'kuota', 'internet', 'mempermudah', 'menukar', 'poin', 'undian', 'telkomsel', 'moga', 'keberuntungan']</t>
  </si>
  <si>
    <t>['beli', 'paket', 'murah', 'banget', 'aplikasi']</t>
  </si>
  <si>
    <t>['mudah', 'beli', 'kuota']</t>
  </si>
  <si>
    <t>['telkomsel', 'oke']</t>
  </si>
  <si>
    <t>['', 'gibah', 'bintang', 'be', 'bicara']</t>
  </si>
  <si>
    <t>['aplikasi', 'telkomsel', 'bagus', 'mudah', 'date', 'infonya', '']</t>
  </si>
  <si>
    <t>['kecewa', 'kouta', 'gamemax', '']</t>
  </si>
  <si>
    <t>['aplikasi', 'bagussssssssss']</t>
  </si>
  <si>
    <t>['keren', 'bermanfaat', 'responship']</t>
  </si>
  <si>
    <t>['alah', 'tambahblama', 'bete', 'telkomsel', 'main', 'game', 'menghibur', 'frustasi', 'gara', 'gara', 'sinyal']</t>
  </si>
  <si>
    <t>['telkomsel', 'jelek', 'halo', 'jaringan', 'lelet', 'internet', 'konek', 'tagihan', 'bayar', 'paket', 'jarang', 'dipake', 'tetep', 'cari', 'wifi']</t>
  </si>
  <si>
    <t>['udah', 'pakai', 'telkomsel', 'harga', 'kuota', 'internet', 'bersaing', 'dibagi', 'ribet', 'banget', 'kuota', 'multimedia', 'lemot', 'aplikasinya', 'dibuka', 'oia', 'ngaruh', 'nggak', 'tetangga', 'pakai', 'wifi', 'indiehome', 'semenjak', 'tetangga', 'pakai', 'wifi', 'indiehome', 'jaringan', 'internet', 'telkomsel', 'lemot', 'trima', 'kasih', '']</t>
  </si>
  <si>
    <t>['woy', 'telkomsel', 'tolong', 'bilangin', 'bertanggung', 'ngurus', 'kuota', 'gimana', 'paket', 'local', 'gunain', 'tolong', 'respawnny', 'sayang', 'beli', 'mahal', 'pakai', 'asulah', 'bukti', 'mna', 'email', 'kasih', 'screenshot', '']</t>
  </si>
  <si>
    <t>['lemot', 'mahal', 'doang', 'seru', 'seru', 'maenan', 'jaringannya', 'ilang']</t>
  </si>
  <si>
    <t>['mencoba', 'keberuntungan']</t>
  </si>
  <si>
    <t>['gimana', 'jaringan', 'paket', 'tinggal', 'unlimited', 'ngelag', 'parah', 'kali', 'njirr']</t>
  </si>
  <si>
    <t>['provider', 'penipuan', 'pilihan', 'paket', 'keluarga', 'tampil', 'pas', 'diisi', 'pulsa', 'bli', 'paket', 'langsung', 'menghilang', 'merugikan', 'konsumen']</t>
  </si>
  <si>
    <t>['daftar', 'paket', 'mahal', 'smoga', 'perhatian', 'mksih']</t>
  </si>
  <si>
    <t>['telkomsel', 'jelek', 'banget', 'kuota', 'sinyal', 'full', 'internetan', '']</t>
  </si>
  <si>
    <t>['senang', 'kuota', 'gratis', 'fitur', 'check', 'lumayan', 'dipakek', 'wfh', 'deh']</t>
  </si>
  <si>
    <t>['pilihan', 'paketnya', 'mahal', 'iklannya', 'murah', 'buka', 'aplikasi', 'diiklan']</t>
  </si>
  <si>
    <t>['sinyal', 'bagus']</t>
  </si>
  <si>
    <t>['download', 'blm', 'unggulan']</t>
  </si>
  <si>
    <t>['', 'lihat', 'ulasan', 'kasi', 'bintang', 'solusi', 'tar', 'udah', 'pindah', 'hati', 'tebar', 'perhatian', 'sinyal', 'ruangan', 'kota']</t>
  </si>
  <si>
    <t>['mohon', 'perbaiki', 'kualitas', 'jaringannya', 'kacau', 'hujan', 'harga', 'paketan', 'mahal', 'kualitas', 'jaringannya', 'jelek']</t>
  </si>
  <si>
    <t>['telkomsel', 'daerah', 'jakarta', 'lemot']</t>
  </si>
  <si>
    <t>['mantap', 'paketnya', 'murah', 'murah']</t>
  </si>
  <si>
    <t>['puas', 'pakai', 'telkomsel', 'mantap', 'pokoknya']</t>
  </si>
  <si>
    <t>['combo', 'sakti', 'signal', 'karuan', 'hujan']</t>
  </si>
  <si>
    <t>['lelet', 'jaringan', 'telkomsel', 'hilang', 'padalah', 'dijakarta']</t>
  </si>
  <si>
    <t>['sinyal', 'jelek', 'terusss', 'tolong', 'perbaiki', 'daerah', 'sidoarjo', '']</t>
  </si>
  <si>
    <t>['woi', 'asw', 'siyal', 'nyh', 'lemot', 'harga', 'paket', 'mahal', 'sinyal', 'lek', 'mohon', 'bantuannya']</t>
  </si>
  <si>
    <t>['telkomsel', 'slalu', 'hati', '']</t>
  </si>
  <si>
    <t>['apk', 'bagus', 'promo']</t>
  </si>
  <si>
    <t>['mudah', 'signal']</t>
  </si>
  <si>
    <t>['signal', 'buruk', 'kirain', 'update', 'parah', 'kecewa', 'pokonya', 'main', 'game']</t>
  </si>
  <si>
    <t>['pengguna', 'setia', 'telkomsel', 'merekomendasikan', 'teman', 'jaringan', 'telkomsel', 'error', 'sinyal', 'suka', 'ngilang', 'kota', 'tower', 'telkomsel', 'gini', 'mending', 'pindah', 'provider', '']</t>
  </si>
  <si>
    <t>['sya', 'kasih', 'bintang', 'karna', 'jaringan', 'telkomsel', 'irigasi', 'suka', 'mulya', 'sematang', 'borang', 'palembang', 'sumsel', 'lemot', 'tpi', 'jalan', 'kalaw', 'jalan', 'cepetan', 'siput', 'malu', 'lebel', 'bumn', 'telkomsel', 'tuu', 'kalah', 'swasta', 'trimakasih', '']</t>
  </si>
  <si>
    <t>['andmin', 'sms', 'penipuan', 'undian', 'tolong', 'blokir']</t>
  </si>
  <si>
    <t>['betah', 'pakai', 'telkomsel']</t>
  </si>
  <si>
    <t>['udah', 'lumayan', 'puas', 'layanan', 'tsel']</t>
  </si>
  <si>
    <t>['semoga', 'sukses']</t>
  </si>
  <si>
    <t>['layanannya', 'bagus']</t>
  </si>
  <si>
    <t>['telkomsel', 'emang', 'pas', 'maen', 'game', 'game', 'offline', 'pingnya', 'stabil']</t>
  </si>
  <si>
    <t>['sinyalnya', 'bagus', 'jangkauan']</t>
  </si>
  <si>
    <t>['udah', 'jaringan', 'lemot', 'paket', 'sedot', 'pulsa', 'kartu', 'lemot']</t>
  </si>
  <si>
    <t>['membantu', 'segalany', 'mudah', 'terimakasih', 'mytelkomsel', '']</t>
  </si>
  <si>
    <t>['aplikasi', 'telkomsel', 'bagus', 'promo', 'paket', 'murah', 'bonus']</t>
  </si>
  <si>
    <t>['', 'ribet']</t>
  </si>
  <si>
    <t>['mudah', 'dipakai', 'paket']</t>
  </si>
  <si>
    <t>['bintang', 'dlu', 'karna', 'pakai', 'gunanya', 'kuota', 'multimedia', 'tolong', 'terimakasih']</t>
  </si>
  <si>
    <t>['kritik', 'telkomsel', 'sinyal', 'lumayan', 'loyo', 'pengguna', 'setia', 'menyayangkan', 'telkomsel', 'terkenal', 'mahal', 'sinyal', 'kalah', 'sma', 'mohon', 'jaga', 'kualitas', '']</t>
  </si>
  <si>
    <t>['bagus', 'god', 'mantap']</t>
  </si>
  <si>
    <t>['aman', 'dipercaya']</t>
  </si>
  <si>
    <t>['tolong', 'telkomsel', 'sinyal', 'tolong', 'diperbaiki', 'karna', 'wilayah', 'sinyalnya', 'udh', 'kasar', 'puas', 'memakai', 'tolong', 'telkomsel']</t>
  </si>
  <si>
    <t>['kemarin', 'bintang', 'kurangi', 'kurangi', 'bintang', 'keluhan', 'signal', 'mantaps', 'full', 'kenyataannya', 'loadingnya', 'peribahasa', 'uang', 'kualitas', 'berlaku', 'untukmu', 'sanggup', 'solusi', 'kenyamanan', 'pelanggan', 'saran', 'kembalikan', 'status', 'halloo', 'simpati', 'ngeribetin', 'pelanggannya', 'konsekuwensi', 'kegagalan', 'halloo']</t>
  </si>
  <si>
    <t>['langganan', 'kuota', 'gb', 'jaringan', 'buruk', 'dimakassar', 'download', 'video', 'mb', 'terdownload', 'gagal', 'kalinya', 'jaringan', 'ganti', 'kuotanya', 'terbuang', 'sia', 'mahal', 'habiskan', 'menunggu', 'terdownload', 'daftar', 'kartu', 'pakai', 'nip', 'udah', 'ganti', 'kecewakan']</t>
  </si>
  <si>
    <t>['terbaik', 'dehh']</t>
  </si>
  <si>
    <t>['banyakin', 'diskon', 'kaya', 'toko', 'sebelah']</t>
  </si>
  <si>
    <t>['sisa', 'pulsa', 'selesai', 'mengaktifkan', 'paket', 'internet', 'sebentar', 'mengaktifkan', 'data', 'seluler', 'muncul', 'pesan', 'memakai', 'pulsa', 'akses', 'internet', 'non', 'paket', 'maksudnya', 'paket', 'internet', 'aktif', 'pulsa', 'berkurang', 'kalinya', '']</t>
  </si>
  <si>
    <t>['woii', 'hentikan', 'kebiasaan', 'maling', 'pulsa', 'wifi', 'pulsa', 'trus', 'kesedot', 'banget', 'mah']</t>
  </si>
  <si>
    <t>['hati', 'guys', 'telat', 'bayar', 'maen', 'lgsg', 'telpon', 'nomor', 'dikenal', 'keluarga', 'ditelpon']</t>
  </si>
  <si>
    <t>['kecepatan', 'internet', 'memuak', 'sinyal', 'bar', 'lemotnya', 'ampun', 'selamat', 'tinggal', 'telkomsel', '']</t>
  </si>
  <si>
    <t>['jaringan', 'internet', 'buruk', 'pengguna', 'muaralaung', 'kec', 'laung', 'tuhup', 'kab', 'mura', 'kalimantan', 'pindah', 'memakai', 'kartu']</t>
  </si>
  <si>
    <t>['aplikasi', 'mytelkomsel', 'membantu']</t>
  </si>
  <si>
    <t>['telkomsel', 'enak', 'pakai', 'internet']</t>
  </si>
  <si>
    <t>['jaringan', 'telkomsel', 'memuaskan']</t>
  </si>
  <si>
    <t>['mahal', 'banget', 'kepotong', 'pulsanya']</t>
  </si>
  <si>
    <t>['telkomsel', 'payah', 'lemot', '']</t>
  </si>
  <si>
    <t>['mantap', 'jiwa', 'broooo']</t>
  </si>
  <si>
    <t>['sinyaknya', 'semaknin', 'sampah', 'tower', 'telkomsel', 'kamar', 'tidur', 'tolong', 'ngotak', 'harga', 'oaketan', 'mahal', 'taoi', 'konsumen', 'sampah']</t>
  </si>
  <si>
    <t>['', 'kota', 'jaringan', 'kyk', 'ingus', 'bocah', 'mahal', 'doang']</t>
  </si>
  <si>
    <t>['sinyal', 'telkomsel', 'gangguan', 'gangguan', 'berhenti', 'teloomsel', 'memakai', 'exis', 'jarang', 'gagguan']</t>
  </si>
  <si>
    <t>['sinyal', 'buruk', '']</t>
  </si>
  <si>
    <t>['', 'suruh', 'update', 'pas', 'buka', 'apk', 'pas', 'udh', 'update', 'susah', 'masuk', 'perbaharui', 'udh', 'jaringan', 'ksni', 'jelek', 'parah', 'mending', 'apk', '']</t>
  </si>
  <si>
    <t>['mudah', 'cepat', 'memuaskan']</t>
  </si>
  <si>
    <t>['rusak', 'aplikasi', 'kategori', 'paket', 'kuota', 'ilang', 'tersisa', 'gigamax', 'combo', 'sakti', 'paket', 'kemana', 'hilang', 'tolong']</t>
  </si>
  <si>
    <t>['', 'kasih', 'niih', 'kenal', 'telkomsel', 'sampe', 'skrg', 'like', 'banget', 'knapa', 'buanyak', 'suliiit', 'tampilnya', 'alias', 'lelet', 'tauuk', 'coba', 'dibagusin', 'doonk', 'satisfaction', 'customer', 'gitu', 'ajaa']</t>
  </si>
  <si>
    <t>['keren', 'jaringannta']</t>
  </si>
  <si>
    <t>['penyajian', 'layanan', 'may', 'telkomsel', 'sangan', 'dibutuhkan', 'pengguna', 'jasa', 'dipedesaan', 'sistemnya', 'dipermudah', 'frekwensi', 'jaringannya', 'diperkuat']</t>
  </si>
  <si>
    <t>['lumayan', 'mudah', 'isi', 'ulang', 'kuota']</t>
  </si>
  <si>
    <t>['bagus', 'berguna', '']</t>
  </si>
  <si>
    <t>['tolong', 'bhs', 'indonesia']</t>
  </si>
  <si>
    <t>['kasih', 'bintang', 'suk']</t>
  </si>
  <si>
    <t>['semoga', 'bermanfaat']</t>
  </si>
  <si>
    <t>['hilham', 'puas', 'kinerja', 'telkomsel']</t>
  </si>
  <si>
    <t>['aplikasi', 'membantu', 'terimakasi']</t>
  </si>
  <si>
    <t>['pulsa', 'sya', 'langsung', 'terpotong', 'untk', 'paket', 'kuota', 'beli', 'paket', 'berhenti', 'berlangganan', 'pilihan', 'suruh', 'beli', 'paket', 'morotin', 'pulsa', 'gitu', 'kali', 'tolong', 'non', 'aktifkan', 'paket', 'kuota', 'prnh', 'internet', 'telkomsel', 'potongin', 'pulsa', 'sya', 'pdahal', 'pulsa', 'pakai', 'sms', 'banking', 'telfonan', 'tolonglah', 'coreng', 'kepercayaan']</t>
  </si>
  <si>
    <t>['mantap', 'beli', 'paket', 'gampang']</t>
  </si>
  <si>
    <t>['tolong', 'update', 'supya', 'suport', 'android', 'maksh']</t>
  </si>
  <si>
    <t>['jaringan', 'takut', 'sma', 'hujan', 'kadang', 'kdnag', 'males', 'bngt', 'cba', 'perbaiki', 'donk', 'konsumen', '']</t>
  </si>
  <si>
    <t>['mantap', 'apk', 'buatin', 'paketan', 'mudah', 'terimakasih', 'buatin', 'apk', '']</t>
  </si>
  <si>
    <t>['bagus', 'sinyalnya']</t>
  </si>
  <si>
    <t>['bagus', 'aplikasinya', 'mantap', '']</t>
  </si>
  <si>
    <t>['telkomsel', 'no', '']</t>
  </si>
  <si>
    <t>['semoga', 'sukses', 'telkomsel']</t>
  </si>
  <si>
    <t>['aplikasi', 'bagus', 'syang', 'lelet', 'jaringan', 'telkomsel', 'jelek', 'operator', 'muahaaaal', 'mahal', 'lelet', 'kyak', 'hutan', 'rimbaaaaaa', 'kasih', 'hujan', 'mkin', 'dongo', 'lelet', 'paraah', 'tdinya', 'pikir', 'lelet', 'trnyata', 'jaringan', 'telkomselnya', '']</t>
  </si>
  <si>
    <t>['', 'ngeluh', 'buka', 'apk', 'telkom', 'trus', 'latar', 'putih', 'doang', 'server', 'heheheheheeee', 'pndah', 'tri', 'paketan', 'murah', 'murah', 'the', 'best']</t>
  </si>
  <si>
    <t>['maaf', 'kasih', 'bintang', 'masak', 'sinyal', 'simpang', 'rimbo', 'mendalo', 'kota', 'jambi', 'lelet', 'banget', 'stabil', 'youtube', 'bufering', 'ngegame', 'ngelag', 'buka', 'loading', 'beli', 'paket', 'internet', 'mahal', 'mahal', '']</t>
  </si>
  <si>
    <t>['kecewa', 'kasih', 'paket', 'unlimited', 'pakai', '']</t>
  </si>
  <si>
    <t>['sangaaaaat']</t>
  </si>
  <si>
    <t>['telkomsel', 'jaringan', 'kayak', 'taik', 'solok', 'sumbar']</t>
  </si>
  <si>
    <t>['curang', 'check', 'telkomsel', 'kuota', 'internet', 'menghilang', 'sinis', 'nawarin', 'beralih', 'pasca', 'bayar', 'bahasa', 'lembut', 'tertarik', 'logat', 'operatornya', 'berubah', 'sinis', 'real', '']</t>
  </si>
  <si>
    <t>['bonus', 'chek', 'pas', 'eror', 'balikan', 'payah', 'jaringan', 'lemot', 'banget', 'benahi', 'server']</t>
  </si>
  <si>
    <t>['dahh', 'lahh', 'capek', 'enak', 'main', 'game', 'down', 'ahh', 'parah', 'kek', 'gini', 'kouta', 'mahal', 'telkomsel']</t>
  </si>
  <si>
    <t>['pengen', 'menang', 'tukar', 'poin']</t>
  </si>
  <si>
    <t>['produk', 'telkomsel', 'memuaskan', 'kendala']</t>
  </si>
  <si>
    <t>['beli', 'paket', 'voucher', 'masuknya', 'masuk', 'udah', 'jam', 'males', 'kartu', 'telkom', 'kek', 'gini', '']</t>
  </si>
  <si>
    <t>['jaringan', 'bagus', 'indonesia', 'ditingkatkan', 'kekuatan', 'sinyalnya', 'lemah', '']</t>
  </si>
  <si>
    <t>['kecewa', 'telkomsel', 'solusi', 'keluhan', 'pelanggan']</t>
  </si>
  <si>
    <t>['jaringan', 'ngelag']</t>
  </si>
  <si>
    <t>['kemudahan', 'penggunaan', '']</t>
  </si>
  <si>
    <t>['oke', '']</t>
  </si>
  <si>
    <t>['harga', 'kualitas', 'buruk', 'tutup', 'sanggup', '']</t>
  </si>
  <si>
    <t>['', 'telkomsel', 'pulsa', 'hilang', 'kepastian', 'parah', 'isi', 'pulsa', 'hilang', '']</t>
  </si>
  <si>
    <t>['pulsa', 'udah', 'pas', 'beli', 'paket', 'pulsa', 'nipu', 'gimana', '']</t>
  </si>
  <si>
    <t>['puas', 'aplikasi']</t>
  </si>
  <si>
    <t>['telkomsel', 'semoga', 'murah']</t>
  </si>
  <si>
    <t>['hey', 'operator', 'terhormat', 'jaringan', 'rusak', 'trus', 'klian', 'nii', 'jdi', 'operator', 'mendimg', 'resign', 'dri', 'pekerjaan', 'taik', 'paket', 'mahal', 'jaringan', 'lelet', 'abis']</t>
  </si>
  <si>
    <t>['terima', 'kasih', 'telkomsel', 'promo']</t>
  </si>
  <si>
    <t>['beli', 'paket', 'gampang', 'klu', 'urusan', 'geme', 'jelek', '']</t>
  </si>
  <si>
    <t>['mantap', 'paket', 'lebuh', 'murah', 'gampang']</t>
  </si>
  <si>
    <t>['byr', 'gopay', 'gagal']</t>
  </si>
  <si>
    <t>['untk', 'ksh', 'bntang', 'alx', 'kesel', 'telkomsel', 'bsa', 'dftar', 'paket', 'mlah', 'pls', 'berkurang', 'rbu', 'tekor', 'deh', 'tolong', 'donk', 'jngn', 'eror', '']</t>
  </si>
  <si>
    <t>['paket', 'internet', 'mahal', 'terjangkau', 'sinyal', 'internetnya', 'lelet']</t>
  </si>
  <si>
    <t>['mudah', 'cek', 'pulsa', 'kuota', 'beli', 'paket', '']</t>
  </si>
  <si>
    <t>['bagus', 'bonus']</t>
  </si>
  <si>
    <t>['telkomsel', 'kartu', 'pilihan', 'memakai', 'jadul']</t>
  </si>
  <si>
    <t>['jaringan', 'kadang', 'hilang', 'lemot', 'kuota']</t>
  </si>
  <si>
    <t>['anjingggg', 'jaringan', 'sial', 'mahal', 'sinyal', 'kayak', 'siallll', 'bangsatttt']</t>
  </si>
  <si>
    <t>['beli', 'pulsa', 'paket', 'ata', 'telkomse', 'nyaman', 'lebi', 'cepat']</t>
  </si>
  <si>
    <t>['jarang', 'promo', 'gua', 'ajim']</t>
  </si>
  <si>
    <t>['tata', 'susunan', 'petunjuk', 'susah', 'mengerti', 'orang', 'awam', 'tolong', 'perbaiki', 'bahasa', 'bahasa', 'mudah', 'pahami', '']</t>
  </si>
  <si>
    <t>['tarif', 'nelpon', 'sms', 'mahal', 'cooooooo']</t>
  </si>
  <si>
    <t>['blm', 'hadiah']</t>
  </si>
  <si>
    <t>['aplikasi', 'ilang', 'giliran', 'instal', 'gabisa', 'wes', 'mbuh', 'mumet', 'males', 'telkomsel', '']</t>
  </si>
  <si>
    <t>['senang', 'aplikasi', 'kemudahan', 'beli', 'paket', 'data', 'terimakasih', 'telkomsel', '']</t>
  </si>
  <si>
    <t>['jaringan', 'hilang', 'main', 'game', 'jaringan', 'jelek', 'paket', 'mahal', 'kagak', 'sesuai', 'jaringan']</t>
  </si>
  <si>
    <t>['sinyal', 'kekuatan', 'berkurang']</t>
  </si>
  <si>
    <t>['knp', 'instal', 'android', 'google', 'pixel', '']</t>
  </si>
  <si>
    <t>['berfungsi', 'aplikasi', 'jelek']</t>
  </si>
  <si>
    <t>['widih', 'dapet', 'kuota', 'gratisan', 'terima', 'kasih', 'hati', 'hati', 'dapet', 'kuota', 'buang', 'aplikasinya']</t>
  </si>
  <si>
    <t>['adminnya', 'produk', 'poin', 'telko', 'reedemnya', 'pakai', 'pulsa', 'dipotong', 'rp', 'gapapa', 'poin', 'kumpul', 'beli', 'pulsa', 'reedem', 'poin', 'kuota', 'potong', 'pakai', 'pulsa', 'kadang', 'suka', 'kepepet', 'butuh', 'kuota', 'pas', 'pulsa', 'dibawah', 'huft', '']</t>
  </si>
  <si>
    <t>['uwaaaw', '']</t>
  </si>
  <si>
    <t>['kadang', 'ngisi', 'pas', 'liat', 'paketan', 'tyt', 'harga', 'beli', 'ato', 'males', 'maketin', 'pas', 'aktifin', 'paket', 'data', 'paketan', 'huffftttttt', 'melayang', 'pulsa', 'kejadian', 'gpp', 'iklas', 'undian', 'mobil', 'telkomsel', 'gitu', 'iklas', 'sampe', 'atiiiiiii', '']</t>
  </si>
  <si>
    <t>['pembodohan', 'publik', 'promonya', 'beli', 'pulsa', 'bayar', 'pakai', 'gopay', 'cashback', 'transaksi', 'cashback', 'masuk', 'pelit', 'najis', '']</t>
  </si>
  <si>
    <t>['paket', 'internet', 'murah', 'semoga', 'kedepannya', 'promo', 'paket', 'internet', 'unlimited', '']</t>
  </si>
  <si>
    <t>['pas', 'login', 'promo', 'murah', 'pas', 'klik', 'ngga', 'mengecewakan']</t>
  </si>
  <si>
    <t>['telkomsel', 'tolong', 'banget', 'strategi', 'marketing', 'paket', 'paket', 'paket', 'tolong', 'banget', 'gunain', 'paket', 'duluan', 'paket', 'duluan', 'tahan', 'telkomsel', 'jaringannya', 'lebay', 'aneh', 'fitur', 'barunya', 'kecewa', 'berat', 'sumpah', 'deh', '']</t>
  </si>
  <si>
    <t>['', 'telkomsel', 'mantap']</t>
  </si>
  <si>
    <t>['mantap', 'lelet']</t>
  </si>
  <si>
    <t>['extra', 'kuota', 'membantu']</t>
  </si>
  <si>
    <t>['isi', 'data', 'jaringan', 'hilang', 'deh', 'isi', 'kuota']</t>
  </si>
  <si>
    <t>['mudah', 'difahami', 'brmanfaat']</t>
  </si>
  <si>
    <t>['butuh', 'terbaik', 'pelanggan']</t>
  </si>
  <si>
    <t>['mudah', 'cari', 'paket', 'data', '']</t>
  </si>
  <si>
    <t>['karna', 'jaringan', 'jelek', 'kasi', 'bintang']</t>
  </si>
  <si>
    <t>['bagus', 'cepat', 'tingkatkan', 'trus', 'jaya', 'trus', 'telkomsel']</t>
  </si>
  <si>
    <t>['keren', 'murah', 'beli', 'paketnya', '']</t>
  </si>
  <si>
    <t>['paket', 'mahal', 'combo', 'sakti', 'responnya', 'lambat', 'poin', 'isi', 'ulang', 'ganti', 'paket', 'data', 'telfon', 'pelanggan', 'member', 'platinum', 'kecewa']</t>
  </si>
  <si>
    <t>['lumayan', 'bonus', 'dikit', 'banget', 'orang']</t>
  </si>
  <si>
    <t>['promo', 'mytelkomsel', 'terimakasih', 'mytelkomsel']</t>
  </si>
  <si>
    <t>['tinggal', 'kota', 'medan', 'jaringan', 'bagus', 'yaaa', '']</t>
  </si>
  <si>
    <t>['terima', 'kasih', 'membantu', 'memudahkan']</t>
  </si>
  <si>
    <t>['mudah', 'cek', 'kuota', 'dll', 'makasih', 'telkomsel']</t>
  </si>
  <si>
    <t>['pakai', 'telkomsel', 'promonya', 'mantapp']</t>
  </si>
  <si>
    <t>['pls', 'habis', 'kuota', 'internet', 'pls', 'terpakai', 'habis', 'nyesel', 'banget']</t>
  </si>
  <si>
    <t>['mudah', 'sinyal', '']</t>
  </si>
  <si>
    <t>['login', 'aplikasi', 'telkomsel', 'mudah', 'cepat', 'fiturnya', 'menarik']</t>
  </si>
  <si>
    <t>['kasik', 'bintang', 'ajha', 'lelet', 'banget', 'sinyalnya', 'promanya', 'bagus', 'puas', 'harga', 'promo', 'kuotanya', 'gunanya', 'klu', 'dirumah', 'enak', 'banget']</t>
  </si>
  <si>
    <t>['signal', 'jelek', 'lapor', 'penjelasan', 'dikirim', 'tulisan', 'nda', 'tolong', 'dididik', '']</t>
  </si>
  <si>
    <t>['apaaan', 'dikit', 'dikit', 'gangguan', 'jaringannya', 'emosiii', 'bentar', 'bentar', 'gangguan', 'bentar', 'bntar', 'gngguan', 'nyesal', 'pakai', 'telkomsel']</t>
  </si>
  <si>
    <t>['haapy', 'seindah', 'bayangkan']</t>
  </si>
  <si>
    <t>['paket', 'data', 'internet', 'mahal', 'signal', 'jaringan', 'loading', 'buruk', 'kadang', 'suka', 'mati', 'hidup', 'jaringannya', 'kartu', 'normal', 'normal', '']</t>
  </si>
  <si>
    <t>['butuh', '']</t>
  </si>
  <si>
    <t>['koin', 'tukar', '']</t>
  </si>
  <si>
    <t>['telkomsel', 'lemah', 'trs', 'ganti', 'jaringan', 'lgi', 'telkomsel', 'kyk', 'sampah']</t>
  </si>
  <si>
    <t>['responsif', 'praktis']</t>
  </si>
  <si>
    <t>['aplikasi', 'ngaur', 'download', '']</t>
  </si>
  <si>
    <t>['aplikasi', 'baguusssssss']</t>
  </si>
  <si>
    <t>['', 'mantap', 'membantu']</t>
  </si>
  <si>
    <t>['telkomsel', 'udah', 'kayak', 'jaringan', 'taik', 'lag', 'ampun', 'udah', 'hebatan', 'telkom', 'kayak', 'gini']</t>
  </si>
  <si>
    <t>['bagus', 'suka', 'hilang', 'sinyal']</t>
  </si>
  <si>
    <t>['mantan', 'lemot']</t>
  </si>
  <si>
    <t>['wak', 'ngeleg', 'wak', 'pls', '']</t>
  </si>
  <si>
    <t>['suka', 'pakek', 'telkomsel', 'signal', 'aman', 'ngandat']</t>
  </si>
  <si>
    <t>['jelek', 'aplikasi', 'login', 'susah', 'login', 'mending', 'aplikasi', 'deh', '']</t>
  </si>
  <si>
    <t>['jaringan', 'down', 'data', 'mahal', 'kualitas', 'murahan']</t>
  </si>
  <si>
    <t>['update', 'ngecek', 'paketan', 'telkomsel', 'paket', 'udah', 'abis', 'aplikasi', 'dibuka', 'paket', 'data', 'habis']</t>
  </si>
  <si>
    <t>['pertahankan', 'layanan', 'pelayanan', 'ramah']</t>
  </si>
  <si>
    <t>['paketannya', 'maha', 'beda', 'operator', '']</t>
  </si>
  <si>
    <t>['udh', 'bayarnya', 'mahal', 'lemotnya', 'ngak', 'ketolong']</t>
  </si>
  <si>
    <t>['admin', 'propider', 'diskon', 'kuota', 'ulangan', 'bentar']</t>
  </si>
  <si>
    <t>['tolong', 'admin', 'pembayaran', 'tolong', 'salurkan', 'dana', 'gopay', 'senengan', 'membayar', 'memakai', 'dana', '']</t>
  </si>
  <si>
    <t>['harga', 'mahal', 'doang', 'jaringan', 'stabil', 'canda', 'stabil', '']</t>
  </si>
  <si>
    <t>['', 'membantu', '']</t>
  </si>
  <si>
    <t>['promo', 'system', 'gb', 'ribu']</t>
  </si>
  <si>
    <t>['jaringan', 'parah']</t>
  </si>
  <si>
    <t>['berat', 'dibuka']</t>
  </si>
  <si>
    <t>['nyesal', 'gue', 'kasih', 'bintang', 'gue', 'turunin', 'bntang', 'nyesal', 'gue', 'beli', 'paket', 'lelet', 'jaringan', 'hilang', 'parah', 'telkomsel']</t>
  </si>
  <si>
    <t>['menarik', 'hadiah']</t>
  </si>
  <si>
    <t>['siyal', 'hilang']</t>
  </si>
  <si>
    <t>['signal', 'jelek', 'bagus', 'indosat', 'smartfren', 'ketimbnang', 'telkomsel']</t>
  </si>
  <si>
    <t>['gimana', 'beli', 'kuota', 'pulsa', 'pulsanya', 'suka', 'hilang', 'separuh', 'aktifkan', 'data', 'beli', 'kuota', 'tolong', 'gantiin', 'pulsa', 'kesel', 'ngabisin', 'uang', 'doang', 'kecewa', 'banget', 'beli', 'pulsa', 'ribu', 'tinggal', 'ribu', 'kesel', 'banget', 'sms', 'memakai', 'data', 'non', 'tarif', 'buka', 'aplikasi', 'nyalain', 'data', 'nyalain', 'sedot', 'pulsanya', 'aktifkan', 'data', 'buka', 'aplikasi', '']</t>
  </si>
  <si>
    <t>['kmren', 'ditlp', 'suruh', 'migrasi', 'dpt', 'bnus', 'quota', 'tpi', 'dpt', 'sms', 'donlot', 'mytlkomsel', 'dpt', 'pulsa', 'rb', '']</t>
  </si>
  <si>
    <t>['telkomsel', 'menurunnn', 'udh', 'kuota', 'hariannya', 'ketengannya', 'gaada', 'susah']</t>
  </si>
  <si>
    <t>['bagus', 'memudahkan', 'pelanggan']</t>
  </si>
  <si>
    <t>['tolong', 'paket', 'combo', 'ratain', 'harga', 'pengguna', 'telkomsel']</t>
  </si>
  <si>
    <t>['intal', 'android', '']</t>
  </si>
  <si>
    <t>['kasih']</t>
  </si>
  <si>
    <t>['selamat', 'siang', 'kak', 'kak', 'maaf', 'knp', 'kuota', 'cepat', 'habis', 'data', 'salulernya', 'matiin', 'pas', 'cek', 'kuota', 'abis', 'aneh']</t>
  </si>
  <si>
    <t>['membantu', 'mantab']</t>
  </si>
  <si>
    <t>['tolonglh', 'tambahkan', 'pulse', 'protection', 'pulsa', 'pelanggan', 'kesedot', 'operator', 'kang', 'colong', 'pulsa']</t>
  </si>
  <si>
    <t>['keren', 'belajar', 'english']</t>
  </si>
  <si>
    <t>['sinyal', 'buruk', 'lemot']</t>
  </si>
  <si>
    <t>['suka', 'banget', 'memudahkan', 'transaksi', 'pembelian', 'pulsanya', '']</t>
  </si>
  <si>
    <t>['pemenang', 'undia', 'telokomsel', 'point', 'pemenangnya', 'jabarkan', 'transparan', 'tombolnya', 'donag', 'pemenang', 'klik', 'keliatan', 'menang', 'kualitas', 'jaringan', 'menurun', 'lambat', 'dibandingkan', 'harga', 'paket', 'bulet', 'menyebabkan', 'beli', 'pulsa', 'perlukan', 'tolong', 'harga', 'bulet', 'terjangkau', 'murah', 'kualitas', 'bagus', 'trus', 'harga', 'sesuai', 'isi', 'pulsa', 'contoh', 'kelipatan', 'ribu']</t>
  </si>
  <si>
    <t>['sanagat', 'kali', 'jaringan']</t>
  </si>
  <si>
    <t>['promo', 'benahi', 'jaringan', 'lemot', 'jamin', 'taun', 'perbaikan', 'jaringan', 'konsumen', 'telkomsel', 'ilang', '']</t>
  </si>
  <si>
    <t>['jaringan', 'kontol', 'babi', 'anjing', 'ngeleg', 'bet']</t>
  </si>
  <si>
    <t>['murah', 'dikit', 'sis', 'exsis', 'imbang']</t>
  </si>
  <si>
    <t>['telkomsel', 'bagus', 'lemot', 'lemot', 'jaringan', 'saran', 'benahin', 'manajement', 'jaringannya', 'tbah', '']</t>
  </si>
  <si>
    <t>['pengen', 'nayak', 'telkomsel', 'fitur', 'pembeda', 'paket', 'paket', 'data', 'dipake', 'pulsa', 'gitu', 'kejadian', 'pas', 'main', 'game', 'gitu', 'fitur', 'bedain', 'rugi', 'pulsa', 'anggap', 'remeh', 'pulsa', 'kah', '']</t>
  </si>
  <si>
    <t>['pulsa', 'kesedot', 'mulu', 'data', 'hidup', 'penjelajahan', 'media', 'sosial', 'males', 'kartu', 'telkomsel']</t>
  </si>
  <si>
    <t>['paketan', 'mahal', 'asw']</t>
  </si>
  <si>
    <t>['ditelpon', 'infonya', 'suruh', 'pascabayar', 'kasih', 'ntar', 'nyesel', 'deh', '']</t>
  </si>
  <si>
    <t>['telkomsel', 'please', 'kekuatan', 'sinyal', 'kenceng', 'kuota', 'penuh', 'buka', 'apk', 'sosmed', 'browsing', 'muter', 'loading', 'mulu', 'buka', 'buka', 'tell', 'why', 'why', 'tsel', 'btw', 'udah', 'seminggu', 'dibales', 'chat', 'akun', 'twitter', 'tele', 'email', 'oke', 'dighosting', 'hlo', 'cape', 'pokoknya', 'semangat', 'mimin', 'sehat', '']</t>
  </si>
  <si>
    <t>['tolong', 'paketan', 'murah', '']</t>
  </si>
  <si>
    <t>['promo', 'kedepan', 'semoga', 'lbh', '']</t>
  </si>
  <si>
    <t>['merekomendasikan']</t>
  </si>
  <si>
    <t>['kouta', 'mahal', 'jaringan', 'nihil', 'telkomsel', 'bercanda']</t>
  </si>
  <si>
    <t>['', 'telkomsel', 'isi', 'the', 'best', 'dapet', 'tambahan', 'kuota', 'gratis', 'thanks', '']</t>
  </si>
  <si>
    <t>['koment', 'negatif', 'bot', 'hai', 'kak', 'bla', 'bla', 'bla', 'basi', '']</t>
  </si>
  <si>
    <t>['puas', 'kuota', 'boros', 'banget']</t>
  </si>
  <si>
    <t>['udah', 'terlanjur', 'migrasi', 'prabayar', 'simpati', 'kartu', 'pasca', 'bayar', 'halo', 'pelayanan', 'prabayar', 'nomor', 'smoga', 'teknologi', 'migrasi', 'pasca', 'bayar', 'halo', 'prabayar', 'nomor', 'syarat', 'penyelesaian', 'adminitrasi', 'kartu', 'pasca', 'bayar', 'terima', 'kasih', 'kal', 'udah', 'terwujud', 'bintang', '']</t>
  </si>
  <si>
    <t>['paket', 'mahal', 'mahal', 'lelet', 'banget', '']</t>
  </si>
  <si>
    <t>['sinyal', 'jaringan', 'cepat', 'cepat', 'memancing', 'emosi', 'bug']</t>
  </si>
  <si>
    <t>['teruslah', '']</t>
  </si>
  <si>
    <t>['paketnya', 'membingungkan', 'bnyk', 'gabung', 'kn', 'butuh', 'lelet', '']</t>
  </si>
  <si>
    <t>['tolong', 'bantu', 'perbaiki', 'gangguan', 'sinyalnya']</t>
  </si>
  <si>
    <t>['tingkat', 'kualitas', 'layanan']</t>
  </si>
  <si>
    <t>['sinyallllll', 'busukkkkkkk', 'laporan', 'mintaaaaa', 'teknisi', 'langsung', 'lokasi', 'tidakk', 'kejelasan', 'pelayanannnn', 'burukkkkkkkk']</t>
  </si>
  <si>
    <t>['apk', 'telkomsel', 'versi', 'bug']</t>
  </si>
  <si>
    <t>['mantap', '']</t>
  </si>
  <si>
    <t>['mengecewakan', 'pengguna', 'telkomsel', 'sinyal', 'lemot', 'upload', 'tugas', 'sekolah', 'gagal', 'mulu', 'mohon', 'tingkatkan', 'pelayanan']</t>
  </si>
  <si>
    <t>['pemakaian', 'jaringan', 'bagus', 'ditambah', 'promo', 'lumayan', 'membantu', '']</t>
  </si>
  <si>
    <t>['aplikasinya', 'membantu']</t>
  </si>
  <si>
    <t>['kadang', 'emoney', 'kadang', 'pulsa']</t>
  </si>
  <si>
    <t>['buka', 'aplikasinya', 'error', 'loading', 'menampilkan', 'rincian', 'akun', 'tolong', 'perbaiki']</t>
  </si>
  <si>
    <t>['provider', 'sampah', 'nunggu', 'provider', 'care', 'kecepatan', 'jaringan', '']</t>
  </si>
  <si>
    <t>['sinyal', 'telkomsel', 'buruk', 'migrasi', 'halo', 'kuota', 'pakai', '']</t>
  </si>
  <si>
    <t>['daily', 'cek', 'diulang', 'curang']</t>
  </si>
  <si>
    <t>['memuaskan', '']</t>
  </si>
  <si>
    <t>['', 'cek', 'paket', 'scara', 'aplikasi', 'telkomsel', 'paket', 'paket', 'sisa', 'jarang', 'paket', 'habis', 'pulsa', 'disedot', 'pelanggan', 'mohon', 'kepedulian', '']</t>
  </si>
  <si>
    <t>['menarik', 'pilihan', '']</t>
  </si>
  <si>
    <t>['harganya', 'mahal', 'tetep', 'oke', 'karna', 'internetnya', 'lancar', 'harga', 'mahal', 'sinyal', 'internetnya', 'jelek', 'parah', '']</t>
  </si>
  <si>
    <t>['eror', 'jaringan', 'lomet', 'payah']</t>
  </si>
  <si>
    <t>['pilihan', 'paketan', 'mahal', 'pelanggan', 'setia', 'udah', 'bertahun', '']</t>
  </si>
  <si>
    <t>['telkomsel', 'jaringan', 'kota', 'bagus', 'tolong', 'perhatikan']</t>
  </si>
  <si>
    <t>['bukak', 'gua', 'update', 'aplikasi']</t>
  </si>
  <si>
    <t>['jaringan', 'terkonyol', 'main', 'game', 'jumping', 'jumping', 'pingnya', 'mahal', 'doang', 'cepet', 'kagak', 'mending', 'tri', 'tri']</t>
  </si>
  <si>
    <t>['paketan', 'mahal', 'jaringan', 'lemot', 'kesini', 'woi', 'move', 'telkomsel', 'cari', 'keuntungan', 'tok', 'kecewa', 'banget', '']</t>
  </si>
  <si>
    <t>['susah', 'login']</t>
  </si>
  <si>
    <t>['sinyalnya', 'jelek', 'bngt', 'pedalaman']</t>
  </si>
  <si>
    <t>['mbo', 'ngelayanin', 'pelanggan', 'komputer', 'komplen', 'susah', 'bener', 'error', 'error', 'melulu', 'pdhal', 'bli', 'paket', 'bener']</t>
  </si>
  <si>
    <t>['udah', 'download', 'aplikasi', 'buka']</t>
  </si>
  <si>
    <t>['update', 'dibuka', 'aplikasi', 'oppo', '']</t>
  </si>
  <si>
    <t>['ngutang', 'serius']</t>
  </si>
  <si>
    <t>['disarankan', 'pakai', 'kartu', 'hallo', 'kartu', 'prabayar', 'enak', 'telkomsel', 'aturan', '']</t>
  </si>
  <si>
    <t>['tampilan', 'bagus', 'friendly', 'user', 'informatif', '']</t>
  </si>
  <si>
    <t>['sinyal', 'stabil']</t>
  </si>
  <si>
    <t>['halo', 'admin', 'memberitahukan', 'beli', 'paket', 'mytelkomsel', 'nggak', 'cepat', 'selesaikan', 'paket', 'udah', 'sekarat', '']</t>
  </si>
  <si>
    <t>['telepon', 'sms', 'error', 'lapor', 'pakai', 'aplikasi', 'robot', '']</t>
  </si>
  <si>
    <t>['kesini', 'lelet', 'jaringan', 'tinggal', 'kota', 'kek', 'gini', 'ganti', 'jaringan', 'tolong', 'perbaiki']</t>
  </si>
  <si>
    <t>['paket', 'internetmax', 'ribu', 'hilang', 'paket', 'langganan']</t>
  </si>
  <si>
    <t>['bagus', 'alias', 'pelit']</t>
  </si>
  <si>
    <t>['dpt', 'sms', 'promo', 'udh', 'isi', 'plz', 'pilihan', 'nyesel', 'ngisi', 'plz', 'telkomsel']</t>
  </si>
  <si>
    <t>['sinyal', 'telkomsel', 'lelet', 'ibukota', 'lelet', 'memuaskan', 'telkomsel']</t>
  </si>
  <si>
    <t>['maaf', 'telkomsel', 'jaringan', 'gada', 'akhlak', 'tolong', 'perhatikan', 'kualitas', 'jaringan', 'kualitas', 'iklan', 'promo', 'paket', 'jaringan', 'standart', 'sesuai', 'harga', 'paham', '']</t>
  </si>
  <si>
    <t>['apknya', 'peningkatan', 'mantap']</t>
  </si>
  <si>
    <t>['login', 'lumayan', 'cepat', 'terima', 'kasih', 'mohon', 'pertahankan', 'tolong', 'kuota', 'multimedia', 'sesuai', 'masak', 'nunggu', 'kuota', 'free', 'kuota', 'multimedia', 'mesti', 'anjurkan', 'menunggu', 'kuota', 'utama', 'habis', 'emnk', 'abis', 'batas', 'abis', 'habis', 'beli', 'sesuai', 'keperluan', 'mohon', 'telkomsel', 'kuita', 'selayak', 'pergunakan', 'trims']</t>
  </si>
  <si>
    <t>['memudahkan', 'pengguna']</t>
  </si>
  <si>
    <t>['memuaskan', 'pembelian', 'paket', 'pulsa']</t>
  </si>
  <si>
    <t>['mantap', 'aplikasinya']</t>
  </si>
  <si>
    <t>['metode', 'pembayaran', 'ribet', 'shopeepay', 'update', 'hilang', 'metode', 'pembayaran']</t>
  </si>
  <si>
    <t>['mantap', 'kali', 'telkomsel', 'promo', 'praktis', 'sip', '']</t>
  </si>
  <si>
    <t>['tolong', 'gimana', 'hidupin', 'paket', 'darurat', 'pulsa', 'kemakan']</t>
  </si>
  <si>
    <t>['tolong', 'kartu', 'bangsad', 'paket', 'mahal', 'sinyak', 'cacad']</t>
  </si>
  <si>
    <t>['lambat', 'tampilan', 'simple']</t>
  </si>
  <si>
    <t>['sinyal', 'kurg', 'bagus', 'taghn', 'mah', 'tetep', 'sgtu', '']</t>
  </si>
  <si>
    <t>['', 'tinggal', 'kota', 'jaringan', 'kuat']</t>
  </si>
  <si>
    <t>['aplikasi', 'mudah', 'yaman']</t>
  </si>
  <si>
    <t>['telkomsel', 'karna', 'sinyalnya', 'kek', 'anjink', 'kesel', 'orang', 'walupun', 'paket', 'datanya', 'sinyalnya', 'tetep', 'kek', 'anjinkkkkk']</t>
  </si>
  <si>
    <t>['pulsa', 'kepotong', 'kepotong', 'kedepannya', 'fitur', 'lock', 'pulsa', 'sembarang', 'kepotong']</t>
  </si>
  <si>
    <t>['beli', 'paket', 'gagal', 'pulsa', 'kepotong']</t>
  </si>
  <si>
    <t>['sinyalku', 'jelek', 'mulu', 'dimana', 'parah', 'lancar', 'jaya']</t>
  </si>
  <si>
    <t>['', 'bner', 'sikit', 'kau', 'jaringan', 'macem', 'kau', 'setabil', 'gangguan', 'kau', 'mahal', 'haraganya', 'kau', 'pakai', 'beda', 'jaringan', 'aplikasinya', 'buka', 'internet', 'lambat', 'kali', 'tengok', 'buka', 'yusub', 'kau', 'lancarkan', 'jaringan', 'kali', 'kau', 'cepat', 'menghabiskan', 'kuota', 'kau', 'lancarkan', 'jaringanya', 'knpa', 'kau', 'licik', 'kali', 'tengok', '']</t>
  </si>
  <si>
    <t>['tingkatkan', 'performa', 'stabilitas', 'jaringan', 'diseluruh', 'wilayah', 'pelosok']</t>
  </si>
  <si>
    <t>['tingkatkan', 'kualitas', 'jaringan', 'lancar']</t>
  </si>
  <si>
    <t>['check', 'harian', 'mencapai', 'menu', 'chek', 'hilang', 'notifikasi', 'inbox', 'sesuai', 'inbox', 'dihapus', 'semya', 'notifikasi', 'mencantumkan', 'inbox', 'tersisa', '']</t>
  </si>
  <si>
    <t>['mayan', 'membantu']</t>
  </si>
  <si>
    <t>['trimakasih', 'telkomsel', 'mudah', 'ribet', '']</t>
  </si>
  <si>
    <t>['makasih', 'beli', 'paket', 'nonton', 'anime', 'lumayan', 'kartu', '']</t>
  </si>
  <si>
    <t>['coba', 'diperbaharui', 'bagus']</t>
  </si>
  <si>
    <t>['lelet', 'bin', 'lemot', 'ganti', 'ganti', 'simpati', '']</t>
  </si>
  <si>
    <t>['memuaskan', 'telkomunikasinya']</t>
  </si>
  <si>
    <t>['pelayanan', 'bagus']</t>
  </si>
  <si>
    <t>['telkomsel', 'bagus']</t>
  </si>
  <si>
    <t>['kartu', 'telkomsel', 'doang', 'sinyalnya', 'udh', 'buruk', 'harganya', 'mahal', 'pagi', 'siang', 'sore', 'malam', 'dikota', 'didesa', 'udah', 'sinyalnya', 'ancur', 'banget', 'gada', 'enak', 'hubungin', 'dimana', 'tetep', 'ngga', 'perubahan', 'kecewa', 'pindah', 'oerator', 'yok', 'kawan', 'selamat', 'jalani', 'hidup', 'sehari', 'selamat', 'menyiksa', '']</t>
  </si>
  <si>
    <t>['lambat', 'laun', 'kek']</t>
  </si>
  <si>
    <t>['telkomsel', 'mengecewakan', 'jaringan', 'lemot', 'mengirim', 'pesan', 'melalu', 'whatsapp', 'pending', 'presentasi', 'presentasi', 'bagus', 'karna', 'jaringan', 'hilang', 'timbul', 'mari', 'provider', 'telkomsel', 'memiliki', 'keunggulan', 'signifikan', 'dibandingkan', 'provider', 'harga', 'paket', 'mahal']</t>
  </si>
  <si>
    <t>['cakep', 'aplikasi', 'eror', 'mantap', 'tanks', 'telkomsel']</t>
  </si>
  <si>
    <t>['parah', 'jaringan', 'telkomsel', 'udh', 'andalkan', 'keseringan', 'bermasalah', 'jaringannya', '']</t>
  </si>
  <si>
    <t>['bgss', 'bngett', 'aplikasinyaaa', 'wawwww', 'ayoo', 'buruan', 'download', '']</t>
  </si>
  <si>
    <t>['aplikasinya', 'benerin', 'force', 'close', 'mulu', 'bener', '']</t>
  </si>
  <si>
    <t>['pertahankan', 'murah']</t>
  </si>
  <si>
    <t>['update', 'keren', 'pengalaman', 'orang', 'cek', 'pulsa', 'beli', 'paket', 'mudah', 'senang', '']</t>
  </si>
  <si>
    <t>['pulsa', 'disedot', 'alasan', 'chat', 'respon', 'lambat', 'banget', 'tanggung', 'parah', 'perusahaan', 'negara', 'kek', 'gini', '']</t>
  </si>
  <si>
    <t>['promonya', 'paket', 'internet', 'suka', '']</t>
  </si>
  <si>
    <t>['app', 'bermasalah', 'aman', 'aman']</t>
  </si>
  <si>
    <t>['jaringan', 'telkomsel', 'buruk', 'pelanggan', 'kecewa', 'banget', 'kalah', 'profider', 'tetangga', 'jaringanya', 'bagus', 'dikampung', 'kampung', 'tolong', 'diperbaiki', 'nggak', 'pindah', 'profider', '']</t>
  </si>
  <si>
    <t>['membatu', '']</t>
  </si>
  <si>
    <t>['mntak', 'perbaharu', 'dlakukan', 'ttap', 'ndk', 'bsa', 'dbuka', 'kamprett']</t>
  </si>
  <si>
    <t>['kenpa', 'pulsa', 'ambil', 'keterangan', 'memakai', 'pulsa', 'untk', 'akses', 'internet', 'non', 'paket', 'sya', 'akses', 'internet', 'kartu', 'indosat', 'pulsa', 'telkomsel', 'potong', 'isi', 'pulsa', 'perpanjang', 'kartu', 'habis', 'potong', 'alesan', 'akses', 'internet', 'non', 'paket', 'tolong', 'perbaiki', 'curang']</t>
  </si>
  <si>
    <t>['semoga', 'rezeki']</t>
  </si>
  <si>
    <t>['beli', 'paket', 'internet', 'saldo', 'berkurang', 'masuk']</t>
  </si>
  <si>
    <t>['terbantu', 'telkomsel', '']</t>
  </si>
  <si>
    <t>['knplah', 'dibuka', 'blm', 'pulsa', 'tersedot', 'telkomsel']</t>
  </si>
  <si>
    <t>['ribet', 'bnyk', 'verifikasinya', 'koneksi', 'stabil']</t>
  </si>
  <si>
    <t>['', '']</t>
  </si>
  <si>
    <t>['jaringan', 'jelek', 'paket', 'mahal', 'kualitas', 'sesuai', 'harga', 'paket', 'udah', 'mendung', 'hujan', 'lemot', 'banget']</t>
  </si>
  <si>
    <t>['apk', 'niat', 'beli', 'kuota', 'hotspot', 'adek', 'kuota', 'adek', 'ngurang', 'gb', 'cma', 'buka', 'sebentar', 'apk', 'ampasss', 'emng', 'muter', 'video', 'kek', 'youtube', 'ngurangin', 'kuotanya', 'fvk', '']</t>
  </si>
  <si>
    <t>['tolonglah', 'harga', 'paket', 'pelayanan', 'burum', 'paket', 'mahal', 'stop', 'makan', 'untung']</t>
  </si>
  <si>
    <t>['mendukung']</t>
  </si>
  <si>
    <t>['telkomsel', 'sinyal', 'lelet', 'banget', 'udah', 'coba', 'apn', 'ketempat', 'sinyal', 'tetep', 'lelet']</t>
  </si>
  <si>
    <t>['aplikasi', 'minggu', 'nyuruh', 'updet', 'temen', 'bolak', 'kasih', 'tips', 'masuk', 'plastore', 'silahkan', 'pilih', 'uinstal', 'disuruh', 'update', 'trs']</t>
  </si>
  <si>
    <t>['', 'terbaik', '']</t>
  </si>
  <si>
    <t>['telkomsel', 'mahal', 'nyebelin', 'rwg', 'kartu', 'susahnya', 'ampun', '']</t>
  </si>
  <si>
    <t>['telkomsel', 'parah', 'banget', 'kouta', 'gb', 'akses', 'internet', 'tarif', 'pulsa', 'hilang', 'sampe', 'rb', '']</t>
  </si>
  <si>
    <t>['telkomsel', 'mantap', 'harga', 'paket', 'internetnya', 'telkomsel', 'the', 'best', '']</t>
  </si>
  <si>
    <t>['terbaik', 'layanan']</t>
  </si>
  <si>
    <t>['jaringan', 'minggu', 'tolong', 'tolong', 'ironisnya', 'buka', 'app', 'dimuat', 'dissapointedddddddd']</t>
  </si>
  <si>
    <t>['apl', 'kasi', 'telkomsel', 'terbaru', 'lemot', 'lelet']</t>
  </si>
  <si>
    <t>['sinyal', 'simpati', 'jelekkkkk', 'maen', 'mobilegend', 'sinyal', 'ngelekk', 'ampun', 'skrng', 'sekrng', 'yal', 'simpati', 'benerr', 'jelekk', 'ampun', 'parahh', 'sinyal', 'simpati', 'sekrng', 'kalah', 'sinyal', 'sinyal', 'tri', 'huhh', 'simpati', 'parahhh']</t>
  </si>
  <si>
    <t>['mantap', 'cuy', 'informasi', 'perihal', 'paket', 'kuota', 'mempermudah', 'pembelian']</t>
  </si>
  <si>
    <t>['jaman', 'mending', 'gausah', 'telkomsel', 'deh', 'gangguan', 'teruss', 'mending', 'pindah', 'kartu']</t>
  </si>
  <si>
    <t>['daerah', 'lampung', 'barat', 'tingkatkan', 'plosoknya', 'selebihnya', '']</t>
  </si>
  <si>
    <t>['pulsa', 'data', 'internet', 'bagus', 'biarkan', 'pengguna', 'tentukan']</t>
  </si>
  <si>
    <t>['telkomsel', 'jafi', 'pencuri', 'halus', 'main', 'potong', 'pulsa', 'alesan', 'penggunaan', 'internet', 'kuota', 'paketan', 'jujur', 'smartfren', 'potong', 'pulsa', 'psket', 'kuota', 'habis', 'masak', 'telkomsel', 'main', 'potong', 'pulsa', 'kuota', 'dipakai', 'telpon', 'sms', 'gini', 'nasibnya', 'operatorku', 'warna', 'kuning', 'endingnya', 'hanguskan', 'ganti', 'operator', 'jujur', '']</t>
  </si>
  <si>
    <t>['tolong', 'info', 'email', 'syarat', 'pergantian', 'kartu', 'hilang', 'bawa', 'grapari', 'terima', 'kasih', '']</t>
  </si>
  <si>
    <t>['pulsa', 'tinggal', 'parah', 'pulsa', 'kemana', 'heyyy']</t>
  </si>
  <si>
    <t>['memudahkan', 'pelanggan', 'telkomsel', 'membeli', 'paket', 'tersedia', 'telkomsel']</t>
  </si>
  <si>
    <t>['bonus', 'gb', 'dipkai', 'internet', 'pulsa', 'kesedot', 'telkomsel', 'gni', 'tlg', 'tipu', 'ruwet', 'ruwet', 'ruwet', '']</t>
  </si>
  <si>
    <t>['bintang', 'deh', '']</t>
  </si>
  <si>
    <t>['nanya', 'min', 'telkomsel', 'belom', 'suport', 'android', 'abis', 'upgrade', 'android', 'app', 'telkomsel', 'uninstal', 'otomatis', '']</t>
  </si>
  <si>
    <t>['lemot', 'tesel', 'jagan', 'harga', 'doang', 'mahal', 'jaringannya', 'doong', 'perbaiki']</t>
  </si>
  <si>
    <t>['mengharukan']</t>
  </si>
  <si>
    <t>['muda']</t>
  </si>
  <si>
    <t>['telkomsel', 'jelek', 'jaringan', 'internet', 'jelek', 'paket', 'internet', 'mahal', 'lelet', 'paket', 'nelpon', 'perform', 'telkomsel', 'samakin', 'buruk', 'bandungan', 'trus', 'konsumen', 'lambat', 'laun', 'ber', 'ahli', 'jaringan', 'telkomsel', 'tinggal', 'pelanggan', '']</t>
  </si>
  <si>
    <t>['tingkatkan', 'kualitas', '']</t>
  </si>
  <si>
    <t>['mantap', 'bre', '']</t>
  </si>
  <si>
    <t>['paketannya', 'mahal', 'mahal']</t>
  </si>
  <si>
    <t>['please', 'kuota', 'game', 'max', 'berguna', 'banget', 'gabisa', 'main', 'game', 'sinyalnya', 'lag', 'kecewa', '']</t>
  </si>
  <si>
    <t>['bagus', 'mudah', '']</t>
  </si>
  <si>
    <t>['puas', 'aplikasi', 'telkomsel']</t>
  </si>
  <si>
    <t>['terimakasih', 'direspon']</t>
  </si>
  <si>
    <t>['anjinggg', 'pulsa', 'aing', 'menghilang', 'udah', 'paket', 'mahal', 'pulsa', 'gua', 'pas', 'pasan', 'abis', 'edan', 'setann', '']</t>
  </si>
  <si>
    <t>['woy', 'cok', 'pikir', 'murah', 'beli', 'kuota', 'beli', 'mahal', 'mahal', 'jaringan', 'kek', 'siput', 'jalan', 'indo', 'ampe', 'jepang', 'lemot', 'bet', 'blok', 'perbaiki', 'jaringan', 'tot']</t>
  </si>
  <si>
    <t>['', 'bejitimur', 'mahoni', 'didalam', 'sinyal', 'internetnya', 'kadang', 'turun', 'terimakasih', 'bagus', 'pertahankan', 'ditingkatkan', '']</t>
  </si>
  <si>
    <t>['', 'sehebat', 'mah', 'lemot', 'buffering', 'mlu']</t>
  </si>
  <si>
    <t>['kadang', 'hbs', 'pulsa', 'ngutang', '']</t>
  </si>
  <si>
    <t>['mantap', 'telkomsel', 'puas', 'banget', '']</t>
  </si>
  <si>
    <t>['mahal', 'mahal', 'turunkan', 'dikit', 'harga', 'paket', 'suskses', 'slalu', 'telkomsel']</t>
  </si>
  <si>
    <t>['semoga', 'sukses', 'amanah']</t>
  </si>
  <si>
    <t>['sinyal', 'memburuk', 'pdahal', 'kyk', 'gini', '']</t>
  </si>
  <si>
    <t>['', 'telkomsel', 'membantu', 'undi', 'pundi', 'lainya', 'bonus', 'bonus', 'telkomsel', 'muantap', 'slebeewww']</t>
  </si>
  <si>
    <t>['check', 'pas', 'bonus', 'aneh', 'emang', 'mb', 'check', 'gb', 'gb', 'tulisan', 'check', 'aneh', 'perbaiki', 'yaaah', 'sekian']</t>
  </si>
  <si>
    <t>['and']</t>
  </si>
  <si>
    <t>['semoga', 'indo', 'jaringan', 'kenceng', 'telkomsel', 'murah', 'harga', 'kouta', 'karna', 'harga', 'telkomsel', 'bersahabat', 'rakyat', 'menengah', 'kebawah', 'terbesar', 'indo', 'msk', 'jual', 'mahal', 'orang', 'sendri', 'tuhhh', '']</t>
  </si>
  <si>
    <t>['loading', 'free', 'masuk', 'halamanya', 'data', 'susah', 'beli', 'paket', 'sesuai', 'kebutuhan', '']</t>
  </si>
  <si>
    <t>['mudah', 'dipakai', 'suka', '']</t>
  </si>
  <si>
    <t>['mantap', 'paketnya']</t>
  </si>
  <si>
    <t>['memuaskan', 'check', 'dapet', 'kuota', 'gratis', 'pulsa', 'gratis', 'beli', 'kuota', 'internet', 'puas', 'kartu', 'sakti', 'murah']</t>
  </si>
  <si>
    <t>['paket', 'unlimitidny', 'terjangkau', 'lgi', 'aga', 'murahan', 'gitu']</t>
  </si>
  <si>
    <t>['kasih', 'bintang']</t>
  </si>
  <si>
    <t>['simple', 'membantu']</t>
  </si>
  <si>
    <t>['kebanyakan', 'error', 'pas', 'beli', 'paket', 'kgk', 'bsa', 'belilah', 'nunggu', 'proses', 'bsa', 'dibeli', 'sudh', 'ditulis', 'proses', 'restart', 'restart', 'msih', 'kgk', 'bsa', 'aplikasi', 'kagak', 'berguna', 'fungsinya', 'cuman', 'pajangan', '']</t>
  </si>
  <si>
    <t>['banyakin', 'promo', 'paket', 'murahnya']</t>
  </si>
  <si>
    <t>['yaa', 'ndak', 'tanyak', 'syaaa']</t>
  </si>
  <si>
    <t>['', 'suka', 'pakai', 'aplikasi', 'telkomsel']</t>
  </si>
  <si>
    <t>['cepat', 'isi', 'ulangnya', 'mantap', '']</t>
  </si>
  <si>
    <t>['perusahhan', 'telkomsel', 'lelet', 'update', 'app', 'noh', 'udah', 'support', 'android', 'apps', 'instal', 'android', 'kasih', 'bintang']</t>
  </si>
  <si>
    <t>['udah', 'mahal', 'harganya', 'lelet', '']</t>
  </si>
  <si>
    <t>['puas', 'pakenya', '']</t>
  </si>
  <si>
    <t>['tingkat', 'kekuatan', 'sinyal', 'kelurahan', 'kabupaten', 'gunung', 'kidul', '']</t>
  </si>
  <si>
    <t>['asalamuallaikum', 'admin', 'telkomsel', 'internet', 'psdahal', 'kuota', 'bnyak', 'beli', 'pulsa', 'admin', 'internet', 'telkomsel', 'mohon', 'perlancar', 'admi', 'telkomsel', 'kecewa', 'pelanggan', 'telkomsel', 'internetan', 'bagus', 'cepat', 'terima', 'kasihh']</t>
  </si>
  <si>
    <t>['terima', 'kasih', 'penjelasannya', 'bintang', 'ketimbang', 'bintang', '']</t>
  </si>
  <si>
    <t>['pengen', 'menang']</t>
  </si>
  <si>
    <t>['mudah', 'penggunaaannya']</t>
  </si>
  <si>
    <t>['sya', 'pelanggan', 'setia', 'udah', 'mahal', 'orang', 'wajar', 'sesuwei', 'kualitas', 'banggakan', 'tolong', 'udah', 'mahal', 'kuata', 'boros', 'jaringan', 'super', 'lelet', 'sya', 'langganan', 'udah', 'kga', 'beli', 'kga', 'doang', 'kuata', 'multimedia', 'kga', 'doang', 'lancar', 'buka', 'video', 'ngeleg', 'boro', 'yautube', '']</t>
  </si>
  <si>
    <t>['bagus', 'pertahankan', 'jaringan', 'bagus', 'daerah', 'pelosok']</t>
  </si>
  <si>
    <t>['susah', 'udah', 'minggu', 'beli', 'internet', 'kuota', 'gagal', 'gimana', 'gangguannya']</t>
  </si>
  <si>
    <t>['lancar', 'beli', 'pulsa', 'kuota', 'aplikasi', 'telkomsel', 'tapii', 'disaat', 'cek', 'kuota', 'mendingan', 'tampilkan', 'cek', 'dach', 'kasih', 'bintang', '']</t>
  </si>
  <si>
    <t>['terima', 'kasih', 'telkomsel', 'sukses', 'lancar']</t>
  </si>
  <si>
    <t>['murah', 'kuota', 'telkomsel', 'pakai', 'telkomsel', 'mahal', 'harga', 'kuota', 'telkomsel', 'murah', 'vocer', 'vocer', 'terima', 'kasih']</t>
  </si>
  <si>
    <t>['kuat', 'sinyal', 'mantap']</t>
  </si>
  <si>
    <t>['harga', 'paket', 'telkomsel', 'relatif', 'mahal', 'banding', 'operator', 'turunin', 'harga', 'paket']</t>
  </si>
  <si>
    <t>['', 'telkomsel', 'bagus']</t>
  </si>
  <si>
    <t>['aplikasi', 'telkomsel', 'terbaik', '']</t>
  </si>
  <si>
    <t>['beli', 'paket', 'internet', 'aplikasinya', 'gagal', 'tulisan', 'maaf', 'gangguan', 'sistem', 'udah', 'gini', '']</t>
  </si>
  <si>
    <t>['terimakasih', 'telkomsel', 'menanggapi', 'keluhan', 'pelanggan', 'memperbaikinya', 'sukses', 'semoga', 'telkomsel', 'maju', 'berkarya', '']</t>
  </si>
  <si>
    <t>['notif', 'memaksa', 'rating', 'muncul', 'membuka', 'aplikasi', 'mengganggu']</t>
  </si>
  <si>
    <t>['paketannya', 'mahal', 'dibagi', 'paket', 'sinyalnya', 'susah', 'lemot', 'banget', 'beli', 'paket', 'data', 'paket', 'sosmednya', 'paket', 'utama', 'sosmed', 'paket', 'utama', 'hbs', 'dluan', 'pakai', 'paket', 'data', 'utama', 'jaringannya', 'lemot', 'pakai', 'paket', 'sisa', 'paket', 'sosmed', 'lemot', 'jaringan', 'browsing', 'susahnya', 'ampun', 'batterai', 'low', 'cma', 'buka', 'link', 'berita', 'tolong', 'diperbaiki', 'menguntungkan', '']</t>
  </si>
  <si>
    <t>['menghargai', 'telkomsel', 'tapu', 'tolong', 'min', 'harga', 'kuota', 'diturunkan']</t>
  </si>
  <si>
    <t>['telkomsel', 'ditempat', 'sinyalnya', 'buruk', 'udah', 'nanya', 'telkomsel', 'bilangnya', 'ditambah', 'bts', 'tolong', 'difollow', 'sinyal', 'strip']</t>
  </si>
  <si>
    <t>['kadang', 'kesulitan', 'jaringan', 'error', 'cek', 'kuota', 'browsing', 'internet', 'dlm', 'darurat']</t>
  </si>
  <si>
    <t>['kekuatan', 'daerah', 'terpencil', 'harap', 'diperhatikan', 'umtuk', 'wilayah', 'kalimantan', 'timur', 'terima', 'kasih', 'admin', '']</t>
  </si>
  <si>
    <t>['apli', 'kasi', 'bagus']</t>
  </si>
  <si>
    <t>['aplikasinya', 'kereeeen', 'pokoknya', 'mantap', 'sukses']</t>
  </si>
  <si>
    <t>['aplikasih', 'mytelkomsel', 'terbaik']</t>
  </si>
  <si>
    <t>['apk', 'berguna', 'mudah', 'download', 'guys', 'cepat', 'download', 'gratis', 'paket', 'gratis', '']</t>
  </si>
  <si>
    <t>['kak', 'saran', 'pinjam', 'kuota', 'gb', 'ganti', 'poin', 'enak', 'semoga', 'balas', 'trima', 'kasih']</t>
  </si>
  <si>
    <t>['gampang', 'beli', 'kuota']</t>
  </si>
  <si>
    <t>['semoga', 'sukses', 'terlayani', 'lapisan', 'masyarakat', 'maju', 'telkomsel']</t>
  </si>
  <si>
    <t>['gimana', 'kuota', 'nonton', 'sengaja', 'beli', 'kuota', 'nontonya', 'suka', 'liat', 'youtube', 'kesedot', 'kuota', 'internet', 'pdhl', 'diketerangan', 'youtube', 'gmn']</t>
  </si>
  <si>
    <t>['sinyal', 'msh']</t>
  </si>
  <si>
    <t>['vagus', 'cepat']</t>
  </si>
  <si>
    <t>['semoga', 'kartu', 'prabayar', 'telkomsel', 'sang', 'membantu', 'manusia', 'mohon', 'program', 'data', 'paket', 'internet', 'lai', 'turun', 'harganya', 'trima', 'kasih', 'sukses', 'telkomsel', 'maju', 'trusss', 'kedepannya', 'aminnn']</t>
  </si>
  <si>
    <t>['sangar', 'buka', 'lgsung', 'tertera', 'data', 'sisa', 'pulsa', 'kartu', 'mantap', 'terimakasih', 'mytelkomsel', '']</t>
  </si>
  <si>
    <t>['keren', 'lanjutkan']</t>
  </si>
  <si>
    <t>['paketnya', 'mahal', 'sinyal', 'lemot']</t>
  </si>
  <si>
    <t>['aplikasi', 'lemot', 'ribet', 'pdhl', 'operator', 'seluler', 'terkenal', 'termahal', 'iklan', 'andai', 'dikasih', 'bintang', '']</t>
  </si>
  <si>
    <t>['kartu', 'terkenal', 'mahal', 'sinyal', 'harga', 'murah']</t>
  </si>
  <si>
    <t>['memudahkan', 'pembelian', 'top', 'pulsa']</t>
  </si>
  <si>
    <t>['app', 'bagus', '']</t>
  </si>
  <si>
    <t>['jaringan', 'jelek', 'luplep', 'maen', 'game', 'afk', 'mulu']</t>
  </si>
  <si>
    <t>['knp', 'telkomsel', 'skrg', 'ngeleg', 'sinyalnya', 'bufring', 'trs']</t>
  </si>
  <si>
    <t>['', 'login', 'selasa', 'daily', 'login', 'mytelkomsel', 'fitur', 'hilang', 'mengklaim', 'login', 'harian', 'rabu', 'fitur', 'login', 'kecewa', 'daily', 'login', 'hilang', 'semoga', 'diperbaiki', 'fitur', 'daily', 'loginnya', 'hilang', 'hilang', '']</t>
  </si>
  <si>
    <t>['keluhan', 'saran', 'signal', 'lele', 'harga', 'paket', 'internet', 'mahal', 'tolong', 'permintaan', 'kabulkan', 'turun', 'harga', 'paket', 'internet']</t>
  </si>
  <si>
    <t>['maaf', 'nnya', 'kartu', 'paket', 'sakti', 'combo', 'belanja', 'aplikasinya', 'pdhal', 'aplikasinya', 'trs', 'paket', 'tersedia', 'berbeda']</t>
  </si>
  <si>
    <t>['beli', 'paket', 'telkomsel', 'jringan', 'murahan', 'bagus', 'jringannya', 'emosi', 'main', 'game']</t>
  </si>
  <si>
    <t>['membantu', 'dpt', 'data', 'cma', 'byar', 'rupiah', 'beli', 'data', 'dpt', 'kebih', 'murah']</t>
  </si>
  <si>
    <t>['murah', 'belli', 'paket', 'telkomsel']</t>
  </si>
  <si>
    <t>['loading', 'menyita', 'membuang', 'kecewa', '']</t>
  </si>
  <si>
    <t>['datanya', 'udah', 'mahal', 'jaringanya', 'hancur', 'biadap', 'untung', 'ku', 'jaringan', 'klw', 'pidah', 'jaringan', 'rugi', 'telkomsel', '']</t>
  </si>
  <si>
    <t>['mantap', 'mudah', 'telkomsel']</t>
  </si>
  <si>
    <t>['apk', 'bagus', 'bnget', '']</t>
  </si>
  <si>
    <t>['', 'pulsa', 'kesedot', 'data', 'telkomsel', 'sedoottt', 'teroooss', 'bener', 'aman', 'nyimpen', 'pulsa', 'dimari', 'edit', 'pulsa', 'potong', 'make', 'paket', 'hadiah', 'check', 'ancuurr', 'ancuurr', 'bintang', 'nol', 'kasi', 'bintang', 'nol', 'edit', 'pulsa', 'disedot', 'kali', 'dikit', 'ketauan', 'kuota', 'internet', 'make', 'woy', 'maunya', '']</t>
  </si>
  <si>
    <t>['tolong', 'beli', 'paket', 'internet', 'udah', 'berhasil', 'paket', 'pakai', 'motif', 'paket', 'berhasil', 'pulsa', 'udah', 'ambil', 'rugi']</t>
  </si>
  <si>
    <t>['woi', 'telkom', 'nau', 'duit', 'signal', 'benarin', 'taik', 'ksh', 'kualitas', 'kyk', 'gini', 'cepat', 'laa', 'bangkrut']</t>
  </si>
  <si>
    <t>['jaringan', 'suka', 'redup', 'lambat', 'tolong', 'diperbaiki', '']</t>
  </si>
  <si>
    <t>['jam', 'sinyal', 'hilang', 'udh', 'connection', 'lumayan', 'menit', 'promo', 'iklan', 'klu', 'trouble', 'kasih', 'notiv', 'pelanggan', 'seenggak', 'kecewa', 'bintang', 'deh', '']</t>
  </si>
  <si>
    <t>['provider', 'buruk', 'kemari', 'sinyal', 'buruk', 'engga', 'profesional', 'provider', 'beli', 'kuota', 'mahal', 'sinyal', 'buruk', '']</t>
  </si>
  <si>
    <t>['tukar', 'poin', 'tunggu', 'ditunggu', 'harian', 'nunggu', 'situ', 'poin', 'gangguan', 'pemberitahuan', 'emang', 'susah', '']</t>
  </si>
  <si>
    <t>['mantab', 'and', 'recommanded', 'deh', 'pokoknya', 'sukses', 'telkomsel']</t>
  </si>
  <si>
    <t>['aplikasi', 'membantu', 'pengguna', 'kartu', 'hallo', 'terima', 'kasih', 'telkomsel']</t>
  </si>
  <si>
    <t>['woi', 'bener', 'ngurus', 'provider', 'beli', 'mahal', 'mahal', 'layanan', 'kayak', 'jaringan', 'hilang', 'tulisannya', 'layanan', 'udah', 'nyala', 'matiin', 'gamau', 'nongol', 'payaahhhhh', 'mending', 'kartu']</t>
  </si>
  <si>
    <t>['bintang', 'bicara', 'hehehe']</t>
  </si>
  <si>
    <t>['tolong', 'tingkatkan', 'apk', 'memasukan', 'kode', 'voucher', 'apk', '']</t>
  </si>
  <si>
    <t>['gangguan', 'mulu', 'tolong', 'perbaiki']</t>
  </si>
  <si>
    <t>['aplikasinya', 'bagus', 'mudah']</t>
  </si>
  <si>
    <t>['mantappp', 'telkomsel', 'pilihan']</t>
  </si>
  <si>
    <t>['kalinya']</t>
  </si>
  <si>
    <t>['paketan', 'data', 'internet', 'murah', 'murah', 'bangettt', '']</t>
  </si>
  <si>
    <t>['kesini', 'kacau', 'mending', 'pindah', 'provider', 'sebelah']</t>
  </si>
  <si>
    <t>['ngelag', 'mulu', 'jringn', 'luh', 'kgk', '']</t>
  </si>
  <si>
    <t>['jngn', 'lelet']</t>
  </si>
  <si>
    <t>['semoga', 'menang', 'bang', 'undian']</t>
  </si>
  <si>
    <t>['mahal', 'mahal', 'kuotanya', 'boss', 'ppkm', 'sett', 'dahh', 'paketnya', 'rb', 'kemane', 'kaga', 'muncul', 'sue', 'bener', 'dahh', 'boss']</t>
  </si>
  <si>
    <t>['', 'saran', 'sinyalnya', '']</t>
  </si>
  <si>
    <t>['daily', 'check', 'kemana', 'ilang', 'ngapain', 'ngikutin', 'apply', 'bonusnya', 'hilang', 'update', 'nggak', 'notif', 'nggak', 'mengecewakan', 'terkadang', 'jaringan', 'stabil', 'tolong', 'perbaiki', '']</t>
  </si>
  <si>
    <t>['beli', 'paketan', 'masok', 'ajg', 'emang', 'apk', 'coba', 'rugi', 'mulu', 'gua']</t>
  </si>
  <si>
    <t>['aplikasi', 'bagus', 'tolong', 'harga', 'kuota', 'turunin', 'dikit', 'kerja', 'keras', 'hasil', 'berbeda', 'jaringan', 'kartu', 'sim', 'telkomsel', 'nge', 'lag', 'jaringan', 'tolong', 'besarnya', 'perbarui']</t>
  </si>
  <si>
    <t>['bonus', 'diamond', 'mllb', 'kasi', 'bayak']</t>
  </si>
  <si>
    <t>['butuh', 'bantuan']</t>
  </si>
  <si>
    <t>['simpati', 'jaringan', 'leg', 'leg', 'mahal', 'kertu', 'bagus', 'simpati', 'internet', 'sampah', 'mahalnya', 'nomer', 'jaringan', 'kalah', 'murah', 'internet', 'simpati', 'kaga', 'sudi', 'simpati', 'telkomsel', 'sampah']</t>
  </si>
  <si>
    <t>['performanya', 'lumayan', 'bagus']</t>
  </si>
  <si>
    <t>['kartu', 'mahal', 'lemot', 'sinyalnya', 'kartu', 'dipakai', 'mahal', 'paket', 'datanya', 'tolong', 'telkomsel', 'kasih', 'pelanggan', 'pakai', 'kartu', 'dipermurah', 'beli', 'data', 'paketnya']</t>
  </si>
  <si>
    <t>['aplikasi', 'bagus', 'memudahkan', 'cek', 'status', 'pulsa', 'promo', 'undian', 'hadiah', 'semoga', 'menang', 'undian', 'undian', 'aplikasi', 'telkomsel', 'makasih', 'min']</t>
  </si>
  <si>
    <t>['telkomsel', 'kuota', 'chat', 'mb', 'terpakai', 'tolong', 'telkomsel', 'tolong', 'sebesarnya', 'gituin', '']</t>
  </si>
  <si>
    <t>['', 'bingung', 'beli', 'paket', 'kuota', 'dimytelkomsel']</t>
  </si>
  <si>
    <t>['tolong', 'sinyal', 'telkomsel', 'diperkuat', 'lgi', 'pengguna', 'telkomsel', 'terlajur', 'percaya', 'kecewakn', 'pelanggan', 'telkomsel', 'sinyal', 'telkomsel', 'jelek', '']</t>
  </si>
  <si>
    <t>['kadang', 'sinyal', 'kuat', 'kadang', 'lemot', 'npain', 'cok', 'telkomsel']</t>
  </si>
  <si>
    <t>['tolong', 'permudah', 'transaksi']</t>
  </si>
  <si>
    <t>['buka', 'aplikasi', 'lelet', 'tolong', 'diperbaiki']</t>
  </si>
  <si>
    <t>['brafoo', 'mytelkomsel', 'sukses', 'saingan', 'cocok', 'pembisnis', 'doog', 'joop', '']</t>
  </si>
  <si>
    <t>['komentarnya', 'kecewa', 'telkomsel', 'bagus', 'banget', 'sinyalnya', 'kuat', 'unlimited', 'cepat', 'heran']</t>
  </si>
  <si>
    <t>['membantu', 'gratisannya']</t>
  </si>
  <si>
    <t>['kasih', 'bintang', 'segitu', 'kecewa', 'harga', 'pembelian', 'kuota', 'mahal', 'provider', 'murah', 'sinyal', 'hilang', 'timbul', 'parahnya', 'listrik', 'padam', 'sinyal', 'hilang', 'total', 'provider', 'aman', 'listrik', 'padam', 'pengguna', 'telkomsel', 'tolong', 'perbaiki', 'kekurangannya', 'kewajiban', 'tolong', 'hak', 'pengguna', 'provider', 'maksimal', 'thank', '']</t>
  </si>
  <si>
    <t>['', 'bsa', 'bukak']</t>
  </si>
  <si>
    <t>['aplikasi', 'telkomsel', 'jelek', 'isi', 'pulsa', 'cek', 'pulsa', 'apk', 'telkomsel', 'penukaran', 'poin', 'bener', 'kualitas', 'telkomsel', 'jelek']</t>
  </si>
  <si>
    <t>['suka', 'aplikasi', 'membantu']</t>
  </si>
  <si>
    <t>['jaringan', 'benerin', 'woi']</t>
  </si>
  <si>
    <t>['suka', 'tsel']</t>
  </si>
  <si>
    <t>['membantu', 'pembelian', 'paket']</t>
  </si>
  <si>
    <t>['paket', 'data', 'mahal', 'sinyal', 'kek', 'taii', 'kontollah', 'nyesel', 'pakai', 'telkomsel', 'bobrok', 'kontolllllll']</t>
  </si>
  <si>
    <t>['hidup', 'kena', 'prank', 'sakitnya', 'halnya', 'telkomsel', 'sial', 'quota', 'mahal', 'leletnya', 'ampun', 'udah', 'dibeli', 'paket', 'jam', 'harganya', 'ekor', 'ayam', 'sampah', 'dirugikan', 'komen', 'ditulis', 'oktober', '']</t>
  </si>
  <si>
    <t>['jelek', 'sinyal', 'busett', 'kek', 'udah', 'pinggiran', 'pulau', 'anying']</t>
  </si>
  <si>
    <t>['kuota', 'sosmed', 'game', 'gimic', 'doang', 'naikkan', 'harga', 'jual', 'paket', 'aslinya', 'ampas', 'dipakai', '']</t>
  </si>
  <si>
    <t>['sinyal', 'perbaiki', 'tarif', 'mahal', 'sinyal', 'kau', 'kayak', 'taik', '']</t>
  </si>
  <si>
    <t>['udah', 'dipaketin', 'free', 'telpon', 'operator', 'pulsanya', 'tetep', 'kesedot']</t>
  </si>
  <si>
    <t>['', 'lol', 'ngelag', 'beg', 'ngapsih', 'gitu', 'ngelag', 'najis', 'beg', 'lol', 'otak']</t>
  </si>
  <si>
    <t>['sinyal', 'buruk', 'didaerah', 'sebanding', 'harga', 'paket', 'data', 'ditawarkan', 'parah', '']</t>
  </si>
  <si>
    <t>['sinyal', 'mendadak', 'susah', 'buka', 'aplikasi', 'sussahnya', 'ampun', 'tolong', 'perbaiki', 'bagus', 'terganggu']</t>
  </si>
  <si>
    <t>['', 'mantap', 'terpercaya']</t>
  </si>
  <si>
    <t>['mimin', 'maaf', 'tanggung', 'menipu']</t>
  </si>
  <si>
    <t>['mentang', 'oprtaor', 'layanan', 'sinyal', 'enek', '']</t>
  </si>
  <si>
    <t>['punyak', 'gonta', 'ganti', 'tetep', 'kartu', 'perdana', 'telkomsel', 'ganti', 'emang', 'telkomsel', 'ribet', 'teman', 'percaya', 'coba', 'ganti', 'tetep', 'pakai', 'telkomsel']</t>
  </si>
  <si>
    <t>['memuaskan', 'telkomsel', '']</t>
  </si>
  <si>
    <t>['unlimited', 'youtube', 'ganti', 'zoom', 'ganti', 'zoom', 'balikin', 'youtube', 'sekolah', 'tatap', 'muka', 'skrg', 'zoom', '']</t>
  </si>
  <si>
    <t>['puas', 'telkomsel']</t>
  </si>
  <si>
    <t>['', 'telkomsel', 'membantu', '']</t>
  </si>
  <si>
    <t>['tolong', 'sinyal', 'telkomsel', 'mangkang', 'kota', 'semarang', 'ditingkatkan', 'kalah', 'indos', '']</t>
  </si>
  <si>
    <t>['apk', 'bagussss']</t>
  </si>
  <si>
    <t>['nyoba', 'bagus']</t>
  </si>
  <si>
    <t>['tolong', 'perbaiki', 'jaringan', 'internetnya']</t>
  </si>
  <si>
    <t>['terimakasih', 'berkat', 'telkomsel', 'mudah', 'beli', 'paket', 'dll', 'pokoknya', 'senang', 'bermanfaat']</t>
  </si>
  <si>
    <t>['', 'telkomsel', 'mudah', 'dipahami', 'dikembangkan', 'terima', 'kasih', '']</t>
  </si>
  <si>
    <t>['', 'kontak', 'memakai', 'telkomsel', 'signalnya', 'bagus', 'dimana']</t>
  </si>
  <si>
    <t>['', 'worst', 'provider', 'indonesia', 'jaringannya', 'karuan', 'internet', 'lemot', 'hilang', 'price', 'mahal', 'kualitas', 'setara', 'ptovider', 'menengah', '']</t>
  </si>
  <si>
    <t>['untung', 'banget', 'aplikasi', 'mytelkomsel', 'promo', '']</t>
  </si>
  <si>
    <t>['biaya', 'internetmu', 'mahal', 'provider', 'tolong', 'perbaiki', 'jaringannya', '']</t>
  </si>
  <si>
    <t>['puas', 'kecewa', 'mekkah', 'menghubungi', 'kel', 'indonesia', 'mehong', 'thn', 'lemot', 'unt', 'jkt', 'ancol', 'ngak', 'max', 'kalah', 'aplikasi', 'malu', 'org', 'awak']</t>
  </si>
  <si>
    <t>['mohon', 'maaf', 'mengeluh', 'karna', 'telkomsel', 'eror', 'sinyal', 'berpengaruh', 'pekerjaan', 'driver', 'online']</t>
  </si>
  <si>
    <t>['jaringannya', 'mohon', 'diperbaiki', 'terimaksih', '']</t>
  </si>
  <si>
    <t>['toloong', 'min', 'jaringannya', 'benerin', 'cape', 'kaya', 'gini', 'leg', 'mulu', 'main', 'game', 'tolong', 'min', 'secepatnya', 'benerin', 'kontoooooooooooll']</t>
  </si>
  <si>
    <t>['jaringanya', 'main', 'kadang', 'kuning', 'itupun', 'harganya', 'mahal', 'untung', 'udah', 'indosat', 'bye', 'telkomsel', 'selamat', 'tinggal', '']</t>
  </si>
  <si>
    <t>['membantu', 'banget', '']</t>
  </si>
  <si>
    <t>['lihat', 'koment', 'teman', 'keingat', 'potong', 'pulsa', 'bayar', 'pulsa', 'darurat', 'pinjam', 'sengaja', 'kepake', 'jujur', 'nggak', 'ganjarannya', 'teman', 'dipikirkan', '']</t>
  </si>
  <si>
    <t>['min', 'kayak', 'jaringan', 'telkomsel', 'kecewa', '']</t>
  </si>
  <si>
    <t>['telkomsel', 'ttp', 'hati', '']</t>
  </si>
  <si>
    <t>['jaringan', 'bagus', 'smua', 'kondiai']</t>
  </si>
  <si>
    <t>['termakasih', 'membantu']</t>
  </si>
  <si>
    <t>['jaringannya', 'lelet', 'mahal', 'kuotanya', '']</t>
  </si>
  <si>
    <t>['sinyal', 'penuh', 'jaringannya', 'kek', 'dajjal', 'mahalnya', 'doang', 'kualitas', 'sinyal', 'kek', '']</t>
  </si>
  <si>
    <t>['error', 'terusssss', 'sekelas', 'telkomsel', 'aplikasinya', 'error', 'sulit', 'dibuka', 'ngerti', '']</t>
  </si>
  <si>
    <t>['mantap', 'pokoknya', 'promo']</t>
  </si>
  <si>
    <t>['aneh', 'shortcutnya', 'muncul', 'hape', 'buka', 'aplikkasi', 'buka', 'playstore']</t>
  </si>
  <si>
    <t>['telkomsel', 'menurun', 'kualisnya', 'sinyal', 'gakuat', 'kalah', 'sebelah', 'sebelah', 'telkomsel', 'ternama', 'sekalai', 'kualitas', 'kojadi', 'tolong', 'perbaiki', '']</t>
  </si>
  <si>
    <t>['apalah', 'arti', 'paketan', 'multimedia', 'dipake', 'loading', 'mulu', 'buffering', 'mulu', 'paketan', 'gb', 'sebulan', 'cmn', 'kena', 'gb', 'doank', 'karna', 'kepake', 'lelet', 'kali', 'sinyal', 'game', 'kecewa', 'pokoknya', 'tahunan', 'gua', 'tahan', 'tahan', 'tetep', 'perubahan', 'lolll']</t>
  </si>
  <si>
    <t>['jngn', 'suka', 'nyedot', 'pulsa', 'bangke']</t>
  </si>
  <si>
    <t>['jaringan', 'nomor', 'indonesia', 'ngelag', 'play', 'store', 'dapet', 'rating', 'sumpah', 'aneh', 'bangat']</t>
  </si>
  <si>
    <t>['ahir', 'ahir', 'telkomsel', 'bagus', 'tolong', 'telkomsel', 'perhatian', 'pelanggan', 'harga', 'pembiayaan', 'lumayan', 'tolong', 'terbaik']</t>
  </si>
  <si>
    <t>['membantu', 'pembelian', 'paket', 'rekomendasi', 'banget']</t>
  </si>
  <si>
    <t>['tingkatkan', 'kualitas', 'sinyalnya']</t>
  </si>
  <si>
    <t>['banyakin', 'promo']</t>
  </si>
  <si>
    <t>['emang', 'paketan', 'internetan', 'murah', 'jaringanya', 'jelek', 'kau', 'jual', 'telkomsel', 'memperburuk', 'cita', 'ngk', 'malu', 'jaringanya', 'lelet', 'kaya', 'gini', 'malu', 'in']</t>
  </si>
  <si>
    <t>['rajanya', 'rajanya', 'lemooooooot', 'leleeeeeet', 'ditempat', 'masak', 'kalah', 'tri', 'smart', 'fren', 'sukka', 'maling', 'pulsa', 'data', 'habis', 'lupa', 'matiin', 'pulsa', 'diembat', 'rubah', 'sestem', 'merugikan', 'ngk', 'kaya', 'gitu', 'ngk', 'diperbaiki', 'jaringanya', 'bli', 'data', 'mubazir', 'mbuang', 'duit', 'internetnya', 'kaya', 'ngk', 'kuota', 'bli', 'malam', 'data', 'mb', 'ngk', 'habis', 'ngk', 'jalan', 'mubazir', 'mesin', 'telkomnya', 'udah', 'rongsok', 'ganti', 'barulah', 'awak', 'jual', 'data', 'mahal', 'ngk', 'cocok', 'kwalitasny']</t>
  </si>
  <si>
    <t>['paketan', 'ngisi', 'belom', 'seminggu', 'lemot', 'banget', 'kecewa', 'deh', 'padal', 'uda', 'pakai', 'tsel', 'kali', 'ngecewain', 'banget']</t>
  </si>
  <si>
    <t>['kak', 'admin', 'tolong', 'sampaikanlah', 'perusahaan', 'telkomsel', 'tutup', 'jaringannya', 'diperbaiki', 'udh', 'minggu', 'lelet', 'sinyal', 'kecewa', 'pemakai', 'telkomsel', 'udh', 'kali', 'kecewa', 'kali', '']</t>
  </si>
  <si>
    <t>['udah', 'mahal', 'jaringan', 'burik', 'banget', 'alasan', 'males', 'ngisi', 'kuota', 'telkomsel', 'total', 'lemot', '']</t>
  </si>
  <si>
    <t>['terimakasih', 'telkomsel', 'aplikasinya', 'membantu']</t>
  </si>
  <si>
    <t>['beli', 'nomer', 'cantik', 'mahal', 'bonus', 'teman', 'teman', 'adil', 'orang', 'sukses', 'kejujuran', 'keadilan', 'lihat', 'layanan', 'simpati', 'adil', 'merosot', 'reting', 'menurun', '']</t>
  </si>
  <si>
    <t>['kejelasan', 'informasi']</t>
  </si>
  <si>
    <t>['bagus', 'cuman', 'kadang', 'susah', 'masuk', 'error', 'jaringan', 'lemah']</t>
  </si>
  <si>
    <t>['menbeli', 'paket', 'susah', 'disuruh', 'tunggu', 'menit', 'keluarkan', 'apk', 'telkomsel', 'menukarkan', 'poin', 'susah', 'kak', 'tolong', 'perbaiki', '']</t>
  </si>
  <si>
    <t>['jaringannya', 'skr', 'jelek', 'super', 'lelet']</t>
  </si>
  <si>
    <t>['telkomsel', 'bersaing', 'operator', 'jaringan', 'hilang', 'timbul', 'asyik', 'hilang', 'sinyal', 'date', 'jelek', 'nggak', 'check', 'check', 'poin', 'bayar', 'parah', 'telkomsel', 'teman', 'mending', 'pakai', 'operator', 'axis', 'bonusnya', 'minggu', 'jaringan', 'super', 'boost', 'tipu', 'kagak', 'operator', 'telkomsel', 'jelek', 'operator']</t>
  </si>
  <si>
    <t>['mytelkomsel', 'paketnya', 'mkin', 'mahal', 'trus', 'paket', 'udh', 'beli', 'beli', 'unistal', 'mytelkpmsel', 'tolong', 'perbaiki', 'donk', '']</t>
  </si>
  <si>
    <t>['poin', 'ditukar', 'ditukar', 'pulsa', 'toddd', '']</t>
  </si>
  <si>
    <t>['pengguna', 'kartu', 'hallo', 'kecewa', 'layanan', 'sinyal', 'telkomsel', 'menyesal', 'memilih', 'kartu', 'hallo', 'berulang', 'kali', 'laporan', 'perbaikan', 'bla', 'bla', 'bla', 'profesional', 'sebanding', 'penagihan', 'bayar', 'jatuh', 'tempo', 'langsung', 'dikenakan', 'bayar', 'andai', 'layanannya', 'maksimal', 'kenyataannya', 'sangaaaat', 'mengecewakan', 'alhasil', 'mngganggu', 'kerja', 'bsa', 'connect', 'internet']</t>
  </si>
  <si>
    <t>['telkomsel', 'gini', 'maen', 'game', 'training', 'lancar', 'giliran', 'maen', 'rank', 'lemot']</t>
  </si>
  <si>
    <t>['jaringan', 'telkomsel', 'buruk', 'internet', 'tolong', 'perbaiki', 'jaringan', 'internet']</t>
  </si>
  <si>
    <t>['telkomsel', 'kontollll', 'ngelag', 'taekkk']</t>
  </si>
  <si>
    <t>['mohon', 'diperbaharui', 'dipakai', 'android', '']</t>
  </si>
  <si>
    <t>['jujur', 'kasih', 'bintang', 'senin', 'selasa', 'internet', 'telkomsel', 'selancar', 'butuh', 'jaringan', 'telkomsel', 'data', 'jaringan', 'menurun', 'pesat', 'merepotkan', 'pekerjaan', 'tolong', 'admin', 'telkomsel', 'dibaca', 'tolong', 'secepatnya', 'diperbaiki', '']</t>
  </si>
  <si>
    <t>['woi', 'pulsa', 'ngurang', 'asw', 'kontl']</t>
  </si>
  <si>
    <t>['paket', 'kemahalan', '']</t>
  </si>
  <si>
    <t>['sasngat', 'membantu', 'sempurna']</t>
  </si>
  <si>
    <t>['kasih', 'udah', 'bagus', 'kasih']</t>
  </si>
  <si>
    <t>['sekelas', 'bumn', 'tarif', 'telp', 'mahal', 'paket', 'data', 'mahal', 'wajarlah', 'jaringan', 'istimewa', 'milik', 'negara', 'disubsidi', 'negara', 'ngabis', 'in', 'tetep', 'mahal', 'trus', 'fungsi', 'poin', 'blass', 'bumn', 'aneh']</t>
  </si>
  <si>
    <t>['keren', 'cepat', 'jaringannya']</t>
  </si>
  <si>
    <t>['mudah', 'proses', 'pembelian', 'paket', 'data']</t>
  </si>
  <si>
    <t>['aplikasi', 'buruk', 'jelek', 'dasar', 'telkomsel', 'buruk', 'sinyalnya', 'perbaiki', 'kesal', 'main', 'dasar', 'aplikasi', 'buruk', 'mengecewakan', 'pakai', 'kartu', 'kesel', 'sinyal', 'buruk', 'hilang', 'pakai', '']</t>
  </si>
  <si>
    <t>['menginstal', 'aplikasi', 'telkomsel', '']</t>
  </si>
  <si>
    <t>['', 'banget', 'app', 'suka', '']</t>
  </si>
  <si>
    <t>['jaringan', 'udh', 'harga', 'mahal', 'jaringan', 'akses', 'apapun', '']</t>
  </si>
  <si>
    <t>['murahin', 'paketnya']</t>
  </si>
  <si>
    <t>['aplikasinya', 'terbuka', 'masuk', 'halaman', 'utama']</t>
  </si>
  <si>
    <t>['jaringanya', 'jelek', 'beli', 'mahal', 'mahal', 'jaringannya', 'jelek', 'uda', 'beli', 'telkomsel']</t>
  </si>
  <si>
    <t>['membantu', 'recommended', 'bangetttt']</t>
  </si>
  <si>
    <t>['parahhh', 'sumpah', 'skrng', 'buka', 'telkomsel', 'ihhh', 'sihhhh']</t>
  </si>
  <si>
    <t>['mencoba', 'minsal', 'memuaskan', 'bintang']</t>
  </si>
  <si>
    <t>['telkomsel', 'jaringan', 'sumatera', 'barat', 'tolong', 'perbaiki', 'aneh', 'jaringan', 'hujan', 'langsung', 'ilang', 'jaringan', 'internet', 'paket', 'mahal']</t>
  </si>
  <si>
    <t>['cepat', 'merespon']</t>
  </si>
  <si>
    <t>['apknya', 'bagus']</t>
  </si>
  <si>
    <t>['semoga', 'barokah']</t>
  </si>
  <si>
    <t>['aplikasi', 'membantu']</t>
  </si>
  <si>
    <t>['menyenangkan', 'mengecek', 'pulsa', 'kuota']</t>
  </si>
  <si>
    <t>['telkomsel', 'bener', 'uda', 'minggu', 'kartu', 'hallo', 'sinyal', 'didaerah', 'tebet', 'manggarai', 'bayar', 'paket', 'mahal', 'sinyal', 'kayak', 'karna', 'pasca', 'bayar', 'uda', 'ganti', 'kartu', '']</t>
  </si>
  <si>
    <t>['pulsa', 'habis', 'sisa', 'sisa', 'pulsa', 'rugi']</t>
  </si>
  <si>
    <t>['bagus', 'banget', 'pilihan', 'paket']</t>
  </si>
  <si>
    <t>['semoga', 'telkomsel', 'maju', 'hati', 'semoga', 'menang', 'undian', 'koin']</t>
  </si>
  <si>
    <t>['sinyal', 'perbaiki', 'harga', 'kuota', 'doang', 'kualitas', 'turun', '']</t>
  </si>
  <si>
    <t>['suka', 'aplikasi', 'telkomsel', 'top', 'banget']</t>
  </si>
  <si>
    <t>['aplikasi', 'nonton', 'bokep', 'mimin', 'tolong', 'perbaiki']</t>
  </si>
  <si>
    <t>['', 'kecewa', 'kualitas', 'jaringan', 'internetnya', 'tinggal', 'kota', 'bekasi', 'pelanggan', 'udh', 'lbih', 'rutin', 'beli', 'paket', 'telkomsel', 'terpaksa', 'pindah', 'jaringan', 'lbih', 'stabil', 'harga', 'lbih', 'terjangkau', 'telkomsel', 'memperbaiki', 'jaringanya', 'trimakasih']</t>
  </si>
  <si>
    <t>['perbaiki', 'jaringan', 'udah', 'beli', 'kuota', 'mahal', 'tpi', 'jaringan', 'lag', 'batre', 'gue', 'drop', 'gara', 'internet', 'lambat', '']</t>
  </si>
  <si>
    <t>['sinyal', 'kesini', 'parah', 'nonton', 'youtube', 'jga', 'jelasss', 'super', 'parah', '']</t>
  </si>
  <si>
    <t>['pulsaku', 'kepotong']</t>
  </si>
  <si>
    <t>['telkomsel', 'jabodetabek', 'gangguan', 'males', 'telkomsel', 'kyak', 'gini', 'telkomsel', 'beda', 'kecewa', 'telkomsel']</t>
  </si>
  <si>
    <t>['kartu', 'halo', 'jaringan', 'mangkin', 'lelet', 'nyesel', 'beralih', 'prabayyar', 'balikin', 'smula', 'anggus', 'ganti', 'parah', 'bener']</t>
  </si>
  <si>
    <t>['aplkasi', 'murah', 'membeli', 'paket', 'banya', 'promo', 'paket']</t>
  </si>
  <si>
    <t>['pengalaman', 'jaringan', 'internet', 'nominal', 'data', 'paket', 'internet', 'semoga', 'telkomsel', 'jaya', '']</t>
  </si>
  <si>
    <t>['sinyal', 'bagus', 'cepat', 'bnyak', 'fungsinya']</t>
  </si>
  <si>
    <t>['jaringan', 'telkomsel', 'anjeng', 'bakar', 'perusahaannya', 'lonte', 'gkbisa', 'dipakek', 'anjeng', 'binatang', 'telkomsel', 'anak', 'pepek', 'telkomsel', 'kontol', 'jaringan', 'anjeng', 'anak', 'kontol', 'jaringan', 'telkomsel', 'telkomsel', 'babi', 'binatang', 'haram']</t>
  </si>
  <si>
    <t>['keren', 'mantap', 'kali']</t>
  </si>
  <si>
    <t>['terjangkau', 'pegunungan', 'pedesaan']</t>
  </si>
  <si>
    <t>['virtualacond', 'metode', 'pembayaran', 'murah']</t>
  </si>
  <si>
    <t>['sinyal', '']</t>
  </si>
  <si>
    <t>['', 'sip']</t>
  </si>
  <si>
    <t>['', 'kecewa', 'beli', 'kuota', 'paket', 'data', 'seharga', 'ribu', 'dpt', 'gb', 'signal', 'internetnya', 'kacau', 'sesuai', 'harapan', 'signal', 'kota', 'makassar', 'kabupaten', 'gowa', 'buruk', 'alias', 'stabil', 'signal', 'hilang', 'asli', 'lemot', 'banget', 'disaat', 'hujan', 'turun', 'buka', 'facebook', 'whatsapp', 'susah', 'banget', 'msknya', 'asli', 'parahhhhh', 'telkomsel']</t>
  </si>
  <si>
    <t>['telkomsel', 'mantap', 'jaringannya', 'mantap', 'undiannya', 'mantap']</t>
  </si>
  <si>
    <t>['paket', 'mahal', 'berbeda', 'beda']</t>
  </si>
  <si>
    <t>['', 'promo', 'pdahal', 'gua', 'custener', 'loyal', 'giliran', 'kartu', 'dpet', 'promo', 'murah', 'ngeselin', 'kali']</t>
  </si>
  <si>
    <t>['enak', 'nyaman']</t>
  </si>
  <si>
    <t>['daily', 'chek', 'ngk', 'udh', 'bangkrut', 'kah']</t>
  </si>
  <si>
    <t>['mantap', 'paket', 'khusus', '']</t>
  </si>
  <si>
    <t>['ngotak']</t>
  </si>
  <si>
    <t>['aplikasi', 'membantu', 'suskses', 'trus', 'pokoknya']</t>
  </si>
  <si>
    <t>['terima', 'kasih', 'aplikasi', 'mudah', 'membeli', 'pulsa', 'paket', '']</t>
  </si>
  <si>
    <t>['halo', 'telkomsel', 'telkomsel', 'kebijakan', 'migrasi', 'kartu', 'pascabayar', 'prabayar', 'membantu', 'pengguna', 'telkomsel', 'sekian', 'terimakasih', '']</t>
  </si>
  <si>
    <t>['ribet', 'banget', 'pakai', 'telkomsel', 'kartu', 'hilang', 'aktifkan', 'alasan', 'nik', 'ktp', 'sesuai', 'udah', 'buktinya', 'aplikasi', 'login', 'sebagi', 'buktinya', 'suruh', 'beli', 'kartu', 'solusi', 'beli', 'kartu', 'parah', 'parahh', 'parahhhhhhhhhh', 'layanannya', 'grapari', 'nanya', 'unjung', 'suruh', 'beli', 'kartu', 'gilak', 'siee']</t>
  </si>
  <si>
    <t>['lengkap', 'paketnya', 'tinggal', 'milih', 'sesuai', 'kebutuhan']</t>
  </si>
  <si>
    <t>['masuk', 'apk', 'hapus', 'data', 'apk', 'burukk', 'peningkatan', 'data', 'mahallllll']</t>
  </si>
  <si>
    <t>['jaringan', 'aga', 'bagus', 'harga', 'kuota', 'murah', 'okay']</t>
  </si>
  <si>
    <t>['bagus', 'harga', 'combo', 'sakti', 'mahal', '']</t>
  </si>
  <si>
    <t>['isi', 'pulsa', 'kesedot', 'habis', 'dipaketin', 'brhasil', 'kesedoy', 'pulsanya', 'kuotanya', 'aneh', 'tolong', 'perbaikilah', 'jan', 'sampe', 'kasar', 'bls', 'bos', 'tlong', '']</t>
  </si>
  <si>
    <t>['aplikasinya', 'suda', 'hapus', 'ngak', 'buka', 'ngelec', 'ngak', 'gerak', 'skli']</t>
  </si>
  <si>
    <t>['menyengakan']</t>
  </si>
  <si>
    <t>['bagus', 'semoga', 'memenangkannya']</t>
  </si>
  <si>
    <t>['internet', 'tersambung', 'data', 'jaringan', 'full', 'kuota', 'internet', 'pergi', 'kota', 'lancar', 'pas', 'desa', 'nggak', 'menyambungkan', 'tower', 'telkomsel', '']</t>
  </si>
  <si>
    <t>['bener', 'parah', 'telkomsel', 'jalan', 'mengambil', 'nomer', 'hilang', 'karenakan', 'nik', 'taunya', 'beli', 'paket', 'data', 'nomer', 'aktip', 'bukti', 'nomer', 'parah', '']</t>
  </si>
  <si>
    <t>['ngerti', 'ambil', 'kuota', 'darurat', 'kena', 'tagih', 'sms', '']</t>
  </si>
  <si>
    <t>['jelek', 'aplikasi', 'beli', 'pulsa', 'rb', 'link', 'pilihan']</t>
  </si>
  <si>
    <t>['', 'rusunawa', 'kuat', 'signalnya', '']</t>
  </si>
  <si>
    <t>['aplikasi', 'membantu', 'menukarkan', 'pulsa', '']</t>
  </si>
  <si>
    <t>['kecewa', 'jaringan', 'buruk']</t>
  </si>
  <si>
    <t>['tolong', 'sdk', 'telkomsel', 'support', 'android', 'versi', 'terima', 'kasih']</t>
  </si>
  <si>
    <t>['', 'daerah', 'banjarmasin', 'barat', 'jaringan', 'engga', 'stabil', 'terkadang', 'semoga', 'kedepan', 'jaringan', 'stabil', 'pengguna', 'kaya', 'konsumen', 'kecewa', 'kena', 'jaringan', 'stabil']</t>
  </si>
  <si>
    <t>['aplikasi', 'ngebantu', 'bangett', 'semoga', 'lancar', 'sellalu']</t>
  </si>
  <si>
    <t>['poin', 'telkomsel', 'tuker', 'paket', 'poin', 'gb', 'gb', 'gb', 'tukerin', 'pesan', 'maaf', 'system', 'error', 'alasan', 'ngerty', 'ulangin', 'tetep', 'kaya', 'gth', 'penjelasan', 'gimana', 'udh', 'make', 'telkom', 'sel', 'udh', '']</t>
  </si>
  <si>
    <t>['tukar', 'koin', 'klik']</t>
  </si>
  <si>
    <t>['tolong', 'perbaiki', 'jaringan', 'pekanbaru', 'khusus', 'pesisir', 'rumbai', 'jaringan', 'telkomsel', 'hilang', 'disana', 'tolong', 'telkomsel', 'perbaiki', '']</t>
  </si>
  <si>
    <t>['semoga', 'prima', 'berinovasi', 'pelayanan', 'pelanggan']</t>
  </si>
  <si>
    <t>['oke', 'mudah', 'akses']</t>
  </si>
  <si>
    <t>['', 'area', 'bandara', 'adi', 'sumarmo', 'solo', 'sinyal', 'simpati', 'lelet', 'min', 'mohon', 'upgrade', 'jaringan', 'internet', 'telkomselnya', '']</t>
  </si>
  <si>
    <t>['membantu', 'sekaliiiii']</t>
  </si>
  <si>
    <t>['bagus', 'promonya', 'menarik']</t>
  </si>
  <si>
    <t>['mantap', 'beli', 'paket', 'data', 'murah', 'promonya']</t>
  </si>
  <si>
    <t>['gimana', 'giliran', 'klaim', 'cek', 'point', 'hilang', 'cek', 'point', 'neat', 'ngasih', 'hadiah', 'mending', 'hapus', 'aplikasi']</t>
  </si>
  <si>
    <t>['paket', 'kuota', 'murah']</t>
  </si>
  <si>
    <t>['bagus', 'membantu', 'memudahkan', 'transaksi', 'embelian', 'pulsa']</t>
  </si>
  <si>
    <t>['maaf', 'tonlong', 'sinyal', 'jaringan', 'perbaiki', 'mnggunakan', 'daerah', 'dadap', 'mngkin', 'bsa', 'mnggunakan', 'stabil', 'lelet', 'jaringan', 'kadang', 'kadang', 'ksih', 'penilaian', 'trmaksih', '']</t>
  </si>
  <si>
    <t>['receh', 'banget', 'koneksi', 'gua', 'udah', 'paket', 'mahal', 'koneksi', 'kek', 'taik', 'persis', 'kayak', 'koneksi', 'andai', 'gua', 'telkomsel', 'gua', 'bunuh', 'orang', '']</t>
  </si>
  <si>
    <t>['sumpah', 'jakarta', 'sinya', 'telkomsel', 'kek', 'siput', 'lemot', 'parah', '']</t>
  </si>
  <si>
    <t>['bug', 'update', 'susah', 'log', 'sekalinya', 'log', 'transaksi', 'pembelian', 'pulsa', 'install', 'membantu', '']</t>
  </si>
  <si>
    <t>['telkosel', 'parah', 'kesini', 'iya', 'udah', 'daftakan', 'paket', 'all', 'operator', 'pulsa', 'utama', 'kesedot', 'aneh', 'telkomsel', 'parah', '']</t>
  </si>
  <si>
    <t>['mahal', 'kuota', 'telkomsel']</t>
  </si>
  <si>
    <t>['muantap', 'aplikasinya', 'mudah']</t>
  </si>
  <si>
    <t>['buka', 'pemberitahuan', 'nomor', 'hangus', 'aktif']</t>
  </si>
  <si>
    <t>['blm', 'spesail']</t>
  </si>
  <si>
    <t>['parah', 'kali', 'jaringan', 'paket', 'mahal', 'jaringan', 'abal', 'sial', 'kali', 'bayar', 'mahal', 'sesuai', 'jaringan', 'semoga', 'cepat', 'hancur', 'bosan', 'orang', 'komplin', 'jaringan', 'mohon', 'maaf', 'perubahan', 'paket', 'jalan', 'jaringan', 'sempak', 'pakai', 'good', 'bye', 'jaringan', 'lelet']</t>
  </si>
  <si>
    <t>['good', 'job', 'semoga', 'promo', 'kartu', 'perioritaskan', 'kartu', 'ganti', 'pas', 'liat', 'promo', 'bertahan', 'banyakan', 'promo', 'sis']</t>
  </si>
  <si>
    <t>['udah', 'isi', 'paket', 'pulsa', 'tgl', 'oktbr', 'notif', 'kuota', 'berahkhir', 'kartu', 'habis']</t>
  </si>
  <si>
    <t>['kecewa', 'sedih', '']</t>
  </si>
  <si>
    <t>['jaringan', 'lelet', 'banget', 'sumpah', '']</t>
  </si>
  <si>
    <t>['promo', 'murah', 'bintang']</t>
  </si>
  <si>
    <t>['mayan', 'daftar', 'langsung', 'dpt', 'kuota', 'gb', 'gratis']</t>
  </si>
  <si>
    <t>['terima', 'kasih', 'yaaa']</t>
  </si>
  <si>
    <t>['siipp', 'membantu', 'cek', 'pulsa', 'aktif', 'kuota', '']</t>
  </si>
  <si>
    <t>['semoga', 'cepat', 'pelayanan', 'jaringan', 'perhatikan']</t>
  </si>
  <si>
    <t>['sinyalnya', 'jelek', 'bangett', 'aplikasi', 'jaringan', 'mulu', 'benerin', 'sinyal', 'telkomsel', 'bagus', 'mls', 'gue', 'pakek', 'telkomsel']</t>
  </si>
  <si>
    <t>['puas', 'memakai', 'app', 'cek', 'quota', 'pembelian', 'pulsa', 'quotanya', 'cek', 'poin', 'reward', '']</t>
  </si>
  <si>
    <t>['membantu', 'disaat', 'internet']</t>
  </si>
  <si>
    <t>['aplikasi', 'lelet', 'geratisan', 'paket', 'tolong', 'perbaiki', 'lancar', 'aplikasi', '']</t>
  </si>
  <si>
    <t>['tolong', 'sambungkan', 'sinyal', 'sampe', 'pelosok']</t>
  </si>
  <si>
    <t>['paket', 'tersedia', 'diaplikasi', 'lengkap', 'bingung', 'beli', 'paket', 'nelpon', 'aplikasi', 'tersedia']</t>
  </si>
  <si>
    <t>['perbanyak', 'promo', 'internet']</t>
  </si>
  <si>
    <t>['udah', 'mahal', 'lelet', 'jaringan', 'daerah', 'udah', 'pakai', 'jaringan', 'tolong', 'diperbaikin', 'yaa', 'udah', 'mahal', 'kualitas', 'ngak', 'baguss']</t>
  </si>
  <si>
    <t>['paket', 'mahal', 'kwalitas', 'jaringan', 'buruk', 'masak', 'tinggal', 'kota', 'sinyalnya', 'tsel', 'sehatkah']</t>
  </si>
  <si>
    <t>['cang', 'anak', 'dayu', 'ida', 'bagus', 'anak', 'dewa', 'surya']</t>
  </si>
  <si>
    <t>['', 'nonton', 'youtube', 'buka', 'tik', 'tok', 'game', 'jalan', 'buka', 'youtube', 'wattpad', 'goggle', 'butuh', 'youtube', 'goggle', 'dll', 'buka', 'tik', 'tok', 'game', 'kak', 'gini', 'rugi', '']</t>
  </si>
  <si>
    <t>['dapet', 'internet', 'gratis', '']</t>
  </si>
  <si>
    <t>['nyesel', 'pakai', 'telkomsel', 'udah', 'lelet', 'nglag', 'mahal', 'bangkrut']</t>
  </si>
  <si>
    <t>['semoga', 'bermanfaat', 'pelanggan', 'setia', '']</t>
  </si>
  <si>
    <t>['semoga', 'murah', 'kuotanya']</t>
  </si>
  <si>
    <t>['gimana', 'bukak', '']</t>
  </si>
  <si>
    <t>['mohon', 'maaf', 'telkomsel', 'nomor', 'telkomsel', 'tenggang', 'mengisi', 'pulsa', 'tenggang', 'tolong', 'bantuannya', 'kpd', 'telkomsel']</t>
  </si>
  <si>
    <t>['tingkatkan', 'pelayanan', 'terbaik', 'good', '']</t>
  </si>
  <si>
    <t>['aplikasi', 'pengembang', 'pelayanan', 'buruk', 'solusi', '']</t>
  </si>
  <si>
    <t>['telkomsel', 'oke', 'saran', 'signalnya', 'stabil']</t>
  </si>
  <si>
    <t>['sukses', 'jaya', 'telkomsel']</t>
  </si>
  <si>
    <t>['udah', 'topup', 'pulsa', 'telkomsel', 'masuk', 'pulsanya', 'gangguan', 'gimana', 'tolong', '']</t>
  </si>
  <si>
    <t>['cek', 'gb', 'cek', 'hilang', 'telkomsel', 'curang', 'paksa', 'kasih', 'kuota', 'nga', '']</t>
  </si>
  <si>
    <t>['lumayanlah', 'susah', 'masuknya', 'berat', 'apk']</t>
  </si>
  <si>
    <t>['kartu', 'tulisannya', 'kadaluwarsa', 'pdhal', 'udah', 'beli', 'pulsa', 'beli', 'paket']</t>
  </si>
  <si>
    <t>['jaringanx', 'dimana', '']</t>
  </si>
  <si>
    <t>['jaringan', 'bagus', 'paket', 'pakai', 'jaringan', 'bagus', 'oalah', 'mahal', 'beli', 'pon', 'terpakai', 'gara', 'gara', 'jaringan', 'payah', '']</t>
  </si>
  <si>
    <t>['sinyal', 'telkomsel', 'lemah', 'jelek', 'nyaman', 'penggunanya', 'jaringan', 'jelek', 'indonesia']</t>
  </si>
  <si>
    <t>['isi', 'pulsa', 'keterangan', 'tenggang', 'keteranganya', 'tenggang', 'risih']</t>
  </si>
  <si>
    <t>['bintang', 'karna', 'beli', 'kouta', 'koin', 'capek', 'ngumpulin', 'tpi', 'doang', 'kali', 'nyusahin', 'kouta', 'bagus', 'tpi', 'doang']</t>
  </si>
  <si>
    <t>['isi', 'pulsa', 'beli', 'paket', 'telkomsel', 'kasih', 'keterangan', 'kuota', 'habis', 'tgl', 'oktober', 'beli', 'paket', 'tggal', 'isi', 'pulsa', 'beli', 'paket', 'mempertahankan', 'kartu', 'cek', 'kartu', 'aktif', 'tanggal', 'nov', 'akun', 'telkomsel', 'balasan', 'mohon', 'arahannya', '']</t>
  </si>
  <si>
    <t>['telkomsel', 'pelanggan', 'kesini', 'buruk', 'pelayanan', 'kuliatas', 'jaringan', 'harga', 'paket', 'kuota', 'mahal', 'telkomsel', 'jual', 'kualitas', 'jaringan', 'kalah', 'indosat', '']</t>
  </si>
  <si>
    <t>['aplikasi', 'sampah', 'jaringan', 'isi', 'pulsa', 'daftar', 'paket', 'pas', 'buka', 'aplikasi', 'pulsanya', 'langsung', 'sedot', 'setan', '']</t>
  </si>
  <si>
    <t>['jaringan', 'eror', 'pubg', 'bagus', 'lokasi', 'kota']</t>
  </si>
  <si>
    <t>['puas', 'pelayanan', 'aplikasi', 'blm', 'spesial']</t>
  </si>
  <si>
    <t>['terbaik', 'hati', 'mantap', 'pengisian', 'pulsa', 'bonus', 'kuota', 'jaringan', 'sebelah', '']</t>
  </si>
  <si>
    <t>['ribet', 'beli', 'paket', 'mytelkomsel', 'slalu', 'slalu', 'gangguan', 'cobalagi', 'truss', '']</t>
  </si>
  <si>
    <t>['memudahkan', 'transaksi']</t>
  </si>
  <si>
    <t>['koneksi', 'buruk', 'kali', '']</t>
  </si>
  <si>
    <t>['melayani', 'buruk', 'lapor', 'krna', 'paket', 'local', 'gps', 'aktif', 'jateng', 'alasan', 'belinya', 'cirebon', 'aneh', 'aplikasinya', 'realtime', 'signal', 'kalah', 'privoder', 'terbaik', 'kalah', 'ecek', 'sebelah']</t>
  </si>
  <si>
    <t>['misi', 'check', 'tinggal', 'ngulang', 'niatnya', 'klaim', 'kecewa', '']</t>
  </si>
  <si>
    <t>['pemula', 'kasih', 'bintang', 'kak']</t>
  </si>
  <si>
    <t>['data', 'habis', 'pulsa', 'hilang', 'beda', 'operator', 'data', 'habis', 'internet', 'langsung', 'nyambung']</t>
  </si>
  <si>
    <t>['memuaskan', 'hemat', 'biaya', 'mantul', '']</t>
  </si>
  <si>
    <t>['promo', 'bagus', 'menarik', 'semoga', 'semangkin', 'inovatif', 'kreatif']</t>
  </si>
  <si>
    <t>['suka', 'aplikasi', 'bagus']</t>
  </si>
  <si>
    <t>['paket', 'unlimited', 'rb', 'dipakai', 'sinyal', '']</t>
  </si>
  <si>
    <t>['sinyal', 'jelek', 'pke', 'maen', 'game', '']</t>
  </si>
  <si>
    <t>['gimana', 'niih', 'jaringannya', 'leg', 'melulu', 'tingkatkan', 'dooong', '']</t>
  </si>
  <si>
    <t>['npa', 'data', 'paket', 'gamemax', 'sma', 'maxstream', 'jaringanya', 'eror', 'tlg', 'donk', 'perbaiki', 'jariganya', 'makasih', '']</t>
  </si>
  <si>
    <t>['apk', 'lalet', 'alasan', 'malas', 'beli', 'pulsa', 'paket', 'disney', 'karna', 'stiap', 'buka', 'apk', 'cmn', 'putih', 'bru', 'muncul', 'notif', 'apk', 'menanggapi', '']</t>
  </si>
  <si>
    <t>['telkomsel', 'teman', 'sejati', '']</t>
  </si>
  <si>
    <t>['tingkatkan']</t>
  </si>
  <si>
    <t>['mohon', 'maaf', 'kasih', 'rate', 'segitu', 'barusan', 'isi', 'pulsa', 'beli', 'kuota', 'pas', 'buka', 'aplikasi', 'mytelkomsel', 'dikasih', 'notif', 'kartu', 'tenggang', 'why', 'barusan', 'isi', 'pulsa', 'langsung', 'beliin', 'kuota', 'aneh', 'telkomsel']</t>
  </si>
  <si>
    <t>['jgan', 'hilangkan', 'unlimited', 'telkom']</t>
  </si>
  <si>
    <t>['paketnya', 'mahal', 'promo', 'murah', '']</t>
  </si>
  <si>
    <t>['memudahkan', 'akses']</t>
  </si>
  <si>
    <t>['aplikasi', 'menguntungkan']</t>
  </si>
  <si>
    <t>['asyik', 'pakai', 'telkomsel']</t>
  </si>
  <si>
    <t>['banyakin', 'bonus', 'bonus', 'mantap']</t>
  </si>
  <si>
    <t>['mohon', 'maaf', 'edit', 'bintang', 'semenjak', 'ganti', 'logo', 'update', 'meresahkan', 'lag', 'bug']</t>
  </si>
  <si>
    <t>['bermanfaat']</t>
  </si>
  <si>
    <t>['aktif', 'kartu', 'gue', 'sampe', 'nov', 'taun', 'njing', 'kasih', 'peringatan', 'tenggang', 'kontol']</t>
  </si>
  <si>
    <t>['sinyal', 'telkomsel', 'lemooooooootttttttt', 'bangeeet', 'udh', 'beli', 'pakeetnya', 'mahaaaaaaaaalllllll', 'sinyal', 'lemooooooooottt', 'tolong', 'paket', 'mahal', 'internetnya', 'lancaar', 'kalah', 'provider', '']</t>
  </si>
  <si>
    <t>['dapet', 'kuota', 'daily', 'ceck', 'ilang']</t>
  </si>
  <si>
    <t>['ksih', 'promo', 'menarik']</t>
  </si>
  <si>
    <t>['banyakin', 'promonya', '']</t>
  </si>
  <si>
    <t>['aplikasi', 'telkomsel', 'udah', 'bagus', 'update', 'daily', 'check', 'hilang', 'redeem', 'poin', 'mohon', 'bantuannya', 'telkomsel']</t>
  </si>
  <si>
    <t>['sinyal', 'kesini', 'sesuai', 'predikat', 'provider', 'terbaik', 'indo', 'diandalkan', '']</t>
  </si>
  <si>
    <t>['membeli', 'paket', 'pulsa', 'membeli', 'paket', 'tolong']</t>
  </si>
  <si>
    <t>['knpa', 'suka', 'aplikasi', 'masukan', 'nama', 'lengkap', 'ddan', 'email']</t>
  </si>
  <si>
    <t>['membantu', 'promonya', 'menggiurkan']</t>
  </si>
  <si>
    <t>['tolong', 'stabilkan', 'kecepatan', 'koneksi', 'permudah', 'pemakaian', 'kuota', 'internet', 'lokalnya', '']</t>
  </si>
  <si>
    <t>['telkomsel', 'hati', 'masyarakat', '']</t>
  </si>
  <si>
    <t>['telkomsel', 'berinovasi', 'meningkatkan', 'layanan', 'pelanggan', 'the', 'best']</t>
  </si>
  <si>
    <t>['tingkatkan', '']</t>
  </si>
  <si>
    <t>['bagus', 'deh', 'mmbantu', 'ubtuk', 'menge', 'cek', 'kuota', 'kamii']</t>
  </si>
  <si>
    <t>['jelek', 'aplikasinya', 'beli', 'kuota', 'pakek', 'udh', 'habis', 'rugi', '']</t>
  </si>
  <si>
    <t>['hai', 'telkomsel', 'knpa', 'cek', 'dapt', 'kuota', 'gb', 'cek', 'hilang', 'geranagn', 'jngn', 'mempersulit', 'suruh', 'pusatbantuan', 'twiter', 'langsung', 'dibantu', 'masyarak', 'sulit', 'jngn', 'mempersulit', '']</t>
  </si>
  <si>
    <t>['habis', 'update', 'buka']</t>
  </si>
  <si>
    <t>['bro', 'keluhan', 'share', 'history', 'edit', 'sampe', 'gini', 'jujur', 'kawan', 'heran', 'kesini', 'aneh']</t>
  </si>
  <si>
    <t>['sinyal', 'ksini', 'jelek', 'sinyalnya', 'bagus', 'jeeeelleeeeeek', 'banget', 'sesuain', 'harga', 'harga', 'mahal', 'pelayanan', 'buruk']</t>
  </si>
  <si>
    <t>['paket', 'gratis']</t>
  </si>
  <si>
    <t>['terima', 'kasih', 'telkomsel', 'suka', 'beli', 'paketan']</t>
  </si>
  <si>
    <t>['nanya', 'paket', 'internet', 'harganya', 'ngga', 'udah', 'ngga', 'beli', 'maap', 'kasih', 'star']</t>
  </si>
  <si>
    <t>['tingkatkan', 'jaringan']</t>
  </si>
  <si>
    <t>['tuker', 'poin']</t>
  </si>
  <si>
    <t>['dibenahi']</t>
  </si>
  <si>
    <t>['mengecewakan', 'dibuka', 'langsung', 'diperingatkqn', 'isi', 'pulsa', 'pakai', 'pulsa', 'sediakala', 'app', 'menakuti']</t>
  </si>
  <si>
    <t>['tolong', 'perbaiki', 'interface', 'aplikasi', 'login', 'menyulitkan', 'input', 'nomor']</t>
  </si>
  <si>
    <t>['buruk', 'sinyal', 'jls', 'cekin', 'harian', 'cekin', 'knp']</t>
  </si>
  <si>
    <t>['knpa', 'ngga', 'banking', 'kalaw', 'isi', 'kuota']</t>
  </si>
  <si>
    <t>['berita', 'kabar', 'telkomsel', 'desa', 'nggk', 'perasaan', 'eluh', 'orang', 'kaya', 'bingung', '']</t>
  </si>
  <si>
    <t>['telkomsel', 'maling', 'pulsa', 'sedot', 'rb', 'minggu', 'cek', 'aplikasi', 'keterangan', 'karna', 'biadab', 'maling', 'koruptor', 'pelat', 'merah', 'begal', 'rakyat']</t>
  </si>
  <si>
    <t>['sinyal', 'jaringan', 'jelek', 'banget', 'kalah', 'axis', 'indosat', 'smartfren', 'cmn', 'lemot', 'telkomsel']</t>
  </si>
  <si>
    <t>['bego', 'tolol', 'isi', 'paket', 'mb', 'gopay', 'bayar', 'pulsa', 'gopay', 'abis', 'rb', 'paketan', 'kesedot', 'pulsa', 'mmng', 'telkomsel', 'udh', 'mahal', 'nguras', 'duit', 'parah', '']</t>
  </si>
  <si>
    <t>['aplikasi', 'merugikan', 'pilih', 'pajet', 'combo', 'sakti', 'unlimited', 'gb', 'pas', 'paket', 'disney', 'gb', 'tolong', 'kembalikan', 'uang', 'paket', 'kliknya', 'combo', 'sakti', 'unlimited', 'aktifin', 'paket', '']</t>
  </si>
  <si>
    <t>['pulsa', 'pas', 'beli', 'paketan', 'notifikasinya', 'pulsa', 'gimana', '']</t>
  </si>
  <si>
    <t>['tolong', 'perbaiki', 'sinyal', 'kyk', 'sinyal', 'susah', 'pdhl', 'deket', 'tower']</t>
  </si>
  <si>
    <t>['jaringan', 'kuat', 'daerah']</t>
  </si>
  <si>
    <t>['simple', 'ribet', 'dlm', 'pelayanan', 'mudah', 'gampang', 'orang', 'kalangan', 'umur']</t>
  </si>
  <si>
    <t>['singkron', 'pulsa', 'telkomsel', 'pulsa', 'kejadin', 'pket', 'pulsa', 'ribu', 'lenyap', 'pasang', 'paket', 'nelpon', 'pulsa', 'pasang', 'keterangan', 'pulsa', 'habis', 'hadeh', 'kacau', '']</t>
  </si>
  <si>
    <t>['minggu', 'diupdate', 'penambahan', 'fitur', 'harga', 'kuota', 'mahal', 'sinyal', 'mohon', 'diperbaiki', '']</t>
  </si>
  <si>
    <t>['ngerti', 'kuota', 'buka', 'youtube', 'twitter', 'situ', 'tertulis', 'medsos', 'kuota', 'utama', 'isi', 'combo', 'sakti', 'knp', 'kuota', 'utama', 'hbs', 'pakai', 'jls', 'situ', 'tertulis', 'msh', 'mohon', 'penjelasan', 'min', 'trs', 'terang', 'kecewa', '']</t>
  </si>
  <si>
    <t>['promonya', 'perbanyak', 'murah', '']</t>
  </si>
  <si>
    <t>['pulsa', 'mencukupi', 'knpa', 'beli', 'paket', 'kacau', 'telkomsel']</t>
  </si>
  <si>
    <t>['klau', 'bagus', 'sya', 'kadih', 'bntang']</t>
  </si>
  <si>
    <t>['hadiah', 'check', 'klaim', 'hilang', 'trus', 'menu', 'check', 'udah', 'paketan', 'habis', 'beli', 'paketan', 'hadiahnya', 'klaim']</t>
  </si>
  <si>
    <t>['kesini', 'harga', 'kuota', 'internet', 'mahal', 'ditambah', 'paket', 'omg', 'pilihan', 'sinyalnya', 'jujur', 'susah']</t>
  </si>
  <si>
    <t>['bayu', 'nugroho', 'bagus']</t>
  </si>
  <si>
    <t>['jaringan', 'error', 'mengganggu', 'drever', 'online', 'tolong', 'diperhtikan']</t>
  </si>
  <si>
    <t>['rutin', 'beli', 'pulsa', 'paket', 'data', 'tb', 'dpt', 'pemberitahuan', 'kartu', 'tenggang', 'jarang', 'beli', 'pulsa', 'pie']</t>
  </si>
  <si>
    <t>['', 'telkomsel', 'sayang', 'daerah', 'rumah', 'sinyalnya', 'buruk', '']</t>
  </si>
  <si>
    <t>['telkomsel', 'pulsa', 'hilang', 'rupiah', 'kuota', 'internet', 'telepon', 'sms', '']</t>
  </si>
  <si>
    <t>['jaringan', 'lelet', 'tolong', 'perbaiki', 'provider', 'telkomsel', 'massa', 'permasalahan', 'jaringan', 'mengecewakan', 'mohon', 'dengarkan', 'keluhan', 'pelanggan', 'tks', '']</t>
  </si>
  <si>
    <t>['mantap', 'pokoke', '']</t>
  </si>
  <si>
    <t>['suka', 'aplikasi', 'penggunaan', 'mudah', 'kuota', 'gratisnya', '']</t>
  </si>
  <si>
    <t>['sinyal', 'kuota', 'game', 'main', 'game', 'gitu', 'boong', 'gajelas', 'banget']</t>
  </si>
  <si>
    <t>['sinyal', 'susah', 'menurutku', '']</t>
  </si>
  <si>
    <t>['canggih', 'berguna']</t>
  </si>
  <si>
    <t>['mantap', 'sinyal', 'harga', 'paketan', 'tsel']</t>
  </si>
  <si>
    <t>['puas', 'pakai', 'telkomsel', 'jaringan', 'cepat']</t>
  </si>
  <si>
    <t>['mantap', 'ngecek', 'saldo', 'paket', 'pulsa', 'efisien']</t>
  </si>
  <si>
    <t>['simple', 'sangan', 'dimudahkan']</t>
  </si>
  <si>
    <t>['sukak', 'pokok', 'tolong', 'kasih', 'vocer', 'sya', 'min']</t>
  </si>
  <si>
    <t>['pulsa', 'nggak', 'berkurang']</t>
  </si>
  <si>
    <t>['nomor', 'tenggang', 'kuota', 'pulsa', 'isi', 'kemarin']</t>
  </si>
  <si>
    <t>['ngga', 'login']</t>
  </si>
  <si>
    <t>['telkomsel', 'terdepan', '']</t>
  </si>
  <si>
    <t>['bagus', 'banget', 'mempermudah', 'beli', 'pulsa']</t>
  </si>
  <si>
    <t>['tingkatkan', 'kualitas', 'daerah', 'terpencil', 'kampung']</t>
  </si>
  <si>
    <t>['bagus', 'komplit', 'pemula', 'blm', 'paham', 'mudah', 'mudahan', 'membantu']</t>
  </si>
  <si>
    <t>['tagihan', 'bayar', 'sms', 'kartu', 'hallo', 'blokirkarena', 'blm', 'bayar', 'tagihan', 'gimana', 'bener', 'telkomsel', 'merugikan', 'pelanggan', '']</t>
  </si>
  <si>
    <t>['bnyikin', 'promo', '']</t>
  </si>
  <si>
    <t>['informasi', '']</t>
  </si>
  <si>
    <t>['heran', 'kebijakan', 'telkomsel', 'harga', 'paketan', 'telkomsel', 'pengguna', 'harganya', 'mahal', 'dibandingkan', 'pengguna', 'telkomsel', 'dibanding', 'tolong', 'harga', 'disamaratakan', 'harganya', 'terimakasih']</t>
  </si>
  <si>
    <t>['zimpati', 'jwancuk', 'maling', 'pulsa', 'koneksi', 'buruk', 'azuu']</t>
  </si>
  <si>
    <t>['udah', 'update', 'buka', 'apknya', 'disuruh', 'update', '']</t>
  </si>
  <si>
    <t>['beli', 'kuota', 'taunya', 'zonkk', 'jaringan', 'asli', 'blokkk', 'nangiss']</t>
  </si>
  <si>
    <t>['terima', 'kasih', 'membantu']</t>
  </si>
  <si>
    <t>['tingkatkan', 'pelayanan', 'kwalitasnya', 'perbanyak', 'promo', 'paketan', 'telp', 'internet', 'promo', 'giganet', 'dapatkan', 'keluarga', '']</t>
  </si>
  <si>
    <t>['banget', 'combo', 'sakti', 'lbih', 'ditingkatkan', 'jaringan', 'diluar', 'jangakauan', 'sisi', 'perbatasan', 'tks', 'telkomsel', '']</t>
  </si>
  <si>
    <t>['penyelesaian', 'signal', 'lamban', '']</t>
  </si>
  <si>
    <t>['sangaatt', 'berguna']</t>
  </si>
  <si>
    <t>['sinyal', 'setabil', 'kentot']</t>
  </si>
  <si>
    <t>['puas', 'layanan', 'telkomsel', 'bonus', 'kuota']</t>
  </si>
  <si>
    <t>['bagus', 'aplikasi', '']</t>
  </si>
  <si>
    <t>['jaringan', 'terbaik', 'berasa', 'beda', 'jaringannya', 'mahal', 'doang', 'harga', 'paketnya', 'semoga', 'yaa']</t>
  </si>
  <si>
    <t>['isi', 'pulsa', 'gratis', 'kuota', 'sinyalnya', 'ancur', 'sinyalnya', 'kaya', 'dicaci', 'maki', 'report', 'game', 'game', 'main', 'facebook', 'buffering']</t>
  </si>
  <si>
    <t>['good', 'dikurangi', 'kuota', 'tambahan', 'paket', 'utamanya', '']</t>
  </si>
  <si>
    <t>['paket', 'internet', 'diakses', '']</t>
  </si>
  <si>
    <t>['poin', 'ditukar', 'sistem', 'sibuk', '']</t>
  </si>
  <si>
    <t>['mhn', 'nelpon', 'telkomsel', 'menit', 'menit', 'sms', 'dikurangi', 'terpakai', 'sms', 'mhn', 'dipertimbangkan']</t>
  </si>
  <si>
    <t>['memuaskan', 'jaringan', 'telkomsel']</t>
  </si>
  <si>
    <t>['tolong', 'harga', 'kuota', 'mahal']</t>
  </si>
  <si>
    <t>['beli', 'ketengan', 'youtube', 'pulsa', 'sedot', 'habis', 'namanya', 'penipuan']</t>
  </si>
  <si>
    <t>['membantu', 'aplikasi']</t>
  </si>
  <si>
    <t>['tingkatkan', 'musim', 'hujan', 'signal', '']</t>
  </si>
  <si>
    <t>['paketnya', 'murah']</t>
  </si>
  <si>
    <t>['suka', 'bangeut', 'beli', 'kota', 'telkomsel', 'abis', 'cepet', 'ribet']</t>
  </si>
  <si>
    <t>['kartu', 'tenggang', 'bln', 'isi', 'pulsa', 'gopay', 'aktifin', 'beli', 'pulsa', 'data', 'otomatis', 'perpanjang', 'maklum', 'aplikasi', 'norak', 'payah', 'mendeteksi', 'perpanjang', 'aktif']</t>
  </si>
  <si>
    <t>['bonus', 'palsu', 'dipakai', '']</t>
  </si>
  <si>
    <t>['', 'ntar', 'bgus', 'bintang', '']</t>
  </si>
  <si>
    <t>['harga', 'paket', 'mahal', 'mending', 'kartu', 'telkomsel', 'combo', 'sakti', 'kecewa', 'beli', 'kartu', 'telkomsel', 'prabayar', 'tolonglah', 'turunin', 'haraga', 'paket', 'telkomsel', 'combo', 'sakti', 'orang', 'tua', 'marah', 'mahal', 'combo', 'sakti', 'harga', 'sebulan', 'dapet', 'gb', 'tong', 'long', 'turunin', 'harga', 'combo', 'sakti', 'kecewa', 'beli', 'kartu']</t>
  </si>
  <si>
    <t>['membeli', 'paketan', 'dibeli', 'error']</t>
  </si>
  <si>
    <t>['tolong', 'perbanyak', 'promo', '']</t>
  </si>
  <si>
    <t>['bintang', 'telkomsel', 'pertahankan', 'bonus', 'bonusnya', 'pengguna', 'setia', 'produk', 'telkomsel', 'harga', 'paket', 'combo', 'internetnya', 'turunkan', 'pengguna', 'setia', 'komentar', 'positif', 'telkomsel', 'mempertahankan', 'bintang', '']</t>
  </si>
  <si>
    <t>['paket', 'bulanan', 'internet', 'halo', 'muncul', 'tulisan', 'pemakaian', 'paket', 'internet', 'habis', 'mencapai', 'pemakaian', '']</t>
  </si>
  <si>
    <t>['seriusan', 'enak', 'banget', 'fasilitas', 'telkomsel']</t>
  </si>
  <si>
    <t>['mudahnya', 'cek', 'status', 'beli', 'paket']</t>
  </si>
  <si>
    <t>['jarang', 'bonus']</t>
  </si>
  <si>
    <t>['saran', 'poin', 'stlah', 'pengisian', 'pulsa', 'paket', 'data', 'poin', 'ditukar', 'paket', 'data', 'disaat', 'darurat', 'poin', 'terbuang', 'sia', 'sia']</t>
  </si>
  <si>
    <t>['operator', 'jelek', 'paket', 'data', 'dimatikan', 'pulsa', 'berkurang', 'ndak', 'pulsa', 'save', 'kaya', 'operator', 'sebelah', 'indos', 'jelek', '']</t>
  </si>
  <si>
    <t>['terpecaya']</t>
  </si>
  <si>
    <t>['chek', 'aplikasi', '']</t>
  </si>
  <si>
    <t>['update', 'paket', 'telepon', 'murah', 'hilang', 'tinggal', 'paket', 'mahal', 'mengecewakan']</t>
  </si>
  <si>
    <t>['mudah', 'dimengerti', 'auto', 'lancar']</t>
  </si>
  <si>
    <t>['larang', 'tenan', 'paketan', '']</t>
  </si>
  <si>
    <t>['membantu', 'memantau', 'aktivitas', 'pembelian', 'kuota', 'data']</t>
  </si>
  <si>
    <t>['aplikasinya', 'membantu', 'pembelian', 'paket', 'internet', '']</t>
  </si>
  <si>
    <t>['dibuka', 'aplikasi']</t>
  </si>
  <si>
    <t>['telkomsel', 'wajib', 'bahasa', 'inggris', 'kesian', 'pengguna', 'bahasa', 'inggris', 'pilihan', 'bahasa', 'pilih', 'bahasa', 'inggris', 'indonesia', 'menjangkau', 'pengguna', 'telkomsel', 'bingung', 'langganan', '']</t>
  </si>
  <si>
    <t>['habis', 'paket', 'internet', 'paket', 'multimedia', 'lelet', 'kadang', 'kepake', 'paketnya', 'aduh', 'rugi', '']</t>
  </si>
  <si>
    <t>['tolong', 'dev', 'benerin', 'sinyal', 'massa', 'pindah', '']</t>
  </si>
  <si>
    <t>['semoga', 'gua', 'beruntung']</t>
  </si>
  <si>
    <t>['', 'telkomsel', 'simpel', 'memudahkan', 'harapan', 'pengguna', '']</t>
  </si>
  <si>
    <t>['jaringan', 'jelek', '']</t>
  </si>
  <si>
    <t>['sinyal', 'didaerah', 'subang', 'daerah', 'ciater', 'burukkkk', '']</t>
  </si>
  <si>
    <t>['provider', 'laknat', 'nyari', 'untung', 'kualitas', 'nol', 'beli', 'mahal', 'jaringan', 'burik', 'sial', 'sumpah', 'telkomsel', '']</t>
  </si>
  <si>
    <t>['jaringan', 'busuk', 'dijual', 'mahal', 'plat', 'merah', 'mengecewakan']</t>
  </si>
  <si>
    <t>['bagus', 'internet', 'lacar']</t>
  </si>
  <si>
    <t>['lelet', 'ngeresponnya']</t>
  </si>
  <si>
    <t>['berharap', 'undi', 'undi', 'hadiahnya']</t>
  </si>
  <si>
    <t>['paket', 'internet', 'kepake', 'pulsa', 'sampe', 'habis', 'telkomsel', '']</t>
  </si>
  <si>
    <t>['pinter', 'nyari', 'duitnya', 'tinggal', 'nunggu', 'secondary', '']</t>
  </si>
  <si>
    <t>['chek', 'harian', 'hilang', '']</t>
  </si>
  <si>
    <t>['berlangganan', 'ama', 'telkomsel', 'kawan', 'beli', 'paketnya', 'mahal', 'udah', 'musim', 'corona', 'susah', 'cari', 'uang', '']</t>
  </si>
  <si>
    <t>['bonus', 'banyakan']</t>
  </si>
  <si>
    <t>['telkomsel', 'udah', 'bersahabat', 'harga', 'mahal', 'kualitas', 'buruk', 'stopla', 'kartu', 'telkomsel', 'merugikan', 'pelanggan', 'bagusan', 'provider', 'sebelah', 'harga', 'lumayan', 'murah', 'kualitas']</t>
  </si>
  <si>
    <t>['jaringan', 'males', 'main', 'game', 'online', 'telkomsel', '']</t>
  </si>
  <si>
    <t>['buka', 'pubg', 'lancar', 'buka', 'youtube', 'lancar', 'buka', 'aplikasi', 'lancar', 'pas', 'buka', 'aplikasi', 'mytelkomsel', 'banget', 'loadingnya', 'ayo', 'menang', 'nama', 'doang', 'tsel', 'aplikasinya', 'gimana', '']</t>
  </si>
  <si>
    <t>['', 'ditingkatkan', '']</t>
  </si>
  <si>
    <t>['aplikasinya', 'lumayan', 'koneksi', 'internet', 'telkomsel', 'stabil', 'harga', 'paket', 'internet', 'cenderung', 'mahal', 'provider', 'sebanding', 'kualitas', 'jaringan']</t>
  </si>
  <si>
    <t>['maaf', 'suka', 'malas', 'lihat', 'bonus', 'murah', 'nyaman', 'lemot', 'lelet', 'lemah', 'hak', 'sanjung', '']</t>
  </si>
  <si>
    <t>['cam', 'kontl', 'gini', 'buka', 'apk', 'lansung', 'kartu', 'tenggang', 'hangus', 'tanggal', 'nov', 'biji', 'kudanil', 'fikir', 'kartu', 'gua', 'tenggang', '']</t>
  </si>
  <si>
    <t>['paket', 'nelponnya', 'mahal', 'banget', 'mending', 'gue', 'isi', 'paket', 'data', 'provider', 'videocall', 'gue', 'sebulan', '']</t>
  </si>
  <si>
    <t>['jaringan', 'lemot', 'kuota', 'mahal', 'kasih', 'saran', 'lapor', 'kontak', 'disediakan', 'gimna', 'lapor', 'jaringan', 'terhubung', 'tolol', 'kecewa', 'gue', 'ganti', 'provider', 'laen']</t>
  </si>
  <si>
    <t>['harapan', 'telkomsel', 'kedepannya', 'terdepan']</t>
  </si>
  <si>
    <t>['mantaap', 'kemudahan', 'bertransaksi']</t>
  </si>
  <si>
    <t>['kesini', 'jaringan', 'bagus', 'jelek', 'paket', 'mahal', 'kualitas', 'jaringan', 'nol', 'tolong', 'diperbaiki', 'jaringan', 'kaya', 'gini', 'ripuh', 'siti']</t>
  </si>
  <si>
    <t>['aplikasi', 'dancok', 'gatel', 'nyedot', 'paketan', 'gajelas']</t>
  </si>
  <si>
    <t>['aplikasinya', 'bangus', 'suka']</t>
  </si>
  <si>
    <t>['telkomsel', 'terhormat', 'jaringan', 'daerah', 'jaharun', 'kec', 'galang', 'kab', 'deli', 'serdang', 'madan', 'sumatera', 'utara', 'bermasalah', 'mohon', 'bantuan', 'pengecekannya', 'bermain', 'game', 'sabotase', 'murni', 'kesalahan', 'terkomsel', 'mohon', 'cek', 'karna', 'support', 'game']</t>
  </si>
  <si>
    <t>['pilihan', 'paket', 'layanan', 'sesuai', 'kebutuhan', 'mantep']</t>
  </si>
  <si>
    <t>['pokoknya', 'mantap', 'diragukan']</t>
  </si>
  <si>
    <t>['sinyal', 'mohon', 'catat', 'kerja', 'main', 'game', 'favorite', 'terganggu', '']</t>
  </si>
  <si>
    <t>['isi', 'pulsa', 'rb', 'notif', 'tenggang', 'kartu', 'silahkan', 'isi', 'pulsa', 'rutin', 'notif', 'ilang', 'hub', 'via', 'veronika', 'nanya', 'isi', 'pulsa', 'paketan', 'mempersulit', 'konsumen', '']</t>
  </si>
  <si>
    <t>['pokoknyaa', 'mantull', 'telkomsel']</t>
  </si>
  <si>
    <t>['respon', 'okey', 'bunus', '']</t>
  </si>
  <si>
    <t>['mytelkomsel', 'tolol', 'paketin', 'lelet', 'pulsa', 'abis', 'tolol', 'coba', 'bner', 'babi', 'jengkel', 'oon', 'dsar']</t>
  </si>
  <si>
    <t>['menarik', 'hadiahnya', 'dapatkan', 'hadiah', 'menarik']</t>
  </si>
  <si>
    <t>['apaka', 'undianya']</t>
  </si>
  <si>
    <t>['', 'telkomsel', 'gue', 'beli', 'pulsa', 'rutin', 'sebulan', 'tengang', 'gimana', 'ceritanya', 'gue', 'pelanggan', 'telkomsel', 'kecewa', 'emg', 'bener', 'bener', 'kya', 'gini', 'kejadiannya', 'gue', 'ganti', 'kartu', 'ajalah']</t>
  </si>
  <si>
    <t>['mantap', 'gratisan', 'check', 'min', '']</t>
  </si>
  <si>
    <t>['mudah', 'manfaatnya', 'pengguna', 'setia', 'telkomsel', '']</t>
  </si>
  <si>
    <t>['abis', 'update', 'fitur', 'check', 'hilang']</t>
  </si>
  <si>
    <t>['sangan', 'membantu']</t>
  </si>
  <si>
    <t>['tekomsel', 'kayak', 'im', 'hilang', 'sinyal', 'internet', 'pakai', 'twiter']</t>
  </si>
  <si>
    <t>['kecewa', 'banget', 'telkomsel', 'skg']</t>
  </si>
  <si>
    <t>['aplikasi', 'merugikan', 'konsumen', 'buka', 'aplikasi', 'pulsa', 'udah', 'potong', 'kagak', 'wajar', 'manusiawi', 'bangkrut']</t>
  </si>
  <si>
    <t>['daftar', 'harga', 'internet', 'mahal']</t>
  </si>
  <si>
    <t>['murah', 'paketnya']</t>
  </si>
  <si>
    <t>['kartu', 'aktif', 'nov', 'aplikasi', 'tulisan', 'tenggang', 'paket', 'habis', 'waras', 'ora', 'sooonnnn', '']</t>
  </si>
  <si>
    <t>['jumping', 'internet', 'pemberitahuan', 'jaringan', 'diputus', 'terputus', 'rugiiiiiiii']</t>
  </si>
  <si>
    <t>['kartu', 'khusus', 'internet', 'mahal', 'kalii']</t>
  </si>
  <si>
    <t>['lambat', 'ngisi', 'paket']</t>
  </si>
  <si>
    <t>['bagus', 'nelfon', 'operator', 'murah']</t>
  </si>
  <si>
    <t>['kredit']</t>
  </si>
  <si>
    <t>['sinyalnya', 'tolong', 'kencangin', 'harga', 'murah', 'promonya', 'kalah', 'indosat', 'bintangnya', 'dlu', 'sinyalnya', 'udah', 'kencang', 'harganya', 'murah', 'promo', 'promo', 'dikasih', 'bintangnya', '']</t>
  </si>
  <si>
    <t>['aktif', 'udah', 'notif', 'tenggang', 'hadeh', 'kerja', '']</t>
  </si>
  <si>
    <t>['perasaan', 'beli', 'pulsa', 'knp', 'kartunya', 'tenggang', 'aneh', 'telkomsel', 'pindah', 'kartu', '']</t>
  </si>
  <si>
    <t>['istimewa']</t>
  </si>
  <si>
    <t>['mudah', 'mudahan', 'aya', 'milik', 'alloh', '']</t>
  </si>
  <si>
    <t>['telkomsel', 'gajelas', 'tolong', 'jaringan', 'betulin', 'yya', 'tod', 'mahal', 'mahal', 'beli', 'kouta', 'jaringan', 'lelet', 'lemot', 'anjhweng', 'gimana', 'push', 'rank', 'inti', 'luu', 'benerin', 'jaringan', 'anjhweng', '']</t>
  </si>
  <si>
    <t>['terimakasih', 'telkomsel']</t>
  </si>
  <si>
    <t>['promo', 'kuota', 'mantap']</t>
  </si>
  <si>
    <t>['puas', 'semongga', 'pengguna', 'rezeki']</t>
  </si>
  <si>
    <t>['merut', 'telkomsel', 'hebat', 'hadih', 'pulsa', 'ratusan', 'ribu', 'mobil', 'tinggal', 'tukar', 'poin', 'trus', 'undi']</t>
  </si>
  <si>
    <t>['smakin', 'jlek', 'jaringan', 'coba', 'donk', 'perbaiki', 'jaringan', 'internet', 'sayang', 'udah', 'beli', 'paket', 'lemot', 'trus', 'lucu', '']</t>
  </si>
  <si>
    <t>['telkomsel', 'mantap', 'banget', 'top']</t>
  </si>
  <si>
    <t>['semoga', 'kendala', 'sinyal', 'simpati', 'stabil', 'korona', 'amin']</t>
  </si>
  <si>
    <t>['kurangin', 'bintang', 'karna', 'susah', 'jaringan', 'tolong', 'tingkatkan', 'yaa', 'pengguna', 'setia', 'telkomsel', '']</t>
  </si>
  <si>
    <t>['mudah', 'murah', 'tingkatkan', 'paket', 'murah', 'kalangan', 'menengah', 'kebawah', 'terimakasih']</t>
  </si>
  <si>
    <t>['', 'update', 'buka', 'parah', '']</t>
  </si>
  <si>
    <t>['mudah', 'operasional']</t>
  </si>
  <si>
    <t>['perbanyak', 'promo', 'gays']</t>
  </si>
  <si>
    <t>['enak', 'bnget', 'belinya', 'byr', 'appa', 'ajja', 'gampang']</t>
  </si>
  <si>
    <t>['berhenti', 'berlanggan', 'internet', 'gimana', 'veronica', 'jawabannya', 'nyambung', 'pilihannya', '']</t>
  </si>
  <si>
    <t>['permasalahan', 'sinyal', 'telkomsel', 'letaknya', 'dimana', 'kesini', 'buruk', 'udahlah', 'mending', 'ganti', 'operator', 'kasian', 'aktivitas', 'terhambat']</t>
  </si>
  <si>
    <t>['susah', 'low', 'buka', 'telkomsel', '']</t>
  </si>
  <si>
    <t>['pulsa', 'hilang', 'jaringam', 'konsumen', 'beli', 'mahal', 'nyetok', 'pulsa', 'hilang', '']</t>
  </si>
  <si>
    <t>['membantu', 'terimakasih']</t>
  </si>
  <si>
    <t>['telkomsel', 'parah', 'jaringan', 'internetnya', 'main', 'game', 'online', 'detik', 'merah', 'mending', 'sebentar', 'merah', 'giliran', 'ijo', 'sebentar', 'merah', 'pantes', 'sesuai', 'logonya', 'merah', 'jaringan', 'parah', 'kecewa', 'banget', 'deh', 'make', 'telkomsel', 'game', 'jaringan', 'burik', 'mending', 'axis', 'indosat', 'smartfren', 'selali', 'lancar', 'ngegame', 'nama', 'doang', 'gede', 'mengatasi', 'jaringan', 'lola', 'tolong', 'rugikan', 'pelanggan', 'pengen', 'bangkrut', 'paket', 'doang', 'mahal', 'jaringan', 'internetnya', 'recehan', '']</t>
  </si>
  <si>
    <t>['paket', 'combo', 'asik', 'paket', 'mahal', 'banget', '']</t>
  </si>
  <si>
    <t>['kecewa', 'apk', 'udah', 'kali', 'beli', 'pulsa', 'masuk', 'masuk']</t>
  </si>
  <si>
    <t>['hai', 'min', 'sinyal', 'tsel', 'hilang', 'hilangan', 'min', 'kek', 'duluu', '']</t>
  </si>
  <si>
    <t>['desa', 'wargajaya', 'kec', 'cigudeg', 'bogor', 'sinyal', 'telkomsel', 'error', 'mah', 'lancar', 'ajah']</t>
  </si>
  <si>
    <t>['pelittt', 'bangett', 'udah', 'mahal', 'diandalkan', 'jaringan', 'lelet', 'jngan', 'telkomsel', 'lahhh']</t>
  </si>
  <si>
    <t>['terima', 'kasih']</t>
  </si>
  <si>
    <t>['pelayanan', 'telkomsel', 'jaringan', 'pelanggan', 'souvenir', 'hadiah', 'tekomsel']</t>
  </si>
  <si>
    <t>['admin', 'merespon', 'klien', 'langsung', 'menutup', 'pembicaraan', 'chat', 'pengeluhan', '']</t>
  </si>
  <si>
    <t>['tolong', 'update', 'android', 'suport']</t>
  </si>
  <si>
    <t>['sumpah', 'gajelas', 'sinyalnya']</t>
  </si>
  <si>
    <t>['semoga', 'menang', 'undian', '']</t>
  </si>
  <si>
    <t>['mantaaaaap', 'mempercepat', 'transaksi', 'promo']</t>
  </si>
  <si>
    <t>['provider', 'jelek', 'udah', 'pakai', 'provider', 'tpi', 'telkom', 'parah', 'sinyel', 'ngejump', 'berita', 'kabel', 'bwh', 'laut', 'bermasalah', 'suka', 'ngegame', 'telkom', 'rekomended', 'sekedar', 'meet', 'sinyal', 'ngejump', 'gajelas', 'pdhl', 'pakai', 'provider', 'aman', 'kembangin', 'trs', 'konsumen', 'pengen', 'pakai', 'produk', 'lokal', 'tpi', 'hadeh']</t>
  </si>
  <si>
    <t>['suka', 'mengunakan', 'telkomsel', 'murah', '']</t>
  </si>
  <si>
    <t>['udah', 'update', 'diplaystore', 'pas', 'dibuka', 'aplikasinya', 'suruh', 'update']</t>
  </si>
  <si>
    <t>['semoga', 'hadiahnha', 'amiin', '']</t>
  </si>
  <si>
    <t>['mohon', 'perbaiki', 'sinyal', 'telkomsel', '']</t>
  </si>
  <si>
    <t>['koneksi', 'jaringan', 'setabil', 'buruk', 'ilang', 'jaringannya', 'sesuai', 'harga', 'kuota', 'mahal', 'mengecewakan', 'telkomsel', 'perbaiki', 'keluarga', 'pindah', 'oprator', '']</t>
  </si>
  <si>
    <t>['cpat', 'mndaptkan', 'informsi']</t>
  </si>
  <si>
    <t>['kartu', 'mahal', 'signal', 'kyak', 'taii']</t>
  </si>
  <si>
    <t>['', 'gitu']</t>
  </si>
  <si>
    <t>['kuota', 'internet', 'gb', 'gabisa', 'dipake', 'kecewa', '']</t>
  </si>
  <si>
    <t>['', 'user', 'telkomsel', 'keluhan', 'njawab', 'system', 'orang', 'telkomsel', 'teman', 'mending', 'beralih', 'kartu', 'murah', 'servis', 'bagus', 'mengecewakan', 'pelanggan', 'trims']</t>
  </si>
  <si>
    <t>['nyesel', 'gua', 'beli', 'telkomsel', '']</t>
  </si>
  <si>
    <t>['maaf', 'aplikasi', 'bagus', 'kecewa', 'jaringan', 'jaringan', 'telkomsel', 'wilayah', 'sumatra', 'selatan', 'jelek', 'tolong', 'perbaiki', 'wilayah', '']</t>
  </si>
  <si>
    <t>['bangsaaadd', 'pulsa', 'doang', 'mahal', 'jaringan', 'kacau', 'banget', 'bangke', 'iya', 'pembenahan', '']</t>
  </si>
  <si>
    <t>['seminggu', 'beli', 'quota', 'internet', 'mingguan', 'harian', 'standard', 'membeli', 'paket', '']</t>
  </si>
  <si>
    <t>['kartu', 'telkomsel', 'bngst']</t>
  </si>
  <si>
    <t>['pakai', 'telkomsel', 'emosi', 'pemakai', 'telkomsel', 'pindah', 'kartu', 'lainya', 'sinyal', 'hilang', 'sinyal', 'telkomsel', 'bagus', 'hilang', 'sinyalnya', 'konek', 'jaringan', 'telkomsel', 'alamat', 'tegalrejo', 'srigading', 'sanden', 'bantul', 'diy', '']</t>
  </si>
  <si>
    <t>['indiehome', 'telkomsel', 'lemott', '']</t>
  </si>
  <si>
    <t>['aplikasi', 'palengggg', 'bagoooos', 'aaaaa']</t>
  </si>
  <si>
    <t>['bantuan', 'live', 'chat', 'susah', 'banget', 'nunggunya']</t>
  </si>
  <si>
    <t>['signal', 'oke', 'disaat', 'membutuhkan', 'kantong', 'min', 'terkuras', 'kuota', 'emang', 'byk', 'harga', 'mahal', 'luncurkan', 'kuota', 'harga', 'murah', 'sbg', 'pilihan', '']</t>
  </si>
  <si>
    <t>['bagus', 'instan']</t>
  </si>
  <si>
    <t>['bgus', 'jaringannya', 'semoga', 'dapet', 'berkah', 'terkomsel']</t>
  </si>
  <si>
    <t>['aman', 'mudah', 'bonusnya']</t>
  </si>
  <si>
    <t>['mytelkomsel', 'mudah']</t>
  </si>
  <si>
    <t>['aplikasinya', 'bagus', 'bermanfaat', 'thanks', 'telkomsel']</t>
  </si>
  <si>
    <t>['sinyal', 'menyebalkan', 'berkualitas', 'bagus']</t>
  </si>
  <si>
    <t>['sinyal', 'kuat', 'manapun', 'tempatnya']</t>
  </si>
  <si>
    <t>['sinyalnya', 'kuat', 'suaranya', 'disegala', 'medan', 'cuaca', '']</t>
  </si>
  <si>
    <t>['super', 'mudah', 'beli', 'paketnya']</t>
  </si>
  <si>
    <t>['', 'kpd', 'telkomsel', 'paket', 'ceria', 'sisa', 'pulsa', 'berkurang', 'kadang', 'abis', 'karna', 'paket', 'murah', 'harganya', 'paham', 'semoga', 'jawabanya', 'karna', 'kali', 'terimakasih']</t>
  </si>
  <si>
    <t>['mengunakan', 'telekomsel', 'jaringan', 'cuaca', 'terimakasih']</t>
  </si>
  <si>
    <t>['tolong', 'kembalikan', 'pulsa', 'ribu', 'tolong', 'kembalikan', '']</t>
  </si>
  <si>
    <t>['pengguna', 'kartu', 'hallo', 'laporan', 'via', 'email', 'gada', 'tindakan', 'team', 'lapangan', 'signal', 'rumah', 'penug', 'liat', 'status', 'orang', 'foto', 'video', 'buffering', 'perusahaan', 'plat', 'merah', 'kalah', 'operator', '']</t>
  </si>
  <si>
    <t>['menyukainya']</t>
  </si>
  <si>
    <t>['sinyal', 'okay', 'harga', 'tinggiiii', '']</t>
  </si>
  <si>
    <t>['membantu', 'mempermudah', 'pengguna']</t>
  </si>
  <si>
    <t>['kuota', 'habis', 'sisa', 'pulsa', 'langsung', 'pakai', 'tukerin', 'kouta', 'minimal', 'penawaran', 'peringatan']</t>
  </si>
  <si>
    <t>['min', 'nanya', 'beneran', 'daerah', 'sinyal', 'oke', 'nggak', 'bagus', 'jarak', 'meter', 'koneksi', 'internet', 'down', 'nggak', 'buka', 'aplikasi', 'lite', 'lemot', 'ampun', 'nggak', '']</t>
  </si>
  <si>
    <t>['ngehubungi', 'ribet', 'uda', 'pilih', 'pilhan', 'pilih', 'gada', 'solusinya', 'tlp', 'operator']</t>
  </si>
  <si>
    <t>['udh', 'isi', 'pulsa', 'aplksi', 'pulsanya', 'cek', 'pagar', 'pulsa', 'gimna', 'aplksi']</t>
  </si>
  <si>
    <t>['sinyal', 'kek', 'taekkkk', 'bener', 'sinyal', 'recomen', 'banget', 'kartu', 'mending', 'pke', 'aman', 'lancar', 'jaya', 'pke', 'kartu', 'telkom']</t>
  </si>
  <si>
    <t>['klw', 'perkembangannya', 'mwmbaik', 'tambahi', 'bintangnya']</t>
  </si>
  <si>
    <t>['pantesan', 'harga', 'paketnya', 'turun', 'lemotnya', 'parah', 'semoga', 'bangkrut', 'mempersulit', 'hidup', 'org', 'gausah', 'so', 'promo', 'sgla', '']</t>
  </si>
  <si>
    <t>['tolong', 'pemakean', 'data', 'utamain', 'gratis', 'makan', 'berbayar', 'punyak', 'pket', 'gratis', 'tpi', 'kuota', 'utama', 'paket', 'sya', 'hbisin', 'kuota', 'sosial', 'masak', 'kuota', 'lokol', 'kau', 'habisin', 'duluan', 'pdahal', 'sya', 'buka', 'pket', 'sosial', 'kalok', 'kuota', 'lokal', 'abisin', 'duluan', 'ujung', 'kburu', 'expired', 'kuota', 'gratis', 'tolong', 'telkomsel', 'perbaiki', 'sistem', 'kalok', 'gini', 'pindah', 'krtu', 'skian', 'smoga', 'respon']</t>
  </si>
  <si>
    <t>['susah', 'masukin', 'voucher', 'yaaa']</t>
  </si>
  <si>
    <t>['salam', 'hormat', 'admin', 'telkomsel', 'keluhan', 'cek', 'pulsa', 'liat', 'aktif', 'plus', 'nelpon', 'padaha', 'mengisi', 'pulsa', 'cek', 'pulsa', 'nelpon', 'kontak', 'mohon', 'solusiny', 'kartu', 'pakai', 'secepatnya', 'urusan', 'masuk', 'aplikasi', 'gagal', 'memmuat']</t>
  </si>
  <si>
    <t>['alhamdulilah', 'blie', 'paket', 'cloud', 'max']</t>
  </si>
  <si>
    <t>['tolong', 'telkomsel', 'jaringan', 'sma', 'sinyalnya', 'perbaiki', 'susah', 'komunikasi', 'menjalan', 'aplikasi', '']</t>
  </si>
  <si>
    <t>['bagus', 'puas', 'tolong', 'sinyalnya', 'drop', '']</t>
  </si>
  <si>
    <t>['aplikasinya', 'membingungkan', 'udah', 'perbaharui', 'aplikasinya', 'perbaharui', 'pokonya', 'nyesel', 'ngedonloadnya']</t>
  </si>
  <si>
    <t>['gimanaaaaa', 'paket', 'promo', 'gada', 'dibelii', 'pulsa', 'mencukupi', 'kulu', 'toooddd', '']</t>
  </si>
  <si>
    <t>['terbagi', 'pilihan', 'paketnya', 'macem', 'orang', 'datanya', 'ditawarin', 'pilihan', 'paket', 'macem', '']</t>
  </si>
  <si>
    <t>['telkomsel', 'kesini', 'sinyalnya', 'bagus', 'jelek', '']</t>
  </si>
  <si>
    <t>['bintang', 'app', 'cuman', 'cek', 'kuota', 'beli', 'kuota', 'app', 'mahal', 'kedepan', 'telkomsel', 'menurun', 'harga', 'kuota', 'operator', 'terimakasi']</t>
  </si>
  <si>
    <t>['semoga', 'kedpannya']</t>
  </si>
  <si>
    <t>['puas', 'berlangganan', 'telkomsel', 'jaringan', 'bagus', 'pembelian', 'paket', 'mudah', 'murah', 'terimakasih', 'telkomsel', 'membantu', 'mengakses', 'internet', 'telkomsel', 'mengenal', 'internet', 'daerah', 'pegunungan', 'berterimakasih', 'telkomsel']</t>
  </si>
  <si>
    <t>['perbaikan', 'sinyal', 'napa', 'njing', 'gua', 'beli', 'kuota', 'tsel', 'dlu', 'ampe', 'bener', 'kntl']</t>
  </si>
  <si>
    <t>['aplikasi', 'membantu', 'kasih', 'bintang', '']</t>
  </si>
  <si>
    <t>['kirim', 'email', 'pulsa', 'berkurang', 'pagi', 'claim', 'hadiah', 'poin', 'tsel', 'pas', 'barusan', 'cek', 'app', 'tsel', 'berkurang', 'paket', 'gimana', 'ganti', '']</t>
  </si>
  <si>
    <t>['banyakin', 'promonya']</t>
  </si>
  <si>
    <t>['internetnya', 'lemot', 'tolong', 'perbaiki', 'yaa']</t>
  </si>
  <si>
    <t>['', 'area', 'timbul', 'tenggelam', 'sinyal', 'internet']</t>
  </si>
  <si>
    <t>['telkomsel', 'lol', 'makan', 'pulsa']</t>
  </si>
  <si>
    <t>['tingkatkan', 'pelayananya', 'bonus', 'menark']</t>
  </si>
  <si>
    <t>['puas', 'paket', 'murmer']</t>
  </si>
  <si>
    <t>['kasi', 'bintang', 'sekarg', 'internet', 'lelet', 'parah', 'parah', 'poko', 'jngan', 'streaming', 'buka', 'yotube', 'lelet', 'parah', '']</t>
  </si>
  <si>
    <t>['kecewa', 'udah', 'beli', 'kuota', 'belajar', 'ngapa', 'ngapain', 'buka', 'google', 'buka', 'ruang', 'guru', 'aplikasi', 'belajar', 'rugi', 'ribu', 'beli', 'pulsa', 'dipake', 'kasih', 'bintang', 'kuota', 'ditelkomsel', 'mahal', 'mahal', 'lelet', 'telkom', 'kuota', 'belajar', 'gb', 'buka', 'apps', 'bingun', 'pengen', 'bakar', 'perusahaannya', 'harga', 'mahal', 'lelet', 'coba', '']</t>
  </si>
  <si>
    <t>['jaringan', 'internetnya', 'lemot', 'sampe', 'down', 'kesel', 'kuota', 'kasih', 'konpensasi', 'setia', 'tsel']</t>
  </si>
  <si>
    <t>['min', 'sinyal', 'suka', 'lemot', 'tasikmalaya', 'utara', 'kya', 'super', 'cepat', '']</t>
  </si>
  <si>
    <t>['', 'beli', 'kuota', 'combo', 'sakti', 'unlimited', 'lemot', 'parah', 'lemot', 'liat', 'status', 'buang', 'kuota', 'sisa', 'kuota', 'internet', 'kuota', 'multimedia', 'kecewa', 'pdhl', 'combo', 'sakti', 'unlimited', '']</t>
  </si>
  <si>
    <t>['sinyal', 'simpati', 'jelek', 'skrang']</t>
  </si>
  <si>
    <t>['terbaik', 'bagus']</t>
  </si>
  <si>
    <t>['skrg', 'susah', 'login', 'nambah', 'google', 'susah', 'link', 'sms']</t>
  </si>
  <si>
    <t>['pencuri', 'alasan', 'kouta', 'darurat', 'mahal', 'jaringan', 'lelet', 'paket', 'cepat', 'habis', 'pakai', 'sebentar', 'komentar', 'pelanggan', 'ngeluh', 'masukan', 'gubris', 'salut', 'telkomset']</t>
  </si>
  <si>
    <t>['jaringan', 'stabil', '']</t>
  </si>
  <si>
    <t>['memudahkan', 'membantu']</t>
  </si>
  <si>
    <t>['haduuhhhh', 'internet', 'payah', 'pakek', 'kuota', 'beli', 'klaim', 'gratis', 'min', 'tolong', 'min', 'jaringan', 'pulihkan', '']</t>
  </si>
  <si>
    <t>['bintang', 'udah', 'bagus', 'karna', 'simpati', 'bangkrut', 'siyal', 'lelet', 'pakai', 'aleh', 'mudah', '']</t>
  </si>
  <si>
    <t>['perdana', 'makai', 'mytelkomsel', 'kasih', 'rating', 'deh', '']</t>
  </si>
  <si>
    <t>['voucher', 'diskon', 'pembelian', 'paket', 'internet', 'dipakai', 'membeli', 'paket', 'mytelkomsel', '']</t>
  </si>
  <si>
    <t>['sinyal', 'berasa', 'kota', 'yaahh', 'gitu']</t>
  </si>
  <si>
    <t>['mantap', 'min', 'costumer', 'service', 'ramah', 'thanks', 'you', 'telkomsel', '']</t>
  </si>
  <si>
    <t>['jaringan', 'kuat', 'memuaskan']</t>
  </si>
  <si>
    <t>['harga', 'doang', 'kualitas', 'ampas', 'benerin', 'jaringan', 'kaya', 'gini', 'pelanggan', 'kecewa', '']</t>
  </si>
  <si>
    <t>['signal', 'jelek', 'sidoarjo', 'andalkan', '']</t>
  </si>
  <si>
    <t>['aplikasi', 'bagus', 'dehhh', 'semoga', 'menang', 'kupon', 'amin', 'moga', 'moga', 'mobilll', 'asikkkk']</t>
  </si>
  <si>
    <t>['sinyal', 'kepake', 'seponsor', 'iklannya', 'lemot', 'nyesel', 'gua', 'bajed', 'sinyal', 'model', 'gini', '']</t>
  </si>
  <si>
    <t>['layanan', 'ditingkatkan', '']</t>
  </si>
  <si>
    <t>['masuk', 'beranda', 'mytelkomsel', 'sulit', 'klw', 'kesalahan', 'coba', '']</t>
  </si>
  <si>
    <t>['membantunvkcjbcgj']</t>
  </si>
  <si>
    <t>['mencoba', 'semoga', 'lancar', '']</t>
  </si>
  <si>
    <t>['harga', 'mahal', 'kualitas', 'kacau']</t>
  </si>
  <si>
    <t>['bagus', 'banget', 'hadiah', 'mendukung']</t>
  </si>
  <si>
    <t>['memudah']</t>
  </si>
  <si>
    <t>['iya', 'paket', 'koata', 'termurah']</t>
  </si>
  <si>
    <t>['aplikasi', 'gangguan', 'trus', 'mengisi', 'kuota']</t>
  </si>
  <si>
    <t>['aplikasi', 'bagus', 'membantu', 'mempermudah']</t>
  </si>
  <si>
    <t>['orang', 'idiot', 'setia', 'telkontol', 'tarif', 'internet', 'mahal', 'provider', 'kualitas', 'internet', 'buruk', 'moga', 'telkomsel', 'cepet', 'bangkrut', 'pepek']</t>
  </si>
  <si>
    <t>['terima', 'kasih', 'telkomsel']</t>
  </si>
  <si>
    <t>['bagus', 'sekalih']</t>
  </si>
  <si>
    <t>['beli', 'paket', 'gabisa', 'pulsanya', 'pas', 'liat', 'pulsa', 'apk']</t>
  </si>
  <si>
    <t>['beli', 'paket', 'internet', 'tapivtidak', 'knp', 'komentar', 'kemaren', 'ilang', 'tolong', 'bantu', '']</t>
  </si>
  <si>
    <t>['cacat', 'banar', 'lee']</t>
  </si>
  <si>
    <t>['telkomsel', 'jelek', 'sinyal', 'harga', 'paket', 'mahal', 'sinyal', 'jelek', 'banget', 'tolong', 'perbaiki', 'pelanggan', 'meninggalkan', 'telkomsel', '']</t>
  </si>
  <si>
    <t>['mantap', 'telkomsel', 'murahin', 'harga', 'paketnya', 'hehehehe', '']</t>
  </si>
  <si>
    <t>['telkomsel', 'udah', 'paket', 'mahal', 'jaringan', 'buk', 'youtube', 'revolusi', 'bayar', 'mahal', '']</t>
  </si>
  <si>
    <t>['kadang', 'nominal', 'harga', 'kuota', 'beli', 'paket', 'beli', 'pulsa', 'saldo', 'mencukupi', 'benci', 'telkomsel']</t>
  </si>
  <si>
    <t>['sinyalnya', 'lumayan', 'wilayah', 'pinggiran', 'cuman', 'kdg', 'stabil']</t>
  </si>
  <si>
    <t>['bagus', 'banget', 'apknya']</t>
  </si>
  <si>
    <t>['mahaaallll', 'bngt', 'paketan', 'internetnya', '']</t>
  </si>
  <si>
    <t>['error', 'beli', 'paketan']</t>
  </si>
  <si>
    <t>['mytelkomsel', 'bgus']</t>
  </si>
  <si>
    <t>['apl', 'bagus', 'cek', 'kuota']</t>
  </si>
  <si>
    <t>['berat', 'aplikasi', 'kali', 'buka', 'aplikasi', 'aplikasi', 'berjalan', 'langsung', 'crash', 'pdhl', '']</t>
  </si>
  <si>
    <t>['', 'puas', 'pemberian', 'telkomsel']</t>
  </si>
  <si>
    <t>['mytelkomsel', 'gakpakek', 'ribet', 'mantap', '']</t>
  </si>
  <si>
    <t>['bagus', 'belakagan', 'asik', 'lelet', 'kasih', 'bintang']</t>
  </si>
  <si>
    <t>['apapun', 'jdi', 'mudah', 'telkomsel', '']</t>
  </si>
  <si>
    <t>['semoga', 'kedepan', 'pengguna', 'puas', 'seneng']</t>
  </si>
  <si>
    <t>['jaman', 'pandemi', 'pulsa', 'kuota', 'simpati', 'cepet', 'cepet', 'harga', 'kin']</t>
  </si>
  <si>
    <t>['mudah', 'bertransaksi', 'telkomsel', 'terjangkau', 'jaringan', 'luas', 'puas', 'bngkhin', '']</t>
  </si>
  <si>
    <t>['', 'senang', 'telkomsel', 'dri', 'kartu', 'telkomsel', '']</t>
  </si>
  <si>
    <t>['aplikasinya', 'bagus', 'mudah', 'beli', 'kuota', 'pulsa', 'sinyal', 'bagus']</t>
  </si>
  <si>
    <t>['sinyalnya', 'kenceng']</t>
  </si>
  <si>
    <t>['pulsa', 'hilang', 'paket', 'data', 'gb', 'kesedot', 'pulsa', 'paket', 'data', 'gb', 'apk', 'gunain', 'deskripsi', 'tertulis', 'daerah', 'kepakeknya', 'paketnya', 'mahal', 'mending', 'internetan', 'pakek', 'kartu', 'pakek', 'wifi', 'ketimbang', 'rugi', 'beli', 'kuota', 'mahal']</t>
  </si>
  <si>
    <t>['harga', 'kuota', 'mahal', 'kualitas', 'jaringan', 'murahhh', '']</t>
  </si>
  <si>
    <t>['membantu', 'mobilitas']</t>
  </si>
  <si>
    <t>['nice', 'paket', 'murah', 'banget']</t>
  </si>
  <si>
    <t>['eror', 'dibuka']</t>
  </si>
  <si>
    <t>['membantu', 'proses']</t>
  </si>
  <si>
    <t>['maaf', 'min', 'pembelian']</t>
  </si>
  <si>
    <t>['mantap', 'sekaliii', '']</t>
  </si>
  <si>
    <t>['download', 'cepet', 'ngeme', 'kurag', 'bagus', 'tolong', 'diperbaiki', 'kece', 'sinyal']</t>
  </si>
  <si>
    <t>['habis', 'update', 'paket', 'bosster', 'beli', 'mending', 'ganti', 'kartu']</t>
  </si>
  <si>
    <t>['apk', 'udah', 'bagus', 'kasi', 'saran', 'fitur', 'kunci', 'pulsa', 'pas', 'hidupin', 'data', 'kayak', 'apk', 'sebelah', 'apk', 'axis', 'net', 'fitur', 'kunci', 'pulsa', 'terima', 'kasih']</t>
  </si>
  <si>
    <t>['sekrg', 'sulit', 'buka', 'telkomsel']</t>
  </si>
  <si>
    <t>['aplikasi', 'pekerjaan', 'sekolah']</t>
  </si>
  <si>
    <t>['nyalahkan', 'data', 'pulsa', 'udh', 'kesedot', 'duluan', 'kont', 'lll', '']</t>
  </si>
  <si>
    <t>['kartu', 'mahal', 'sinyal', 'tolong', 'sinyalnya', 'kondisikan', 'ganti', 'kartu']</t>
  </si>
  <si>
    <t>['dasar', 'apk', 'gajelasssssss', 'beli', 'pulsa', 'beli', 'paket', 'apk', 'paketnya', 'tnggal', 'pas', 'buka', 'apk', 'pesan', 'masuk', 'trus', 'ngisi', 'terisi', 'trus', 'pas', 'beli', 'internet', 'harganya', 'gabisaaa', 'klamaan', 'apk', 'nyerap', 'pulsa', 'jga', 'deras', 'pulsanya', 'berkurang', 'trus', 'coba', 'beli', 'pulsa', 'pas', 'coba', 'gabisa', 'pulsanya', 'berkurang', 'lagii', 'trauma', 'make', 'kartu', 'kartu', 'sbelah']</t>
  </si>
  <si>
    <t>['mempermudah', 'pengisian', 'paket', 'pulsa']</t>
  </si>
  <si>
    <t>['jan', 'ngelag', 'ngapa', 'mulu', '']</t>
  </si>
  <si>
    <t>['mahal', 'lalot', 'jaringan', '']</t>
  </si>
  <si>
    <t>['langsung', 'sya', 'kasih', 'klihatannya', '']</t>
  </si>
  <si>
    <t>['keren', 'telkomsel', 'terbaik', 'mohon', 'paket', 'internet', 'harganya', 'kurangi', 'makasih']</t>
  </si>
  <si>
    <t>['', 'ngeleg']</t>
  </si>
  <si>
    <t>['sinyal', 'parah', 'jelek', 'udah', 'kyk', 'sinyal', 'operator', 'mending', 'hrg', 'paketannya', 'murah', 'udah', 'mahal', 'sinyal', 'bapukkk']</t>
  </si>
  <si>
    <t>['pekok', 'update', 'dibuka', 'update', 'gimana', 'kmprdddd']</t>
  </si>
  <si>
    <t>['jaringan', 'harap', 'perbaikin']</t>
  </si>
  <si>
    <t>['nga', 'anjk', 'harga', 'paket', 'ribu', 'stelah', 'isi', 'pulsa', 'dbilang', 'plsa', 'tdak', 'ckup', 'plsa', 'ttap', 'ribu', 'bhong', 'gtuu', 'pantekkkk', 'bkan', 'harga', 'madalah', 'kako', 'nipu', 'bsa', 'ajarin', 'kntoll']</t>
  </si>
  <si>
    <t>['suka', 'tolong', 'murahin', 'paketan', '']</t>
  </si>
  <si>
    <t>['udah', 'bagus', 'nau', 'bali', 'kuota', 'mudah']</t>
  </si>
  <si>
    <t>['aplikasi', 'keren', 'membantu', 'praktis']</t>
  </si>
  <si>
    <t>['rugi', 'download', 'play', 'store', 'udah', 'mb', 'jaringannya', 'mati', 'mengakses', 'downloadnya', 'gagal', 'internetnya', 'normal', 'kontoi', 'thanks', '']</t>
  </si>
  <si>
    <t>['sinyal', 'hilang', 'main', 'game', 'paket', 'data', 'aktif', 'knp', 'ngelag', 'sinyal', 'hilang', '']</t>
  </si>
  <si>
    <t>['daftar', 'mnt', 'harganya', 'rb', 'pas', 'dibeli', 'harganya', 'berubah', 'rb', 'jebakan', 'batman', '']</t>
  </si>
  <si>
    <t>['aplikasi', 'kontollll', 'gunaa', '']</t>
  </si>
  <si>
    <t>['komplain', 'telkomsel', 'respon', 'follow', 'jelek', 'pelayanan', '']</t>
  </si>
  <si>
    <t>['bagus', 'jaringannya', 'dimana']</t>
  </si>
  <si>
    <t>['semoga', 'bermanfaat', '']</t>
  </si>
  <si>
    <t>['murahin', 'dikit', 'kek', 'mahal', '']</t>
  </si>
  <si>
    <t>['sinyal', 'ilang', 'bagus', 'ganti', 'kartu', 'mangkin', 'parah', 'telkomsel', '']</t>
  </si>
  <si>
    <t>['telkomsel', 'sinyal', 'hancur', 'hujan', 'gerimis', 'udah', 'hancur', 'nyinyiran', 'asli', 'iklan', 'bagus', 'promo', 'fitur', 'fitur', 'kwalitas', 'sinyal', 'buruk']</t>
  </si>
  <si>
    <t>['woy', 'sinyal', 'coba', 'benerin', 'kalah', 'kartu', 'kartu', 'murah', 'karna', 'kartu', 'uda', 'injek', 'kartu', '']</t>
  </si>
  <si>
    <t>['lanjutkan', 'sllu', 'terbaik', 'pelanggan', 'telkomsel', '']</t>
  </si>
  <si>
    <t>['sangatt', 'sinyal', 'suka', 'langsung', 'merah', 'pas', 'ijo']</t>
  </si>
  <si>
    <t>['operator', 'telkomsel', 'kemaren', 'beli', 'paket', 'games', 'dibuka', 'pembelian', 'paket', 'mohon', 'respon']</t>
  </si>
  <si>
    <t>['pengalaman', 'aplikasi', 'telkomsel', 'berkomunikasi', 'saudara', 'keluarga', 'aplikasi', 'bersifat', 'publik']</t>
  </si>
  <si>
    <t>['diskon']</t>
  </si>
  <si>
    <t>['memudahkan', 'pengguna', '']</t>
  </si>
  <si>
    <t>['amin', 'allah', 'terima', 'kasih', 'ucapkan', 'padamu', 'sahabatku', 'berhati', 'mulia']</t>
  </si>
  <si>
    <t>['bnar', 'aplikasinya', 'akn']</t>
  </si>
  <si>
    <t>['kemudahan', 'pemakaian', 'promo', 'pemakaian', 'internetnya', 'mantap', 'tingkatkan', 'yaa']</t>
  </si>
  <si>
    <t>['kecewa', 'instal']</t>
  </si>
  <si>
    <t>['telkomsel', 'gek', 'enak', 'mending', 'perdana', 'susah', 'sinyal', 'jaringan', 'setabil', 'mahallllll', 'kualitas', 'kelas']</t>
  </si>
  <si>
    <t>['tempatku', 'singhasari', 'kalah', 'joss', '']</t>
  </si>
  <si>
    <t>['parah', 'ksini', 'parah', 'penguna', 'bari', 'sinyal', 'hilang', 'telpon', 'operator', 'ganguan', 'harga', 'paket', 'mahal', '']</t>
  </si>
  <si>
    <t>['bonusannya']</t>
  </si>
  <si>
    <t>['perbaikan', 'sinyal', 'dimana', 'pengguna', 'app', 'telkomsel', 'nyaman', 'dibangun', 'tower', 'telkomsel', 'ditempat', 'rame', 'tpi', 'didesa', 'trobosan', 'jga', 'digunkaan']</t>
  </si>
  <si>
    <t>['kecewa', 'sinyal', 'apk']</t>
  </si>
  <si>
    <t>['suka', 'produk']</t>
  </si>
  <si>
    <t>['membantu', 'tingkatkan', 'kualitasnya', 'kepuasan']</t>
  </si>
  <si>
    <t>['telkomsel', 'mantepp', 'sinyalnya', 'stabil', 'stabil', 'ancur', 'maksudnya', 'cocok', 'pengguna', 'internet', 'terimakasih', '']</t>
  </si>
  <si>
    <t>['sinyal', 'buruk']</t>
  </si>
  <si>
    <t>['telkomsel', 'terjamin']</t>
  </si>
  <si>
    <t>['apk', 'bagus', 'memudahkan', 'pengguna', 'telkomsel']</t>
  </si>
  <si>
    <t>['jarigan', 'daerah', 'buruk', 'pke', 'sim', 'card', 'muncul', 'jaringan', 'itupun', 'seringkali', 'hilang', 'tanda', 'kuota', 'telkomsel', 'tergolong', 'mahal', 'sebanding', 'jaringanya', '']</t>
  </si>
  <si>
    <t>['sinyal', 'benerin', 'sihh', 'udah', 'full', 'lagggg', 'anjggg']</t>
  </si>
  <si>
    <t>['udah', 'pakai', 'telkomsel', 'udah', 'thn', 'skrg', 'jaringan', 'internet', 'gangguan', 'suka', 'lemot', 'lelet', 'kota', 'kirim', 'file', 'main', 'game', 'lemot', 'hilang', 'timbul', 'kadang', 'gangguan', 'parah', 'skrg', 'telkomsel', 'pakai', 'telkomsel']</t>
  </si>
  <si>
    <t>['menukar', 'poin', 'telko', 'bantu', '']</t>
  </si>
  <si>
    <t>['jaringan', 'indonesia', 'jaringan', 'lemot', 'buka', 'apk', 'mytelkomsel']</t>
  </si>
  <si>
    <t>['jaringan', 'tiada', 'tanding', 'sayang', 'nomer', 'jarang', 'promo', 'setia']</t>
  </si>
  <si>
    <t>['jaringan', 'sampah']</t>
  </si>
  <si>
    <t>['', 'isi', 'pulsa', 'rb', 'udh', 'masuk', 'notif', 'sms', 'pulsa', 'kemana', 'dicuri', '']</t>
  </si>
  <si>
    <t>['udah', 'paket', 'kemendikbud', 'buka', 'cek', 'grup', 'kelas', 'pulsa', 'dipotong', 'abis', 'setan']</t>
  </si>
  <si>
    <t>['payah', 'koneksi', 'gangguan', 'stabil', 'tolong', 'perbaikan', 'sistem', 'jngn', 'mengganggu', 'koneksi', 'pelanggan', 'kecewa']</t>
  </si>
  <si>
    <t>['sinyal', 'busuk', 'paket', 'mahal', '']</t>
  </si>
  <si>
    <t>['knpa', 'paket', 'datanya', 'murah', 'mahal', 'telkomsel', '']</t>
  </si>
  <si>
    <t>['telkomsel', 'lambat']</t>
  </si>
  <si>
    <t>['kasih', 'segitu', 'udh', 'puas', 'make', 'telkom', 'jelek', 'sinyal', 'game']</t>
  </si>
  <si>
    <t>['mempermudah', 'beli', 'paket']</t>
  </si>
  <si>
    <t>['suka', 'simpati', 'skrg', 'harga', 'bersaing', 'tetangga', 'sebelah', 'bonus', 'kritik', 'kasih', 'hadiah', 'atw', 'bonus', 'ngga', 'syarat', 'syarat', 'poin', 'udh', 'beli', 'pulsa', 'ngga', 'masuk', 'poinnya', 'trus', 'syarat', 'pulsa', 'rupiah', 'kaya', 'jual', 'pulsa', 'rupiah', 'fyi', 'beli', 'pulsa', 'rb', 'rb', 'pulsa', 'auto', 'habis', 'telkomsel', 'mah', 'ngga', 'fitur', 'kunci', 'gembok', 'kuota', 'paket', 'habis', 'enol', 'deh', 'pulsa', '']</t>
  </si>
  <si>
    <t>['ditawari', 'mutasi', 'halo', 'telkomsel', 'penjelasan', 'positif', 'kekurangannya', 'jalani', 'sungguh', 'kekurangan', 'pengguna', 'telkomsel', 'kecewa', 'merubah', 'rating', 'bintang', 'kartu', 'mutasi']</t>
  </si>
  <si>
    <t>['bagus', 'mudah', 'murah', '']</t>
  </si>
  <si>
    <t>['cok', 'berhenti', 'internet', 'combo', 'sakti', 'gimana', 'hilang', '']</t>
  </si>
  <si>
    <t>['paket', 'telepon', 'sms', 'internet', 'pulsanya', 'kesedot', 'segitu', 'merugikan', 'konsumen', '']</t>
  </si>
  <si>
    <t>['', 'tolong', 'laa', 'jalan', 'kuliah', 'kak', 'gini', 'ceritanya', 'ganti', 'kartu', 'kyk', '']</t>
  </si>
  <si>
    <t>['mantap', 'suka', '']</t>
  </si>
  <si>
    <t>['aplikasi', 'sangan', 'bagus', 'cekout', 'say', 'dapet', 'paket', 'makasih', 'aplikasinya', 'bagus', 'suka']</t>
  </si>
  <si>
    <t>['paket', 'internet', 'telkomsel', 'habisin', 'duit', 'rakyat', 'jaringannya', 'jaringan', 'bisukkkk']</t>
  </si>
  <si>
    <t>['aplikasih', 'berguna']</t>
  </si>
  <si>
    <t>['mahal', 'paket', 'ing', 'sinyal', 'gitu', 'paket', 'murahin', 'pusing', 'ing', 'udh', 'lemot', 'gimana', 'sihh', 'nt', 'terima', 'kasih', '']</t>
  </si>
  <si>
    <t>['optimalkan', 'loadingnya', 'error', '']</t>
  </si>
  <si>
    <t>['semoga', 'byk', 'bonus', 'kuotanya', 'semoga', 'lock', 'unlock', 'pulsa', 'kesedot', 'abis', 'kuota']</t>
  </si>
  <si>
    <t>['promo', 'harga', 'apkah', 'bersaing', 'tetangga', 'sebelah', 'sebelah', 'gb', 'kuota', 'hrga', 'telkomsel', 'kuota', 'keluarga', 'mahal', 'banget', 'smpe', 'listrik', 'padam', 'knpa', 'signal', 'drop', 'ndk', 'genset', 'cadangan', 'tower', 'prushaan', 'bumn', 'shrusnya', 'profesional']</t>
  </si>
  <si>
    <t>['skarang', 'aplikasinya', 'lalot', 'skali', 'kadang', 'cepet', 'kadang', 'lambat']</t>
  </si>
  <si>
    <t>['kartu', 'udah', 'paketan', 'berubah', 'harganya', 'mahal', 'murah']</t>
  </si>
  <si>
    <t>['', 'kaya', 'simpati', 'knapa', 'skrg', 'simpati', 'sinyal', 'lemah', '']</t>
  </si>
  <si>
    <t>['harga', 'ekomisnya', 'merangkak', 'sinyal', 'ngga', 'stabil', '']</t>
  </si>
  <si>
    <t>['mantab']</t>
  </si>
  <si>
    <t>['claim', 'data', 'gagal', 'kadang', 'kesel', 'gitu']</t>
  </si>
  <si>
    <t>['parah', 'isi', 'pulsa', 'ribu', 'pulsa', 'ribu', 'raib', 'ribu', 'bertanggung']</t>
  </si>
  <si>
    <t>['mohon', 'perbaiki', 'lgi', 'lemot', '']</t>
  </si>
  <si>
    <t>['bagus', 'llllllllll']</t>
  </si>
  <si>
    <t>['belajar', 'semoga', 'bermanfaat']</t>
  </si>
  <si>
    <t>['bagus', 'banget', 'membantu', 'promonya', 'tingkatkan']</t>
  </si>
  <si>
    <t>['puas', 'layanan']</t>
  </si>
  <si>
    <t>['pelanggan', 'setia', 'telkomsel', 'malas', 'telkomsel', 'udah', 'paket', 'internet', 'mahal', 'sinyal', 'suka', 'ngelag', 'ngasi', 'promo', 'paket', 'murah', 'kuota', 'aktif', 'kayak', 'berniat', 'ngasi', 'promo', 'pelanggan', 'mending', 'nelpon', 'gratis', 'operator', 'murah', 'paket', 'internet', 'terjangkau', 'kuota', 'melimpah', 'pokoknya', 'puas', 'deh', 'gojek', 'unlimited', 'paket', 'aktif', '']</t>
  </si>
  <si>
    <t>['simpel', 'efisien', 'mantabbb', 'goodluck']</t>
  </si>
  <si>
    <t>['yth', 'telkomsel', 'sbgai', 'pengguna', 'kartu', 'tsel', 'nomor', 'knpa', 'harga', 'pulsa', 'internetnya', 'mahal', 'promo', 'nomor', 'baruu', 'skli', 'promonya', '']</t>
  </si>
  <si>
    <t>['sinyal', 'telkomsel', 'cacat', 'parah', 'sinyal', 'kayak', 'sinyal', 'telkomsel', 'parah', 'perbaikan', 'menjangkau', 'pelosok']</t>
  </si>
  <si>
    <t>['pakai', 'telkomsel', 'telkomsel', 'bagus', 'telkomsel', 'mantap', '']</t>
  </si>
  <si>
    <t>['puas', 'semoga', 'yabg', 'terbaik']</t>
  </si>
  <si>
    <t>['ganti', 'kartu', 'cok', 'telkomsel', 'mahal', 'lemot', 'rugi', 'belinya']</t>
  </si>
  <si>
    <t>['harga', 'paket', 'mahal', 'pengguna', 'perhatian', 'pemgguna', 'paket', 'data', 'murah', 'pengguna', 'bagus', 'pindah', 'operator', 'plat', 'merah', 'mencekik']</t>
  </si>
  <si>
    <t>['apk', 'sngat', 'membantu', 'pembelian', 'kuota', 'pulsanya', 'telkomsel', 'terimakasih']</t>
  </si>
  <si>
    <t>['telkomsel', 'masyarakat', 'desa', 'kota', 'diperkuatkan', 'signal']</t>
  </si>
  <si>
    <t>['aplikasi', 'aplikasi', 'eror', 'beli', 'paket', 'data']</t>
  </si>
  <si>
    <t>['', 'beli', 'paket', 'combo', 'saldo', '']</t>
  </si>
  <si>
    <t>['jaringan', 'hilang', 'mahal', 'jaringannya', 'lemot', 'pulsa', 'dihisap', 'nol', 'bintang', 'telkomsel', '']</t>
  </si>
  <si>
    <t>['kerjasama', 'terimakasih', 'telkomsel']</t>
  </si>
  <si>
    <t>['pulsa', 'hilang', 'pemakaian', 'sinyalnya', 'turun', 'jaringan', 'internetnya', 'bermasalah', 'lemot', 'kadang']</t>
  </si>
  <si>
    <t>['berjalan', 'nyaman', 'pengguna', 'telkomsel', 'jaringan', 'telkomsel', 'jelek', 'mohon', 'mengerti', 'wilayah', 'jaringan', 'telkomsel', 'perbaiki', 'berjalan', 'lancar', '']</t>
  </si>
  <si>
    <t>['telkomsel', 'tersa', 'mudah', '']</t>
  </si>
  <si>
    <t>['pembayaran', 'diakulaku']</t>
  </si>
  <si>
    <t>['semoga', 'promo', 'murahnya']</t>
  </si>
  <si>
    <t>['paket', 'data', 'mahal', 'paket', 'internet', 'sakti', 'aplikasi']</t>
  </si>
  <si>
    <t>['kualitas', 'jaringan', 'bagus', '']</t>
  </si>
  <si>
    <t>['bagusss', 'praktis', 'murah', 'harganya']</t>
  </si>
  <si>
    <t>['lho', 'pakai', 'telkomsel', 'koneksikan', 'internet', 'koneksi', 'kota', 'koneksi', 'super', 'stabil', 'good', 'job', 'telkomsel']</t>
  </si>
  <si>
    <t>['gara', 'gara', 'telkomsel', 'main', 'kalah', 'permainan', 'game', 'sampe', 'game', 'merah', 'mulu', 'sinyal', 'udh', 'ganti', 'jaringan', 'bersihkan', 'sampah', 'hapus', 'file', 'fike', 'hasil', 'knp', 'telkomsel', 'berubah', 'lancar', 'udh', 'berubah', 'ngelag', 'banget', 'males', 'make', '']</t>
  </si>
  <si>
    <t>['kuota', 'daily', 'chek', 'ketarik', 'kuota', 'utama', 'pulsa', 'cakeeeeeep', 'bagus', 'app', 'pinter', 'pelanggan', 'isi', 'pulsa', 'teroooosssss', '']</t>
  </si>
  <si>
    <t>['pelayanan', 'kendala', 'cepat', 'teratasi', 'harapan', 'semangat', 'sehat', '']</t>
  </si>
  <si>
    <t>['jaringan', 'merata', 'kecepatan', 'sinyal', 'standar', 'cepet', 'lemot']</t>
  </si>
  <si>
    <t>['harga', 'kuotanya', 'mahal']</t>
  </si>
  <si>
    <t>['parah', 'pas', 'paket', 'full', 'kouta', 'kecepatan', 'internetnya', 'sumpah', 'apapun', 'lemotnya', 'pas', 'kouta', 'tinggal', 'gila', 'speddnya', 'ajim', 'sat', 'membatu', 'proveider', 'nyusahin', 'rakyat', '']</t>
  </si>
  <si>
    <t>['tlong', 'perbaiki', 'apk']</t>
  </si>
  <si>
    <t>['bagus', 'pengguna', 'telkomsel']</t>
  </si>
  <si>
    <t>['', 'buruk', 'tergantung', 'milih', '']</t>
  </si>
  <si>
    <t>['aktif', 'kartu', 'jalan', 'slalu', 'tenggang', 'udah', 'isi', '']</t>
  </si>
  <si>
    <t>['telkomsel', 'lancar']</t>
  </si>
  <si>
    <t>['informasi', 'disajikan', 'mudah', 'dipahami']</t>
  </si>
  <si>
    <t>['harga', 'mahal', 'kualitas', 'jaringan', 'lemot']</t>
  </si>
  <si>
    <t>['mendekati', 'apk', 'tsel', 'berbeda', 'sya', 'suka', 'apk', 'krna', 'lbih', 'mudh', 'urusan', 'pket', 'data', 'menelpon', 'seluler', 'sya', 'sring', 'masuk', 'dri', 'apk', 'mengecek', 'pulsa', 'paket', 'nmun', 'thun', 'brbeda', 'apk', 'tsel', 'aneh', 'sudh', 'kalinya', 'instal', 'ulang', 'penyebabnya', 'masuk', 'latar', 'putih', 'polos', 'terkeluar', 'hapus', 'apk', 'instal', 'kmbali', 'apk', 'berfungsi', '']</t>
  </si>
  <si>
    <t>['liat']</t>
  </si>
  <si>
    <t>['bagus', 'pelayanannya']</t>
  </si>
  <si>
    <t>['cpt', 'ngecek', 'pulsa', 'beli', 'paket', 'data']</t>
  </si>
  <si>
    <t>['mohon', 'paket', 'bulanan', 'kuota', 'belajar', 'gb', 'harga', 'sekolah', 'online', 'harga', 'ramah', 'kantong', 'pelajar']</t>
  </si>
  <si>
    <t>['oktober', 'koq', 'sulit', 'kali', 'masuk', 'aplikasi', 'masukin', '']</t>
  </si>
  <si>
    <t>['mantap', 'lanjutkan']</t>
  </si>
  <si>
    <t>['ribet', 'nau', 'masuk', 'apl', 'pakai', 'pesan', 'notif', 'notif', 'buang', 'buang', '']</t>
  </si>
  <si>
    <t>['pendapat', 'pulsa']</t>
  </si>
  <si>
    <t>['bagus', 'cepat']</t>
  </si>
  <si>
    <t>['beli', 'pulsa', 'bagus']</t>
  </si>
  <si>
    <t>['buka', 'aplikasi', 'banget']</t>
  </si>
  <si>
    <t>['suka', 'aplikasi', 'telkomsel', 'mempermudah', '']</t>
  </si>
  <si>
    <t>['update', 'paket', 'kuota', 'setellah', 'isi', 'pulsa']</t>
  </si>
  <si>
    <t>['alhamdulillah', 'nyaman', '']</t>
  </si>
  <si>
    <t>['membantu', 'promo']</t>
  </si>
  <si>
    <t>['kembalikan', 'image', 'jaringan', 'sampe', 'pelosok', 'desa', 'lhaa', 'kamar', 'jaringan', 'tower', 'tsel', 'rumah', 'tpi', 'tetep', 'jaringannya', 'pelittt', 'tolong', 'perbaiki', 'ngerugiin', 'orang', 'bnyk', 'bayar', 'mahal', 'uang', 'lhoo', 'daun', 'trmksh']</t>
  </si>
  <si>
    <t>['aplikasi', 'tukar', 'poin', 'prabayar', 'poin', 'bayak', 'tukarkan', 'gratis', 'poin', 'penukaran', 'internet', 'gratis', 'mengding', 'pindah', 'penipuan']</t>
  </si>
  <si>
    <t>['kecewa', 'min', 'kouta', 'ketengan', 'youtube', 'pakai', 'aplikasi', 'youtube', 'pakai', 'gimana', '']</t>
  </si>
  <si>
    <t>['bad', 'provider', 'jumawa', 'bnyk', 'pencitraan', 'krna', 'salah', 'anak', 'perusahaan', 'bumn', 'ternama', 'belajar', 'kesalahan', 'berusaha', 'memperbaikinya', 'coba', 'lihat', 'komplain', 'instagram', 'official', 'telkomsel', 'pengguna', 'kartu', 'halo', 'nomor', '']</t>
  </si>
  <si>
    <t>['maaf', 'komentar', 'jaringan', 'internet', 'daerah', 'riau', 'lelet', 'nelpon', 'telkomsel', 'raja', 'internet', 'lelet', 'mintak', 'tolong', 'telkomsel', 'tolong', 'perbaiki', 'jaringan', 'internet', 'telkomsel', 'slalu', 'setia', 'pakai', 'jaringan', 'telkomsel', 'kusus', 'jaringan', 'internet', 'kabupaten', 'rokan', 'hulu', 'riau', '']</t>
  </si>
  <si>
    <t>['lbih', 'mdah', 'praktis']</t>
  </si>
  <si>
    <t>['membantu', 'dlm', 'kemudahan', 'transaksi', 'keperluan', 'pembelian', 'pembayaran', 'pulsa', 'telkomsel']</t>
  </si>
  <si>
    <t>['membantu', 'aplikasi', 'akses', 'pembelian', 'pulsa', 'paket', 'kuota', 'telepon', 'mudah', 'terimakasih', 'telkomsel', 'tingkat', 'mantap']</t>
  </si>
  <si>
    <t>['ksih', 'masukan', 'pengguna', 'tsel', 'udh', 'puluhan', 'paket', 'khusus', 'murah', 'kombo', 'sakti', 'mahal', 'sakti', 'sakit', 'perdana', 'kartu', 'pakai', 'buang', 'paketnya', 'murah', 'ketimbang', 'pengguna', 'udh', 'berlangganan', 'puluhan', 'kecewa']</t>
  </si>
  <si>
    <t>['kecewa', 'sistem', 'paket', 'internet', 'telkomsel', 'mengharuskan', 'membeli', 'paket', 'utama', 'membeli', 'paket', 'aplikasi', 'membeli', 'kuota', 'aplikasi', 'kuota', 'utama', 'pulsa', 'hilang', 'habis', 'merugikan', 'beda', 'sim', 'sebelah', 'beli', 'kuota', 'utama', 'membeli', 'paket', 'aplikasi', 'pulsa', 'hilang', '']</t>
  </si>
  <si>
    <t>['udah', 'mah', 'saham', 'anjlok', 'sinyalnya', 'lemot', 'paket', 'pulsa', 'sedot', 'taik']</t>
  </si>
  <si>
    <t>['sangant', 'bagus']</t>
  </si>
  <si>
    <t>['jaringannya', 'tolong', 'lahh', 'lemot', 'keceea', 'telkomsel', 'jaringanya', 'kuat']</t>
  </si>
  <si>
    <t>['buruk', 'kualitas', 'jaringan', 'internetnya', 'tolonglah', 'perbaiki', 'makasih', '']</t>
  </si>
  <si>
    <t>['pantat', 'merah', 'menu', 'stop', 'berhentiin', 'paket', 'kuota', 'ilangin', 'beli', 'pulsa', 'kepotong', '']</t>
  </si>
  <si>
    <t>['jaringan', 'turun']</t>
  </si>
  <si>
    <t>['mantap', 'murah', 'mantap']</t>
  </si>
  <si>
    <t>['telkomsel', 'emng', 'terbaik', 'smoga', 'sukses']</t>
  </si>
  <si>
    <t>['tolong', 'sediakan', 'fitur', 'kunci', 'pulsa', '']</t>
  </si>
  <si>
    <t>['gampang', 'beli', 'paket']</t>
  </si>
  <si>
    <t>['bintang']</t>
  </si>
  <si>
    <t>['good', 'semoga', 'jaringan', 'stabil']</t>
  </si>
  <si>
    <t>['telkomsel', 'top', 'sinyal', 'bagus', 'semoga', 'mobil', 'aamiin', '']</t>
  </si>
  <si>
    <t>['sinyalnya', 'hilang', 'didalem', 'ruangan', 'bertembok', 'lenyap', 'hadeeeuuuhhh']</t>
  </si>
  <si>
    <t>['puas', 'event', 'log', 'harian', 'kuota', 'gratis', 'menukar', 'poin', 'mb', 'membayar', 'rb', 'tukar', 'poin', 'berkedok', 'beli', 'paket', 'kuota']</t>
  </si>
  <si>
    <t>['habis', 'update', 'ngelag', 'nomor', 'login']</t>
  </si>
  <si>
    <t>['jelek', 'sinyal', 'telkomsel']</t>
  </si>
  <si>
    <t>['paket', 'murah']</t>
  </si>
  <si>
    <t>['lumayan', 'kadang', 'error']</t>
  </si>
  <si>
    <t>['minggu', 'sinyal', 'hilang', 'trus', 'telkomsel', 'bosok']</t>
  </si>
  <si>
    <t>['promo', 'isi', 'ulang', 'minimal', 'mytelkomsel']</t>
  </si>
  <si>
    <t>['kondisi', 'pandemi', 'tolong', 'harga', 'paket', 'dikondisikan', 'tolong', 'pengertian']</t>
  </si>
  <si>
    <t>['sumpah', 'nyesel', 'bnget', 'beli', 'paketan', 'telkomsel', 'sinyal', 'ganti', 'main', 'game', 'beli', 'paketan', 'telkomsel', '']</t>
  </si>
  <si>
    <t>['lumayan', 'bagus', 'cek', 'kuota']</t>
  </si>
  <si>
    <t>['sya', 'telkomsel', 'jaringan', 'terputus', 'melulu', 'akses', 'internet', 'buka', 'helllo', 'jelek', 'jaringannya', 'alangkah', 'indahnya', 'mohon', 'perbaiki', 'telkomsel', 'jaringannya', 'terganggu', 'sperti', 'kecewa', 'telkomsel', 'jaringannya', 'bagus', 'aman', 'terkendali', 'nihil', '']</t>
  </si>
  <si>
    <t>['aplikasinya', 'memakan', 'data', 'ditambah', 'bug', 'transaksi', 'pembelian', 'paket', 'pulsa', 'terpotong', 'kuota', 'bertambah']</t>
  </si>
  <si>
    <t>['jaringan', 'kemana', 'lancar']</t>
  </si>
  <si>
    <t>['telkomsel', 'jaringannya', 'rusak', 'sinyal', 'ganguan', 'provider', 'indosat', 'gini', 'lari', 'penguna', 'telkomsel', 'bumn', 'sinyal', 'parah', 'provider', 'swasta']</t>
  </si>
  <si>
    <t>['hallo', 'tolong', 'perbaiki', 'kualitas', 'jaringan', 'game', 'jaringan', 'mulu', 'harga', 'paketan', 'selangit', 'kualitas']</t>
  </si>
  <si>
    <t>['harga', 'oke', 'rb', 'dapet', 'gb', 'kuota', 'rill', 'gb', 'gb', 'masuk', 'multimedia', 'coba', '']</t>
  </si>
  <si>
    <t>['telkomsel', 'mahal', 'doang', 'sinyal', 'lemot', 'plus', 'suka', 'nipu', 'penipuuu', 'kuota', 'internet', 'sosialmedia', 'keterangan', 'khusus', 'youtube', 'kuota', 'buka', 'youtube', 'kuota', 'youtube', 'kesedot', 'kuota', 'habis', 'kuota', 'kuota', 'youtube', '']</t>
  </si>
  <si>
    <t>['pakai', 'mytelkomsel', 'semoga', 'lancar', 'jaya']</t>
  </si>
  <si>
    <t>['isi', 'paket', 'data', 'sekalinya', 'isi', 'pulsa', 'reguler', 'dipaketkan', 'dipotong', 'pulsa', 'isi', 'kena', 'potong', 'telkomsel', 'main', 'potong', 'pulsa', '']</t>
  </si>
  <si>
    <t>['keren', 'poin', 'tukar', 'voucer', '']</t>
  </si>
  <si>
    <t>['mudah', 'berguna']</t>
  </si>
  <si>
    <t>['tole', 'suka', 'aplikasi']</t>
  </si>
  <si>
    <t>['sinyal', 'buruk', 'bagus', 'jelek', 'telkom']</t>
  </si>
  <si>
    <t>['tukar', 'poin', 'dpt', 'undian', 'nyata', 'udh', 'gitu', 'pulsa', 'berkurang', '']</t>
  </si>
  <si>
    <t>['jaringan', 'parah', 'nyesel', 'pakai', 'kartu', 'halo']</t>
  </si>
  <si>
    <t>['tukar', 'poin', '']</t>
  </si>
  <si>
    <t>['upgrade', 'ngk', 'beli', 'paketan', 'tolong', 'perbaiki', 'sistemnya']</t>
  </si>
  <si>
    <t>['aneh', 'udh', 'paket', 'internet', 'masak', 'sisa', 'pulsa', 'habis', 'gara', 'kepake', 'internet', 'maksudnya', 'gimna']</t>
  </si>
  <si>
    <t>['telkomsel', 'tolong', 'sinyalnya', 'kondisikan', 'ngelak', 'lemot', 'banget', 'udah', 'harga', 'paketannya', 'mahal', 'lemot', 'banget', 'telkomsel', 'tolong', '']</t>
  </si>
  <si>
    <t>['mantap', 'semoga', 'undi', 'undi', 'hepi', 'amin']</t>
  </si>
  <si>
    <t>['susah', 'masuk', 'sistem', 'telkomsel']</t>
  </si>
  <si>
    <t>['sehat', 'aplikasinya']</t>
  </si>
  <si>
    <t>['pembaharuannya', 'jelek', 'berat', 'lelet', 'simpel', 'tampilan', 'mengganggu', '']</t>
  </si>
  <si>
    <t>['mantul', 'telkomsel']</t>
  </si>
  <si>
    <t>['telkomsel', 'lemot', 'jam', 'malam', 'ngebut', 'payah', 'itupun', 'kebagun', '']</t>
  </si>
  <si>
    <t>['mahal', 'kebanyakan', 'paket', 'maxtsream', 'bla', 'bla', 'butuh', 'internet', 'murah', 'lancar', 'emg', 'susah', '']</t>
  </si>
  <si>
    <t>['mytelkomsel', 'mudah', 'cek', 'pulsa', 'kuota', '']</t>
  </si>
  <si>
    <t>['paket', 'blum', 'habis', 'login', 'game', 'susah', 'ampun', 'buka', 'aplikasi', 'telkomsel', 'buffering', 'mulu']</t>
  </si>
  <si>
    <t>['malam', 'jaringan', 'down', 'udh', 'pakai', 'wifi', 'tetep', 'sam', 'tolong', 'perbaiki', '']</t>
  </si>
  <si>
    <t>['', 'telkomsel', 'membantu', 'transaksi', 'pembelian', 'voucher', 'paket', 'data', 'terimakasih']</t>
  </si>
  <si>
    <t>['sinyal', 'stabil', 'beli', 'paket', 'mahal', 'mahal', 'kasih', 'sinyal', 'parah', 'paket', 'mahal', 'sinyal', 'stabil', 'parah', 'telkomsel']</t>
  </si>
  <si>
    <t>['udah', 'kesekian', 'kali', 'sinyal', 'simpati', 'lemot', 'putus', 'koneksi', 'internet', 'gangguan', 'sampe', 'mempengaruhi', 'penghasilan', 'usaha', 'bidang', 'jasa', 'driver', 'online', '']</t>
  </si>
  <si>
    <t>['redem', 'poin', 'puluhan', 'kupon', 'gimana', 'menang', 'undian', 'telkomselnya', 'curang', 'bener', 'pengguna', 'telkomsel', 'pakai', 'kartu', 'operator', 'poin', 'telkomsel', 'ratusan', 'kali', 'redem', 'ratusan', 'kupen', 'cuman', 'mohon', 'perbaiki', 'apk', 'pelayannannya', 'risih', 'pelangan', 'merugikan', 'pelanggan', '']</t>
  </si>
  <si>
    <t>['aplikasi', 'telkomsel', 'mempermudah', 'pembelian', 'paketan', 'paket', 'internetan', 'paket', 'nelpon', 'paket', 'sms', 'dsb', 'aplikasi', 'berjuta', 'manfaatnya', 'terimakasih', 'telkomsel']</t>
  </si>
  <si>
    <t>['tolong', 'telkomsel', 'jaringan', 'keluarga', 'percaya', 'jelek', '']</t>
  </si>
  <si>
    <t>['telkomsel', 'hebat', 'suka', '']</t>
  </si>
  <si>
    <t>['signyal', 'parah', 'telkomsel', 'gajelas']</t>
  </si>
  <si>
    <t>['kartu', 'sultan', 'paket', 'mahal', 'kualitas', 'sinyal', 'rendahan', 'lemot', 'ngelag', 'mulu', '']</t>
  </si>
  <si>
    <t>['membant', '']</t>
  </si>
  <si>
    <t>['telkomsel', 'suka', 'lelet', 'jaringan', 'beda', 'dri', 'kouta', 'unlimited', 'jam', 'stabil', 'lgi', 'orang', 'kesal', 'kecewa']</t>
  </si>
  <si>
    <t>['pembelian', 'paket', 'internet', 'aplikasinya']</t>
  </si>
  <si>
    <t>['knp', 'telkomsel', 'ngg', 'betfungsi', 'suruk', 'cek', 'koneksi', 'mulu', 'ngg', 'betfungsi', 'merugikan', 'pelanggan']</t>
  </si>
  <si>
    <t>['busuk', 'mahal', 'busuk', 'sampah']</t>
  </si>
  <si>
    <t>['banin', 'promo', 'kuota', 'murah', 'pengguna']</t>
  </si>
  <si>
    <t>['beli', 'paket', 'unlimited', 'kuota', 'utamax', 'doank', 'bagus', 'sisanya', 'super', 'lemot', 'cpt', 'habis', 'pdhl', 'gagg', 'buka', 'gagg', 'pakek', 'doank', 'habis', 'kuota', 'utamanya', '']</t>
  </si>
  <si>
    <t>['woy', 'ajg', 'sinyal', 'dibenerin', 'nambah', 'hancur', 'qjg', 'sinyalnya']</t>
  </si>
  <si>
    <t>['user', 'experience', 'enak', 'mengakses', 'mytelkomsel', 'memakan', 'kuota', 'kecepatan', 'internet', 'distas', 'kb', 'perdetik', 'diadakan', 'fitur', 'penguncian', 'pulsa', 'pulsa', 'hilang', 'mengaktifkan', 'internet']</t>
  </si>
  <si>
    <t>['mudah', 'cek', 'kuota', 'beli', 'kuota', 'aktifnya', 'selallu', 'bermasalah', 'gangguan', '']</t>
  </si>
  <si>
    <t>['memuaskan', 'tlkomsel']</t>
  </si>
  <si>
    <t>['saran', 'pandemi', 'covid', 'harganya', 'diturunkan', '']</t>
  </si>
  <si>
    <t>['mati', 'listrik', 'daerah', 'banten', 'sinyal', 'hilang', 'buruk']</t>
  </si>
  <si>
    <t>['lelet', 'jaringannya', 'nge', 'lag', 'parah']</t>
  </si>
  <si>
    <t>['pengalaman']</t>
  </si>
  <si>
    <t>['banget', 'sumpah', 'aktifin', 'kuota', 'lhokseumawe', 'aceh', 'jaya', 'aceh', 'barat', 'daya', 'aceh', 'singkil', 'dilaporin', 'telkomsel', 'proses', 'proses', 'coba', 'laporin', 'kuotanya', 'langkat', 'banget', 'pulsa', 'hilang', '']</t>
  </si>
  <si>
    <t>['murah', 'beli', 'paketanya']</t>
  </si>
  <si>
    <t>['jaringan', 'buruk', 'cuman', 'ngerasain', 'jaringan', 'buruk', 'kayak', 'gini', 'teman', 'teman', 'merasakan', 'jaringan', 'buruk', 'udh', 'beli', 'kuota', 'telkomsel']</t>
  </si>
  <si>
    <t>['mlm', 'sinyal', 'telkom', 'kenceng', 'banget', 'admin', 'kenceng', 'bet', 'muter', 'loding', '']</t>
  </si>
  <si>
    <t>['aplikasi', 'bangsattt', 'penipu']</t>
  </si>
  <si>
    <t>['pengguna', 'app', 'memakai', 'operator', 'app', 'dibebaskan', 'pemakaian', 'kouta', 'memasuki', 'rumah', 'tolonglah', 'mimin', 'janji', 'janji', 'tulisan', '']</t>
  </si>
  <si>
    <t>['hallo', 'telkomsel', 'pengguna', 'setia', 'telkomsel', 'harga', 'mahal', 'jaringan', 'abal', 'abal', 'tolong', 'diperbaiki', 'jaringannya', 'pakai', 'internet', 'kerja', 'dll', 'telkomsel', 'kecewa', 'banget', 'tolong', 'diperbaiki', 'pengguna', 'telkomsel', 'pindah', '']</t>
  </si>
  <si>
    <t>['mudah', 'membeli', 'paket', 'data', 'terimakasih', 'telkomsel']</t>
  </si>
  <si>
    <t>['sayangnya', 'bonus', 'kuota', 'upgrade', '']</t>
  </si>
  <si>
    <t>['jaringan', 'telkomsel', 'parah', 'banget', 'semester', 'terpaksa', 'pindah', 'provider', 'akses', 'data']</t>
  </si>
  <si>
    <t>['bagus', 'pelayanannya', 'pakai', 'kuota', 'komunikasi', 'customer', 'harap', 'kembangkan', 'cepat', 'terima', 'kasih', 'sekian']</t>
  </si>
  <si>
    <t>['apk', 'berguna', 'skali']</t>
  </si>
  <si>
    <t>['telkomsel', 'nggak', 'sinyal', 'kuat', 'move', 'nmr']</t>
  </si>
  <si>
    <t>['jaringan', 'mohon', 'stabilkan', 'skrng', 'mati', 'lampu', 'mati', 'jringan', 'hujan', 'internet', 'macet', 'trus', 'hitung', 'internet', 'cepat', 'koneksi', 'tersambung', 'kecewa']</t>
  </si>
  <si>
    <t>['bagus', 'pemabagian', 'pemakaian', 'kuota', 'medsos', 'hya', 'pakenya', 'kuota', 'medsos', 'kuota', 'nasionalnya', 'hya', 'aplikasi', 'gitu', 'kuota', 'nasionalnya', 'duluan', 'habis', 'trutama', 'wat', 'paket', '']</t>
  </si>
  <si>
    <t>['tolong', 'bos', 'pedalaman', 'kasih', 'jaringan', 'bagus']</t>
  </si>
  <si>
    <t>['admin', 'tolong', 'kuota', 'check', 'harian', 'pas', 'pakai', 'pulsa', 'ambil', 'kuota', 'pdhal', 'pulsanya', 'beli', 'kuota', 'lohh', 'cape', 'ngmpulin', 'uang', 'beli', 'pulsa', 'ehh', 'ambil', 'gimna', 'yaa', 'balikin', '']</t>
  </si>
  <si>
    <t>['jaringan', 'buruk', 'pakai', 'telkomsel', 'jaringan', 'buruk', 'kota', 'jaringan', 'hilang', '']</t>
  </si>
  <si>
    <t>['jaringan', 'telkomsel', 'menjangkau', 'daerah', 'terpencil', 'terisolir', 'masyarakat', 'indonesia', 'hadpone', 'android', 'kalangan', 'anak', 'sampe', 'muda', 'sampe', 'tua', '']</t>
  </si>
  <si>
    <t>['kuota', 'mahal', 'jaringan', 'kek', 'bngst', 'tolonglahh', 'diperbaiki', 'jaringan', 'pedesaan', 'makasih', '']</t>
  </si>
  <si>
    <t>['kenpa', 'pulsa', 'sya', 'kelelp', 'bukv', 'pulsanya', 'tpi', 'berbisnis', 'jujur', 'sya', 'pelajar', 'rugikan', 'pas', 'dpt', 'kuota', 'kemdikbud', 'pas', 'mla', 'pulsanya', 'kelelp', 'cuman', 'doang', 'admin', 'apknya', 'low', 'respon', 'suruh', 'komplen', 'tpi', 'blsnya', 'berhari', 'bintangnya', 'mineskan', 'udah', 'sya', 'minesin']</t>
  </si>
  <si>
    <t>['', 'apl', 'jelek', 'lambat', 'internet', 'lambat', 'pokoknya', 'gerak', 'cepat', 'kaco', 'apl', 'jaringan', 'internet', 'kaco', 'telkomsel', 'kaco', 'buruk', 'kau', 'jaringan', 'internet', 'malu', 'jaringan', 'terbesar', 'lambat', 'kek', 'kuya']</t>
  </si>
  <si>
    <t>['tingkat', 'kualitas', 'jaringan', 'lelet', 'jaringan', 'telkomsel', 'harga', 'paket', 'jangn', 'mahal', 'harganya', 'merakyat', 'pas', 'dikantong']</t>
  </si>
  <si>
    <t>['paket', 'murah', 'murah', 'senang', 'memakai', 'kartu', 'telkomsel', 'bakar', 'kartu', 'dijadikan', 'kerokan', '']</t>
  </si>
  <si>
    <t>['aplikasi', 'jos', 'sinyal', 'telkomsel', 'kalah', 'ama', 'provider', 'sinyal', 'bagus', 'didaerah', 'perkotaan', 'doang', 'sesuai', 'ama', 'harganya', 'mahal']</t>
  </si>
  <si>
    <t>['menyukai', 'aplikasi']</t>
  </si>
  <si>
    <t>['jaringan', 'busuk', 'kalah', '']</t>
  </si>
  <si>
    <t>['pulsa', 'berkurang', 'kuota', 'internet', 'berkurang', 'emg', 'bingun', 'pulsa', 'kepakai', 'telkomsel', '']</t>
  </si>
  <si>
    <t>['semoga', 'harga', 'paket', 'kuotanya', 'murah', '']</t>
  </si>
  <si>
    <t>['parah', 'provider', 'kayak', 'sinyal', 'mudah', 'hilang', 'game', 'parah', 'jalan', 'stuck', 'merah', 'paket', 'internet', 'mahal', 'kualitas', 'buruk', 'mending', 'im', 'sinyal', 'bar', 'tpi', 'stabil', 'game', 'enakk', 'doang', 'perbaikilah']</t>
  </si>
  <si>
    <t>['jaringan', 'babi', 'menang', 'mahal', 'doang']</t>
  </si>
  <si>
    <t>['mendownload', 'aplikasi', 'baca', 'ulasan', 'pengguna', 'kecewa', 'putuskan', 'mendownload', '']</t>
  </si>
  <si>
    <t>['ping', 'main', '']</t>
  </si>
  <si>
    <t>['wuh', 'parah', 'udah', 'paket', 'mahal', 'sinyal', 'lemot', 'ampun', 'udah', 'gitu', 'pulsa', 'sisa', 'suka', 'ngilang', 'ngerti', 'mnding', 'sinyal', 'bagus', 'paket', 'mahal', 'boro', 'udah', 'paket', 'mahal', 'sinyal', 'rusak', 'males']</t>
  </si>
  <si>
    <t>['mohon', 'maaf', 'min', 'jaringan', 'telkomsel', 'knpa', 'bngt', 'turun', 'kek', 'harga', 'sembako', 'ngga', 'stabil', 'pengin', 'pindah', 'provider', 'udah', 'lumayan', 'telkomsel', 'snagat', 'sayangkan', 'jujur', 'memuaskan']</t>
  </si>
  <si>
    <t>['efektif']</t>
  </si>
  <si>
    <t>['sinyal', 'leemoot', 'sesuai', 'harganya', 'beli', 'kuota', 'mahal', '']</t>
  </si>
  <si>
    <t>['coba', 'harga', 'kuota', 'combo', 'pulsa', 'pas', 'beli', 'kuota', 'notif', 'pulsa', '']</t>
  </si>
  <si>
    <t>['kasih', 'bintang', 'berharap', 'layanan', 'mengecewakan', 'telkomsel']</t>
  </si>
  <si>
    <t>['telkomsel', 'mengecewakan', 'sinyal', 'trus', 'gimana', 'udh', 'telkomsel', 'sinyal', 'mendukung', 'rumah', 'sinyal', 'bagus', 'tolong', 'perbaiki', 'kuota', 'mahal', 'sinya', 'jelekkk', '']</t>
  </si>
  <si>
    <t>['semenjak', 'update', 'paketnya', 'mahal', 'paketnya', 'murah', 'promo', 'udah', 'jadinga', 'betah', 'telkomsel', 'jaringan', 'lemot', 'paket', 'mahal', 'belajar', 'saran', 'kasih', 'promo', 'min', 'suapaya', 'betah', 'telkomsel', 'kantong', 'masi', 'kantong', 'pelajar']</t>
  </si>
  <si>
    <t>['sinyal', 'telkomsel', 'khusus', 'tasikmalaya', 'buruk', 'ancur', 'saking', 'jelek', 'buka', 'aplikasi', 'gangguan', 'update', 'parah', 'udah', 'mahal', 'sinyal', 'ancur', 'kecewa', 'bin', 'keciwis', '']</t>
  </si>
  <si>
    <t>['telkomsel', 'sinyalnya', 'jelek', 'banget', 'sinyal', 'berasa', 'lancar', 'menurun', 'alias', 'zonk', 'kesel', 'banget', 'sumpah', 'beli', 'paket', 'harganya', 'mahal', 'pas', 'loading', 'bener', 'gini', 'pindah', 'kartu', '']</t>
  </si>
  <si>
    <t>['sinyal', 'lemot', 'banget']</t>
  </si>
  <si>
    <t>['kuota', 'terpakai', 'keran', 'bocor', 'pembelian', 'kuota', 'pembagian', 'quota', 'pos', 'kuota', 'terserap']</t>
  </si>
  <si>
    <t>['lemot', 'bagus', 'tetep', 'setia', 'telkomsel', 'kartu', 'telkomsel', 'kartu', 'telkomsel', 'thun', 'simpati', 'telkomse', 'thun', 'pokoe', 'joged', 'telkomsel', '']</t>
  </si>
  <si>
    <t>['kesini', 'tsel', 'pulsa', 'isi', 'masuk', 'sisany', 'kemana', 'woy', 'gua', 'bayar', 'kuota', 'darurat', 'buka', 'usaha', 'internet', 'korupsi', 'pulsa', 'orang', 'gua', 'pelajar', 'uang', 'gua', 'bnyak', 'tolonglah', 'otak', 'dikit', 'boss']</t>
  </si>
  <si>
    <t>['jaringan', 'telkomsel', 'nggak', 'stabil', 'kartu', 'loop', 'telkomsel', 'pas', 'internetan', 'jaringan', 'stabil', 'main', 'game', 'nonton', 'youtube', 'susah', 'kartu', 'telkomsel', 'beli', 'paket', 'internet', 'jaringan', 'bar', 'mentok', 'bar', 'parahnya', 'keseringan', 'berubah', '']</t>
  </si>
  <si>
    <t>['mantap', 'promo']</t>
  </si>
  <si>
    <t>['pulsa', 'sedot', 'alasan', 'balikin', 'gratisan', 'telvon', 'kuota', 'pulsa', 'sedot', 'balikin', 'woiii', '']</t>
  </si>
  <si>
    <t>['mengaktifkan', 'internet', 'sakti', 'kuota', 'rb', 'aktif', 'kartu', 'telkomsel', 'milik', 'kuota', 'notif', 'sms', 'telkomsel', 'internet', 'sakti', 'kuota', 'tolong', 'ditanggapi', '']</t>
  </si>
  <si>
    <t>['telkomsel', 'poin', 'niat', 'ditukarkan', 'kuota', 'gb', 'aneh', 'tukar', 'poin', 'uang', 'rb', 'beli', 'redeem', 'gunanya', 'telkomsel', 'poin']</t>
  </si>
  <si>
    <t>['jaringan', 'bener', 'ancur']</t>
  </si>
  <si>
    <t>['cepat', 'konsisten']</t>
  </si>
  <si>
    <t>['gimana', 'promo', 'murah', 'temen', '']</t>
  </si>
  <si>
    <t>['aplikasinya', 'memuaskan', 'bonusnya', 'hadiah', 'melimpah', 'gratis', 'batas', '']</t>
  </si>
  <si>
    <t>['paket', 'datanya', 'mahal']</t>
  </si>
  <si>
    <t>['telkomsel', 'pulsa', 'paket', 'darurat', 'masuk', 'maksud', '']</t>
  </si>
  <si>
    <t>['beli', 'kuota', 'install', 'ulang', 'aplikasi']</t>
  </si>
  <si>
    <t>['bagus', 'ukuran', 'apk', '']</t>
  </si>
  <si>
    <t>['promo', 'menarik']</t>
  </si>
  <si>
    <t>['membantu', 'susah', 'sinyal', 'terimakasih']</t>
  </si>
  <si>
    <t>['buruk', 'telkomsel', 'blm', 'klaim', 'hadiah', 'daily', 'check', 'gb', 'dianggap', 'nge', 'klaim', 'ngeklaim', 'blm', 'nge', 'klaim', 'mlh', 'notif', 'mohon', 'maaf', 'percobaan', 'payahh', '']</t>
  </si>
  <si>
    <t>['mudah', 'good', 'pokoknya', 'bagus', 'sinyal', 'pelosok', 'pelosok', 'tingkatkan', '']</t>
  </si>
  <si>
    <t>['udah', 'jaringan', 'eror', 'ditambah', 'merugikan', 'pengguna', 'pulsa', 'terpotong', 'pemberitahuan', 'parah']</t>
  </si>
  <si>
    <t>['berat', 'banget', 'apk', 'optimalkan', 'akses', 'kuota', 'masuk', 'aplikasi', 'pembagian', 'paket', 'pikir', 'kuota', 'game', 'pubg', 'makek', 'kuota', 'utama', 'aman', 'udah', 'daftar', 'kuota', 'game', 'hadeh', 'sedih', 'banget', '']</t>
  </si>
  <si>
    <t>['beli', 'paket', 'youtube', 'unlimited', 'kepake', 'kuota', 'utama', 'merugikan', 'konsumen', 'parahhhhhh']</t>
  </si>
  <si>
    <t>['mendukung', 'kinerja', 'meningkat', 'usaha', 'terimakasih']</t>
  </si>
  <si>
    <t>['ditingkatkan', 'kekuatan', 'sinyal', 'diberbagai', 'daerah', 'pelosok', 'ditempat', 'tanjung', 'selor', 'kab', 'bulungan', 'kalimantan', 'utara']</t>
  </si>
  <si>
    <t>['pelayanan', 'telkomsel', 'buruk', 'coba', 'ngasih', 'pesan', 'kelas', 'menghalangi', 'kegiatan', 'aktivitas', 'pegang', 'zoom', 'ganggu', 'pop', 'sopan', 'banget', 'blokir', 'opsi', 'blokir', 'pop', 'muncul', 'nyeleneh', 'kesel', 'udah', 'ganggu', 'ngeledek', 'nomer', 'tsel', 'daftarkan', 'media', 'buang', 'kartu', 'operator', 'sopan', '']</t>
  </si>
  <si>
    <t>['kasi', 'bintang', 'full', 'niat', 'smoga', 'telkomsel', 'nengak', 'tower', 'daerah', 'karna', 'orang', 'mengguna', 'telkomsel', 'sinyal', 'buruk', 'tpi', 'masi', 'cinta', 'telkosel', 'mohon', 'perhatian', 'trimah', 'kasih', '']</t>
  </si>
  <si>
    <t>['kadang', 'jarngan', 'tmpt', 'lola', 'tolong', 'tingkt', '']</t>
  </si>
  <si>
    <t>['hadiah', 'surprise', 'give', 'away']</t>
  </si>
  <si>
    <t>['mytelkomsel', 'oke', 'banget', 'beli', 'paket', 'sesuka']</t>
  </si>
  <si>
    <t>['memudahkan', 'pengguna', 'telkomsel', 'smakin', 'sukses', 'bermanfaat']</t>
  </si>
  <si>
    <t>['mahal', 'produk', 'combo', 'sakti', 'umur', 'kartu', 'udh', 'th', '']</t>
  </si>
  <si>
    <t>['mantap', 'mytelkomsel', 'suka']</t>
  </si>
  <si>
    <t>['bintang', 'buka', 'aplikasi', 'nyedot', 'pulsa', 'woi', '']</t>
  </si>
  <si>
    <t>['sinyal', 'telkomsel', 'buruk', 'kesini', 'tambh', 'mlah', 'tambh', 'buruk', 'main', 'game', 'sinyal', 'ngk', 'setabil', 'enk', 'sekarag', 'bosokk']</t>
  </si>
  <si>
    <t>['apk', 'membantu', 'cek', 'pulsa', 'ato', 'cek', 'paket', 'inet', 'memudahkan', 'mengetahu', 'produk', 'telkomsel', 'melalu', 'promo', 'disayangkan', 'minggu', 'kepana', 'sinyalnya', 'jelek', 'loading', 'mulu', 'mengecewakan', 'kebanyakan', 'promo', 'paket', 'inet', 'menjadikan', 'jaringannya', 'maaf', 'rating', 'bintangnya', 'turunkan', 'mengecewakan']</t>
  </si>
  <si>
    <t>['', 'prank', 'notif', 'promo', 'combo', 'sakti', 'unlimited', 'pas', 'dibuka', 'promo', 'berharap', 'paket', 'data', 'murah', 'mengsedih', 'terimakasih', 'diterima', 'keluhan']</t>
  </si>
  <si>
    <t>['bintang', 'menilai']</t>
  </si>
  <si>
    <t>['pelanggan', 'percaya', 'utang', 'pulsa', 'darurat', 'isi', 'pulsa', 'langsung', 'ditarik', 'keterangan', 'pelanggan', 'setia', 'telkomsel', 'sinyalnya', 'lemot', 'banget', 'ditempat', 'setia', 'harap', 'maklum']</t>
  </si>
  <si>
    <t>['diinstal', 'android', 'masak', 'kalah', 'operator', 'sebelah', 'langsung', 'oiya', 'apps', 'milik', 'plat', 'merah', 'heran', 'kelakuannya']</t>
  </si>
  <si>
    <t>['terbaik', 'efesien']</t>
  </si>
  <si>
    <t>['kasih', 'bintang', 'tdi', 'isi', 'pulsa', 'udah', 'bayar', 'telkomsel', 'tpi', 'paket', 'datanya', 'blm', 'masuk', 'gimana', 'sihh', 'trus', 'cek', 'pulsa', 'pulsanya', 'udah', 'paket', 'msk', 'notifikasi', 'tolong', 'kembalikan', 'pulsa', 'sayaa', 'pelajar', 'kecewa', 'telkomsel']</t>
  </si>
  <si>
    <t>['kuota', 'tbtb', 'habis', 'pulsa', 'disedot', 'gua', 'butuhkan', 'pulsa', 'rp', 'klaim', 'hadiah', 'daily', 'checking', 'gua', 'pulsa', 'ehh', 'udh', 'hilang', 'disedot', 'udah', 'berulang', 'kali', 'lohh', 'rugi', 'banget', 'gaa', 'kerjaan', 'sihh', 'ngisi', 'pulsa', 'karna', '']</t>
  </si>
  <si>
    <t>['woyy', 'telkomsel', 'benerin', 'jaringannya', 'kaya', 'bagus', 'stres', 'jaringan', 'jelek', 'kaya', 'gini']</t>
  </si>
  <si>
    <t>['heran', 'deh', 'barusan', 'pulsa', 'langsung', 'tersisa', 'tersedot', 'kuota', 'nelpon', 'menit', 'internet', 'gb', 'parah', '']</t>
  </si>
  <si>
    <t>['jaringan', 'lambat', 'tembilahan', 'bagus', 'kasih', 'bintang', '']</t>
  </si>
  <si>
    <t>['buka', 'aplikasinya', 'susah']</t>
  </si>
  <si>
    <t>['kasih', 'bintang', '']</t>
  </si>
  <si>
    <t>['sinyal', 'lemot', 'pasang', 'paket', 'data']</t>
  </si>
  <si>
    <t>['gimana', 'maaf', 'lemot', 'banget', 'jaringannya']</t>
  </si>
  <si>
    <t>['mantap', 'telkomsel', 'pemakai', 'kartu', 'telkomsel']</t>
  </si>
  <si>
    <t>['', 'pulsa', 'ilang', 'teruss', 'hidupin', 'kuota', 'sebentar', 'langsung', 'ilang', 'kuotannya', 'kepake', 'pulsanya', 'kuota', '']</t>
  </si>
  <si>
    <t>['jaringan', 'telkomsel', 'jelek', 'perubahan', 'jaringan', 'pemakai', 'kartu', 'telkomsel', 'kecewa', '']</t>
  </si>
  <si>
    <t>['apk', 'jelek', 'banget', 'lliat', 'liat', 'hah', '']</t>
  </si>
  <si>
    <t>['paket', 'mahal', 'sinyal', 'sampah', '']</t>
  </si>
  <si>
    <t>['kuota', 'tinggal', 'cari', 'provider', '']</t>
  </si>
  <si>
    <t>['aplikasi', 'bagus', 'ngirit']</t>
  </si>
  <si>
    <t>['kuota', 'doang', 'mahal', 'harganya', 'sinyal', 'gua', 'ganti', 'kartu']</t>
  </si>
  <si>
    <t>['harga', 'bintang', 'kualitas', 'kaki']</t>
  </si>
  <si>
    <t>['enak', 'praktis']</t>
  </si>
  <si>
    <t>['', 'hubungi', 'veronica', 'membantu', 'menyelesaikan', 'menambah', 'anjg']</t>
  </si>
  <si>
    <t>['pulsa', 'kepotong', 'peketan', 'internet', 'gb', 'all', 'jaringan', 'all', 'time', 'mutu', 'banget', 'tho', 'kopeettt', '']</t>
  </si>
  <si>
    <t>['tolong', 'mauh', 'donasi', 'batasi', 'poin', '']</t>
  </si>
  <si>
    <t>['', 'tabungan', 'dana', 'beli', 'pulsa', 'via', 'aplikasi', 'danaku', 'akhirx', 'beli', 'pulsa', 'via', 'dana', 'kuota', 'deh', 'mytelkomsek', 'ribet', '']</t>
  </si>
  <si>
    <t>['guddd', 'sihhh', 'sangatt', 'terbaikk', 'gamau', 'telkom', 'karna', 'harga', 'paket', 'internet', 'mahal', 'orang', 'ketagihan', 'karna', 'mahall', 'wkwkww', '']</t>
  </si>
  <si>
    <t>['kecewa', 'telkomsel', 'sengaja', 'tekan', 'mode', 'data', 'pulsa', 'habis', 'berkurang', 'detik', 'detik', 'bro', 'bayangkan', 'bro', 'pulsa', 'beli', 'uang', 'daun', 'membicarakan', 'keluhan', 'komputer', 'balas', 'pesan', 'telkomsel', 'maling', 'pulsa', 'berubah', 'data', 'hidup', 'dikit', 'langsung', 'maling', 'bro', 'saran', 'konsumen', 'kecewa', 'ith', 'bro', '']</t>
  </si>
  <si>
    <t>['jaringan', 'kuat', 'dikelasnya', 'telkomsel']</t>
  </si>
  <si>
    <t>['dipakai']</t>
  </si>
  <si>
    <t>['makasih', 'telkomsel', 'pulsa', 'kadang', 'kepotong', 'kotak', 'hadiah', 'paket', 'data', 'trimakasih', 'telkomsel', 'memakai', 'kartumu', '']</t>
  </si>
  <si>
    <t>['telkomsel', 'error', 'mulu', 'udah', 'error', 'mulu', 'update', 'error', 'download', 'error', 'muat', 'ulang', 'error', 'tolong', 'telkomsel', 'bagus', 'bagus', 'error', 'tolong', 'perbaiki', 'telkomselnya', 'beli', 'pulsa', 'telepon', '']</t>
  </si>
  <si>
    <t>['suka', 'hilang', 'koneksi']</t>
  </si>
  <si>
    <t>['semoga', 'jaringan', 'telkomsel', 'lancar']</t>
  </si>
  <si>
    <t>['ngeleg', 'mahal', 'tolong', 'perbaiki', 'koneksi', 'beli', 'kuota', 'telkom', 'serasa', 'smartfren', 'rekomen']</t>
  </si>
  <si>
    <t>['telkomsel', 'jaringan', 'kayak', 'suka', 'ilang']</t>
  </si>
  <si>
    <t>['bagus', 'cman', 'ditingkatkan', 'pelayanan', 'dipelosok', 'desa', 'kendala', 'pas', 'listrik', 'mati', 'srmua', '']</t>
  </si>
  <si>
    <t>['dear', 'developer', 'mentransfer', 'pulsa', 'telkomsel', 'operator', 'mentransfer', 'pulsa', 'operator', 'app', 'telkomsel', 'umb']</t>
  </si>
  <si>
    <t>['mudah', 'membeli', 'pulsa', 'saldo', 'mentok', 'rb', 'tinggal', 'beli', 'via', 'dana']</t>
  </si>
  <si>
    <t>['bruhh', 'beli', 'kuota', 'kecepatan', 'internetnya', 'lemot', 'ngak', 'pass', 'main', 'game', 'auto', 'kalah']</t>
  </si>
  <si>
    <t>['buka', 'aplikasinya', 'pulsa', 'berkurang', 'buka', 'aplikasinya', 'pulsanya', 'berkurang', 'kayak', 'kedot', 'kemarin', 'pulsa', 'sisa', 'rugi', 'bgini', 'trus']</t>
  </si>
  <si>
    <t>['telkomsel', 'link', 'eror', 'indikasi', 'program', 'sesuai', 'prosedur', 'pelanggan', 'yth', 'terpilih', 'berpartisipasi', 'survey', 'layanan', 'umkm', 'telkomsel', 'pendapat', 'klik', 'tsel', 'surveiumkm']</t>
  </si>
  <si>
    <t>['game', 'jaringan', 'ancurrr', 'leg', 'parah']</t>
  </si>
  <si>
    <t>['kecewa', 'telkomsel', 'jaringan', 'buruk', 'bermain', 'game', 'online', 'leg', 'jaringan', 'buruk', 'busuk']</t>
  </si>
  <si>
    <t>['telkomsel', 'menjengkelkan', 'pulsa', 'dipakai', 'susut', 'cuaca', 'panas', 'pulsanya', 'menguap']</t>
  </si>
  <si>
    <t>['admin', 'aplikasi', 'mending', 'dihapus', 'deh', 'aplikasi', 'kesini', 'susah', 'dipake', 'min', 'tolong', 'dihapus', 'nyampah', 'playstor']</t>
  </si>
  <si>
    <t>['harga', 'paket', 'berubah', 'plin', 'plan', 'telkomsel']</t>
  </si>
  <si>
    <t>['jaringan', 'telkomsel', 'sumbar', 'kacau', 'asli', 'buka', 'google', 'ampun', 'buka', 'aplikasi', 'game', 'jelek', 'nyesal', 'pakai', 'tsel']</t>
  </si>
  <si>
    <t>['gue', 'berharap', 'telkom', 'gue', 'udh', 'gimana', 'iya', 'paket', 'gamesmax', 'kek', 'pas', 'match', 'making', 'putus', 'koneksi', 'pas', 'lampu', 'mati', 'jaringan', 'jelek', 'kalah', 'saing', 'jaringan', 'sebelah']</t>
  </si>
  <si>
    <t>['saldo', 'isi', 'isi', 'tinggal', 'wtf']</t>
  </si>
  <si>
    <t>['mudah', 'pembelian']</t>
  </si>
  <si>
    <t>['mantap', 'aplikasi', 'telkomsel', 'murah', 'beli', 'paket', 'data', 'kartu', 'telkomsel']</t>
  </si>
  <si>
    <t>['sinyal', 'benerin', 'paket', 'mahal', 'sesuai', 'kualitas', 'sinyal']</t>
  </si>
  <si>
    <t>['gua', 'kasih', 'bintang', 'sampe', 'sinyal', 'stabil', 'udh', 'teratasi']</t>
  </si>
  <si>
    <t>['sungguh', 'telkomsel', 'turunin', 'bintang', 'gara', 'pulsa', 'kepotong', 'biaya', 'internet', 'paket', 'internet', 'kuota', 'pas', 'hotspot', 'pulsa', 'amblas', 'pas', 'cek', 'pulsa', 'rb', 'pas', 'cek', 'kuota', 'tersisa', 'mb', 'pulsa', 'kena', 'kagak', 'kuota', 'internet', 'kapok', 'ganti', 'kartu', 'deh', 'gitu']</t>
  </si>
  <si>
    <t>['okeh', 'recommended', 'bermanfaat', 'bagus']</t>
  </si>
  <si>
    <t>['pelanggan', 'telkomsel', 'percayakan', 'telkomsel', 'forever', 'semoga', 'telkomsel', 'merambah', 'wilayah', 'indonesia', 'pelosok', 'negeri', 'jaringan', '']</t>
  </si>
  <si>
    <t>['dimana', 'paket', 'combo', 'sakti', 'gb', 'paket', 'giga', 'maaaxx', 'paketan', 'ampas', 'tawarin']</t>
  </si>
  <si>
    <t>['knp', 'telkomsel', 'kaya', 'gini', 'adil', 'bangett', 'hrga', 'mahal', 'tpi', 'kualitas', 'beli', 'combo', 'sakti', 'berlaku', 'kuota', 'utama', 'selebihnya', 'lemot', 'pke', 'malahh', '']</t>
  </si>
  <si>
    <t>['parah', 'asli', 'telkomsel', 'sematang', 'borang', 'palembang', 'sinyalnya', 'jelek', 'abis']</t>
  </si>
  <si>
    <t>['udah', 'ganti', 'kartu', 'paket', 'mahal', 'sinyal', 'kuota', 'kesedot', 'ludes', '']</t>
  </si>
  <si>
    <t>['apk', 'mytelkomsel', 'mudah']</t>
  </si>
  <si>
    <t>['oke', 'pilian', 'cepat', 'prosesnya']</t>
  </si>
  <si>
    <t>['mantul', 'mantap', '']</t>
  </si>
  <si>
    <t>['udah', 'mahal', 'sinyal', 'ilang', 'beli', 'kuota', 'gb', 'jam', 'udah', 'angus', 'dipake', 'itungan', 'beli', 'unlimited', 'sebulan', 'seminggu', 'udah', 'abis', 'meresahkan', '']</t>
  </si>
  <si>
    <t>['kartu', 'doang', 'mahal', 'sinyalnya', 'kaga']</t>
  </si>
  <si>
    <t>['aneh', 'telkomsel', 'pulsa', 'gabisa', 'transfer', 'pulsa', 'total', 'harganya', 'tolong', 'telkomsel', 'gausa', 'makan', 'pulsa', 'hak', 'orang', 'aneh', 'banget', 'bug', 'perbaiki', 'telkomsel', 'bug', 'app', 'gabecus', 'banget', '']</t>
  </si>
  <si>
    <t>['jaringan', 'terburuk', 'paket', 'mahal', 'jaringan', 'buruk', 'jaringan', 'stabil', 'malam', 'hujan', 'serasa', 'internetan', 'hutan', 'kota', '']</t>
  </si>
  <si>
    <t>['harga', 'paket', 'internetya', 'diturunkan', 'bersaing']</t>
  </si>
  <si>
    <t>['pulsa', 'berkurang', 'ilang', 'kemana', 'pas', 'cek', 'transaksi', 'emang', 'telkomsel', 'kesini', 'buruk', 'pelayanan', 'beli', 'paket', 'internet', 'pulsa', 'diambil', 'jejak', 'ilang', 'kemana', 'ngapa', 'ngapain', 'nunggu', 'emang', 'telkomsel', 'parah', 'banget']</t>
  </si>
  <si>
    <t>['beli', 'rutin', 'paket', 'unlimited', 'youtube', 'berkurang', 'kuota', 'utama', 'gunanya', 'paket', 'unlimited', 'youtube', 'beli', 'rugi', 'beli', 'paket', 'menghubungin', 'solusi', 'parah', 'banget', '']</t>
  </si>
  <si>
    <t>['', 'telkomsel', 'siip']</t>
  </si>
  <si>
    <t>['jaringan', 'kaya']</t>
  </si>
  <si>
    <t>['cepat', 'pelayanannya']</t>
  </si>
  <si>
    <t>['simpati', 'daerah', 'permata', 'regency', 'tangerang', 'jelek', 'ampun', 'keluarga', 'tetangga', 'skripsi', 'mempertahankan', 'nomor', 'simpati', 'kecewa', 'asli', 'udh', 'bertahun', 'make', 'parah', '']</t>
  </si>
  <si>
    <t>['', 'nggak', 'butuh', 'kmi', 'butukan', 'kestabilan']</t>
  </si>
  <si>
    <t>['memudahkan', 'pembelian', 'paket', 'data']</t>
  </si>
  <si>
    <t>['oii', 'telkomsel', 'main', 'game', 'gtu', 'layanan', 'scroll', 'media', 'sosial', '']</t>
  </si>
  <si>
    <t>['gausah', 'mahal', 'mahal', 'paket', 'datanya', 'lelet', '']</t>
  </si>
  <si>
    <t>['kak', 'dapet', 'sms', 'telkomsel', 'promo', 'isi', 'pulsa', 'dapet', 'pulsa', 'cuman', 'rupiah', 'isi', 'pulsa']</t>
  </si>
  <si>
    <t>['jaringan', 'telpon', 'internet', 'bagus']</t>
  </si>
  <si>
    <t>['semoga', 'mytelkosel', 'berkembang', 'paket', 'internetnya', 'mahal', 'ketimbang', 'kartu', 'wkwkwkw']</t>
  </si>
  <si>
    <t>['sinyal', 'hancur', 'pisan', 'jengkel']</t>
  </si>
  <si>
    <t>['tolong', 'update', 'suport', 'android', '']</t>
  </si>
  <si>
    <t>['bagus', 'mendukung', 'membeli', 'produk', 'paket', 'mengencek']</t>
  </si>
  <si>
    <t>['maaf', 'card', 'telokomsel', 'daerah', 'bandung', 'knp', 'signalnya', 'jlek', 'ktika', 'jln', 'langkah', 'kluarlun', 'signal', 'sbelum', 'kaya', 'cman', 'maaf', 'jlek', 'sya', 'rb', 'perbualan', 'signal', 'sperti', 'menyesal', 'maaf', '']</t>
  </si>
  <si>
    <t>['kuota', 'multimedia', 'knpa', 'kuota', 'utama', 'kesedot', 'habisin', 'multimedia', 'dlu', 'bru', 'utama', 'emng', 'udh', 'aturany', '']</t>
  </si>
  <si>
    <t>['memakai', 'telkomsel', 'mengalami', 'kesulitan', 'telkomsel', 'rakyat', 'jaringan', 'lelet']</t>
  </si>
  <si>
    <t>['smoga', 'percaya', 'jaringan', 'terbaik', '']</t>
  </si>
  <si>
    <t>['paket', 'data', 'aktif', 'sedot', 'pulsa', '']</t>
  </si>
  <si>
    <t>['pulsa', 'kepotong', 'ribu', 'pakai', 'kuota', 'pulsa', 'kepotong', 'tolong', 'merugikan', 'banget', 'pelajar', 'kembalikan', 'pulsa', 'ribu']</t>
  </si>
  <si>
    <t>['blm', 'masuk', 'ling']</t>
  </si>
  <si>
    <t>['kuota', 'besal', 'gb', 'gb', 'habis', 'blum', 'minggu', 'tolong', 'curang', 'habis', '']</t>
  </si>
  <si>
    <t>['alhamdulillah', 'aplikasi', 'membantu', '']</t>
  </si>
  <si>
    <t>['semoga', 'sinyalnya', 'bagus']</t>
  </si>
  <si>
    <t>['membantu', 'setia', 'slalu', 'udh', 'th', 'pakai', 'telkomsel', '']</t>
  </si>
  <si>
    <t>['terimakasih', 'telkomsel', 'akses', 'mudah', 'cepat', 'cuman', 'tolong', 'harga', 'paketan', 'mahal', '']</t>
  </si>
  <si>
    <t>['beli', 'paket', 'nelpon', 'rumah', 'kuota', 'ribu', 'nelpon', 'rumah', 'pakai', 'nelpon', 'nomor', 'telp', 'rumah', 'ketarik', 'pulsa', 'utama', 'kuota', 'ribunya', 'kepakai', 'pakainya', 'sms', 'paket', 'aktif', 'perta', 'kali', 'kali', 'beli', 'paket', 'nelpon', 'rumah', 'banget', '']</t>
  </si>
  <si>
    <t>['penjelasan', 'informasinya']</t>
  </si>
  <si>
    <t>['mahal', 'paketnya', 'telkomsel', 'nomer']</t>
  </si>
  <si>
    <t>['semoga', 'amanah']</t>
  </si>
  <si>
    <t>['harga', 'paket', 'kuotanya', 'mahal', 'jangkau', 'kalangan']</t>
  </si>
  <si>
    <t>['telkomsel', 'paket', 'mahal', 'jaringan', 'bosok', 'mengecewakan', 'pelanggan', 'kecewa', '']</t>
  </si>
  <si>
    <t>['sinyal', 'stabil', 'buka', 'apk', 'telkomsel', 'pulsa', 'sedot', 'nyaman', 'pakai', 'telkomsel', '']</t>
  </si>
  <si>
    <t>['kecewa', 'pulsa', 'berkurang', 'kuota', 'internet', 'pulsa', 'ambil', 'kecewa', '']</t>
  </si>
  <si>
    <t>['lumayan', 'bagus', 'membantu']</t>
  </si>
  <si>
    <t>['aplikasi', 'kuota', 'gratis', 'benerran', '']</t>
  </si>
  <si>
    <t>['jaringan', 'kuat', 'pelosok']</t>
  </si>
  <si>
    <t>['paket', 'berubah', 'ubah', 'paket', 'dibeli']</t>
  </si>
  <si>
    <t>['kontl', 'jaringan']</t>
  </si>
  <si>
    <t>['telkomsel', 'kirim', 'paketan', '']</t>
  </si>
  <si>
    <t>['klw', 'paketnya', 'murah', 'bersaing']</t>
  </si>
  <si>
    <t>['mantep', 'harga', 'combo', 'sakti', 'murah']</t>
  </si>
  <si>
    <t>['adakah', 'bonus', 'man']</t>
  </si>
  <si>
    <t>['mahal', 'mahal', 'harga', 'kuotanya', '']</t>
  </si>
  <si>
    <t>['pulsa', 'habis', 'paket', 'beli', 'paket', 'harga', 'mepet', 'pulsa', 'kebeli', '']</t>
  </si>
  <si>
    <t>['mantapp', 'paketan', 'nyaa']</t>
  </si>
  <si>
    <t>['pulsa', 'sqya', 'bqngeet', 'hilang']</t>
  </si>
  <si>
    <t>['combo', 'sakti', 'bagus']</t>
  </si>
  <si>
    <t>['pulsa', 'otomatis', 'kuaota', 'habis', 'notifikasi', 'kecolongan', 'nomor', 'spam', 'notif', 'program', 'promo', 'spam', 'notif', 'kuota', 'habis', 'ter', 'abaikan', 'namanya', 'system', 'nyolong', 'pulsa', 'gampang', 'cari', 'halal', 'kuota', 'hbis', 'otomatis', 'mati', 'data', 'jngn', 'ambil', 'pulsa']</t>
  </si>
  <si>
    <t>['nomor', 'aplikasi', 'telkomsel', 'skrg', 'nomor', 'hangus', 'gara', 'perbedaan', 'informasi', 'aktif', 'nomor', 'dipakai', 'tertera', 'aplikasi', 'kesalahan', 'aplikasi', 'konsumen', 'rugikan']</t>
  </si>
  <si>
    <t>['turunkan', 'harga', 'paket']</t>
  </si>
  <si>
    <t>['terbantu', 'aplikasi', 'makasih', 'mytelkomsel', 'you', 'are', 'the', 'best', '']</t>
  </si>
  <si>
    <t>['semoga', 'telkomsel', 'bagus', 'terussss']</t>
  </si>
  <si>
    <t>['jaringan', 'lemot']</t>
  </si>
  <si>
    <t>['apk', 'bagus', 'paketnya', 'mahal', '']</t>
  </si>
  <si>
    <t>['kecewa', 'harga', 'sinyal', 'boro', 'kenceng', 'paket', 'omg', 'mahal', 'setan', 'unlimited', 'lemot', 'parah', 'langganan', 'bertaun', 'rela', 'beli', 'paket', 'mahal', 'tunjang', 'kualitas', 'sinyal', 'kenceng', 'mending', 'walopun', 'lemot', 'jalan', 'diskon', 'murah', 'rip', 'sinyal', 'indonesia']</t>
  </si>
  <si>
    <t>['setipa', 'kali', 'paket', 'utamanya', 'habis', 'sinyal', 'unlimited', 'lemot', 'banget', '']</t>
  </si>
  <si>
    <t>['sms', 'notifikasi', 'walo', 'beli', 'paket', 'mengganggu']</t>
  </si>
  <si>
    <t>['buka', 'app', 'masuk', 'app']</t>
  </si>
  <si>
    <t>['telkomsel', 'taik', 'udah', 'mahal', 'lambat', 'pengaman', 'pulsanya', 'pulsa', 'gua', 'kesedot', 'perbaiki', 'woy', 'mentang', 'mentang', 'pakek', '']</t>
  </si>
  <si>
    <t>['simple', 'mudah', 'variasi', 'paket', 'pulsa', 'dpt', 'pilih', 'dipahami', 'penjelasanya', '']</t>
  </si>
  <si>
    <t>['pulsa', 'hilang']</t>
  </si>
  <si>
    <t>['telkomsel', 'lemot', 'gb', 'udah', 'sinyal', 'bagus', 'mohon', 'maaf', 'perbarui', '']</t>
  </si>
  <si>
    <t>['tolong', 'hargailah', 'aplikasi', 'kesal', 'ngecewain', 'kedepannya', 'hati', 'kotor', 'terima', 'kasih', 'payah', 'buatnya']</t>
  </si>
  <si>
    <t>['sagat', 'bermanfaat', 'sdmua', 'transaksi', 'telkomsel']</t>
  </si>
  <si>
    <t>['', 'telkomsel', 'mudah', 'bertransaksi', 'semoga', 'promo', 'paket', 'internet', 'murah', 'jaringan', 'kuat', 'lemot']</t>
  </si>
  <si>
    <t>['trouble', '']</t>
  </si>
  <si>
    <t>['down', 'buka', 'google', 'dll', 'paketan', 'paket', 'murah', 'pas', 'pulsa', 'giliran', 'udah', 'isi', 'hilang', 'promo', 'paket', 'murah', 'gajelas', 'mohon', 'diperbaiki', 'ditingkatkan', '']</t>
  </si>
  <si>
    <t>['kecewa', 'pulsa', 'hilang', 'dipakai', 'pulsanya', 'hilang', '']</t>
  </si>
  <si>
    <t>['sangan', 'bermanfaat', 'membantu']</t>
  </si>
  <si>
    <t>['telkomsel', 'babi', 'gblok', 'asuu', 'jaran', 'kambing', 'sinyal', 'patah']</t>
  </si>
  <si>
    <t>['bgus', 'mempermudah']</t>
  </si>
  <si>
    <t>['apk', 'membantu']</t>
  </si>
  <si>
    <t>['', 'banyakin', 'promo', 'gratisan', 'kuota']</t>
  </si>
  <si>
    <t>['aplikasi', 'kadang', 'dibuka', 'uninstal', 'instal', 'ulang', 'dibuka', 'berjalan', 'normal', 'piturnya', 'lengkap', 'mudah', 'bertransaksi', 'pulsa', 'paket', 'kuota', 'internet', 'terima', 'kasih', '']</t>
  </si>
  <si>
    <t>['berguna', 'mudah', 'informasi', 'pembelian', 'paket', 'tagihan']</t>
  </si>
  <si>
    <t>['bagus', 'aplikaainya', '']</t>
  </si>
  <si>
    <t>['jelek', 'jaringan', 'pdhl', 'mahal', 'tolong', 'perbaiki', 'kasihan', 'udh', 'loyal', 'dri', 'dlu', 'pke', 'telkomsel', 'aktifin', 'data', 'pulsa', 'udh', 'ilang', 'dlm', 'bbrp', 'detik', 'parahhhhhhhhhhhhh']</t>
  </si>
  <si>
    <t>['baya', 'keberuntungan']</t>
  </si>
  <si>
    <t>['bagus', 'informatif']</t>
  </si>
  <si>
    <t>['newbie', 'menggunakannya', 'telkomsel']</t>
  </si>
  <si>
    <t>['bintang', 'bebrapa', 'lag', 'lancar', 'jaringan']</t>
  </si>
  <si>
    <t>['teruskan', 'kasih', 'promosi', 'paketan', 'murah', 'gb', 'ribu', 'semoga', 'bermanfaat', 'semoga', 'sukses', 'aamiin', 'yra', 'terimakasih']</t>
  </si>
  <si>
    <t>['pengambilan', 'hadiah', 'harian', 'memotong', 'pulsa', 'telkomsel', 'memotong', 'sisa', 'pulsa']</t>
  </si>
  <si>
    <t>['telkomsel', 'anjeng', 'sinyal', 'kek', 'kontol', 'babi', 'tolong', 'perbaiki']</t>
  </si>
  <si>
    <t>['tolong', 'turunkan', 'harga', 'paket', 'malam', 'pakai', 'rp', 'gb', 'rp', 'menguras', 'dompet', 'harga', 'tolong', 'turunkan', 'menyengkan', 'konsumen', 'nyaman', 'memakai', 'telkomsel', 'mengambil', 'untung', '']</t>
  </si>
  <si>
    <t>['keluhan', 'suruh', 'tolong', 'telkomsel', 'sedot', 'pulsa', 'internet', 'nelpon', 'sms', 'pulsa', 'tinggal', 'anehnya', 'dicek', 'pulsa', 'habis', 'karna', 'internet', 'jaringan', 'rakus', 'boros', 'namanya', 'masi', 'adiknya', 'telkomsel', 'cuman', 'jadiin', 'sim', 'cadangan', 'cuman', 'gegara', 'jaringan', 'rakus', 'sedot', 'pulsa', '']</t>
  </si>
  <si>
    <t>['hemat', 'cerdas', 'simpel']</t>
  </si>
  <si>
    <t>['mohon', 'ditingkatkan', 'penyampaian', 'informasi', 'promo', 'terupdate', 'respon', 'cepat', 'konsistensi', 'menyelesaikan', 'finish', 'kendala', 'terima', 'kasih', '']</t>
  </si>
  <si>
    <t>['informasinya', '']</t>
  </si>
  <si>
    <t>['layanan', 'telkomsel', 'hebat', 'deh', 'pokok']</t>
  </si>
  <si>
    <t>['jaringan', 'kepelosok', 'ditambah']</t>
  </si>
  <si>
    <t>['beli', 'paket', 'murah', 'gampang', 'cuman', 'nyediain', 'fitur', 'lock', 'pulsa', 'pulsa', 'aman', 'ngga', 'kaya', 'operator', 'sebelah']</t>
  </si>
  <si>
    <t>['tampilan', 'bagusan']</t>
  </si>
  <si>
    <t>['hadiah', 'terduga']</t>
  </si>
  <si>
    <t>['jaringan', 'telkomsel', 'buruk', 'paket', 'kuotanya', 'mahal', 'kualitasnya', 'lemot', 'kecewa', 'langganan', 'puluhan']</t>
  </si>
  <si>
    <t>['mantap', 'keren', 'lancar', 'loginnya', 'mudah', 'undian', 'mobil', 'honda', 'brio', 'telkomsel', 'poin', 'min', 'motor', 'gpp', 'deh', 'mohon', 'anya', 'aamiin', 'yaa', 'allah', '']</t>
  </si>
  <si>
    <t>['tukar', 'poin', 'undi', 'undi', 'hepi', 'poin', 'poin', 'bengkak', 'jempol']</t>
  </si>
  <si>
    <t>['enak', 'apk', 'ribet', 'bagus']</t>
  </si>
  <si>
    <t>['aplikasi', 'berjalan', 'lambat', 'memuat', 'data', 'pelanggan', 'ponsel', 'berprosesor', 'inti', 'ram', 'dampak', 'konekai', 'internet', 'lambat', 'rom', 'ponsel', 'penuh', 'aplikasi', 'membebani', 'sistem', 'ram', 'ponsel', 'harap', 'versi', 'ringan', 'gesit', 'memuat', 'data', 'pelanggan', 'ponsel', 'spesifikasi', 'rendah', '']</t>
  </si>
  <si>
    <t>['pulsa', 'terpotong', 'kelipatan', 'kadang', 'cek', 'riwayat', 'transaksi', 'tertera', 'pemakaian', 'terahir', 'kb', 'pakai', 'paketan', 'bulanan', 'pulsanya', 'ketahuan', 'pulsa', 'ketahuan', '']</t>
  </si>
  <si>
    <t>['habis', 'pikir', 'simpati', 'isi', 'blm', 'pakai', 'paket', 'data', 'udah', 'kesedot', 'parah', 'udah', 'berkah', 'motongin', 'berhenti', 'susah', '']</t>
  </si>
  <si>
    <t>['berguna', 'promo', 'aplikasi', 'telkomsel']</t>
  </si>
  <si>
    <t>['klaim', 'bonus', 'loginnya', 'alasannya', 'batas', 'penukarannya', 'telkom', 'error', '']</t>
  </si>
  <si>
    <t>['sekeluarga', 'jaringan', 'telkom', 'selluler', 'karna', 'siknalnya', 'jernih']</t>
  </si>
  <si>
    <t>['tolong', 'qualitasnya', 'diperbaiki', 'knp', 'qualitasnya', 'jaringannya', 'provider', 'amatiran', 'pelanggan', 'beli', 'pakek', 'uang', 'hutang', 'knp', 'jaringannya', 'lemot']</t>
  </si>
  <si>
    <t>['promo', 'paket', 'internet', 'oke', 'hadiah', 'check', 'omong', 'kosong']</t>
  </si>
  <si>
    <t>['sinyal', 'mantap', 'stabil', 'sayangnya', 'pas', 'mati', 'lampu', 'sinyal', 'menghilang', '']</t>
  </si>
  <si>
    <t>['loginnya', 'stabil', 'susah']</t>
  </si>
  <si>
    <t>['lumayan', 'mudah', 'transaksinya']</t>
  </si>
  <si>
    <t>['nomor', 'promo', 'paketan', 'internet', 'mahal', 'paket', 'internet']</t>
  </si>
  <si>
    <t>['pengguna', 'rugikan', 'jaringan', 'memburuk', 'kuota', 'unlimited', 'terpakai', 'telkomsel', 'bangkrut', '']</t>
  </si>
  <si>
    <t>['registrasi', 'susah', 'balasan', 'sms']</t>
  </si>
  <si>
    <t>['harga', 'paket', 'kenyamanan', 'penggunaan', 'sebanding', 'harga', 'paket', 'mahal', 'koneksi', 'hancur', 'kalah', 'provider', 'sebelah', 'provider', 'sebelah', 'harga', 'paket', 'murah', 'koneksi', 'bagus', 'kecewa', 'gue', 'telkomsel', 'salam', 'jari']</t>
  </si>
  <si>
    <t>['udah', 'seminggu', 'sinyal', 'susah', 'kmarin', 'isi', 'kuota', 'omg', 'gb', 'skarang', 'tinggal', 'mb', 'ngga', 'karna', 'sinyal', 'susah', 'tolong', 'perbaikin', 'rugi', 'klau', 'isi', 'udah', 'abis', 'nggak', '']</t>
  </si>
  <si>
    <t>['jaringannya', 'suka', 'ngilang', 'suka', 'gangguan', 'sinyalnya']</t>
  </si>
  <si>
    <t>['bagus', 'sngat', 'membantu']</t>
  </si>
  <si>
    <t>['telkomsel', 'pintar', 'bagus']</t>
  </si>
  <si>
    <t>['poin', 'telkomsel', 'gunanya', 'beli', 'paket', 'pulsa', 'mending', 'gausah', 'poin', 'apalah']</t>
  </si>
  <si>
    <t>['mytelkomsel', 'mudah', 'menyenangkan']</t>
  </si>
  <si>
    <t>['poin', 'bermanfaat', 'poin', 'tukar', 'pulsa', 'paket', 'kuota', 'biaya', 'tambahan', 'undian', 'hadiah', 'mustahil', 'hhh', 'cmn', 'pemanis', 'belaka', '']</t>
  </si>
  <si>
    <t>['semuga', 'bermampaat']</t>
  </si>
  <si>
    <t>['keren', 'makenya', '']</t>
  </si>
  <si>
    <t>['info', 'resmi', 'apapun', 'internet', 'produk', 'aplikasi', 'mudah']</t>
  </si>
  <si>
    <t>['kuota', 'hilang', 'kayak', 'telan', 'bumi', '']</t>
  </si>
  <si>
    <t>['perbaiki', 'gga', 'lag']</t>
  </si>
  <si>
    <t>['puas', 'layanan', 'telkomsel', 'tolong', 'paket', 'kartu', 'tolong', 'diperbanyak', 'diskonnya']</t>
  </si>
  <si>
    <t>['min', 'android']</t>
  </si>
  <si>
    <t>['terimakasih', 'min', 'apknya', 'sanggat', 'bagus']</t>
  </si>
  <si>
    <t>['kartu', 'pascabayar', 'sinyal', 'jelek', 'hilang', 'nggak', 'perbedaan', 'kartu', 'prabayar', '']</t>
  </si>
  <si>
    <t>['bayar', 'paket', 'malam', 'habis', 'aktif', 'paket', 'setlh', 'ditunggu', 'error', 'nomor', 'kwitansinya', 'rb', 'terbayar', '']</t>
  </si>
  <si>
    <t>['pelayanan', 'jelek', 'bagus', 'trnyata', 'bingung', 'pengguna']</t>
  </si>
  <si>
    <t>['susah', 'dibuka']</t>
  </si>
  <si>
    <t>['jaringan', 'kaga', 'bener', 'bener', 'kuota', 'mahal', 'dipake', 'kaga', 'bener', 'tolonglah', '']</t>
  </si>
  <si>
    <t>['telkomsel', 'jelek', 'parah', 'sinyal', 'hilang', 'paketan', 'mahal', 'pengguna', 'puas', 'tolong', 'perbaikannya', 'harga', 'paket', 'kuota', 'murah', 'sinyal', 'jelek', 'gpp', '']</t>
  </si>
  <si>
    <t>['pda', 'dsar', 'aplikasi', 'bgus', 'tpi', 'prlu', 'prbaikan', 'jaringan', 'khusus', 'kota', 'jambi', 'msih', 'trdpat', 'jaringan', 'tdak', 'stabil', 'pdhal', 'jambi', 'mrupakn', 'kota', 'ckup', 'gmana', 'msih', 'blm', 'mrata', 'bsa', 'jringan', 'dlam', 'kamar', 'ruang', 'tamu', 'kamar', 'mandi', 'teras', 'beda', 'merata', 'kecepatan', 'jaringan', 'smpai', 'kalah', 'provider', 'brkembang', '']</t>
  </si>
  <si>
    <t>['telkomsel', 'jaringan', 'lemot', 'jam', 'perbaikin', 'donk', 'sinyal', 'cepat']</t>
  </si>
  <si>
    <t>['semangat', 'hadiah', 'telkomsel', 'the', 'best', 'telkomsel']</t>
  </si>
  <si>
    <t>['', 'kadih', 'bintang', 'sinyalnya', 'susah', 'mulu', '']</t>
  </si>
  <si>
    <t>['update', 'paketan', 'mahal', 'nggak', 'setabil', 'sinyal', 'nyesal', 'gua', 'combo', 'sakti', 'update', 'kartunya', 'paketan', 'harga', 'perkembangan', 'telkomsel', 'hebat', '']</t>
  </si>
  <si>
    <t>['aplikasi', 'oke', 'laah']</t>
  </si>
  <si>
    <t>['mytelkomsel', 'oke']</t>
  </si>
  <si>
    <t>['dngn', 'terpaksa', 'apl', 'telkomsel', 'hps', 'lgi', 'perangkat', 'krna', 'kartu', 'simpati', 'pakai', 'kagak', 'msk', 'pisan', 'apl', 'salam', 'nkri', '']</t>
  </si>
  <si>
    <t>['semoga', 'program', 'tukar', 'poin', 'berhadiah', 'nyata', 'telkomsel', 'pengguna', 'setianya', 'berharap', 'hadiahnya', 'amin', '']</t>
  </si>
  <si>
    <t>['top', 'kali', 'nyesel', 'download']</t>
  </si>
  <si>
    <t>['', 'allah', 'telkomsel', 'gmana', 'paket', 'gojek', 'gb', 'apk', 'perbarui', 'paket', 'ilang']</t>
  </si>
  <si>
    <t>['paket', 'darurat', 'maana']</t>
  </si>
  <si>
    <t>['operator', 'negeri', 'mahal', 'lemot', 'beli', 'paketan', 'tapinya', '']</t>
  </si>
  <si>
    <t>['aplikasinya', 'bagus', 'membantu']</t>
  </si>
  <si>
    <t>['barusan', 'beli', 'paket', 'sblmya', 'udah', 'cek', 'paketnya', 'promo', 'pas', 'udah', 'isi', 'pulsa', 'pakt', 'promonya', 'ilang', 'njin', 'rugii', 'berkali', 'kek', 'gini', 'duit', 'udah', 'nganggur', 'emg', 'enak', 'cari', 'duit', 'pansemi', 'gini', 'jg', 'bangsaatttttt']</t>
  </si>
  <si>
    <t>['paketan', 'gua', 'mahal']</t>
  </si>
  <si>
    <t>['tolong', 'telkomsel', 'jaringannya', 'buruk', 'menyesal', 'tolong', 'perbaiki', '']</t>
  </si>
  <si>
    <t>['hadew', 'makinlama', 'parah', 'telkomsel', 'kritik', 'benerin', 'dibiarin', 'konon', 'prov', 'indo', 'maaf', 'pengguna', 'dri']</t>
  </si>
  <si>
    <t>['semoga', 'beruntung']</t>
  </si>
  <si>
    <t>['kecewa', 'provider', 'telkomsel', 'mahal', 'jaringan', 'taik', 'sosmed', 'youtube', 'lemot', 'banget', 'mengadu', 'contact', 'center', 'suruh', 'nunggu', 'pelayanan', 'terbaik', 'harga', 'mahal']</t>
  </si>
  <si>
    <t>['aplikasi', 'perbarui', 'paket', 'mahal', 'paket', 'hilang', 'tampa', 'jejak']</t>
  </si>
  <si>
    <t>['pusing', 'telkomsel', 'kuota', 'exstra', 'unlinya', 'terdaftar', 'kota', 'sragen', 'pas', 'cek', 'temen', 'payah', 'telkomsel', 'paketan', 'ilang']</t>
  </si>
  <si>
    <t>['udah', 'jakpus', 'jelek', 'jaringan', 'kacau', 'telkomsel', 'jelass', 'sial', 'udah', 'beli', 'paket', 'gb', 'jaringan', 'kayak', 'taikkkkkkk']</t>
  </si>
  <si>
    <t>['puas', 'berlangganan', 'telkomsel', 'jaringan', 'bagus']</t>
  </si>
  <si>
    <t>['sinyal', 'internet', 'lemot', 'mati', 'listrik', 'masak', 'jaringan', 'internet', 'mati', 'back', 'ups', 'genset', '']</t>
  </si>
  <si>
    <t>['aplikasi', 'baguss']</t>
  </si>
  <si>
    <t>['kode', 'redeem', 'pembelian', 'paket', 'gamesmax', 'masuk', 'error', 'gmna', '']</t>
  </si>
  <si>
    <t>['perbaikan']</t>
  </si>
  <si>
    <t>['isi', 'pulsa', 'malam', 'rb', 'mah', 'paketkan', 'selang', 'menit', 'pulsa', 'rb', 'tolong', 'kembalikan', 'pulsa']</t>
  </si>
  <si>
    <t>['jelek', 'aplikasi', 'telkomsel', 'semenjak', 'update', 'susah', 'masuknya']</t>
  </si>
  <si>
    <t>['update', 'mulu', 'jirrrrr', 'sya', 'kasih', 'bntang', 'telkomsel', 'buka', 'telkomsel', 'data', 'sampek', 'kb', 'kecepatan', 'error', 'ngerti', 'telkomsel', 'update', 'mulu', 'nambah', 'beban', 'udah', 'susah', 'signal', 'telkomsel', 'ngertiin', 'jangkauan', 'sampek', 'jdi', 'mohon', 'jngan', 'update', 'mulu', 'tolonggg']</t>
  </si>
  <si>
    <t>['mudah', 'pahami']</t>
  </si>
  <si>
    <t>['', 'update', 'paketannya']</t>
  </si>
  <si>
    <t>['kartu', 'simpati', 'membaik', 'lemot', 'harga', 'kuota', 'mahal', 'sesuai', 'sinyal', 'baca', 'komentar', 'pemasukan']</t>
  </si>
  <si>
    <t>['mahal', 'tarif', 'paket', 'telkomsel', 'skrng', 'jaringannya', 'tingkat', 'ngotak', 'emng', 'otw', 'beralih', 'operator', 'puas', 'pelayanan', 'dri', 'tel', 'sem', 'kom']</t>
  </si>
  <si>
    <t>['jaringannya', 'ngak', 'ngak', 'kali', 'beli', 'kartu', 'sial', 'kirim', 'tugas', 'susah', 'mending', 'kartu', '']</t>
  </si>
  <si>
    <t>['menyenangkan']</t>
  </si>
  <si>
    <t>['gampang', 'dimengerti']</t>
  </si>
  <si>
    <t>['apl', 'membantu', 'beli', 'paket', 'internet', 'bayak', 'pilihan']</t>
  </si>
  <si>
    <t>['semenjak', 'tragedi', 'telkom', 'kebakaran', 'kwalitas', 'jaringan', 'buruk', 'mohon', 'ditingkatkan', 'mengecewakan', 'pelanggan', 'telkomsel', '']</t>
  </si>
  <si>
    <t>['sinyal', 'lelet', 'harga', 'paket', 'internet', 'mahal', '']</t>
  </si>
  <si>
    <t>['mudah', 'lancar']</t>
  </si>
  <si>
    <t>['jaringan', 'data', 'super', 'lelet', 'merugikan', 'pengguna', 'bli', 'paketan', 'rb', 'lbh', 'kualitas', 'super', 'low', 'tingkatkan', 'kwalitas', 'jaringan', 'internetnya', 'kecewa', 'bli', 'mahal', '']</t>
  </si>
  <si>
    <t>['puas', 'apk']</t>
  </si>
  <si>
    <t>['coba', 'coba', 'nilainya', 'gimana', 'bagus', '']</t>
  </si>
  <si>
    <t>['aneh', 'combo', 'sakti', 'nomer', 'berbeda', 'harga', 'ratakan', 'iya', 'beli', 'gb', 'dlu', 'gb', 'masi', 'aneh', 'fix', 'setia', 'elu', 'gue', 'telkom', 'gue', 'ganti', 'operator', 'gini', '']</t>
  </si>
  <si>
    <t>['teknologi', 'volte', 'doang', 'volte']</t>
  </si>
  <si>
    <t>['', 'tlong', 'tingkat', 'jaringan', 'telkomsel']</t>
  </si>
  <si>
    <t>['paket', 'telkomsel', 'bagus', 'dipakai']</t>
  </si>
  <si>
    <t>['jaringan', 'mohon', 'tingkatkn']</t>
  </si>
  <si>
    <t>['updetan', 'updet', 'pea', 'gmnh', 'gua', 'updet', 'updet', 'ajh']</t>
  </si>
  <si>
    <t>['terimakasih', 'aplikasinya', 'kak']</t>
  </si>
  <si>
    <t>['beli', 'kuota', 'telkomsel', 'ajg', 'lelet', 'ampun', 'kuota', 'daftar', 'gb', 'buka', 'facebook', 'rekomendasiin', 'facebook', 'gratis', 'asw', 'telkomsel', '']</t>
  </si>
  <si>
    <t>['aplikasi', 'memudahkan', 'beli', 'paket', 'data', 'beli', 'paket', 'data', 'notifikasinya', 'sistem', 'gangguan', 'hubungi', 'niat', 'bantu']</t>
  </si>
  <si>
    <t>['aplikasi', 'login', 'mulu', 'tolonglah', 'mikir', 'update', 'perbaiki', 'ancur', 'jaringan', '']</t>
  </si>
  <si>
    <t>['nyoba', 'promo', 'banyakin', 'sinyal', 'jaringan', 'diperkuat', '']</t>
  </si>
  <si>
    <t>['udah', 'paketin', 'telpon', 'pulsa', 'diambil', 'woy', 'cek', 'diapk', 'telkom', 'beda', 'hasil', 'pulsa', 'gimana', 'tolong', 'dibenerin']</t>
  </si>
  <si>
    <t>['mahal', 'signal', 'jelek', '']</t>
  </si>
  <si>
    <t>['tingkatkan', 'kwalitas', 'sinyalnya', '']</t>
  </si>
  <si>
    <t>['paket', 'murah', 'perbanyak', '']</t>
  </si>
  <si>
    <t>['plis', 'cepetan', 'sinyal', 'bener', 'sekolah', 'daring', 'tersiksa', 'woy', '']</t>
  </si>
  <si>
    <t>['jaringan', 'kayak', 'wilayah', '']</t>
  </si>
  <si>
    <t>['jaringan', 'ancur', 'menghambat', 'keperluan', 'orang', '']</t>
  </si>
  <si>
    <t>['daerah', 'kepulauan', 'seribu', 'utara', 'sinyal', 'anjinggggggggggg', 'parah', 'ajj', 'sinyal', 'telkomsell', 'babyy']</t>
  </si>
  <si>
    <t>['harap', 'beritahu', 'perubahan', 'apapun', 'ituuu', '']</t>
  </si>
  <si>
    <t>['bagus', 'kadang', 'lag', '']</t>
  </si>
  <si>
    <t>['jaringan', 'dimana', 'kualitas', 'lemooot', 'malam', 'kyk', 'dhutan', 'denganmu', 'telkomsel', '']</t>
  </si>
  <si>
    <t>['harga', 'paket', 'mahal', 'barengi', 'kualitas', 'sinyal', '']</t>
  </si>
  <si>
    <t>['jaringan', 'keong', 'heran', 'nge', 'game', 'salah', 'internetan', 'salah', 'mengecewakan', 'sumpah', '']</t>
  </si>
  <si>
    <t>['telcomsel', 'paket', 'doang', 'mahal', 'jaring', 'jelek', 'anjinggggggg']</t>
  </si>
  <si>
    <t>['jaringan', 'telkomsel']</t>
  </si>
  <si>
    <t>['aplikasinya', 'bagus', 'promonya', 'bonus', 'check', '']</t>
  </si>
  <si>
    <t>['kartu', 'tahi', 'mahal', 'jaringan', 'ngelag', 'mintak', 'ampun', 'ngotak', 'kartu', 'tahii', 'ngtd']</t>
  </si>
  <si>
    <t>['undian', 'poin', 'telkomsel', 'menang']</t>
  </si>
  <si>
    <t>['semoga', 'bonus', 'telepon', 'kuota', 'internet']</t>
  </si>
  <si>
    <t>['mantap', 'cok']</t>
  </si>
  <si>
    <t>['paket', 'unlimited', 'gb', 'ribu', 'beli', 'akses', 'keterangannya', 'membeli', 'produk', 'beli', 'trs', 'ngapain', 'pajang', '']</t>
  </si>
  <si>
    <t>['aplikasi', 'mudah']</t>
  </si>
  <si>
    <t>['oke', 'bagus']</t>
  </si>
  <si>
    <t>['tingkat', 'pelayanan']</t>
  </si>
  <si>
    <t>['aplikasi', 'suka', 'eror', 'kersal', 'gue']</t>
  </si>
  <si>
    <t>['kasih', 'bintang', 'sinyalnya', 'jelek', 'harga', 'mahal', 'kecewa', 'kualitas']</t>
  </si>
  <si>
    <t>['tolong', 'telkomsel', 'perbaiki', 'sinyalnya', 'iya', 'terkadang', 'dapet', 'promo', 'murah', 'sinyalnya', 'jelek', 'belajar', 'daring', 'susah', 'bnget', 'cuman', 'send', 'foto', 'berjam', 'jam']</t>
  </si>
  <si>
    <t>['suka']</t>
  </si>
  <si>
    <t>['suka', 'aplikasi', 'love', 'you']</t>
  </si>
  <si>
    <t>['mudah', 'indormasi']</t>
  </si>
  <si>
    <t>['membantu', 'pembelian', 'pusa', 'kuota', 'internet']</t>
  </si>
  <si>
    <t>['aplikasinya', 'mantap', '']</t>
  </si>
  <si>
    <t>['tolong', 'sebentar', 'sebentar', 'pulsa', 'pinjaman', 'nyaman', 'sengaja', 'menyentuh', 'pinjaman', 'meminjam', 'kuota', 'mengganggu', 'trima', 'kasih']</t>
  </si>
  <si>
    <t>['memidahkan']</t>
  </si>
  <si>
    <t>['sinyal', 'jaringan', 'kuat']</t>
  </si>
  <si>
    <t>['sekrang', 'telkomsel', 'lemot', 'banget', '']</t>
  </si>
  <si>
    <t>['aplikasi', 'bermanfaat', 'terima', 'kasih']</t>
  </si>
  <si>
    <t>['kasih', 'paket', 'gb', 'ribu']</t>
  </si>
  <si>
    <t>['team', 'telkomsel', 'bertugas', 'hormat', 'adi', 'prayoga', 'maaf', 'ucapan', 'kemaren', 'enak', 'dengar', 'menyadari', 'selenuhnya', 'perbuatan', 'ucapan', 'kemarin', 'layak', 'ucapkan', 'olehbkarna', 'pribadi', 'maaf', 'besarnya', '']</t>
  </si>
  <si>
    <t>['memudahkan', 'urusan', 'cek', 'mengecek', 'terbantu', 'terimakasi', 'terkomsel']</t>
  </si>
  <si>
    <t>['telkomsel', 'jaringan', 'lemot', 'debat', 'diupgrade', 'maju', 'karna', 'pengguna', 'setia', 'kartu', 'telkomsel', 'kecewa', 'pengguna', 'diperbaiki']</t>
  </si>
  <si>
    <t>['telkomsel', 'sejati', 'makasih', '']</t>
  </si>
  <si>
    <t>['jaringan', 'telkomsel', 'burik', 'bertahun', 'make', 'quota', 'belinya', 'mahal', 'maaf', 'mending', 'ganti', 'kartu', 'kaya', 'gini', 'sinyalnya', 'kecewa', 'sesuai', 'harga', 'paketnya', 'mahal', 'jaringannya', '']</t>
  </si>
  <si>
    <t>['mohon', 'maaf', 'dibuatkan', 'kartu', 'perdana', 'simpati', 'nomer', 'nomer', 'hilang', 'nomer', 'kontak', 'data', 'pribadi', 'hilang', 'terjatuh', 'ketinggian', 'gedung', 'cari', 'ketemu', 'mohon', 'infonya', 'terimakasih']</t>
  </si>
  <si>
    <t>['woyy', 'gimana', 'berentiin', 'paket', 'internet']</t>
  </si>
  <si>
    <t>['lemot', 'telkomsel', 'parah', 'mahal', 'doang', 'hadeuh']</t>
  </si>
  <si>
    <t>['parah', 'jaringan', 'telkomsel', 'kalah', 'saing', 'kompetitor', 'mohon', 'perbaiki', 'secepat']</t>
  </si>
  <si>
    <t>['telekomsel', 'pakek', 'fitur', 'save', 'pulsa', 'provider', 'pakek', 'pulsa', 'aman', 'kesedot', 'pulsa', 'pas', 'quota', 'internet', 'abis', 'mohon', 'tanggapi', 'pulsa', 'kesedot', 'min', 'pas', 'internet', 'abis', 'save', 'pulsa']</t>
  </si>
  <si>
    <t>['panggilan', 'telepon', 'nampilin', 'sisa', 'pulsa', 'jdi', 'risih']</t>
  </si>
  <si>
    <t>['', 'parah', 'paket', 'murah', 'mantap']</t>
  </si>
  <si>
    <t>['kuota', 'unlimited', 'telkomsel', 'bintang', 'share', 'teman', 'keluarga', 'mytelkomsel', 'pleaseeee']</t>
  </si>
  <si>
    <t>['paketan', 'kuota', 'data', 'multimedia', 'pktan', 'jebakan', 'ala', 'telkomsel', 'paketannya', 'pakai']</t>
  </si>
  <si>
    <t>['memperbaharui', 'aplikasi', 'nonya', 'nggak', 'dimasukin', 'tolong', 'diperbaiki', 'program', 'aplikasinya', 'nggak', 'tolong', 'buatin', 'fitur', 'aplikasinya', 'melacak', 'otomatis', 'nggak', 'nyaman', 'banget', 'terimakasih', '']</t>
  </si>
  <si>
    <t>['kntl', 'emmg', 'pulsa', 'gua', 'hbis', 'dikit', 'dicuri', 'makai', 'data', 'telkom', 'nabung', 'pulsa', 'beli', 'paket', 'dicuri', 'pulsa', 'kecewa', 'udh', 'korup']</t>
  </si>
  <si>
    <t>['aplikasinya', 'mudah']</t>
  </si>
  <si>
    <t>['terima', 'kasih', 'hati']</t>
  </si>
  <si>
    <t>['ulasan', 'hilang', 'aneh', 'awas', 'hati', 'promo', 'poin', 'telkomsel', '']</t>
  </si>
  <si>
    <t>['kecewa', 'berat', 'telkomsel', 'harga', 'sinyalnya', 'gitu', 'buka', 'kuota', 'mati', 'lampu', 'sinyal', 'ilang', 'liat', 'noh', 'indosat', 'pas', 'mati', 'lampu', 'sinyal', 'bagus', 'telkomsel', 'sinyal', 'minimal', 'sinyalnya', 'jelek', 'kurangin', 'harganya']</t>
  </si>
  <si>
    <t>['membeli', 'paket', 'instagram', 'pembelian', 'pulsa', 'berkurang', 'gimana', 'telkomsel', 'karen', 'kebutuhan', 'paket', 'combo', 'sakti', 'beli', 'paket', 'combo', 'sakti', 'pengeluaran', 'bertambah', 'telkomsel', 'membatalkan', 'pembelian', 'paket', 'instagram', 'kasi', 'bintang', 'beli', 'pengurangan', 'bintang', 'lakukan', 'sebagi', 'bentuk', 'komplen', '']</t>
  </si>
  <si>
    <t>['aplikasi', 'bagus', 'maaf', 'ulasan', 'kemarin']</t>
  </si>
  <si>
    <t>['claim', 'kuota', 'gb', 'eror', 'diulangi', 'klaim', 'kali', 'dibuka', 'daily', 'chekin', 'bonus', 'terklaim', 'penambahan', 'paket', 'sayanya', 'aplikasi', 'penipu']</t>
  </si>
  <si>
    <t>['registrasi', 'susah', 'nomor', 'aktif', 'cek', 'telkomsel', 'kartu', 'bli', 'parahhh']</t>
  </si>
  <si>
    <t>['bagus', 'banget', 'tolong', 'promo', 'poin', 'tukar', 'kuota', 'variatif', 'murah', 'contoh', 'poin', 'gb', 'keren', 'tpi', 'sayang', 'salah', 'sebulan', 'berlaku', 'bagus', 'seminggu', 'terima', 'kasih', 'telkomsel', '']</t>
  </si>
  <si>
    <t>['bagus', 'kya', 'dlu']</t>
  </si>
  <si>
    <t>['wilayah', 'indonesia', 'timur', 'harga', 'paket', 'mahal']</t>
  </si>
  <si>
    <t>['jaringannya', 'tolong', 'diperbaiki', 'sinyal', 'turun', 'naek', 'gajelas', 'please', 'perbaiki', 'bug', '']</t>
  </si>
  <si>
    <t>['pliss', 'fitur', 'tukar', 'poin', 'paket', 'data', 'jgan', 'pke', 'tarif', 'mna', 'tarif', 'kayak', 'beli', 'paket', 'poin', 'poin', 'gua', 'numpuk', 'njirrr', 'kepake', 'terima', 'kasih', '']</t>
  </si>
  <si>
    <t>['isi', 'pulsa', 'ambil', 'kouta', 'harian', 'kouta', 'harian', 'komplen', 'panduan']</t>
  </si>
  <si>
    <t>['mantap', 'pisan', 'aplikasi']</t>
  </si>
  <si>
    <t>['mudah', 'cek', 'paket', 'aplikasi']</t>
  </si>
  <si>
    <t>['keren', 'mantabzzzz']</t>
  </si>
  <si>
    <t>['paket', 'nelpon', 'murah', 'paket', 'internet', 'mahal']</t>
  </si>
  <si>
    <t>['log', 'akun', 'kali', 'coba', 'klik', 'tautan', 'dikirimkan', 'namu', 'tautan', 'kadaluwarsa', 'coba', 'metode', 'coba', 'veronika', 'balasan', 'apk', 'nomor']</t>
  </si>
  <si>
    <t>['apasih', 'udah', 'isi', 'kuota', 'apk']</t>
  </si>
  <si>
    <t>['telkom', 'kuota', 'yutub', 'aktif', 'semalem', 'gabisa', 'pakai', 'lemot', 'bagus']</t>
  </si>
  <si>
    <t>['mudah', 'login']</t>
  </si>
  <si>
    <t>['upgrade', 'gangguan', 'mulu', 'isi', 'paket', 'mulu', 'pdhl', 'saldonya']</t>
  </si>
  <si>
    <t>['jaringan', 'telkomsel', 'dipadang', 'kencang', 'lemot', 'buka', 'sosial', 'media', 'susah', 'main', 'game', 'kacau', 'parah']</t>
  </si>
  <si>
    <t>['aplikasi', 'anehh']</t>
  </si>
  <si>
    <t>['mantep', 'mantep', 'bnyak', 'promo']</t>
  </si>
  <si>
    <t>['berkat', 'apk', 'sya', 'jdh', 'mida', 'membeli', 'pulsa']</t>
  </si>
  <si>
    <t>['bagus', 'sangant', 'membantu', '']</t>
  </si>
  <si>
    <t>['senang', 'layanan', 'telkomsel']</t>
  </si>
  <si>
    <t>['apknya', 'kaliannya']</t>
  </si>
  <si>
    <t>['suka', 'apk', 'jaringan', 'jelek', 'tolong', 'diperbaiki', 'jaringannya', 'yaa', 'mendownload', 'apk', 'butuh', 'menit', 'mohon', 'percepatan', 'perbaikannya', 'yaa', '']</t>
  </si>
  <si>
    <t>['berharap', 'lbih']</t>
  </si>
  <si>
    <t>['diinstal', 'android', '']</t>
  </si>
  <si>
    <t>['dikasih', 'paket']</t>
  </si>
  <si>
    <t>['mohon', 'maaf', 'biyasanya', 'nomor', 'aplikasi', 'mytelkomsel', 'koq', '']</t>
  </si>
  <si>
    <t>['mahal', 'kak', '']</t>
  </si>
  <si>
    <t>['suka', 'aplikasi', 'sekrang', 'telkomsel', 'bnget']</t>
  </si>
  <si>
    <t>['', 'bintang', 'full', '']</t>
  </si>
  <si>
    <t>['paket', 'gb', 'udah', 'hhhmmm', 'gangguan', 'muluk']</t>
  </si>
  <si>
    <t>['mudah', 'belinya']</t>
  </si>
  <si>
    <t>['lbh', 'mudah', 'lbh', 'murah']</t>
  </si>
  <si>
    <t>['update', 'lemot']</t>
  </si>
  <si>
    <t>['kak', 'pembelian', 'paket', 'internet', 'kak', 'instal', 'ulang', 'berulang', 'kali', 'sinyal', 'penuh', 'ajah', 'paketan', 'udah', 'urgent']</t>
  </si>
  <si>
    <t>['bgus', 'aplikasi']</t>
  </si>
  <si>
    <t>['terimah', 'kasi', 'telkomsel', 'puas', 'dgan', 'promo', 'non', 'promonya', '']</t>
  </si>
  <si>
    <t>['telkomsel', 'sangad', 'lag', '']</t>
  </si>
  <si>
    <t>['kuota', 'lgi', 'buka', 'google', 'kecewa', 'telkomsel', 'aktif', 'kecewa', 'telkom']</t>
  </si>
  <si>
    <t>['pengen', 'dpat', 'kuota', '']</t>
  </si>
  <si>
    <t>['ayo', 'telkomsel', 'minggu', 'kemarin', 'beli', 'paket', 'telfon', 'paket', 'data', 'why', 'bertahun', 'devoloper', 'mendapati', 'seberat', 'tolong', 'diperbaiki', 'devoloper', '']</t>
  </si>
  <si>
    <t>['knp', 'susah', 'dibuka', 'reno', '']</t>
  </si>
  <si>
    <t>['kesini', 'lemot', 'parah', 'lemotnya', '']</t>
  </si>
  <si>
    <t>['jaringan', 'ancur', 'ancuran']</t>
  </si>
  <si>
    <t>['th', 'jdi', 'pelanggan', 'setia', 'telkomsel', 'tolong', 'signalnya', 'perkuat', 'daerah', 'kabpaten', '']</t>
  </si>
  <si>
    <t>['provider', 'internet', 'promo', 'terbaik', '']</t>
  </si>
  <si>
    <t>['membantu', 'langsung', 'kode', 'wkwkwkwk']</t>
  </si>
  <si>
    <t>['kerennnn', 'bnyak', 'promo', 'internet', 'murahnya']</t>
  </si>
  <si>
    <t>['aplikasi', 'bgus', '']</t>
  </si>
  <si>
    <t>['kurangi', 'bintangnya', 'kecewa', 'sinyal', 'hilang', 'tolong', 'dperbaiki', '']</t>
  </si>
  <si>
    <t>['', 'telkomsel', 'aplikasi', 'mudah', 'diinstall', 'ribet', 'mantap', 'rekomendasi', 'pengguna', 'telkomsel']</t>
  </si>
  <si>
    <t>['apk', 'bagus', 'banget', 'seriusan', '']</t>
  </si>
  <si>
    <t>['mantap', 'telkomsel', 'bravo']</t>
  </si>
  <si>
    <t>['aplikasi', 'jelek', 'paket', 'mahal', 'jaringan', 'burok', 'kedaong', 'lahh', 'bnar', 'bnar', 'batu', 'harge', 'paket', 'harge', 'paket', 'sesuaikan', 'jarinagn', 'asuk']</t>
  </si>
  <si>
    <t>['developer', 'tolong', 'beneran', 'donk', 'kerja', 'beli', 'paket', 'game', 'udah', 'daftar', 'dipake', 'tolol', 'kyk', 'gini', 'sia', 'sia', 'uang', 'sebisa', 'kerja', 'profesional']</t>
  </si>
  <si>
    <t>['tingkatkan', 'layanan']</t>
  </si>
  <si>
    <t>['tingkatkan', 'pelayanan', 'depannya']</t>
  </si>
  <si>
    <t>['tingkat', 'kinerja', 'telkomsel', 'jdi', 'internet', 'nomor', 'indonesia']</t>
  </si>
  <si>
    <t>['perbanyaklah', 'promo', 'internet', 'weekend', 'terjangkau', 'masy', '']</t>
  </si>
  <si>
    <t>['aplikasi', 'mempermudah', 'membeli', 'paket', 'nelpon', 'paket', 'data']</t>
  </si>
  <si>
    <t>['sinya', 'jelek']</t>
  </si>
  <si>
    <t>['wahh', 'sihh', 'kemarin', 'sinyal', 'bener', 'kayak', 'makinnn', 'lagg', 'knp', 'sihh', 'harga', 'sesuai', 'kualitas', 'kayak', 'gini', 'ganti', 'kartu']</t>
  </si>
  <si>
    <t>['bagaimn', 'ciii', 'rugiin', 'nsumen', 'costmer', 'dooong', 'pulsa', 'hilang', 'mll', '']</t>
  </si>
  <si>
    <t>['telkomsel', 'jelek', 'sinyalnya', 'gue', 'ditinggal', 'kota', 'mengeluh', 'jaringan', 'telkomsel', 'bagus', 'banget', 'terjelek', 'kegiatan', 'kuliah', 'internet', 'beli', 'paket', 'mahal', 'jaringan', 'jelek', 'teman', 'teman', 'gue', 'banyka', 'ganti', 'kartu', 'jaringan', 'jelek', 'mulu', 'kayak', 'menyesal', 'beli', 'paket', 'telkomsel']</t>
  </si>
  <si>
    <t>['pulsa', 'diambil', 'pakaii', 'penipu', 'respon', 'cpatt']</t>
  </si>
  <si>
    <t>['mudah', 'informasi', 'telkomsel']</t>
  </si>
  <si>
    <t>['puas', 'telkomsel', 'mantap']</t>
  </si>
  <si>
    <t>['nge', 'bug', 'aplikasi', 'kirim', 'tautan', 'verivikasi', 'udah', 'klik', 'ber', 'kali', 'kali', 'pesan', 'masuk']</t>
  </si>
  <si>
    <t>['', 'beda', 'telkomsel', 'paket', 'unlimetedmax', 'jelek', 'hadeuuuuh']</t>
  </si>
  <si>
    <t>['telkomsel', 'buruk', 'kualitas', 'sinyal', 'pelayanannya', 'udah', 'dibilang', 'berkali', 'kali', 'butuh', 'customer', 'service', 'dimassenger', 'paham', 'paham', 'bilangnha', 'benerin', 'sinyal', 'didesa', 'gua', 'udah', 'berbulan', 'idul', 'adha', 'selesai', 'sampe', 'kualitas', 'didesa', 'gua', 'ganti', 'provider', 'males', '']</t>
  </si>
  <si>
    <t>['jelek', 'paket', 'mahal']</t>
  </si>
  <si>
    <t>['telkomsel', 'hsti']</t>
  </si>
  <si>
    <t>['jaringan', 'bagus', 'cuman', 'mahal', '']</t>
  </si>
  <si>
    <t>['knp', 'telkomsel', 'lelet']</t>
  </si>
  <si>
    <t>['tolong', 'sinyal', 'area', 'gunung', 'batin', 'lampung', 'diperbaiki', 'donk', 'parah', 'abis', 'nich', 'setia', 'telkomsel', 'dlu', '']</t>
  </si>
  <si>
    <t>['susah', 'skrng', 'masukx', 'bro', '']</t>
  </si>
  <si>
    <t>['harga', 'paket', 'internet', 'berbeda', 'beda', 'kartu', 'mohon', 'disamakan', 'paket', 'harga', 'internetnya', 'untung', 'untung', 'ruginya']</t>
  </si>
  <si>
    <t>['berguna', 'bonusnya', '']</t>
  </si>
  <si>
    <t>['susah', 'beli', 'paketnya']</t>
  </si>
  <si>
    <t>['udah', 'beli', 'paket', 'data', 'hilang', 'kuotanya', 'diisi']</t>
  </si>
  <si>
    <t>['best', 'app', 'ribet', 'rekomen', 'banget']</t>
  </si>
  <si>
    <t>['jaringan', 'down', 'kesel', 'simpati', 'jaringannya', 'bagus', 'indonesia', 'parah', 'kaya', 'taeee', 'simpati', 'parah', 'jaringan', 'anjeeng', 'ktanya', 'jaringan', 'terluas', 'lemoooot', 'najisss']</t>
  </si>
  <si>
    <t>['sinyal', 'busuk', 'telkomsel', 'mengecewakan']</t>
  </si>
  <si>
    <t>['mengecewakan', 'log', 'bsa', 'nukar', 'point', 'bsa', 'aplikasi', 'useless']</t>
  </si>
  <si>
    <t>['banyakin', 'promo', 'bagus']</t>
  </si>
  <si>
    <t>['sangattttttt', 'membantu', '']</t>
  </si>
  <si>
    <t>['loading', 'kuota', 'tolong', 'perbaiki', 'kecewa', 'konsumen', 'pengguna', 'please', 'perbaiki']</t>
  </si>
  <si>
    <t>['ditinggatkan', 'pelayanan', 'sinyalnya', 'telat', 'bayar', 'trus', 'blokir', 'blokir', 'telkomsel', 'memperbaiki', 'kekurangannya', 'tks']</t>
  </si>
  <si>
    <t>['beli', 'pulsa', 'disedot', 'telkomsel', 'ngapa', 'in', 'beli', 'pulsa', 'daun', 'kali', 'udah', 'beli', 'uang', 'telkomsel', 'seenak', 'jidatnya', 'maling']</t>
  </si>
  <si>
    <t>['paket', 'kuota', 'nonton', 'lokal', 'kepake', 'streaming', 'apk', 'kepake', 'kuota', 'internal']</t>
  </si>
  <si>
    <t>['kualitas', 'sinyal', 'terbaik', '']</t>
  </si>
  <si>
    <t>['menyelesaikan', 'perpaketan', 'perpulsaan', 'banget', '']</t>
  </si>
  <si>
    <t>['jaringan', 'lemot', 'harga', 'mahal', 'sesuai', 'fasilitas', 'pelayanan', 'terbaik', 'mending', 'turunin', 'harganya', 'sesuaikan']</t>
  </si>
  <si>
    <t>['mudah', 'dang', 'gampang', 'mantaaaaaappp', '']</t>
  </si>
  <si>
    <t>['ribet', 'login', 'mulu', 'notif']</t>
  </si>
  <si>
    <t>['telkomsel', 'jaringannya', 'buruk', 'banget', 'paketnya', 'dipakai', 'lag', 'semoga', 'kedepannya', 'telkomsel', 'memperbaiki', 'sinyal', 'jaringannya', 'lancar', 'memakai', 'kouta']</t>
  </si>
  <si>
    <t>['maaf', 'komplen', 'pulsa', 'hilang', 'trs', 'pdhl', 'kuota', 'bnyk', 'telkomsel', 'trs', 'mngambil', 'sisa', 'pulsa', 'mohon', 'bantuan', '']</t>
  </si>
  <si>
    <t>['mudah', '']</t>
  </si>
  <si>
    <t>['mantap', 'ngk', 'mnger']</t>
  </si>
  <si>
    <t>['bagus', 'provider', 'telkomsel', 'memburuk', 'signal', 'kebijakannya', 'provider', 'indonesia', 'maaf', 'berpindah', 'provider', 'pelayanan', 'telkomsel', '']</t>
  </si>
  <si>
    <t>['tolong', 'telkom', 'benerin', 'knp', 'beli', 'pulsa', 'langsung', 'abis', 'sumpah', 'kecewa', 'banget', '']</t>
  </si>
  <si>
    <t>['harga', 'kuota', 'telkomsel', 'mahal', 'lainya']</t>
  </si>
  <si>
    <t>['kuota', 'game', 'gabisa', 'main', 'game', 'tcih']</t>
  </si>
  <si>
    <t>['', 'ngirit', '']</t>
  </si>
  <si>
    <t>['terinstal', 'android', '']</t>
  </si>
  <si>
    <t>['sinyalnya', 'lemot', 'maen', 'game', 'lag', 'ayolah', 'perbaiki']</t>
  </si>
  <si>
    <t>['tolong', 'diperbaiki', 'jaringan', 'paket', 'promonya', 'diperbanyak', 'bntg']</t>
  </si>
  <si>
    <t>['telkomsel', 'terdepan', 'amin']</t>
  </si>
  <si>
    <t>['sinyal', 'internet', 'lemot', 'manis', 'mata', 'klabar']</t>
  </si>
  <si>
    <t>['proses', 'masuknya', 'ribet', 'pakai', 'link', 'menunya', 'bagus', 'nggak', 'pakai', 'kode', 'verifikasi', 'praktis']</t>
  </si>
  <si>
    <t>['paket', 'unlimited', 'gede', 'terpake', 'unlimited', 'kuota', 'utama', 'habis', 'provider', 'terpake', '']</t>
  </si>
  <si>
    <t>['terimakasih', 'aplikasi', 'bermanfaat']</t>
  </si>
  <si>
    <t>['telkomsel', 'didalem', 'ruangan', 'bermasalah', 'dapet', 'sinyalnya', 'dikosan', 'dilantai', 'ruangannya', 'terbuka', 'susah', 'sinyalnya', 'ditempat', 'kerja', 'masuk', 'kedalem', 'susah', 'ruangan', 'dapet', 'sinyal', '']</t>
  </si>
  <si>
    <t>['admin', 'sory', 'nei', 'coba', 'data', 'habis', 'otomatis', 'pulsa', 'ambil', 'hilang', 'otomatis', 'pulsa', 'tetep', 'thanks', '']</t>
  </si>
  <si>
    <t>['coba', 'kasih', 'bintang', 'tolong', 'tingkatkan', 'sinyal', 'telkomsel', 'didaerah', 'lombok', 'terimakasih']</t>
  </si>
  <si>
    <t>['membatu', 'perkembangan', 'jaman', 'jigital']</t>
  </si>
  <si>
    <t>['telkomsel', 'stop', 'tipu', 'paket', 'rupiah', 'pulsa', 'disedot', 'persetujuan', '']</t>
  </si>
  <si>
    <t>['memuaskan', 'fitur', 'menarik', '']</t>
  </si>
  <si>
    <t>['pengguna', 'jaringan', 'telkomsel', 'bertahun', 'pelanggan', 'jaringan', 'bagus', 'bagus', 'mohon', 'perbaiki']</t>
  </si>
  <si>
    <t>['buruk', 'sinyal', 'mya', 'jelek', 'kasih', 'bimtang', 'mohon', 'perbaiki', 'sinyal']</t>
  </si>
  <si>
    <t>['knp', 'apk', 'jelaaassss']</t>
  </si>
  <si>
    <t>['update', 'perubahan', 'mytelkomsel', 'buruk', 'top']</t>
  </si>
  <si>
    <t>['semoga', 'aplikasi', 'membantu', '']</t>
  </si>
  <si>
    <t>['', 'lumayan', 'oke']</t>
  </si>
  <si>
    <t>['', 'apknya', 'membantu']</t>
  </si>
  <si>
    <t>['cipinang', 'muara', 'jakarta', 'timur', 'sinyal']</t>
  </si>
  <si>
    <t>['', 'telkomsel', 'praktis', 'mudah']</t>
  </si>
  <si>
    <t>['lanjutkan', 'pelayanan', 'terbaik']</t>
  </si>
  <si>
    <t>['jaringan', 'internet', 'superrrrr', 'lelet', 'harga', 'paket', 'internet', 'superrrrr', 'mahallll', 'koneksi', 'internet', 'superrrrr', 'lelettttt', 'recommended', 'pakai', 'kartu', 'telkomsel']</t>
  </si>
  <si>
    <t>['mengecewakan']</t>
  </si>
  <si>
    <t>['buka', 'aplikasi', 'telkomsel', 'sllu', 'restart']</t>
  </si>
  <si>
    <t>['membeli', 'paket', 'unlimited', 'youtube', 'kuota', 'utama', 'terpotong']</t>
  </si>
  <si>
    <t>['kecewa', 'beli', 'kartu', 'aplikasi', 'pesan', 'dsni', 'alasan', 'bagus', 'cepat', 'mengecewakan', 'pesan', 'telfn', 'telkomsel', 'kartunya', 'mala', 'kusut', 'kartu', 'mati', 'kartu', 'bayar', 'pesan', 'gratis']</t>
  </si>
  <si>
    <t>['promo', 'paket', 'bagus']</t>
  </si>
  <si>
    <t>['pembuatan', 'serasa', 'serasa', 'bayangkan', 'sinyal', 'internet', 'jalan', 'kemedia', 'konsumen', 'lapornya', 'layanan', 'kominfo', 'keteledoran', 'pelayanan', 'konsumen', 'twit', 'teknisi', 'telkomsel', 'langsung', 'wilayah', 'terkiranya', 'jelek', 'jaringannya', '']</t>
  </si>
  <si>
    <t>['aplikasi', 'bagus', 'banggat', 'trimakasi', 'telkomsel']</t>
  </si>
  <si>
    <t>['bagus', 'harga', 'paketnya', 'mahal']</t>
  </si>
  <si>
    <t>['mantap', 'jaringan']</t>
  </si>
  <si>
    <t>['pas', 'beli', 'kuota', 'dibilang', 'pulsa', 'pas', 'pulsa', 'dasar', 'emang', 'apk', 'gajelas', 'gausah', 'beli', 'kuot', 'pulsa', 'telkomsel', 'sumpah', 'nyesel', 'banget', '']</t>
  </si>
  <si>
    <t>['perbaiki', 'pelayanan']</t>
  </si>
  <si>
    <t>['baiknya', 'paket', 'internet', 'nelpon', 'murah', 'tolong', 'tingkatkan', 'signal', 'telephon', 'komunikasi', 'lancar', 'putus', 'putus', 'suaranya', 'miskomunikasi', 'pembicaraan', 'trims']</t>
  </si>
  <si>
    <t>['pelayanan', 'jaringan', 'bagus', 'tinggal', 'tingkatkan', 'stabilannya', 'thx', '']</t>
  </si>
  <si>
    <t>['suka', 'promo']</t>
  </si>
  <si>
    <t>['', 'bintang', 'mewakili', 'kualitasnya']</t>
  </si>
  <si>
    <t>['', 'deh', 'aplikasinya']</t>
  </si>
  <si>
    <t>['sinyalll', 'mantap', 'kampung', 'oada', 'wkwkwk']</t>
  </si>
  <si>
    <t>['napa', 'paket', 'combo', 'sakti', 'berlaku']</t>
  </si>
  <si>
    <t>['berhubung', 'masuk', 'kasih', 'bintang']</t>
  </si>
  <si>
    <t>['keren', 'membantu']</t>
  </si>
  <si>
    <t>['memudahkan', 'pengguna', 'telkomsel', 'mengakses', 'promo', 'paket', 'kuota', 'data', 'dll']</t>
  </si>
  <si>
    <t>['kecewa', 'jaringan', 'sulawesi', 'lalod', 'skali', 'padhal', 'lncar', 'jaya', 'kyknya', 'pindah', 'kencang']</t>
  </si>
  <si>
    <t>['bagus', 'cuman', 'bingung', 'fitur', 'coba', 'dipermudah', 'desain']</t>
  </si>
  <si>
    <t>['kasih', 'kuota', 'super', 'harga', 'murah', 'tahunan', 'masak', 'lihat', 'kuota', 'telkomsel']</t>
  </si>
  <si>
    <t>['mantul', 'syaa', 'paket', 'kuota', 'murah']</t>
  </si>
  <si>
    <t>['lumayan', 'jaringan', 'lag', 'main', 'game', 'mohon', 'diperbaiki', 'terkomsel']</t>
  </si>
  <si>
    <t>['stelah', 'perbarui', 'masuk', 'knapa', '']</t>
  </si>
  <si>
    <t>['membantu', 'penguna', 'telkomsel']</t>
  </si>
  <si>
    <t>['memudahkan']</t>
  </si>
  <si>
    <t>['bagus', 'suka', 'tolong', 'kasih', 'promo', 'pembelian', 'paket', 'kuota', 'standar', 'murah', 'kls', 'ekonomi', 'bwh', '']</t>
  </si>
  <si>
    <t>['mudah', 'beli', 'paket']</t>
  </si>
  <si>
    <t>['pulsa', 'data']</t>
  </si>
  <si>
    <t>['nyoba', 'aplikasi', 'skr', 'mdh', 'bermanfaat']</t>
  </si>
  <si>
    <t>['mahal', 'dak', 'sulit', 'memilih', 'paket']</t>
  </si>
  <si>
    <t>['beli', 'paket', 'internet', 'gratis', 'tlpn', 'all', 'operator', 'menit', 'gratis', 'tlpn', 'tsel', 'menit', 'pulsa', 'berkurang', 'kemana', '']</t>
  </si>
  <si>
    <t>['pilihan', 'paket', 'lengkap']</t>
  </si>
  <si>
    <t>['puas', 'berlangganan']</t>
  </si>
  <si>
    <t>['maaf', 'kasih', 'bintang', 'aplikasinya', 'udah', 'update', 'lagih']</t>
  </si>
  <si>
    <t>['update', 'versi', 'terbaru', 'kompatibel', 'perangkat', 'haruskah', 'berli', 'handpone', 'hikss']</t>
  </si>
  <si>
    <t>['beralih', 'telkomsel', 'karna', 'memuaskan']</t>
  </si>
  <si>
    <t>['oke', 'pilihan', 'beli', 'paket', 'internet', '']</t>
  </si>
  <si>
    <t>['hallo', 'telkomsel', 'pembelian', 'paket', 'telkomsel', 'gangguan', 'kemaren', 'pembelian', 'telkomsel', 'nggak', '']</t>
  </si>
  <si>
    <t>['stabil', '']</t>
  </si>
  <si>
    <t>['sangatttttt', 'membantuuuuuuui']</t>
  </si>
  <si>
    <t>['nomber', 'aga', 'mahal', '']</t>
  </si>
  <si>
    <t>['transfer', 'pulsa', 'pulsa', 'mencukupi', 'sesuai', 'syarat', 'ketentuan', 'hadehhhhh']</t>
  </si>
  <si>
    <t>['tolong', 'jaringan', 'sinyal', 'ditempat', 'tinggal', 'diperbaiki', 'alamat', 'komplek', 'rimera', 'tin', 'garden', 'jalan', 'husin', 'basri', 'kawasan', 'perumahan', 'tinggal', 'kesulitan', 'sinyal', 'jaringan', 'internet', 'stabil', 'jaringan', 'kuat', 'sulit', 'mewakili', 'nama', 'warga', 'mohon', 'dibantu', 'percaya', 'silahkan', 'turunkan', 'tim', 'lapangan', 'mengecek', 'kebenarannya']</t>
  </si>
  <si>
    <t>['berharap', 'banget', 'gb', 'adakan', 'trus', 'butuh', 'kuota', 'mingguan', 'harian', 'kuota', 'nanggung', 'hati', 'butuh', 'gb', 'mb', 'dll', 'minggu', 'kyaknya']</t>
  </si>
  <si>
    <t>['sinyalnya', 'parah', 'jeleknya', 'udah', 'kyk', 'payah', 'ganti', 'provider', '']</t>
  </si>
  <si>
    <t>['aplikasi', 'memgecewakan', 'masuk', 'ditunggu', 'sms', 'tautan', 'veronicanya', 'mogok', 'kerja', 'tutup', '']</t>
  </si>
  <si>
    <t>['udah', 'langganan', 'telkomsel', 'aplikasi', 'trima', 'kasih', 'mytelkomsel', 'mudah', 'mencari', 'info', 'promo', 'hadiah', '']</t>
  </si>
  <si>
    <t>['blom', 'murah']</t>
  </si>
  <si>
    <t>['signalnya', 'lemot', 'nich']</t>
  </si>
  <si>
    <t>['sagat', 'memuas']</t>
  </si>
  <si>
    <t>['', 'gagal', 'paham', 'menu', 'tawaran', 'tel', '']</t>
  </si>
  <si>
    <t>['susah', 'buka', 'mytelkomsel', '']</t>
  </si>
  <si>
    <t>['riweh', 'check', 'hasil', 'karya', 'bumn', 'berkualitas', '']</t>
  </si>
  <si>
    <t>['sinyal', 'suka', 'turun', 'jelek', 'main', 'gamenya', 'nyaman', '']</t>
  </si>
  <si>
    <t>['', 'dapet', 'sms', 'pulsa', 'akses', 'internet', 'non', 'paket', 'kuota', 'gue', 'pulsa', 'tarik', 'min', 'ngeselin', 'bet']</t>
  </si>
  <si>
    <t>['beli', 'kartu', 'telkomsel', 'jaringan', 'lemot', 'pas', 'masuk', 'aplikasi', 'telkomsel', 'warna', 'layarnya', 'putih', 'doank', 'kecewa', 'telkomsel', '']</t>
  </si>
  <si>
    <t>['menuduhkan']</t>
  </si>
  <si>
    <t>['aplikasi', 'eror', 'nggak', 'login', 'kecewa', 'login', 'tukar', 'poin']</t>
  </si>
  <si>
    <t>['pengisian', 'ulang', 'paket', 'telpon', 'paket', 'internet']</t>
  </si>
  <si>
    <t>['paket', 'kouta', 'mahal', 'bandingkan', 'previder', '']</t>
  </si>
  <si>
    <t>['bagus', 'tingkatkan', 'sinyalnya', '']</t>
  </si>
  <si>
    <t>['kurangi', 'harga', 'pulsa', 'nyaa']</t>
  </si>
  <si>
    <t>['bermanfaat', 'memudahkan', 'pembelian', 'paket', 'data']</t>
  </si>
  <si>
    <t>['membantu', 'berkomunikasi']</t>
  </si>
  <si>
    <t>['bonusnya']</t>
  </si>
  <si>
    <t>['', 'enak', 'telkomsel', 'jaringan', 'full', 'nge', 'lag', 'mulu', 'kecewa', 'gua']</t>
  </si>
  <si>
    <t>['gratisanya', '']</t>
  </si>
  <si>
    <t>['warna', 'layar', 'pesan', 'tolong', 'kembalikan', 'warna', 'pesan', 'layar', 'warna', 'hijau', 'tajam', 'warna', 'pesan', 'balasan', 'warna', 'putih', 'tebal', 'warna', 'ceklist', 'biru', 'tolong', 'kembalikan', '']</t>
  </si>
  <si>
    <t>['paketan', 'telkomsel', 'unlimited', 'gb', 'sebulan', 'kuotanya', 'unlimited', 'sebulan', 'full', 'kuota', 'batas', 'wajar', 'kuota', 'batas', 'wajar']</t>
  </si>
  <si>
    <t>['gunain', 'app', 'send', 'gift', 'min', 'force', 'close', 'yaa', 'selebihnyaa']</t>
  </si>
  <si>
    <t>['bagus', 'dilengkapi', 'frekuensi', 'lte', 'mhz', 'wilayah', 'ngraho', 'ngraho', 'kab', 'bojonegoro', 'jawa', 'timur']</t>
  </si>
  <si>
    <t>['perbaikan', 'tarif', 'sinyal', 'wilayah', 'sprti', 'gunung']</t>
  </si>
  <si>
    <t>['telkom', 'skrng', 'udh', 'beda', 'bngt', 'sekrng', 'mah', 'lemott', 'ampun']</t>
  </si>
  <si>
    <t>['bagus', 'aman']</t>
  </si>
  <si>
    <t>['bagus', 'membantu', 'komunikasi', 'promo', 'menarik', 'jya', 'telkomsel', '']</t>
  </si>
  <si>
    <t>['mohon', 'wilayah', 'desa', 'wangkelang', 'kandangserang', 'kab', 'pekalongan', 'blm', 'terjangkau', 'sinyal', 'stabil', 'telkomsel']</t>
  </si>
  <si>
    <t>['memakai', 'pulsa', 'rp', 'akses', 'internet', 'non', 'paket', 'beli', 'paket', 'tsel', 'tsel', 'cicil', 'pulsa', 'data', 'sim', 'sms', 'gitu', 'asoe']</t>
  </si>
  <si>
    <t>['pulsa', 'hilang', 'berkurang', 'tampa', 'sinyal', 'jelek', 'klw', 'hujan', 'kuota', 'internet', 'dibagi', 'kuota', 'hilang', 'hangus', 'merugikan', 'konsumen', 'kecewa', 'bngt', 'tlng', 'perhatikan', 'keluhan', 'pelanggan', 'ditinggalkan', 'pelanggan', 'kiriman', 'sms', 'mengurangi', 'pulsa', 'pelanggan', 'klw', 'bayar', 'gaji', 'karyawan', 'mencuri', 'pulsa', 'pelanggan', 'memaksakan', 'pelanggan']</t>
  </si>
  <si>
    <t>['internet', 'lemot', 'tingkat', 'speed', 'internet', 'acess', 'internet', 'apk', 'mytelkomsel', 'quota', 'habis', 'nol', 'cek', 'quota', 'beli', 'pulsa', 'beli', 'paket', 'parah', 'banget', 'mytelkomsel', 'sebulan', 'error', 'maksudnya', 'dibiarin', '']</t>
  </si>
  <si>
    <t>['membantu', 'pengguna', 'telkomsel']</t>
  </si>
  <si>
    <t>['sekedar', 'saran', 'paket', 'combo', 'sakti', 'kuota', 'multimedia', 'diberdayakan', 'akses', 'youtube', 'sosmed', 'ditarik', 'kuota', 'multimedia', 'kuota', 'utama', 'bln', 'pemakaian', 'habis', 'kuota', 'multimedianya', 'terpakai', 'dipakai', 'kuota', 'utama', 'dihilangkan', 'kuota', 'multimedia', 'kuota', 'utama', 'pilihan', 'menu', 'pembelian', 'paket', 'data', 'mytelkomsel', 'catatan', 'penurunan', 'harga', 'paket', '']</t>
  </si>
  <si>
    <t>['internetnya', 'lemot', 'banget']</t>
  </si>
  <si>
    <t>['telkomsel', 'kesini', 'kualitas', 'buruk', 'jaringan', 'down', 'kadang', 'mati', 'harga', 'mahal', 'beda', 'beda', 'harga', 'jaringan', 'peningkatan', 'burik']</t>
  </si>
  <si>
    <t>['maksutnya', 'coba', 'poin', 'penukaran', 'beli', 'kouta', 'kalok', 'dibikin', 'poin', 'gunanya', 'poin', 'fake', 'apk', 'pembodohan']</t>
  </si>
  <si>
    <t>['dibuka']</t>
  </si>
  <si>
    <t>['poin']</t>
  </si>
  <si>
    <t>['apkah', 'membantu']</t>
  </si>
  <si>
    <t>['bagus', 'perbaiki', 'jaringannya']</t>
  </si>
  <si>
    <t>['keren', 'banget', 'aplimasinya', 'semoga', 'beruntung', 'memenangkan', 'hadiah', 'mobil', 'motor', 'uang', 'tunai']</t>
  </si>
  <si>
    <t>['mengajar', 'dam']</t>
  </si>
  <si>
    <t>['bagus', 'bangetttttt', '']</t>
  </si>
  <si>
    <t>['membantu', 'keren']</t>
  </si>
  <si>
    <t>['bingung', 'pakai', 'kartu', 'hallo', 'pakai', 'tlp', 'cepat', 'nominal', 'info', 'tagihan', 'tolong', 'spes', 'rincian', 'pakai', 'rincian', 'global', 'terimakasih', 'perhatiannya']</t>
  </si>
  <si>
    <t>['paket', 'doang', 'mahal', 'jaringan', 'kek', 'kont', 'dasar', 'kapitalis', 'telkom', '']</t>
  </si>
  <si>
    <t>['aplikasi', 'force', 'close', 'android', '']</t>
  </si>
  <si>
    <t>['sunguh', 'bagus']</t>
  </si>
  <si>
    <t>['', 'ceria', 'kasih', 'pampang', 'belanjaan', 'pingin', 'transaksi', 'jaringan', 'sibuk', 'nipu', 'lho', '']</t>
  </si>
  <si>
    <t>['good', 'terbaik', 'tingkatkan', 'kualitas', '']</t>
  </si>
  <si>
    <t>['layanan', 'oke', '']</t>
  </si>
  <si>
    <t>['aplikasi', 'gajelas', 'melalukan', 'pembelian', 'paket', 'internet', 'malam', 'aplikasi', 'pembayaran', 'melalu', 'wallet', 'saldo', 'terpotong', 'paket', 'data', 'masuk', 'ujung', 'buang', 'pelaporan', 'payah', 'bumn']</t>
  </si>
  <si>
    <t>['pulasa', 'hilang', 'kayak', 'kemarin', 'hujan', 'sisa', 'kuota', 'pulsa', 'pulsa', 'terpotong', 'sisa', 'kuota', 'tolong', 'kembalikan', 'pulsa', 'isi', 'pulsa', 'pakai', 'nukerin', 'kuota', 'gb', 'rb', 'sisa', 'pulsa', 'please', 'tolong', 'kembalikan', 'pulsa', '']</t>
  </si>
  <si>
    <t>['paket', 'kuota', 'unlimited', 'kecepatan', 'sesuai', 'deskripsikan', 'balideug', 'lemot', 'parahhh', 'harganya', 'doang', 'mahal', 'tpi', 'sesuai', '']</t>
  </si>
  <si>
    <t>['telkomsel', 'top', 'jaringan', 'luas', 'top']</t>
  </si>
  <si>
    <t>['sinyal', 'lawas', 'dipermudahkan', 'silahturahmi']</t>
  </si>
  <si>
    <t>['aplikasi', 'nge', 'bug', 'kadang', 'check', 'daily', 'respon', 'error', 'pulsa', 'suka', 'sedot', 'claim', 'hadiahnya', 'rupiah', 'ambil', 'sisa', 'pulsa', 'abis', 'aktif', 'paket', 'gratisannya', 'telkomsel', 'lite', 'ilang', 'pulsa', 'biaya', 'data', 'gprs', 'internet', 'kuota', 'utama', 'aktif', 'diabaikan', 'lol', 'pulsa', 'babat', 'lol', 'digantiin', 'kecewa', 'hadiah', 'gratisan', '']</t>
  </si>
  <si>
    <t>['jaringan', 'internet', 'menyedihkan', 'sungguh', 'ironis', 'kontras', 'harga', 'kuota', 'internet', 'mahal', 'sungguh', 'jaringan', 'membagongkan', '']</t>
  </si>
  <si>
    <t>['tolong', 'perbaiki', 'jaringan', 'stabil', 'aps', 'bermasalah', 'cnth', 'beli', 'paket', 'diulang', 'pulsa', 'kepotong', 'aneh']</t>
  </si>
  <si>
    <t>['terbantu']</t>
  </si>
  <si>
    <t>['mohon', 'ditingkatkan', 'promo']</t>
  </si>
  <si>
    <t>['ganti', 'kartu', 'hallo', 'udah', 'tagihannya', 'mahal', 'kualitas', 'jaringannya', 'jelek', 'migrasi', 'kartu', 'hallo', 'kenceng', 'banget', 'ganti', 'gini', 'kecewa']</t>
  </si>
  <si>
    <t>['daily', 'check', 'kadang', 'error', 'apalah', 'daya', 'sng', 'pemburu', 'kuota', 'gratisan', 'kena', 'kyk', 'gini']</t>
  </si>
  <si>
    <t>['maaf', 'min', 'kuota', 'kemendikbud', 'ngga', 'masuk', 'mengecek', 'disitu', 'nomer', 'terdaftar', 'masuk']</t>
  </si>
  <si>
    <t>['woi', 'babi', 'check', 'harian', 'gua', 'gabisa', 'diklaim', 'apk', 'anjeng']</t>
  </si>
  <si>
    <t>['beli', 'pulsa', 'udah', 'bayar', 'kga', 'masuk', 'parah', '']</t>
  </si>
  <si>
    <t>['bintangnya', 'turunin', 'masak', 'beli', 'paket', 'games', 'mlbb', 'kagak', 'gabisa', 'dipakai', 'rugi', 'mohon', 'diperbaiki', 'terimakasih', '']</t>
  </si>
  <si>
    <t>['sinyalnya', 'suka', 'ilang', 'berubah', 'mati', 'lampu', 'hujan', 'dll', 'sad']</t>
  </si>
  <si>
    <t>['semoga', 'menang', 'allah', 'swt']</t>
  </si>
  <si>
    <t>['giliran', 'chek', 'chek', 'buruk', 'pakai', 'telkomsel', 'pengalaman', 'terburuk', 'pakai', 'telkomsel']</t>
  </si>
  <si>
    <t>['kirain', 'kuota', 'harian', 'aktifnya', 'jam', 'aktif', 'jam', 'malam', 'parah', 'bagusan', 'kuota', 'harian', 'indosat', 'dibanding', 'telkomsel', 'mahal', 'iya', 'puas', 'nggk']</t>
  </si>
  <si>
    <t>['mantap', 'udah', 'chek', 'klaim', 'kasih', 'langsung', 'sok', 'sok', 'ngasih']</t>
  </si>
  <si>
    <t>['blm', 'loading']</t>
  </si>
  <si>
    <t>['udah', 'pulsa', 'gua', 'diambil', 'ribu', 'daily', 'cek', 'claim', 'hadehhhh']</t>
  </si>
  <si>
    <t>['sangatttt', 'bembantu', 'aplikasi', 'kapadia', 'pelanggan']</t>
  </si>
  <si>
    <t>['aplikasi', 'memuat', 'halaman', 'kesalahan', 'sistem', 'tolong', 'saran', 'min', 'kasih', 'bintang', '']</t>
  </si>
  <si>
    <t>['tolong', 'laah', 'sinyal', 'perbaiki', 'wilayah', 'wilayah', 'pemukiman', 'masuk', 'gang', 'gang', 'ibukota', 'tinggal', 'jakarta', 'serasa', 'tinggal', 'hutan', 'sinyal', 'lag', 'ampun', 'main', 'game', 'mahal', 'mahal', 'beli', 'paket', 'gamesmax', 'kesini', 'mengecewakan', 'harga', 'paket', 'data', 'tergolong', 'mahal']</t>
  </si>
  <si>
    <t>['pembelian', 'mudah']</t>
  </si>
  <si>
    <t>['ngga', 'sinyal', 'min', 'sampei', 'repot', 'udah', 'isi', 'kuota', 'mlh', 'ngga', 'sinyal']</t>
  </si>
  <si>
    <t>['cari', 'paket', 'terbaik']</t>
  </si>
  <si>
    <t>['masuk', 'aplikasinya', 'emng', 'hape', 'lemot', '']</t>
  </si>
  <si>
    <t>['tolong', 'donk', 'diperbaiki', 'koneksinya', 'liat', 'lancar', 'jaya', 'maen', 'game', 'kyk', 'udah', 'tinggal', 'dipelosok', 'hutan', 'tower', 'cuaca', 'bagus', '']</t>
  </si>
  <si>
    <t>['jaringan', 'nyah', 'perluas', 'perkuat']</t>
  </si>
  <si>
    <t>['promo', 'rugi', 'klu', 'download', 'apk']</t>
  </si>
  <si>
    <t>['berguna', 'tolong', 'harga', 'paket', 'kuota', 'dimurahkan']</t>
  </si>
  <si>
    <t>['pengguna', 'telkomsel', 'sebulan', 'jaringan', 'internet', 'stabil', 'kadang', 'ilang', 'tolong', 'telkomsel', 'memperbaiki', 'main', 'game', 'lag', 'emosi', '']</t>
  </si>
  <si>
    <t>['bagusssss', 'lbh', 'mudah', 'cek', 'saldo', 'telkomsel', 'ribet', 'tingkatkan', 'terusssssa']</t>
  </si>
  <si>
    <t>['telkomsel', 'gajelas', 'jaringan', 'ngeluh', 'jaringan', 'telkomsel', 'tolong', 'perbaiki', '']</t>
  </si>
  <si>
    <t>['gini', 'coo', 'beli', 'kuto', 'game', 'pas', 'pakai', 'lemot', 'banget', '']</t>
  </si>
  <si>
    <t>['hujan', 'angin', 'troble', 'mengganggu', 'bngt', 'btw', 'appny', 'bagus']</t>
  </si>
  <si>
    <t>['membantu', 'isi', 'paket', 'data']</t>
  </si>
  <si>
    <t>['jaringan', 'telkomsel', 'mending', 'gua', 'rela', 'bayar', 'mahal', 'telkomsel', 'taii', 'jaringan', 'udah', 'mahal', 'dak', 'berguna', 'lgi']</t>
  </si>
  <si>
    <t>['mengaktifkan', 'paket', 'data', 'quota', 'combo', 'sakti', 'abis', 'min', 'knp', 'curang']</t>
  </si>
  <si>
    <t>['memuaskan', 'aplikasi', 'telkomsel', 'buka', 'perbarui', 'ttp', 'buka', 'aplikasi', 'buka', 'usul', 'telkomsel', 'buka', 'mending', 'hapus', 'telkomsel']</t>
  </si>
  <si>
    <t>['koneksi', 'nga', 'bener', 'nga', 'mlh', 'nga', 'koneksi', 'internetnya']</t>
  </si>
  <si>
    <t>['lebi']</t>
  </si>
  <si>
    <t>['memasukkan', 'nomer', 'telfon', 'berkali', 'coba', 'instal', 'tetep']</t>
  </si>
  <si>
    <t>['mudah', 'layanan', 'telkomsel', '']</t>
  </si>
  <si>
    <t>['tlkomsel', 'knp', 'jaringan', 'lemot', 'kuota', 'mahal', 'jaringan', 'mengecewakan', 'kacau', 'mengecewakaaaaaaaaaaaaan', '']</t>
  </si>
  <si>
    <t>['', 'telkomsel', 'knpa', 'hilang', 'bermasalah', 'kah', 'pembelian', 'paket', 'data', 'mengharapkan', 'sinyal', 'bagus', 'dahal', 'mainya', '']</t>
  </si>
  <si>
    <t>['sinyal', 'sialan', 'lemotnya', 'kaya', 'keong']</t>
  </si>
  <si>
    <t>['bagus', 'smga', 'sya', 'menang', 'undian', 'tukar', 'poin', 'aminn', 'yalloh']</t>
  </si>
  <si>
    <t>['aplikasi', 'membntu', 'bgus', '']</t>
  </si>
  <si>
    <t>['mohon', 'maaf', 'internetny', 'tolol', 'banget', 'yak', 'giliran', 'bokep', 'lancar', 'giliran', 'pas', 'main', 'internetnya', 'ngelag', 'parah', 'yak', 'tlg', 'telkomsel']</t>
  </si>
  <si>
    <t>['bagus', 'didalam', 'ruangan', 'lemot']</t>
  </si>
  <si>
    <t>['layanan', '']</t>
  </si>
  <si>
    <t>['bagus', 'terimakasih']</t>
  </si>
  <si>
    <t>['telkomsel', 'jaringan', 'terbaik', 'indonesia']</t>
  </si>
  <si>
    <t>['bagus', 'memudah', 'pengisian', 'kuota', 'ribet']</t>
  </si>
  <si>
    <t>['jaringanya', 'kesini', 'buruk', 'meningkat', 'menurun']</t>
  </si>
  <si>
    <t>['aplikasi', 'canggih']</t>
  </si>
  <si>
    <t>['harga', 'paket', 'mahal', 'kualitas', 'jaringan', 'komentar', 'saran', 'play', 'store', 'dibalas', 'bot', 'operator', 'sampah', '']</t>
  </si>
  <si>
    <t>['hadeh', 'susah', 'masuk', 'aplikasi', 'kasih', 'masuk', 'dpt', 'kode', 'tidk', 'kotak', 'verfikasinya', 'bgmn', 'kofirmasi', 'kasih', 'bintang']</t>
  </si>
  <si>
    <t>['paketan', 'mahal', 'anjk']</t>
  </si>
  <si>
    <t>['menyenangkan', 'membeli', 'paket', 'aplikasi', 'telkomsel']</t>
  </si>
  <si>
    <t>['aplikasi', 'mytelkomsel', 'bagus']</t>
  </si>
  <si>
    <t>['mantap', 'mantap', 'banyakin', 'promo', '']</t>
  </si>
  <si>
    <t>['muak', 'pakai', 'telkomsel', 'jaringanmya', 'lemot', 'nyesel', 'beli', 'paket', 'combo', 'corporate', '']</t>
  </si>
  <si>
    <t>['gila', 'gila', 'gila', 'seharian', 'kaga', 'koneksinya', 'daerah', 'cakung', 'sampe', 'indihome', 'pemberitahuan', 'gangguan', 'teknis', 'mah', 'boro', 'boro']</t>
  </si>
  <si>
    <t>['telkomsel', 'babi', 'sinyal', 'mnding', 'im', 'ajalah', 'senag', 'maen', 'game', 'sinyalnya', 'hilang', 'padahl', 'oppo', 'gila', 'telkomsel', 'maaa', 'ajinnnnng', '']</t>
  </si>
  <si>
    <t>['selamat', 'malam', 'usulan', 'usulannya', 'gimana', 'poin', 'telkomsel', 'tukar', 'diamond', 'game']</t>
  </si>
  <si>
    <t>['mantap', 'apk']</t>
  </si>
  <si>
    <t>['isi', 'pulsa', 'susah', 'argen']</t>
  </si>
  <si>
    <t>['jaringan', 'pilihan', 'utama', 'sory', 'telkomsel']</t>
  </si>
  <si>
    <t>['harga', 'paket', 'doang', 'mahal', 'sinyal', 'payah', '']</t>
  </si>
  <si>
    <t>['internet', 'lamaaa']</t>
  </si>
  <si>
    <t>['jaringan', 'parah', 'sinyal', 'penuh', 'lelet', 'aneh', 'nipu', 'namanya', 'kartu', 'abjing', 'namanya', 'gara', 'jaringannya', 'hancur', 'bisnis', 'taik']</t>
  </si>
  <si>
    <t>['kartu', 'sinyal', 'kaya', 'maen', 'goa', 'harga', 'paket', 'mahalnya', 'selangit', 'sinyal', 'bengek', 'mending', 'indosat', 'harga', 'murah', 'sinyal', 'separah', 'kartu', 'tolong', 'benerin', 'sinyal', 'dableg', 'banget', 'sesuai', 'harganya']</t>
  </si>
  <si>
    <t>['aplikasinya', 'perbarui', 'menurus', 'signalnya', 'stabilkan', '']</t>
  </si>
  <si>
    <t>['mahal', 'doank', 'jaringan', 'nyesel', 'pke', 'telkomsel', 'mnding', 'beralih', '']</t>
  </si>
  <si>
    <t>['mudah', 'menang']</t>
  </si>
  <si>
    <t>['telkomsel', 'buka', 'aplikasi', 'lamaaaaaa', 'banget', 'diulang', 'kali', 'dibuka', 'itupun', 'tolong', 'diperbaiki', '']</t>
  </si>
  <si>
    <t>['sinyal', 'tmpt', 'galak', 'hilang', 'arah', '']</t>
  </si>
  <si>
    <t>['layanan', 'telkomael', 'memuaskan', 'jaringan', 'terbaik', 'dimanapun', 'terimakasih', 'telkomsel', 'indonesia']</t>
  </si>
  <si>
    <t>['telkomsel', 'jaringannya', 'parah', 'banget', 'suka', 'hilang', '']</t>
  </si>
  <si>
    <t>['jelek', 'ajah', 'jariganmu', 'kartu', 'mahal', 'jaringan', 'jelek', 'telkomsel', '']</t>
  </si>
  <si>
    <t>['kadang', 'sinyal', 'ilang']</t>
  </si>
  <si>
    <t>['bintang', '']</t>
  </si>
  <si>
    <t>['', 'telkomsel', 'beli', 'paket', 'sosmed', 'scroll', 'tik', 'tok', 'berkurang', 'paket', 'utama', 'hancok', 'paket', 'sosmed', 'berkurang', 'betapa', 'tomlol', 'telkomsel']</t>
  </si>
  <si>
    <t>['pelanggan', 'kecewa', 'skali', 'layanan', 'jaringan', 'buruk', 'tamiyang', 'layang', 'bartim', 'kalteng']</t>
  </si>
  <si>
    <t>['jaringan', 'telkomsel', 'wilaya', 'kab', 'kep', 'sangihe', 'mohon', 'diperbaiki', 'ditingkatkan', 'beli', 'paket', 'mahal', 'jaringannya', 'error', '']</t>
  </si>
  <si>
    <t>['paket', 'kartu', 'mahal', 'mahall', 'kartu', 'mah', 'murahhhhhhhh']</t>
  </si>
  <si>
    <t>['quota', 'maxtream', 'kepake', 'karto', 'halo']</t>
  </si>
  <si>
    <t>['', 'tingkatkan', 'signal', 'internetnya', 'desa', 'kalianget', 'timur', 'dusun', 'padurekso']</t>
  </si>
  <si>
    <t>['apk', 'bagus', 'mkasi']</t>
  </si>
  <si>
    <t>['jaringannya', 'parah', 'internet', 'lemot', 'malam', 'hujan', 'internet', 'jaringan', 'didaerah', 'tangerang', 'sepatan', 'parah', 'banget', 'jaringannya', 'tolong', 'diperbaiki']</t>
  </si>
  <si>
    <t>['kecepatan', 'sinyal', 'sepadan', 'harganya', 'mahal', 'kecewa']</t>
  </si>
  <si>
    <t>['upgrade', 'kartu', 'mobil', 'keliling', 'telkomsel', 'rb', 'upgrade', 'nomer', 'satunya', 'grapari', 'bayar', 'rb', 'kuotanya', '']</t>
  </si>
  <si>
    <t>['min', 'gpp', 'min', 'ngeleg', 'gpp', 'sampe', 'kepala', 'gua', 'pusing', 'gara', 'gara', 'sinyal', 'aneh', 'berganti', 'jaringan', 'tsel', 'down', 'hmmmm', 'mari', 'tunggu']</t>
  </si>
  <si>
    <t>['kecewa', 'kualitas', 'jaringan', 'telkomsel', 'apalgi', 'main', 'game', 'tolong', 'secepat', 'perbaiki']</t>
  </si>
  <si>
    <t>['mereedem', 'point', 'gagal', '']</t>
  </si>
  <si>
    <t>['signalnya', 'daerah', 'singaparna', 'jelek', 'kemaren', 'mah', 'bagus', 'selebihnya', 'mah', 'bagus']</t>
  </si>
  <si>
    <t>['layanannya', 'bagus', 'mudah', '']</t>
  </si>
  <si>
    <t>['malam', 'gangguan', 'perbaiki', 'napa', 'restart', 'mulu', '']</t>
  </si>
  <si>
    <t>['tolong', 'benerin', 'sinyal', 'kuota', 'ngelag', '']</t>
  </si>
  <si>
    <t>['gimana', 'kasih', 'bintang', 'buka', 'apk', 'berat', 'banget', 'oia', 'suka', 'logo', 'dlu', 'ketimbang']</t>
  </si>
  <si>
    <t>['bagus', 'kemudahan', 'beli', 'pulsa', 'data', '']</t>
  </si>
  <si>
    <t>['hadiahnya', 'mantuuul']</t>
  </si>
  <si>
    <t>['gangguan']</t>
  </si>
  <si>
    <t>['jaringqn', 'data', 'stabil', 'area', 'malangbong', 'garut']</t>
  </si>
  <si>
    <t>['terima', 'kasih', 'menikmati', 'kemudahan', 'kemurahan', 'membeli', 'paket', 'internet', 'menikmati', 'fitur', 'daily', 'check', '']</t>
  </si>
  <si>
    <t>['promosi', 'simpati', 'ditunggu']</t>
  </si>
  <si>
    <t>['telkomsel', 'parah', 'jaringan', 'kuta', 'mahalin', 'lemoooooooooooot', 'bermutu', 'banget', '']</t>
  </si>
  <si>
    <t>['woy', 'bdh', 'beli', 'gb', 'ngechat', 'gb', '']</t>
  </si>
  <si>
    <t>['segalah', 'kemudaha', 'pengguna', 'telkomsel']</t>
  </si>
  <si>
    <t>['beli', 'paket', 'data', 'koneksi', 'lemot', 'parah', 'gini', 'browsing', 'loading', 'internet', 'cepat', 'telkomnet', 'instan', 'lampau']</t>
  </si>
  <si>
    <t>['semoga', 'bermanfaat', 'menguntungkan', 'min']</t>
  </si>
  <si>
    <t>['coba', 'bagus', 'kasih', 'full', 'star']</t>
  </si>
  <si>
    <t>['telkomsel', 'lancar', 'komunikasi']</t>
  </si>
  <si>
    <t>['jaringan', 'luas', 'kualitas', 'jaringan', 'buruk']</t>
  </si>
  <si>
    <t>['trmksih', 'telkomsel', 'krena', 'bagus', 'kasih', 'bintang', '']</t>
  </si>
  <si>
    <t>['jaringan', 'harga', 'mahal', 'kualitas', 'not', 'good']</t>
  </si>
  <si>
    <t>['jaringan', 'terburuk', 'sejarah', 'dunia', 'internet', 'harga', 'mahal', 'jaringanya', 'lelet', 'parah', '']</t>
  </si>
  <si>
    <t>['murah', 'simple']</t>
  </si>
  <si>
    <t>['tkomsel', 'sya', 'mudah', 'membeli', 'kuota', 'trimakasi', 'telkomsel']</t>
  </si>
  <si>
    <t>['mati', 'lampu', 'sinyal', 'hilang', 'telkomsel', 'udah', 'paket', 'mahal', 'mati', 'lampu', 'sinyal', 'hilang', 'apaa', 'kendala', 'tolong']</t>
  </si>
  <si>
    <t>['sinyal', 'menerus', 'eror']</t>
  </si>
  <si>
    <t>['tolong', 'adakan', 'fitur', 'pulsa', 'safe', 'kuota', 'habis', 'pulsa', 'ngga', 'langsung', 'kepotong', 'udah', 'beli', 'harian', 'harga', 'seribu', 'pas', 'udah', 'habis', 'langsung', 'kepotong', 'rb', 'cepet', 'cepet', 'matiin', 'datanya', '']</t>
  </si>
  <si>
    <t>['assalamualaikum', 'bang', 'tolong', 'kah', 'mabar', 'yanti', 'jaringannya', 'kencangin', 'daerah', 'kalteng', 'palang', 'karaya', 'ikm', 'gitu', 'bang', 'terimakasih']</t>
  </si>
  <si>
    <t>['berita', 'cerita', 'tinggal', 'buka', '']</t>
  </si>
  <si>
    <t>['bagus', 'kembalikan', 'customer', 'service', 'enak', 'ajak', 'bicara']</t>
  </si>
  <si>
    <t>['beli', 'mahal', 'ngelaggg']</t>
  </si>
  <si>
    <t>['pulsa', 'beli', 'app', 'telkomsel', 'sampe', 'detik', 'blm', 'masuk', 'kemarin', 'pagi', 'pelayanan', 'jelek', 'banget', 'pengecekan', 'alami', 'suruh', 'tgg', 'jam', 'ehh', 'berubah', 'konsisten', 'banget', 'kecewa', 'banget', 'deh', 'app', 'telkomsel', 'telkomsel', 'guys', 'eror', 'lemot', 'pelayanan', 'jelek', 'banget', 'becus', 'kerja', '']</t>
  </si>
  <si>
    <t>['bagus', 'bangeeet']</t>
  </si>
  <si>
    <t>['pakai', 'paket', 'multimedia', 'media', 'buffering', 'main', 'game', 'asuu', 'provider']</t>
  </si>
  <si>
    <t>['sinyal', 'telkomsel', 'lemott', 'kaliiiii', 'maen', 'game', 'online', 'lemott', 'cepatt', 'benerinn', 'sinyalnya', 'susahh', 'tolong', 'benerin', 'akun', 'lahh', '']</t>
  </si>
  <si>
    <t>['sinyal', 'telkomsel', 'hilang', 'putus', 'nyambung', 'melulu', 'harga', 'paketnya', 'mahal', 'coba', 'tolong', 'diperbaiki', 'layanannya']</t>
  </si>
  <si>
    <t>['pengen', 'kubanting', 'gara', 'gara', 'jaringan', 'internet', 'lemot', 'siput', '']</t>
  </si>
  <si>
    <t>['assalamualaikum', 'telkomsel', 'semangat', 'werkudoro']</t>
  </si>
  <si>
    <t>['kartu', 'mahal', 'kuotanya', 'rbu', 'gb', 'rbu', 'pdhal', 'jaringan', 'telkomsel', 'ngk', 'bagus', 'udah', 'jaringan', 'ngk', 'bagus', 'kuota', 'internetnya', 'mahal', 'mahal', 'tolong', 'perhatikan', 'klw', 'mengambil', 'untungkan', 'jngan', 'kau', 'kuras', 'rakyat', 'indonesia', '']</t>
  </si>
  <si>
    <t>['kuota', 'lokal']</t>
  </si>
  <si>
    <t>['apk', 'ngk', 'pakek', 'ribet', 'cex', 'paket', 'mantap']</t>
  </si>
  <si>
    <t>['kecewa', 'jaringn', 'telkomsel', 'sekaran', 'udh', 'mahal', 'beli', 'kuata', 'kualiatasnya', '']</t>
  </si>
  <si>
    <t>['beli', 'paket', 'mahal', 'sinyal', 'seamkin', '']</t>
  </si>
  <si>
    <t>['alhamdulillah', 'pelanggan', 'setia', 'telkomsel', 'smg', 'telkomsel', 'lbh', 'ditingkatkan', 'kwalitas', 'harga', 'paket', 'kuota', 'lbh', 'terjangkau', 'smua', 'kalangan', 'masyarakat', 'terimakasih']</t>
  </si>
  <si>
    <t>['sinyal', 'tingkatin', 'tinggal', 'kota', 'kayak', 'tinggal', 'hutan', 'parah']</t>
  </si>
  <si>
    <t>['deskripsinya', 'poin', 'ditukar', 'coba', 'truz', 'dpt', 'sms', 'operator', 'sibuk', 'truz', '']</t>
  </si>
  <si>
    <t>['', 'telkomsel', 'keren']</t>
  </si>
  <si>
    <t>['bayarnya', 'terbatas', 'trnsfer', 'bank', 'mempermudah', 'costumer']</t>
  </si>
  <si>
    <t>['harga', 'kuota', 'mahal', 'mahal', 'kualitas', 'jaringan', 'mendukung', 'ancur', 'kualitas', 'telkomsel', 'slam', 'jari', 'mak', 'kau', '']</t>
  </si>
  <si>
    <t>['bayar', 'kuota', 'mahal', 'jaringan', 'kayak', 'jelek', 'selu']</t>
  </si>
  <si>
    <t>['', 'telkomsel', 'kesini', 'payah', 'berat', 'buka', 'review', 'ulang', 'buntangnya']</t>
  </si>
  <si>
    <t>['katru', 'perdana', 'kali', 'jaman', 'orang', 'masanya', 'nonton', 'youtub', 'muter', '']</t>
  </si>
  <si>
    <t>['sms', 'promo', 'mengganggu', 'muncul', 'layar', 'tenang', 'sms', 'promo', 'paket', 'tolong', 'hentikan']</t>
  </si>
  <si>
    <t>['telkomsel', 'plis', 'jangn', 'permainin', 'promo', 'rp', 'semenit', 'udah', 'hilang', 'untung', 'beli', 'pulsa', 'anjink', 'bener', '']</t>
  </si>
  <si>
    <t>['harap', 'tingkat', '']</t>
  </si>
  <si>
    <t>['layanan', 'bagus', 'sinyal', 'kuat', 'komplit', 'siip', 'dech']</t>
  </si>
  <si>
    <t>['mahal', 'doang', 'jaringan', 'kek', 'kntl']</t>
  </si>
  <si>
    <t>['provider', 'ahli', 'scam']</t>
  </si>
  <si>
    <t>['lbh', 'cepet', 'nyari', 'promo', 'paketan']</t>
  </si>
  <si>
    <t>['login', 'game', 'memiliki', 'kouta', 'utama']</t>
  </si>
  <si>
    <t>['aplikasi', 'jelek']</t>
  </si>
  <si>
    <t>['telkomsel', 'suka', 'log', 'jaringan', 'tsel', 'pakai', 'masker', 'dirumah', 'seharian', 'masalahkah', 'jaringan', 'telkomsel', '']</t>
  </si>
  <si>
    <t>['mantep', 'suka']</t>
  </si>
  <si>
    <t>['membantu', 'memudahkan']</t>
  </si>
  <si>
    <t>['puas', 'menggunan', 'layanan', 'telkomsel', 'cepat']</t>
  </si>
  <si>
    <t>['kartu', 'lemot', 'internet', 'telkomsel', '']</t>
  </si>
  <si>
    <t>['install', 'berkali', 'download', 'selesai', 'muncul', 'keterangan', 'aplikasi', 'dipasang', 'muncul', 'keterangan', 'kirim', 'saran', 'mengerti', 'terima', 'kasih', 'note', 'device', 'google', 'pixel', 'os', '']</t>
  </si>
  <si>
    <t>['mudah', 'pembelian', 'paket', 'promo']</t>
  </si>
  <si>
    <t>['simpati', 'sekrng', 'lemot', 'bngt', 'jaringan']</t>
  </si>
  <si>
    <t>['tolong', 'tingkatkan', 'kualitas', 'thanks']</t>
  </si>
  <si>
    <t>['isi', 'pulsa', 'isi', 'ulang', 'pulsa', 'doa', 'terwujud', 'mobil', 'hadiah', 'poinnya', 'rejeki', 'mobil', 'motor', 'hape', 'unit', 'bangga', 'telkomsel', '']</t>
  </si>
  <si>
    <t>['semoga', 'memenangkan', 'trimaksih', 'telkomsel']</t>
  </si>
  <si>
    <t>['', 'sekeluarga', 'orang', 'pengguna', 'telkomsel']</t>
  </si>
  <si>
    <t>['berkah', 'berkah']</t>
  </si>
  <si>
    <t>['woy', 'gimanaa', 'sinyal', 'ilang', 'panggilan', 'darurat']</t>
  </si>
  <si>
    <t>['promo', 'berbeda', 'pengguna', 'tolong', 'klarifikasi', '']</t>
  </si>
  <si>
    <t>['sya', 'pke', 'kartu', 'telkomsel', 'lbh', 'paketan', 'internet', 'mahal', 'sedangkat', 'anak', 'sya', 'bru', 'pke', 'kartu', 'telkomsel', 'paketan', 'internetnya', 'murah']</t>
  </si>
  <si>
    <t>['menukarkan', 'poin', 'karna', 'sistem', 'sibuk', 'sudan', 'nunggu']</t>
  </si>
  <si>
    <t>['terbaik', 'bintang', 'penukaran', 'poin', 'telkomsel', 'menu', 'gemes', '']</t>
  </si>
  <si>
    <t>['bermanfaat', 'mempermudah', 'semoga', 'hadiah', 'aplikasi', '']</t>
  </si>
  <si>
    <t>['jaringan', 'hilang', 'hilang', 'beli', 'mahal', 'mahal', 'trus', 'lag', 'tolol']</t>
  </si>
  <si>
    <t>['sangan', '']</t>
  </si>
  <si>
    <t>['berharap', 'menang', 'undian', 'semoga', 'menang']</t>
  </si>
  <si>
    <t>['buka', 'app', 'dipaksa', 'update', 'update', 'dibuka', 'hadehhhh', 'telkomsel', 'indihome', 'downgrade']</t>
  </si>
  <si>
    <t>['baguss', 'bett', 'apk']</t>
  </si>
  <si>
    <t>['', 'disappointed', 'tarif', 'mahal', 'pelayanan', 'buruk', 'sinyal', 'suka', 'ilang', 'ilangan', 'mentang', 'mentang', 'hidup', 'pedesaan', 'perhatian', '']</t>
  </si>
  <si>
    <t>['', 'tsel', 'memudahkan', 'transaksi']</t>
  </si>
  <si>
    <t>['', 'pindah', 'kartu', 'alhamdulilah', 'terbebas', 'jeratan', 'ngk', 'percaya', 'baca', 'keluhan', 'bertahan', 'mahal', 'blm', 'ganggu', 'pulsa', 'lenyap', 'gantinya', 'memuaskan', 'pelanggan', 'berubah', 'brp', 'pelanggan', 'rugikan', 'uang', 'raib', 'tampa', 'solusinya', '']</t>
  </si>
  <si>
    <t>['semoga', 'menang', 'undian']</t>
  </si>
  <si>
    <t>['', 'coba', 'dlu', '']</t>
  </si>
  <si>
    <t>['bagus', 'kadang', 'lambat', 'nyaman']</t>
  </si>
  <si>
    <t>['kemudahan', '']</t>
  </si>
  <si>
    <t>['klau', 'kuota', 'habis', 'pulsa', 'auto', 'makan', 'pas', 'isi', 'pulsa', 'trus', 'pengen', 'beli', 'paket', 'pulsanya', 'karna', 'beli', 'paket', 'aplikasi', 'butuh', 'jaringan', 'tolol', 'sistemnya', 'sumpahma', 'emosi', '']</t>
  </si>
  <si>
    <t>['min', 'kecewa', 'tukarkan', 'saldo', 'link', 'ribu', 'masuk', 'poin', 'berkurang', 'mohon', 'tindak', 'lanjuti']</t>
  </si>
  <si>
    <t>['maju', 'telkom']</t>
  </si>
  <si>
    <t>['nomor', 'pulsa', 'kepake', 'internet', 'data', 'data', 'aktif', 'kepake', 'duluan', 'tinggal', 'utuh', 'stelah', 'bberapa', 'kli', 'updat', 'aplikasi', 'tolong', 'perbarui', 'aplikasinya', '']</t>
  </si>
  <si>
    <t>['mksih', 'aplikasi', 'nyaa', 'bagus', 'bgettt']</t>
  </si>
  <si>
    <t>['layak', 'bintang', 'pelayanannya', 'memuaskan']</t>
  </si>
  <si>
    <t>['payah', 'telkomsel', 'payah', 'ngecek', 'pulsa', 'seminggu', 'nyoba', 'tetep', 'app', 'buka', 'app', 'manual', '']</t>
  </si>
  <si>
    <t>['membantu', 'pemilihan', 'paket']</t>
  </si>
  <si>
    <t>['tolong', 'admin', 'yth', 'koneksi', 'kondisikan', 'suka', 'hilang', 'harga', 'doang', 'mahal', 'kepuasan']</t>
  </si>
  <si>
    <t>['telkomsel', 'hebat']</t>
  </si>
  <si>
    <t>['sangaaaat', 'kecewa', 'bgeeet', 'pulsa', 'beli', 'kuota', 'paket', 'jawabannya', 'gangguan', 'trus', 'suruh', 'nunggu', 'menit', 'ulang', 'trus', 'tpi', 'trus', 'gmn', 'pulsa', 'abis', 'klau', 'ndak', 'daftar', 'paket', 'kuota', 'payaaah', '']</t>
  </si>
  <si>
    <t>['', 'telkomsel', 'bagus', 'slalu', 'promosi', 'paket', 'perlukan']</t>
  </si>
  <si>
    <t>['telkomsel', 'joz']</t>
  </si>
  <si>
    <t>['gitu', 'mending', 'dipasang', 'tower', 'axis', 'dri', 'telkomsel', '']</t>
  </si>
  <si>
    <t>['melaporkan', 'daerah', 'pik', 'sinyal', 'hilang', 'susah', 'mohon', 'diperbaiki', 'the', 'best']</t>
  </si>
  <si>
    <t>['telkomsel', 'pulsa', 'terpotong', 'kuota', 'internet', 'rugi', 'deh', 'ganti', 'rugi', 'telkomsel', '']</t>
  </si>
  <si>
    <t>['buruk', 'berat', 'buka', 'lambat', 'berat', 'app', 'online', 'shop', '']</t>
  </si>
  <si>
    <t>['bintang', 'kasih', 'senang', 'klen', 'makan', 'gaji', 'buta', 'udah', 'bnr', 'pertamina', 'blok', 'rokan', 'gini', 'sinyal', 'hancur', 'malam', 'kuras', 'pulsa', 'uang', 'pelanggan', 'rejeki', 'namanya', '']</t>
  </si>
  <si>
    <t>['sinyal', 'full', 'cuman', 'bar', 'nonton', 'ytube', 'delay', 'udh', 'minggu', 'mohon', 'perbaiki', 'trims']</t>
  </si>
  <si>
    <t>['beli', 'paket']</t>
  </si>
  <si>
    <t>['sayang', 'daerah', 'cimahi', 'jawa', 'barat', 'sinyal', 'aga', 'stabil']</t>
  </si>
  <si>
    <t>['jaringannya', 'drop', 'orderannya', 'masuk']</t>
  </si>
  <si>
    <t>['tolong', 'sedot', 'pulsa', 'pas', 'buka', 'aplikasi', 'contoh', 'aplikasi', 'axis', 'rugi', 'pelajar', 'isi', 'pulsa', 'beli', 'paket', 'pelajar', 'notifikasi', 'kuota', 'paket', 'dibeli', 'pulsanya', 'kepotong', 'disaat', 'membeli', 'paketan', 'pakai', 'pulsa', 'langsung', 'notifikasi', 'beserta', 'paket', 'aktif', 'merugikan', 'tolong', 'rugi', 'pelajar', 'dpt', 'kuota', 'kemedikbud', 'tpi', 'bbrp', 'kuota', 'akses', '']</t>
  </si>
  <si>
    <t>['isi', 'pulsa', 'poin', 'telkomsel', 'pas', 'nanya', 'veronica', 'sibuk', 'membantu', 'apk', 'sinyal', 'telkomsel', 'lemot']</t>
  </si>
  <si>
    <t>['hai', 'kak', 'belu', 'kuota', 'edukasi', 'belajar', 'ndak', 'pakai', '']</t>
  </si>
  <si>
    <t>['knpa', 'lemot', 'banget', 'skrng', 'kuota', 'mahal', 'jaringan', 'lemot', 'download', 'mb', 'jam', 'kyk', 'gini', 'telkomsel', 'ditinggalkan', 'mempertahankan', 'kwalitas', '']</t>
  </si>
  <si>
    <t>['kasi', 'bintang', 'karna', 'suka', 'bangat', 'ama', 'telkomsel', 'semoga', 'jaringan', 'bagus', 'kedepanya']</t>
  </si>
  <si>
    <t>['telkomsel', 'membantu']</t>
  </si>
  <si>
    <t>['telkomsel', 'tolong', 'dipercepat', 'jaringan', 'masak', 'kalah', 'kartu']</t>
  </si>
  <si>
    <t>['aplikas', 'mutu']</t>
  </si>
  <si>
    <t>['bagus', '']</t>
  </si>
  <si>
    <t>['harga', 'sesuai', 'kepuasan', 'pamakaian']</t>
  </si>
  <si>
    <t>['lbih', 'ditingkatkan', 'kualitas', 'jaringan', 'daerah', 'plosok']</t>
  </si>
  <si>
    <t>['paket', 'combo', 'sakti', 'unlimited', 'kemarin', 'beli', 'kesalahan', 'pulsa', 'udah', 'beli', 'paket', 'kemarin', 'beli', 'kesalahan', 'sistem', 'gitu', '']</t>
  </si>
  <si>
    <t>['blm', 'tuker', 'poin']</t>
  </si>
  <si>
    <t>['tinggal', 'pekanbaru', 'jaringan', 'telkomsel', 'parah', 'kali', 'internetnya', 'kayak', 'bayi', 'merangkak', 'provider', 'tua', 'habis', 'paket', 'kartu', 'nhe', 'pindah', 'provider', 'setahun', 'pakai', 'internet', 'parah']</t>
  </si>
  <si>
    <t>['memuaskan', 'loginnya', 'cepat']</t>
  </si>
  <si>
    <t>['aplikasi', 'membantu', 'maju', 'telkomsel', '']</t>
  </si>
  <si>
    <t>['jaringannya']</t>
  </si>
  <si>
    <t>['kecewa', 'jaringan', 'telkomsel', 'telkomsel', 'jaringan', 'hilang', 'jaringan', 'harap', 'jaringannya', 'memudahkan', 'pengguna', 'bintang']</t>
  </si>
  <si>
    <t>['apk', 'kadang', 'susah', 'buka']</t>
  </si>
  <si>
    <t>['min', 'ngelek', 'pas', 'main', 'game', 'beli', 'paket', 'tolong', 'perbaiki', 'min', 'susah', 'main', 'game']</t>
  </si>
  <si>
    <t>['parah', 'aplikasi', 'buka', 'jaringan', 'telkomsel', 'lemot']</t>
  </si>
  <si>
    <t>['isi', 'kouta', 'vuocher', 'masah', 'aktif', 'voucher', 'habis', 'pas', 'isi', 'voucher', 'habis', 'tolong', 'perbaiki']</t>
  </si>
  <si>
    <t>['pengguna', 'mytelkomsel', 'bagus', 'bnyak', 'vitur', 'dalmnya', 'trims', 'apk', 'telkomsel']</t>
  </si>
  <si>
    <t>['jaringan', 'telkomsel', 'kabupaten', 'malang', 'kecamatan', 'kasembon', 'bener', 'juelek', 'tlfn', 'susah', 'data', 'lte', 'signal', 'internetnya', 'edge', 'mohon', 'bagusin', 'mendirikan', 'tower', 'gtu', 'susah', 'anak', 'pas', 'daring', 'nebeng', 'tetangga', 'mulu', 'malu', 'maaf', 'sya', 'ksih', 'dlu', 'nnti', 'bagus', 'signal', 'telkomsel', 'bru', 'sya']</t>
  </si>
  <si>
    <t>['internet', 'rumah']</t>
  </si>
  <si>
    <t>['berguna', 'banget', 'aplikasi', 'makasih', 'telkomsel']</t>
  </si>
  <si>
    <t>['pelayanan', 'penawaran', 'kuota', 'internet', 'murah', 'kualitas', 'jaringan', 'mantap', 'banget', 'berkomunikasi', 'lancar', 'terimakasih', 'sukses', 'telkomsell', 'semoga', 'berinofasi', 'berkembang', 'terdepan', 'salam', 'hangat', 'pengguna', 'setiamu', '']</t>
  </si>
  <si>
    <t>['ajg', 'apket', 'nonton', 'tik', 'tok', 'lanjar', 'jaya', 'pakek', 'main', 'game', 'ajg', 'banget', 'cok', 'mbanyakin', 'dosa', 'anjg']</t>
  </si>
  <si>
    <t>['apk', 'bagus', '']</t>
  </si>
  <si>
    <t>['bagis', 'mudah', 'lancar']</t>
  </si>
  <si>
    <t>['jaringannya', 'bagus']</t>
  </si>
  <si>
    <t>['cepat', 'prosesnya']</t>
  </si>
  <si>
    <t>['sanagat', 'beguna']</t>
  </si>
  <si>
    <t>['sinyal', 'nge', 'lag', 'suka', 'pindah', 'operator', 'benerin', 'jaringannya']</t>
  </si>
  <si>
    <t>['aplikasinya', 'mantab', 'paket', 'internetnya', 'pilihan', 'terjangkau', 'jaringan', 'suka', 'error', 'maintenance', 'ngga', 'ngerti', 'habis', 'ngga', 'informasi', 'tks', 'telkomsel']</t>
  </si>
  <si>
    <t>['gimana', 'jaringan', 'lemot', 'udh', 'komen', 'berkali', 'ampun', 'udh', 'paket', 'mahal', 'ampun', 'sinyal', 'jelek', 'parah', '']</t>
  </si>
  <si>
    <t>['sinyal', 'kesini', 'parah', 'buruknya', 'kayak', 'taex', '']</t>
  </si>
  <si>
    <t>['bagus', 'memudahkan', 'lihat', 'informasi']</t>
  </si>
  <si>
    <t>['', 'membantu', 'pengguna', 'telkomsel', '']</t>
  </si>
  <si>
    <t>['masuk', 'susahxa', 'smpun', '']</t>
  </si>
  <si>
    <t>['pindah', 'rumah', 'mencari', 'sinyal', 'bagus', '']</t>
  </si>
  <si>
    <t>['seneng', 'promo', 'barokallahu', 'fiik']</t>
  </si>
  <si>
    <t>['sinyalnya', 'parah', 'udah', 'minggu', 'ganti', 'kartu']</t>
  </si>
  <si>
    <t>['bagus', 'telkomsel', 'cepat', 'mudah', 'undi', 'undi', 'hepi', 'gagal', 'teruss', 'poin', 'beratus', 'ratus', 'ditukar', 'semoga', 'kali', 'rezekinya', '']</t>
  </si>
  <si>
    <t>['jaringan', 'tekomsel', 'jelek', 'kaya', 'parah', 'banget', 'jaringanya']</t>
  </si>
  <si>
    <t>['mudah', 'murah']</t>
  </si>
  <si>
    <t>['harganya', 'beda', 'temenku', 'dapet', 'kombo', 'sakti', 'murah']</t>
  </si>
  <si>
    <t>['aplikasi', 'terbaik', '']</t>
  </si>
  <si>
    <t>['denganmu', 'telkomsel', 'kuota', 'mahal', 'kartu', 'sinyal', 'parah', 'gini', 'harga', 'kualitas']</t>
  </si>
  <si>
    <t>['giman', 'min', 'udh', 'beli', 'paket', 'unlimited', 'youtube', 'disedot', 'kouta', 'utama', 'pulsa', 'kesedot']</t>
  </si>
  <si>
    <t>['bagus', 'mmbantu']</t>
  </si>
  <si>
    <t>['jaringan', 'bagus', 'terputus', 'putus', 'trs', 'kalu', 'tilpon']</t>
  </si>
  <si>
    <t>['mantaaap', 'paketnya']</t>
  </si>
  <si>
    <t>['aplikasi', 'bagus', 'banget', 'promo', 'menarik', 'makasih', 'telkomsel', 'semoga', 'kedepan', 'pengguna']</t>
  </si>
  <si>
    <t>['memudahkan', 'beli', 'paket', 'data']</t>
  </si>
  <si>
    <t>['kecewa', 'paket', 'combo', 'sakti', 'pembagian', 'merata', 'kuota', 'utama', 'kuota', 'sosmet', 'sdgkan', 'kuota', 'utama', 'prioritas', 'hbs', 'dluan', 'buka', 'youtube', 'kcptan', 'smpe', 'kbps', 'jalan', 'jalan', 'video', 'kyk', 'diperlambat', 'kcepatan', 'lemot', 'lbh', 'milih', 'beli', 'rbu', 'pmbgian', 'wlupn', 'unlimited', 'kenceng', 'bintang', '']</t>
  </si>
  <si>
    <t>['bagus', 'tingkatkan']</t>
  </si>
  <si>
    <t>['menginstal', 'mytelkomsel', 'pixel', 'android', 'terinstall']</t>
  </si>
  <si>
    <t>['halo', 'paket', 'malam', 'berfungsi', 'karna', 'terkadang', 'paket', 'jam', 'terkuras', 'pemakaian', 'jam', 'malam', 'kalai', 'jam', 'malam', 'potong', 'paket', 'malam', 'tolong', 'kejelasannya']</t>
  </si>
  <si>
    <t>['jaringan', 'terbaik']</t>
  </si>
  <si>
    <t>['jaringan', 'internet', 'dirumah', 'tinggal', 'kel', 'rantau', 'kec', 'rumbai', 'barat', 'paket', 'moga', 'telkomsel', 'dpt', 'memperbaiki', 'kendala', 'tks']</t>
  </si>
  <si>
    <t>['pengguna', 'telkomsel', 'thun', 'seandainya', 'jaringan', 'pastikan', 'besok', 'ganti', 'kartu', 'sayang', 'jaringan', 'telkomsel', 'telkomsel', 'menang', 'pelosok', 'manjadi', 'pilihan', 'masak', 'jaringan', 'bentar', 'eror', 'tdak', 'kartu', 'telkomsel', 'paketan', 'murah', 'jaringan', 'kelas', 'teri', 'tolong', 'perbaiki', 'orang', 'pindah', 'wifi']</t>
  </si>
  <si>
    <t>['jaringannya', 'normal']</t>
  </si>
  <si>
    <t>['maunya', 'hat', '']</t>
  </si>
  <si>
    <t>['tolong', 'sinyal', 'pelosok', 'tingkatkan', 'perbaiki', 'sya', 'thn', 'berlangkanan', 'telkomsel']</t>
  </si>
  <si>
    <t>['paket', 'internet', 'telfon', 'mahal']</t>
  </si>
  <si>
    <t>['aplikasi', 'kntl', 'kuota', 'unlimited', 'boros', 'banget', 'buka', 'facebook', 'dikit', 'nguras', '']</t>
  </si>
  <si>
    <t>['kepuasan', 'pengguna', 'telkomsel']</t>
  </si>
  <si>
    <t>['mohon', 'bantuanya', 'telkomsel', 'ngasih', 'sinyal', 'jan', 'lambat', 'game', 'liat', 'susah', 'beli', 'kuota', 'mahal', 'sinyalnya', 'lambat', 'tolong', 'perbaiki', 'sinyal', 'telkomsel', '']</t>
  </si>
  <si>
    <t>['mantap', 'suka']</t>
  </si>
  <si>
    <t>['disuruh', 'update', 'sinyal', 'lancar', 'pas', 'dibuka', 'kaya', 'kecottt', 'sinyal', 'down', 'teruss', 'perbaiki', 'sinyalmu', 'telkomsell', '']</t>
  </si>
  <si>
    <t>['telkomsel', 'sinyalnya', 'jelek', 'beda', 'sinyal', 'stabil', 'hilang', 'paket', 'pakai', '']</t>
  </si>
  <si>
    <t>['kartu', 'keren', 'menurutku', 'bagus', 'murah', 'murah', 'dapet', 'banget', 'suka', 'begadang']</t>
  </si>
  <si>
    <t>['pas', 'vertifikasi', 'masukin', 'gmail', 'gabisa', 'bilangnya', 'link', 'halaman', 'tisak', 'ditemukan']</t>
  </si>
  <si>
    <t>['kecewa', 'telkomsel', 'beli', 'paket', 'kombo', 'sakti', 'kuota', 'sosmed', 'game', 'buka', '']</t>
  </si>
  <si>
    <t>['beli', 'paket', 'knpa', 'browsing', 'youtube', 'play', 'store', 'game', 'whatsapp']</t>
  </si>
  <si>
    <t>['berikanlah', 'kouta', 'gratis', 'murah']</t>
  </si>
  <si>
    <t>['lemot', 'parah', 'pindah', 'sebelah', '']</t>
  </si>
  <si>
    <t>['kasih', 'bintang', 'coznya', 'skrg', 'sinyal', 'internet', 'siring', 'hilang', '']</t>
  </si>
  <si>
    <t>['jaringan', 'suka', 'lag']</t>
  </si>
  <si>
    <t>['kecewa', 'berat', 'harga', 'selangit', 'kualitas', 'medit', 'kuota', 'dibagi', 'aplikasi', 'pakai', 'tsel', 'kali', 'ngerasain', 'kecewa', 'parah', 'semenjak', 'kantor', 'pusat', 'kebakar', 'kualitas', 'sinyal', 'tsel', 'ganti', 'prov']</t>
  </si>
  <si>
    <t>['terima', 'kasih', 'telkomsel', 'kuota', 'pemerintah', 'pulsa', 'kesedot', 'ribuan', 'tinggal', 'ribu', 'pulsa', 'internet', 'sebentar', 'langsung', 'muncul', 'sms', 'kepake', 'rb', 'muncul', 'sms', 'telat', 'ngirimny', 'terima', 'kasih', 'telkomsel', 'terima', 'kasih', 'kuota', 'pemerintah', 'bentar', 'pindah', 'dadah', 'muah', 'muah', 'ngakak', 'liat', 'komentar', 'orang', 'kesedot', 'pulsany', 'kocak', 'smpe', 'skrng', 'pencegahan', 'hmmm', 'keren', 'mantap', 'bye']</t>
  </si>
  <si>
    <t>['sarangheee', 'memudahkan', '']</t>
  </si>
  <si>
    <t>['memuaskan', 'memudahkan', 'dlm', 'transaksi', 'pembelian', 'data']</t>
  </si>
  <si>
    <t>['udh', 'isi', 'ulang', 'beli', 'paket', 'tpi', 'diappnya', 'keterangannya', 'tdak', 'masuk', 'pdahl', 'sudh', 'sukses', 'tolong', 'diperbaiki', '']</t>
  </si>
  <si>
    <t>['membantu', 'jdi', 'mudah', 'telkomsel', 'the', 'best']</t>
  </si>
  <si>
    <t>['kak', 'jaringan', 'telkom', 'troble', 'indonesia', 'sinyal', 'bagus', 'gapernah', 'telkom', 'normal', 'sinyal', 'dirumah', 'jelek', 'dirumah', 'temen', 'ama', 'disekolah', 'sinyal', 'bagus', 'rumah', 'jelek', 'sinyalnya', 'beli', 'kuota', 'masukin', 'banget', 'udah', 'ulang', 'masuk', 'ppas', 'bawa', 'konternya', 'langsung', 'masuk', 'coba', 'rumah', 'sinyalnya', 'gada']</t>
  </si>
  <si>
    <t>['menu', 'paket', 'tersedia', 'mahal', 'dri', 'pda', 'menu', 'paket', '']</t>
  </si>
  <si>
    <t>['kali', 'mengunakan', 'terlkomsel', 'beli', 'paket', 'nelpon', 'alhamdulillah', 'langsung', 'memuaskan', 'mkseh', 'telkomsel', '']</t>
  </si>
  <si>
    <t>['mantap', 'pisan', 'pokonmah']</t>
  </si>
  <si>
    <t>['puas', 'dngan', 'apk']</t>
  </si>
  <si>
    <t>['kali', 'telkomsel', 'pelayanannya', 'memudahkan', 'fitur', 'membantu', 'pembelian', 'pulsa', 'dana', 'ovo', 'sukses', 'telkomsel', 'semoga']</t>
  </si>
  <si>
    <t>['kawan', 'skrg', 'memakai', 'jaringn', 'telkomsel', 'mending', 'skrg', 'pindah', 'telkomsel', 'telkomsel', 'smakin', 'bnyk', 'memakai', 'sombong', 'lihat', 'skrg', 'jaringn', 'lancar', 'jaringn', 'telkomsel', 'skrg', 'lemah', 'menyesal', 'seumur', 'hidup', 'pakai', 'telkomsel', 'jaringn', 'bagus', 'telkomsel', 'jaringn', 'jelek']</t>
  </si>
  <si>
    <t>['mahal', 'bat', 'stres', 'kuota', 'abis', 'nyedot', 'pulsa', 'otomatis']</t>
  </si>
  <si>
    <t>['kemudahan', 'dlm', 'pelatanan']</t>
  </si>
  <si>
    <t>['zzz', 'udh', 'mahal', 'lag', 'lancarnya', 'jarang', 'gini', 'mending', 'ganti', 'provider', 'ajalah']</t>
  </si>
  <si>
    <t>['buka', '']</t>
  </si>
  <si>
    <t>['selamat', 'pagi', 'optimis', 'kemajuan', 'teknologi', 'propeder', 'gimana', 'promo', 'murah', 'jaringan', 'cepat', 'propeder', 'nggak', 'telkomsel']</t>
  </si>
  <si>
    <t>['bintang', 'liat']</t>
  </si>
  <si>
    <t>['kah', 'bnr', 'menyenang']</t>
  </si>
  <si>
    <t>['insya', 'allah', 'aplikasi', 'terbaik', 'pembelian', 'paket', 'data', 'pulsa']</t>
  </si>
  <si>
    <t>['nomer', 'beda', 'beda', 'min', 'paket', 'kuota', 'combonya']</t>
  </si>
  <si>
    <t>['hilangkan', 'paketnya', 'extra', 'anlimitit']</t>
  </si>
  <si>
    <t>['update', 'susah', 'lemot', 'log', 'telkomsel', 'jaringan', 'bagus', 'log', 'lambat', 'tolong', 'benahi', '']</t>
  </si>
  <si>
    <t>['tingktkan', 'pelayanan']</t>
  </si>
  <si>
    <t>['senang', 'salah', 'pelanggan', 'setia', 'telkomsel', 'nyaman', 'nyaman', 'semoga', 'kedepannya', '']</t>
  </si>
  <si>
    <t>['aplikasi', 'memuaskan']</t>
  </si>
  <si>
    <t>['info', 'promonya', 'membantu']</t>
  </si>
  <si>
    <t>['singnal', 'ngak', 'sesuai', 'harga', 'paket', 'lemoot']</t>
  </si>
  <si>
    <t>['beli', 'unlimited', 'youtube', 'data', 'terkuras', 'jelek', 'telkomsel']</t>
  </si>
  <si>
    <t>['aplikasi', 'bagus', 'sayang', 'kadang', 'berat', 'buka', 'apkikasinya', '']</t>
  </si>
  <si>
    <t>['semoga', 'undian']</t>
  </si>
  <si>
    <t>['mantap', 'membantu', 'brooo']</t>
  </si>
  <si>
    <t>['tolong', 'telkomsel', 'memperhatikan', 'paket', 'beli', 'pelanggan', 'karna', 'paket', 'beli', 'mahal', 'tpi', 'aplikasinya', 'app', 'video', 'app', 'game', 'free', 'fire', 'aplikasi', 'mohon', 'perhatikan', 'perbaiki', 'terimakasih']</t>
  </si>
  <si>
    <t>['mudah', 'ribet', 'isi', 'data']</t>
  </si>
  <si>
    <t>['mahal', 'jelek', 'sinyalnya']</t>
  </si>
  <si>
    <t>['pembayaran', 'link', 'tersedia', 'membantu', 'pulsa', 'sisa', 'pembelian', 'kuota', 'tersedot']</t>
  </si>
  <si>
    <t>['knp', 'telkomsel', 'lemot', 'mulu', 'nyaman', 'banget', 'pakai', 'telkomsel', 'udah', '']</t>
  </si>
  <si>
    <t>['membatu']</t>
  </si>
  <si>
    <t>['simpel', 'mudah', 'dipahami']</t>
  </si>
  <si>
    <t>['bagus', 'pelayanannya', 'ksh']</t>
  </si>
  <si>
    <t>['telkomsel', 'gila', 'anjeeeeng']</t>
  </si>
  <si>
    <t>['kasih', 'reward', '']</t>
  </si>
  <si>
    <t>['turunin', 'bintang', 'sya', 'doang', 'nge', 'cek', 'pulsa', 'data', 'lewa', 'websitenya', 'rusak', 'nge', 'cek', 'ditulis', 'kartu', 'jaringan', 'telkomsel', 'buka', 'app', 'gimana', 'telkomsel', 'website', 'apknya', 'sikronisasinya', 'parah', 'banget', 'perbaikin', 'website', 'kese', 'gue', 'udah', 'refresh', 'hapus', 'ttp', '']</t>
  </si>
  <si>
    <t>['puas', 'redeem', 'poin']</t>
  </si>
  <si>
    <t>['aplikasinya', 'bagus', 'sebel', 'pulsa', 'tersedot', 'mohon', 'telkomsel', 'update', 'aplikasi', 'buatlah', 'sistem', 'lock', 'pulsa', 'internetan', 'terhenti', 'kuota', 'habis', 'internetan', 'ttp', 'berjalan', 'pulsa', 'tersedot', 'terima', 'kasih', 'mohon', 'ulasan', 'pertimbangkan', 'tanggapi']</t>
  </si>
  <si>
    <t>['mudah', 'cepat', 'ttp', 'lemot', 'gmn', 'perbaiki', 'pindah', 'pakai', 'terimakasih']</t>
  </si>
  <si>
    <t>['internet', 'lemooot', 'skrang', 'mah', 'gwa', 'beralih', '']</t>
  </si>
  <si>
    <t>['tolong', 'perbaiki', 'jaringan', 'yaa', 'wahaii', 'telkomsel']</t>
  </si>
  <si>
    <t>['sip', 'pelayanan', 'cepat', 'efesien']</t>
  </si>
  <si>
    <t>['', 'wilayah', 'kecamatan', 'boyolali', 'kabupaten', 'boyolali', 'desa', 'penggung', 'tolong', 'diperbaiki', 'desa', 'jaringan', 'telkomsel', 'error', 'makasih', '']</t>
  </si>
  <si>
    <t>['paket', 'koutanya', 'masuk', 'akal']</t>
  </si>
  <si>
    <t>['promo', 'lngkap', 'klw', 'isi', 'kuota', 'data', 'mahal', 'trus', 'ganti', 'nomor', '']</t>
  </si>
  <si>
    <t>['ribet', 'seperty', 'telkomsel', 'ane', 'kartu', 'udah', 'cek', 'sayang', 'kecewa', '']</t>
  </si>
  <si>
    <t>['lumayan', 'cepat', 'informasinya', 'tgg', 'update']</t>
  </si>
  <si>
    <t>['keseringan', 'eror', 'tolong', 'tingkatkan', 'pelayanan', 'internetnya']</t>
  </si>
  <si>
    <t>['apdet', 'telkomsel', 'kadang', 'kadang', 'suka', 'kesel', 'ribet', 'kadang', 'erorr', 'kadang', 'kadang', 'bagus', 'sayang', 'ngasih', 'bintang', 'bingung', 'lau', 'kasih', 'bintang', 'kadang', 'semosi', '']</t>
  </si>
  <si>
    <t>['lancar', 'gangguan']</t>
  </si>
  <si>
    <t>['operator', 'memuaskan', 'jaringan', 'terbaik']</t>
  </si>
  <si>
    <t>['lumayan', 'mkanya', 'kasih', 'bintang', '']</t>
  </si>
  <si>
    <t>['memudahkan', 'pengecekan', 'data']</t>
  </si>
  <si>
    <t>['kuota', 'internet', 'habis', 'srmentara', 'kuota', 'sosmed', 'chat', 'dll', 'tersisa', 'brlum', 'terpakai', 'kondisi', 'jaringan', 'lelet', 'memuaskan', '']</t>
  </si>
  <si>
    <t>['setia', 'telkomsel', 'signal', 'tiada', 'duanya', 'top']</t>
  </si>
  <si>
    <t>['app', 'scammer', 'gua', 'udah', 'sediain', 'pulsa', 'beli', 'pulsa', 'malam', 'gb', 'harganya', 'cuman', 'dibilangnya', 'pulsa', 'mencukupi', 'anehnya', 'tetep', 'pulsa', 'gua', 'abis', 'pulsa', 'gua', 'trus', 'sisanya', 'dikemanain', 'woyy', 'pulsa', 'gua', 'cman', 'sisa', 'kasih', 'bintang', 'ajalah', 'app', 'aneh', '']</t>
  </si>
  <si>
    <t>['telkom', 'sel', 'enga', 'pakai', 'apalkasi']</t>
  </si>
  <si>
    <t>['membanth']</t>
  </si>
  <si>
    <t>['kuota', 'gratis', 'login', 'masuk', 'tertulis', 'terklaim', 'kecewa', 'mennggu', '']</t>
  </si>
  <si>
    <t>['puas', 'layanan', 'telkomsel', 'gangguan']</t>
  </si>
  <si>
    <t>['aplikasi', 'sqngat', 'membantu', 'top', 'banget', 'deh']</t>
  </si>
  <si>
    <t>['kenapaa', 'telkomsel', 'maket', 'besok', 'udah', 'expired', 'kecewa', 'udah', 'kali', 'mingu', 'minggu', 'udah', 'expired', 'tulisan', 'harinya', 'kecewa', 'sakali', 'telkomsel', 'mohon', 'perbaiki', '']</t>
  </si>
  <si>
    <t>['pemenang', 'periode', 'muncul', 'diaplikasi', 'mytelkomsel', 'gimana', 'carax', 'pemenangx', '']</t>
  </si>
  <si>
    <t>['signal', 'bagus', '']</t>
  </si>
  <si>
    <t>['paket', 'internet', 'mahal', 'sinyal', 'jelek']</t>
  </si>
  <si>
    <t>['telkomsel', 'signal', 'pertahanan']</t>
  </si>
  <si>
    <t>['kouta', 'gratis', 'ngasih', 'bintang', 'kalok', 'kouta', 'gratis', 'kouta', 'gratis', 'kasih', 'bintang', '']</t>
  </si>
  <si>
    <t>['membantu', 'terima', 'kasih']</t>
  </si>
  <si>
    <t>['aplikasi', 'dibuka', 'pakai', 'koneksi', 'internet', 'telkomsel', '']</t>
  </si>
  <si>
    <t>['kesini', 'harga', 'paketan', 'mahal']</t>
  </si>
  <si>
    <t>['dapatkan', 'paket', 'gratis']</t>
  </si>
  <si>
    <t>['licik', 'banget', 'telkomsel', 'makai', 'tarik', 'pulsanya', 'bumn', 'selicik', '']</t>
  </si>
  <si>
    <t>['aplnya', 'bagus']</t>
  </si>
  <si>
    <t>['paketan', 'harganya', 'jaringan', 'jelek', 'mahalnya', 'doang', 'kaga', 'kualitasnya', 'hujan', 'jaringan', 'ilang', 'hujan', 'lancar', 'kaga', 'lemotnya']</t>
  </si>
  <si>
    <t>['segi', 'sinyal', 'udh', 'bagus', 'cuman', 'harga', 'paket', 'kuota', 'mahal', 'klaim', 'reward', 'check', 'pulsa']</t>
  </si>
  <si>
    <t>['oke', 'keren']</t>
  </si>
  <si>
    <t>['memudahkan', 'pembelian', 'paket', 'telkomsel', 'tampa', 'outlet', 'telkomsel']</t>
  </si>
  <si>
    <t>['telkomsel', 'joss', 'internetan', 'nelpon', 'dimana', 'sinyalnya', 'nggak', 'putus', 'putus', 'mantap', '']</t>
  </si>
  <si>
    <t>['simpel', 'informatif']</t>
  </si>
  <si>
    <t>['signal', 'internet', 'kadang', 'suka', 'lemot']</t>
  </si>
  <si>
    <t>['aplikasi', 'simple', 'ringan', 'ngirit', 'kualitas', 'terjaga', 'lanjutkan']</t>
  </si>
  <si>
    <t>['hai', 'telkomsel', 'nanya', 'hadiah', 'tukar', 'poin', 'andaikan', 'hubungi', '']</t>
  </si>
  <si>
    <t>['beli', 'kuota', 'lokal', 'wilayah', 'banyuasin', 'aktifnya', 'wilayah', 'palembang', 'udah', 'bener', 'ngga', 'kejadian', 'gini', 'salah', 'belinya', 'wilayah', 'palembang', 'pas', 'pastiin', 'belinya', 'wilayah', 'banyuasin', 'tersedot', 'kuota', 'nasional', 'pas', 'dipalembang', 'kuota', 'lokal', 'aneh', 'membeli', 'kuota', 'perbuatan', 'curang', 'perbaiki', 'emang', 'kesalahan', 'teknis', 'perbuatan', 'curang', '']</t>
  </si>
  <si>
    <t>['program', 'reward', 'daily', 'check', 'berhadiah', 'voucher', 'informatif', 'mekanismenya', '']</t>
  </si>
  <si>
    <t>['pindah', 'iming', 'bagiku', 'telkomsel', 'terbaik', 'sinyal', 'jozzz', 'pelayanan', 'ramah', 'memuaskan', 'trima', 'kasih', 'telkomsel', 'smoga', 'sukses', 'jaya']</t>
  </si>
  <si>
    <t>['nonton', 'youtube', 'seharian', 'puas']</t>
  </si>
  <si>
    <t>['mantap', 'promonya']</t>
  </si>
  <si>
    <t>['jaringan', 'telkomsel', 'mantaaap', '']</t>
  </si>
  <si>
    <t>['tlh', 'mengguna', 'telkomsel', 'thn', 'produk', 'tlg', 'tingkat', 'jaringan', 'wilayah', 'jawa', 'barat', '']</t>
  </si>
  <si>
    <t>['harga', 'murah', 'semoga', 'jaringannya', 'kencang', 'laload']</t>
  </si>
  <si>
    <t>['mudah', 'praktis', 'simple']</t>
  </si>
  <si>
    <t>['aplikasi', 'bagus', 'bnget']</t>
  </si>
  <si>
    <t>['beli', 'paket', 'youtube', 'muter', 'muter']</t>
  </si>
  <si>
    <t>['paketnya', 'srg', 'macet', 'kaya', 'pas', 'butuh', 'kuota', 'ketengan', 'muncul', 'oadahak', 'udah', 'direfresh', 'berkali', 'overall', 'bagus', 'cuman', 'oaketnya', 'srg', 'gimana', 'gitu']</t>
  </si>
  <si>
    <t>['tawaran', 'paket', 'bulanan', 'murah']</t>
  </si>
  <si>
    <t>['sayaa', 'suka', 'aplikasi', 'telkomsel', 'dimana', 'aplikasi', 'memudahkan', 'bertransaksi', 'pulsa', 'data', 'telpon', '']</t>
  </si>
  <si>
    <t>['banyakin', 'promo', 'paket', 'data', 'tukar', 'poin', 'menarik', 'pelanggan', 'join', '']</t>
  </si>
  <si>
    <t>['apk', 'telkomsel', 'kek', 'hewan', 'menggonggong', 'kali', 'buka', 'apk', 'hapus', 'data', 'apk', 'kebuka']</t>
  </si>
  <si>
    <t>['sistem', 'jaringan', 'telkomsel', 'ngecewain', 'minggu', 'banget', 'eror', 'sinyal', 'telkomsel', 'ampe', 'gaj', 'jaringan', 'tolong', 'diperbaiki', 'ngeluarin', 'harga', 'kuota', 'mahal', 'mahal', 'eror', 'mengecewakan', 'namanya', '']</t>
  </si>
  <si>
    <t>['kereeeeeennn', 'mudah', 'akses', 'membantu']</t>
  </si>
  <si>
    <t>['apk', 'oke']</t>
  </si>
  <si>
    <t>['alhmdulillah', 'semoga', 'terbaik']</t>
  </si>
  <si>
    <t>['beli', 'kuota', 'mahal', 'sinyal', 'dikota', 'slalu', 'jlk', 'pulsa', 'slalu', 'kepotong', 'pemberitahuan', 'ngerugiin', 'pengguna', 'doang', 'bubarin', 'mending', 'prusahaan', '']</t>
  </si>
  <si>
    <t>['kawan', 'mari', 'ramai', 'pindah', 'provider', 'telkomsel', 'jelek', 'mahal', 'jaringan', 'stabil', 'logonya', 'jelek', 'coba']</t>
  </si>
  <si>
    <t>['telkomsel', 'sinyalnya', 'gajelas', 'sinyal', 'suka', 'ilang', 'main', 'game', 'jelek', 'mulu', 'jaringannya', 'gajelas', 'pokonya', 'mah', 'mahal', 'doang', 'paketannya', 'jaringan', 'memuaskan', '']</t>
  </si>
  <si>
    <t>['telkomsel', 'ulah', 'anying', 'sinyal', 'ilang', 'mulu', 'cape', 'ulah', 'mulu', 'ganti', 'berak']</t>
  </si>
  <si>
    <t>['paket', 'doang', 'mahal', 'sinyal', 'mah', 'jelek']</t>
  </si>
  <si>
    <t>['maaf', 'kurangi', 'pulsa', 'berkurang', 'paketin', 'berkurang']</t>
  </si>
  <si>
    <t>['membatu', 'bangget', 'aplikasi', 'mudah', 'oke']</t>
  </si>
  <si>
    <t>['perhatikan', 'data', 'internet', 'konsumen', 'habis', 'otomatis', 'pulsa', 'kuras', 'habis', 'contoh', 'provider', 'memilah', 'data', 'kuota', 'pulsa', 'pribadi', 'konsumen', 'malu', 'konsumen', 'apakh', 'perusahaan', 'bumn', 'rakus']</t>
  </si>
  <si>
    <t>['nyaman', 'dipakai', 'bagus']</t>
  </si>
  <si>
    <t>['ooh', 'sayangkan', 'syekali', 'penukaran', 'poin', 'telkom', 'penukaran', 'poin', 'paket', 'internet', 'beralasan', 'mohan', 'maaf', 'sistem', 'sibuk', 'cobalah', 'menit', 'rugikan', 'pengguna', 'telkomsel', 'tukar', 'poin']</t>
  </si>
  <si>
    <t>['jaringan', 'ilang', 'malam']</t>
  </si>
  <si>
    <t>['kesini', 'kaya', 'babi']</t>
  </si>
  <si>
    <t>['mantap', 'harga']</t>
  </si>
  <si>
    <t>['sumpah', 'sedih', 'miris', 'mahal', 'gue', 'bela', 'beli', 'omg', 'langganan', 'youtube', 'via', 'telkomsel', 'tetep', 'pelayanan', 'buruk', 'burik', 'bobrok', 'jam', 'gue', 'game', 'online', 'denger', 'youtube', 'shut', 'down', 'gaje', 'gue', 'pelanggan', 'setia', 'kartu', 'gue', 'taon', 'jebot', 'udh', 'upgrade', 'tetep', 'panas', 'jaringan', 'putus', 'fix', 'the', 'bugs', '']</t>
  </si>
  <si>
    <t>['telkomsel', 'paketnya', 'mahal', 'mahal', 'tolonglah', 'kayak', 'kartu', 'kartu', 'perdana', 'paketnya', 'murah', 'murah', '']</t>
  </si>
  <si>
    <t>['sinyal', 'jelek', 'masak', 'bangunan', 'hilang', 'sinyal', 'kota', 'trus', 'pulsa', 'hilang', '']</t>
  </si>
  <si>
    <t>['tolong', 'perbaiki', 'jaringan', 'mahal', 'kadang', 'jaringan', 'kecewa']</t>
  </si>
  <si>
    <t>['jaringan', 'bukanya', 'making', 'bagus', 'jelek', '']</t>
  </si>
  <si>
    <t>['maju', 'trus', 'tsel', 'cpai', 'smua', 'pelosok']</t>
  </si>
  <si>
    <t>['mahal', 'doang', 'paketan', 'kuwaliatasnya', 'kaga', 'bagus', 'bagusnya', '']</t>
  </si>
  <si>
    <t>['telkomsel', 'kacau', 'beli', 'paket', 'internet', 'notifikasi', 'kuota', 'masuk', 'main', 'game', 'ngelag', 'pulsa', 'kesedot', 'paket', 'hilang', 'payah', '']</t>
  </si>
  <si>
    <t>['terimakasih', 'telkomsel', 'event', 'ekstra', 'kouta', 'seneng', 'tukar', 'poin', 'rp', 'dapet', 'kouta', 'telkomsel', 'sukses', 'telkomsel', 'amiin', 'wasallam', 'muhammad', 'henry', '']</t>
  </si>
  <si>
    <t>['nada', 'buka', 'aplikasi', 'mati', 'hidup', 'menggangu']</t>
  </si>
  <si>
    <t>['apk', 'jelek', 'tpi', 'boong', 'hayoo', 'pal', 'pali', 'pal', 'pali', 'bacia', 'cidau', 'maddidau', '']</t>
  </si>
  <si>
    <t>['belik', 'paket', 'gratis', 'tampa', 'ongkir', '']</t>
  </si>
  <si>
    <t>['beli', 'paketan', 'unlimited', 'youtube', 'minggu', 'dipake', 'kuota', 'utama', 'hadehhhh', 'beli', 'mahal', 'mahal', 'streaming', 'youtube', 'nonstop', 'kesedot', 'utama', 'tolong', 'diperbaiki', 'pemakaian', 'kuotanya', 'rugi', 'beli', 'mahal', 'mahal', 'kepake', 'kuota']</t>
  </si>
  <si>
    <t>['', 'bintang', 'perkembangan']</t>
  </si>
  <si>
    <t>['making', 'telkomsel']</t>
  </si>
  <si>
    <t>['paket', 'unlimited', 'sosial', 'media', 'game', 'main', 'game', 'pubg', 'time', 'out', 'gimana', 'paket', 'tolong', 'perbaiki', 'habis', 'beli', 'paket', 'nyari', 'uang', 'susah', 'gini']</t>
  </si>
  <si>
    <t>['', 'jaringan', 'lemot', 'paket', 'mahal', 'pemakaian', 'kuotanya', 'sesuai', 'pas', 'dikasih', 'komentar', 'gamau', 'alihkan', 'suruh', 'anu', 'anu', '']</t>
  </si>
  <si>
    <t>['kecewe', 'gua', 'kartu', 'telkomsel', 'paket', 'mahal', 'sinyal', 'nyh', 'ngeleg', 'mulu', 'kaya', 'gua', 'nyesek', 'beli', 'paketan', 'ribu', 'kepake', 'gara', 'gara', 'ngeleg', 'tolong', 'telkomsel', 'bener', 'nambah', 'nambahin', 'paketan', 'mulu', 'benerin', 'sinyal', 'nyh', 'menyesal', 'gara', 'gara', 'beli', 'paketan', 'mahal', 'sebulah', 'kepake', 'akibat', 'ngeleg', 'tolong', 'telkomsel', 'gua', 'kecewa', '']</t>
  </si>
  <si>
    <t>['', 'aplikasi', 'chat', 'agen', 'auto', 'reply', 'doank']</t>
  </si>
  <si>
    <t>['ngasih', 'gratisan', 'puluhan', 'pas', 'download', 'kepotong', 'kuota', 'utama', 'untung', 'rugi', 'kuota', 'utama', 'pelanggan', 'setia', 'ditipu', 'dirampok', 'mahal', 'korupsi', 'kuota', 'orang', 'yaudah', 'berdosa']</t>
  </si>
  <si>
    <t>['paketnya', 'mahal']</t>
  </si>
  <si>
    <t>['jaringan', 'hancurrr', 'sesuai', 'kualitas', 'harga', 'kuota']</t>
  </si>
  <si>
    <t>['aplikasinya', 'mantap']</t>
  </si>
  <si>
    <t>['jaringan', 'card', 'tetangga', 'mahalnya', 'doang', 'jaringan', 'payah', '']</t>
  </si>
  <si>
    <t>['tingkat', 'lgi', 'paket', 'internet', 'murah', 'mahal']</t>
  </si>
  <si>
    <t>['jaringan', 'internet', 'lemot']</t>
  </si>
  <si>
    <t>['asikk', 'membantu']</t>
  </si>
  <si>
    <t>['susah', 'buka', 'update', 'nga', 'perubahan', 'belajar', 'provider', 'sebelah']</t>
  </si>
  <si>
    <t>['pls', 'paket', 'prioritasin', 'habisnya', 'bentar', 'paket', 'bln', 'sisa', 'ayolah', 'rugi', 'customer']</t>
  </si>
  <si>
    <t>['alami', 'menjalankn', 'mengarungi', 'kehidupan', 'kerja', 'pabrik', 'sales', 'marketing', 'agen', 'kartu', 'kredit', 'bni', 'card', 'agen', 'asuransi', 'pemasangan', 'wartel', 'pemasangan', 'pabx', 'pemasaran', 'jaringan', 'telpon', 'rumah', 'pemasaran', 'telpon', 'flexi', 'distributor', 'susu', 'kedelai', 'rokok', 'herbal', 'sin', 'bidang', 'politik', 'ketua', 'ranting', 'partai', 'ketua', 'pac', 'memcalonkn', 'anggota', 'dewan', 'kabupaten', 'mencalonkn', 'pilihan', 'kades', 'anggota', 'bpd', 'jabatan', 'waka', 'msh', 'byk', 'penglmn', '']</t>
  </si>
  <si>
    <t>['dipakai', 'aplikasinya']</t>
  </si>
  <si>
    <t>['tolong', 'program', 'poinnya', 'tukarkan', 'pulsa', 'paket', 'internet', 'kartu', 'telkomsel', 'simpati', 'berbeda', 'pembelian', 'kuota', 'nomor', 'harga', 'tertinggi', 'terima', 'kasih', '']</t>
  </si>
  <si>
    <t>['peluang', 'hadiah']</t>
  </si>
  <si>
    <t>['bagus', 'banget', 'aplikasi', 'beli', 'paket', 'data', 'ngapain', 'liat', 'kebawah', 'uda', 'bialng', 'aplikasi', 'bagus', '']</t>
  </si>
  <si>
    <t>['kasih', 'menukarkan', 'point', 'telkomsel', 'langsung', 'donk', 'nukarkan', 'poin', 'capek']</t>
  </si>
  <si>
    <t>['anjink', 'anjink', 'anjink', 'nggk', 'worth', 'telkom', 'ngentod']</t>
  </si>
  <si>
    <t>['ahir', 'jaringan', 'setabil', 'kouta', 'sinyalpun', 'penuh', 'kouta', 'mahal']</t>
  </si>
  <si>
    <t>['bingung', 'skrg', 'telkomsel', 'kuota', 'jaringannya', 'kaya', 'keong', 'chat', 'pending', 'game', 'jdinya', 'crack', 'bagusan', 'telkomsel', 'jaringannya', 'skrg', 'canggih', 'membaik', 'menurun', 'harga', 'kuota', 'udh', 'mahal', 'giliran', 'kaya', 'gini', 'jujur', 'kecewa', 'banget', 'asli', 'kaya', 'gini', 'sekian', '']</t>
  </si>
  <si>
    <t>['aplikasi', 'membagongkan', '']</t>
  </si>
  <si>
    <t>['emnag', 'terbaik']</t>
  </si>
  <si>
    <t>['jaringn', 'internet', 'errol', 'hujan', 'dikit', 'jaringn', 'internet', 'lol', 'jangkauan', 'luas', 'internet', 'lol', 'bgs', 'pintar', 'jaringn']</t>
  </si>
  <si>
    <t>['kecewa', 'pelayanan', 'telkomsel', 'pengguna', 'setia', 'telkomsel', 'kartu', 'pelayanan', 'mengecewakan', 'membeli', 'paket', 'internet', 'telkomsel', 'penggunaan', 'sms', 'notifikasi', 'pulsa', 'terpotong', 'memiliki', 'paket', 'akti', '']</t>
  </si>
  <si>
    <t>['tolonglah', 'sinyalmu', 'diperbaiki', 'paketnya', 'ajaa', 'mahal']</t>
  </si>
  <si>
    <t>['telkom', 'ngga', 'sehattt']</t>
  </si>
  <si>
    <t>['fitur', 'kualitas', 'jaringan', 'bagus', '']</t>
  </si>
  <si>
    <t>['jaringan', 'sinyalnya', 'aduuh', 'parah', 'lemot', 'banget', 'stabil']</t>
  </si>
  <si>
    <t>['ngennttoooott', 'sinyal', 'telkomsel', 'kaya', 'jancokkk', 'sumpah', 'paketan', 'mahal', 'sinyal', 'kek', 'kontoll', 'mememkkkk', 'asuu', 'telkomsel', 'asuuuu', 'restart', 'jaringan', 'nggak', 'ngentoddd', 'telkomsel', 'asuuuuu', 'babii', 'celeng', 'nanjisss', 'cuihh', 'akuuuu', 'ngentoddd', 'telkomsel', 'jancokkkk', '']</t>
  </si>
  <si>
    <t>['yth', 'telkomsel', 'jaringan', 'deli', 'serdang', 'stabil', 'knp', 'buka', 'vidio', 'facebook', 'lelet', 'paket', 'data', '']</t>
  </si>
  <si>
    <t>['knp', 'telkomsel', 'beli', 'kouta', 'harga', 'tpi', 'knp', 'koutanya', 'masuk', 'pulsa', 'kesedot', 'kyk', 'gini', 'kali', 'nyaman', 'apk']</t>
  </si>
  <si>
    <t>['jaringan', 'telkomsel', 'jelek', 'gue', 'beli', 'paket', 'mahal', 'ngelek', 'bagus', 'jaringan', 'smartfren', 'taik', 'telkomsel']</t>
  </si>
  <si>
    <t>['lumayan', 'bagus']</t>
  </si>
  <si>
    <t>['tolong', 'admin', 'telkomsel', 'terhormat', 'harga', 'kuota', 'mahalil', 'tolong', 'jaringan', 'perbaiki', '']</t>
  </si>
  <si>
    <t>['', 'turuni', 'bintang', 'pelanggan', 'kartu', 'halo', 'update', 'terbaru', 'extra', 'kuata', 'harian', 'sda', 'dngan', 'kondisi', 'sperti', 'mura', 'mala', 'tamba', 'mahal']</t>
  </si>
  <si>
    <t>['jelek', 'jaringan', 'telkomsel', 'cek', 'bagus', 'jaringan', 'jelek', 'kali']</t>
  </si>
  <si>
    <t>['aplikasi', 'terbaik']</t>
  </si>
  <si>
    <t>['isi', 'voucher', 'kuota', 'tulisan', 'maaf', 'sistem', 'sibuk', 'voucher', 'telkomsel', '']</t>
  </si>
  <si>
    <t>['bintang', 'main', 'game', 'jaringan', 'stabil', 'ujung', 'banned', 'game', 'merugikan', 'orang', 'tolong', 'ditingkatkan', 'jaringannya', 'udah', 'pasang', 'ngelag']</t>
  </si>
  <si>
    <t>['poin', 'tukar', 'paket', 'internet', '']</t>
  </si>
  <si>
    <t>['udah', 'mahal', 'jaringannya', 'coba', 'kartu', 'telkomsel', 'ngebuat', 'kartu', 'mahal', 'pastika', 'jaringannya', 'bagus', 'dikit', 'diki', 'lag', 'terimakasih', 'edit', 'halo', 'apk', 'jaringan', 'bagus']</t>
  </si>
  <si>
    <t>['bantuan', 'telkom', 'ngejawab', 'bot', 'nyambung', 'pertanyaannya']</t>
  </si>
  <si>
    <t>['top', 'deh', 'memudahkan', 'pembelian', 'paket', 'internet', 'telkomsel']</t>
  </si>
  <si>
    <t>['membantu', 'puas']</t>
  </si>
  <si>
    <t>['jaringan', 'leg']</t>
  </si>
  <si>
    <t>['perbaikan', 'kah', 'playstore', 'sulit', 'ditemukan', '']</t>
  </si>
  <si>
    <t>['parah', 'note', 'pelanggan', 'setia', 'telkomsel', 'beralih', 'pembelian', 'aplikasi', 'telkomsel', 'terkendala', 'gangguan', 'telkomsel', 'percaya', 'kondisi', 'contoh', 'nyata', 'perusahaan', 'kokoh', 'pencundang', 'gara', 'servis', 'jaringan', 'aplikasi', 'telkomsel', 'kemudahan', 'memilih', 'paket', 'tersedia', 'kecewaaaaa', '']</t>
  </si>
  <si>
    <t>['jaringan', 'bagus', 'tpi', 'kuata', 'cepat', 'habis', 'pemakaian', 'standar', 'isi', 'omg', 'gb']</t>
  </si>
  <si>
    <t>['tanggal', 'telpon', 'tawarkan', 'kartu', 'hallo', 'telfon', 'selsai', 'kartu', 'malam', 'telpon', 'habis', 'isi', 'paket', 'mubazir', '']</t>
  </si>
  <si>
    <t>['kartu', 'jaringan', 'lemooooott', 'pdhal', 'jdi', 'kartu', 'halo', 'jaringan', 'cepat', 'bayar', 'mahal', 'tpi', 'jaringan', 'lemooooooooooooooooottttttt']</t>
  </si>
  <si>
    <t>['sinyal', 'hilang', 'muncul', 'tolong', 'perbaiki', 'jaringan', 'telkomsel', 'nyaman', 'gue', 'pindah', 'kartu', 'halo', 'semenjak', 'tawari', 'pindah', 'kartu', 'halo', 'jaringan', 'dowen', 'perbaiki']</t>
  </si>
  <si>
    <t>['bagus', 'aplikasinya', 'udah', 'mahal', 'paketnya', '']</t>
  </si>
  <si>
    <t>['jaringan', 'telkomsel', 'udah', 'lambat', 'bagus', 'gangguan', 'bonus', 'perna', 'udah', 'kasi', 'isi', 'plsa', 'bonus', 'skarang', 'udah', 'daftar', 'paket', 'mahal']</t>
  </si>
  <si>
    <t>['telomsel', 'bet']</t>
  </si>
  <si>
    <t>['sinyal', 'busuk', 'loading', 'nyaman', 'jakarta', 'utara', 'youtuban', 'loading', 'maen', 'game', 'downn', 'sinyal', 'internet']</t>
  </si>
  <si>
    <t>['knp', 'min', 'beli', 'paket', 'data', 'pemberitahuannya', 'maaf', 'gangguan', 'koneksi', 'harap', 'coba', 'udh', 'ulang', 'cobax', 'gitu', 'trus', 'tolong', 'deh', 'min', 'kasih', 'solusinya', 'gimana', 'trimss', '']</t>
  </si>
  <si>
    <t>['mahalnya', 'paket', 'data', 'pandemi']</t>
  </si>
  <si>
    <t>['legbpas', 'game', 'biki', 'emosi']</t>
  </si>
  <si>
    <t>['woy', 'mna', 'ktanya', 'jaringan', 'ngebut', 'anti', 'lag', 'taek', 'anying', 'jaringan', 'lag', 'tolol', 'kesel', '']</t>
  </si>
  <si>
    <t>['poin', 'tukar', 'data', 'sistim', 'sibuk', 'tolong', 'bantuin', 'merugi', 'konsumen', 'paham']</t>
  </si>
  <si>
    <t>['membantu', 'promo', 'promo', 'bulannya']</t>
  </si>
  <si>
    <t>['kuota', 'malam', 'pikir', 'lumayan', 'kerja', 'dll', 'menghemat', 'kuota', 'utama', 'kuota', 'berkurang', 'berkurang', 'kuota', 'utama', 'rugi', 'dooooong', 'gimana', '']</t>
  </si>
  <si>
    <t>['tolong', 'tlkomsel', 'sesuaikan', 'kualitas', 'harga', 'harga', 'data', 'mhl', 'bngt', 'toraja', 'jringannya', 'aduh', 'sulit', 'menyusahkan', 'tolong', 'perbaiki', 'jaringannya', 'plosok', 'kota', '']</t>
  </si>
  <si>
    <t>['makasih', 'telkomsel', 'paket', 'murah', 'menyenangkan']</t>
  </si>
  <si>
    <t>['paket', 'darurat', 'dperlukan', 'trnyata', 'bsa', 'diakses', 'shrusnya', 'paket', 'darurat', 'mudah', 'diakses', 'lbih', 'bagus', 'operator', 'provider', '']</t>
  </si>
  <si>
    <t>['telkomsel', 'setia', 'menggunakanmu', '']</t>
  </si>
  <si>
    <t>['telkomsel', 'ovo', 'terbaik']</t>
  </si>
  <si>
    <t>['bnyk', 'hadiah', 'nukarkn', 'poin', 'jdi', 'paket', 'data', 'mksi', 'telkomsel', '']</t>
  </si>
  <si>
    <t>['lancar', 'kak', '']</t>
  </si>
  <si>
    <t>['jaringannya', 'buruk', 'tolong', 'tingkatkan', 'kualitas', 'jaringannya', 'mengecewakan', 'pelanggan']</t>
  </si>
  <si>
    <t>['mahal', 'woi', 'harga', 'paket', 'turunin', 'rakyat', 'berat']</t>
  </si>
  <si>
    <t>['jaringan', 'lemot', 'pdhal', 'sinyal', 'lumayan', 'bagus', 'lemot', 'bangettt', 'ngegame', 'mobile', 'legends', 'sinyal', 'merah', 'merah', 'teruss', 'asik', 'mainnya', 'kouta', 'sangaattttt', 'mahal', 'lemot', 'mending', 'pakai', 'kouta', 'murah', 'murah', 'lemot', 'telkomsel', 'lemot', 'banget']</t>
  </si>
  <si>
    <t>['tolong', 'benerin', 'koneksi', 'sesuai', 'harga']</t>
  </si>
  <si>
    <t>['banyakin', 'promonya', 'ahh', '']</t>
  </si>
  <si>
    <t>['parah', 'banget', 'telkomsel', 'covid', 'harga', 'naikin', 'kecepatan', 'jaringan', 'kerangi', 'sumpah', 'parah', 'banget', 'covid', 'kouta', 'unlimited', 'pakai', 'nonton', 'youtube', 'kouta', 'unlimited', 'buka', 'youtube']</t>
  </si>
  <si>
    <t>['jaringan', 'palembang', 'burik', 'tolong', 'diperbaiki', 'mahal', 'jaringan', 'nggak', 'nyaman']</t>
  </si>
  <si>
    <t>['', 'mengecewakan', 'ngeluh', 'kemana', 'jaringan', 'telkomsel', 'oke', 'kecewa', 'banget', 'tolong', 'telkomsel', 'perbaiki', 'jaringan', 'desa', 'desa', 'sebenernya', 'pelosok', 'tempatnya', 'heran', 'harga', 'paket', 'mahalnya', 'main', 'jaringannya', 'main', 'main', 'nawarin', 'paket', 'kejutan', 'dimana', 'reedem', 'rp', 'dpt', 'gb', 'jaringannya', 'jelek', 'haduh', 'emosi', 'iya', 'ulasan', 'kasih', 'kemaren', 'ilang', 'wkwkwk']</t>
  </si>
  <si>
    <t>['signal', 'telkomsel', 'taiikkk', 'uda', 'gprs', 'gimana', 'uda', 'kaga', 'pakai', 'paket', 'internet', 'mending', 'pindah', 'operator', 'uda', 'murah', 'signal', 'bagus']</t>
  </si>
  <si>
    <t>['penukaran', 'mahal']</t>
  </si>
  <si>
    <t>['alhamdulillah', 'membantu', 'aplikasinya', 'terima', 'kasih']</t>
  </si>
  <si>
    <t>['mahal', 'doang', 'jaringan', 'buruk']</t>
  </si>
  <si>
    <t>['apknya', 'bagus', 'banget', '']</t>
  </si>
  <si>
    <t>['sinyalnya', 'jelek', 'hujan', 'mati', 'lampu', 'mati', 'total', '']</t>
  </si>
  <si>
    <t>['lumayan', 'adakan', 'promo', 'paket', 'data', 'internet', 'murah']</t>
  </si>
  <si>
    <t>['bermain', 'mobile', 'legend', 'lambat', 'jaringannya']</t>
  </si>
  <si>
    <t>['smpe', 'hbs', 'pdhl', 'rmh', 'vifi', 'hemat', 'data', 'knpa', '']</t>
  </si>
  <si>
    <t>['terimakasih', 'membantu']</t>
  </si>
  <si>
    <t>['recommended', 'banget', 'pengguna', 'telkomsel']</t>
  </si>
  <si>
    <t>['banyakin', 'promo', 'murah', 'paket', 'internet', 'yaaa']</t>
  </si>
  <si>
    <t>['enakan', 'tsel']</t>
  </si>
  <si>
    <t>['potongan', 'harga']</t>
  </si>
  <si>
    <t>['down', 'trs', 'jelek']</t>
  </si>
  <si>
    <t>['jaringan', 'lelet']</t>
  </si>
  <si>
    <t>['apk', 'perusak', 'hape', 'samsung', 'gua', 'crash', 'mulu', '']</t>
  </si>
  <si>
    <t>['tampilan', 'keren', 'memudahkan', 'pengguna']</t>
  </si>
  <si>
    <t>['jaringan', 'jelek', 'buruk', 'indo', 'kuota', 'unlimitednya', 'buruk', '']</t>
  </si>
  <si>
    <t>['paketan', 'mahal', 'sinyal', 'jelek', 'masuk', 'kerumah', 'serasa', 'masuk', 'kehutan', 'sinyalnya', 'langsung', 'ilang', 'dikota', '']</t>
  </si>
  <si>
    <t>['wkwkwkekewie', 'taik', 'kucing', '']</t>
  </si>
  <si>
    <t>['susah', 'jaringan', 'internet', 'balas', 'pesan', 'whatsapp', 'bermenit', 'menit', 'buka', 'sosmed', 'login', 'game', 'nunggu', 'malam', 'perbaiki', 'jaringan', 'buk']</t>
  </si>
  <si>
    <t>['sinyal', 'stabil', 'buruk', '']</t>
  </si>
  <si>
    <t>['bermanfaat', 'mudah']</t>
  </si>
  <si>
    <t>['biasaaaa', 'telkomsel']</t>
  </si>
  <si>
    <t>['membantu', 'kebanyakan', 'kuota', 'lokal']</t>
  </si>
  <si>
    <t>['kasih', 'bintang', 'belom', 'memenangkan', 'undian']</t>
  </si>
  <si>
    <t>['sampah', 'combo', 'sakti', 'kau', 'hapuskan', 'pengguna', 'telkomsel', 'telkomsel', 'worth', 'jaringan', 'lemot', 'harga', 'paket', 'wajar', 'memikirkan', 'kepuasan', 'pelanggan', 'memperbesar', 'laba', 'kompetitor', 'menawarkan', 'harga', 'murah', 'kualitas', 'jaringan', 'berbeda', 'pengguna', 'telkomsel', 'kecewa', 'beralih', 'paket', 'data', 'seluler', 'jaringan', 'telkomsel', 'yuk', 'beralih', 'jaringan', 'dibodohi', 'sampah', '']</t>
  </si>
  <si>
    <t>['kinerja', 'positif', 'bagus', '']</t>
  </si>
  <si>
    <t>['dapet', 'kuota', 'penukaran', 'poin', 'gb', 'paketan', 'utamanya', 'habis', 'berkurang', 'gimana', 'rugi', '']</t>
  </si>
  <si>
    <t>['kuotanya', 'mahal', 'jaringan', 'udah', 'hujan', 'malam', 'lelet', 'pokoknya', 'kesal']</t>
  </si>
  <si>
    <t>['tingkatkan', 'sinyal', 'daerah', '']</t>
  </si>
  <si>
    <t>['layanan', 'bagus']</t>
  </si>
  <si>
    <t>['mantap', 'baget', 'deh']</t>
  </si>
  <si>
    <t>['update', 'buka', 'telkomselnya', 'udah', 'make', 'apk', '']</t>
  </si>
  <si>
    <t>['jaringannya', 'kunyuk', 'lemot', 'bner', 'tolong', 'refresh', 'jaringannya', '']</t>
  </si>
  <si>
    <t>['telkomsel', 'jelek', 'jaringan', 'sinyalnya', 'kartu', 'premium', 'kalah', 'axis', 'kartunya', 'murah', 'sinyalnya', 'ngga', 'jelek', 'telkomsel', 'kartu', 'mahal', 'kuota', 'mahal', 'sinyalnya', 'jelek', '']</t>
  </si>
  <si>
    <t>['seringkali', 'sulit', 'dibuka']</t>
  </si>
  <si>
    <t>['koneksi', 'jaringan', 'jelek', 'paketan', 'data', 'mahal', 'pelayanan', 'jaringan', 'buruk']</t>
  </si>
  <si>
    <t>['tolkomsel', 'nggak', 'adil', 'knpa', 'kartu', 'telkom', 'sakti', 'dapet', 'paket', 'bulanan', 'murah', 'ribu', 'dapt', 'sdang', 'udah', 'lumayan', 'telkom', 'isi', 'pulsa', 'rb', 'gitu', 'nggak', 'promo', 'paket', 'murah', 'harga', 'nggak', 'adil', 'nama', 'orang', 'indonesia', 'diginiin', 'tlong', 'adil', 'harga', 'paket', 'dngan', 'jngan', 'dibeda', 'bedain', '']</t>
  </si>
  <si>
    <t>['', 'beli', 'paket', 'mahal', 'mahal', 'sinyal', 'lemot', 'kali', 'nyesel', 'pakek', 'telkomsel', 'mending', 'pakek', 'sinyal', 'lancar', 'cuman', 'mati', 'lampu', 'doang', 'sinyalnya', 'ngeleg', 'kekecewaan', 'doang']</t>
  </si>
  <si>
    <t>['terima', 'kasih', 'klu', 'murah', '']</t>
  </si>
  <si>
    <t>['pelanggan', 'setia', 'telkomsel', 'kecewa', 'telkomsel', 'jelek', 'sinyal', 'stabil', 'bagus', 'suka', 'jumping', 'sinyal', 'main', 'game', 'banting', 'gara', 'telkomsel', 'kadang', 'pulsa', 'ilang', 'paket', 'patah', 'sim', 'card', 'lampu', 'mati', 'terkmsel', 'juka', 'mati', 'tlkomsl', 'parh', 'parah', '']</t>
  </si>
  <si>
    <t>['harga', 'kuota', 'sebanding', 'kualitas', 'jaringan', 'pelanggan', 'setia', 'telkomsel', 'mohon', 'telkomsel', 'memperbaiki', 'kualitas', 'sinyal', 'memperluas', 'jaringan', 'ditempat', 'sulit', 'sinyal', 'kegiatan', 'sehari', 'pengguna', 'telkomsel', 'berjalan', 'lancar', 'terima', 'kasih', 'perhatiannya']</t>
  </si>
  <si>
    <t>['instal']</t>
  </si>
  <si>
    <t>['promo', 'paket', 'internet', 'tambh', 'lgi', 'nyaman']</t>
  </si>
  <si>
    <t>['tolong', 'yaa', 'admin', 'mytelkomsel', 'penggunaan', 'data', 'internet', 'beli', 'kouta', 'internet', 'siang', 'tdi', 'dpat', 'sms', 'dri', 'telkomsel', 'kouta', 'internet', 'tinggal', 'mb', 'lagii', '']</t>
  </si>
  <si>
    <t>['real', '']</t>
  </si>
  <si>
    <t>['mengenal', 'msh', 'mempelajari', 'aplikasi', 'telkomsel']</t>
  </si>
  <si>
    <t>['tolong', 'login', 'cepetin', 'banget']</t>
  </si>
  <si>
    <t>['promo', 'paket', 'banyakin', 'hadiah', 'tukar', 'poin', 'byak', 'beralih', 'telkomsel']</t>
  </si>
  <si>
    <t>['maaf', 'ratingnya', 'ulang', 'kesini', 'jaringannya', 'parah', 'mahal', 'doang', 'kualitas', 'ditingkatin', 'amburadul', 'sinyal', 'kaya', 'keong']</t>
  </si>
  <si>
    <t>['setia', 'telkomsel']</t>
  </si>
  <si>
    <t>['sinyal', 'telkomsel', 'daerah', 'pelosok', 'stabil']</t>
  </si>
  <si>
    <t>['paket', 'darurat', 'aktif', 'kuota', 'minat', 'beli', 'beli', 'paket', 'darurat']</t>
  </si>
  <si>
    <t>['sinyalnya', 'nangis', 'main', 'pubg', 'always', 'ngelag', 'sinyal', 'kadang', 'kualitas', 'sinyal', 'telkomsel', 'udah', 'cap', 'provider', 'kualitas', 'sinyal', 'terbaik', 'indonesia', 'tolong', 'perbaiki', 'kenyamanan', 'pengguna', 'setia', 'telkomsel', '']</t>
  </si>
  <si>
    <t>['pulsa', 'nyalain', 'data', 'hilang', 'pulsanya', 'pulsa', 'nyalain', 'data', 'paketin', 'aplikasi', 'pulsanya', 'hilang', 'sedih', '']</t>
  </si>
  <si>
    <t>['dapet', 'sms', 'dipotong', 'pulsa', 'ngiklan', 'disuruh', 'bayar', 'perbaiki', 'system', 'membohongi', 'gini', 'melulu', 'kuita', 'data', 'dikasih', 'judul', 'data', 'malam', 'dipotong', 'kuota', 'utama', 'quota', 'utama', 'dipotong', 'pemberlakuaan', 'quota', 'malam', 'diadain', 'mengecewakan']</t>
  </si>
  <si>
    <t>['keren', 'bermanfaat']</t>
  </si>
  <si>
    <t>['seneng', 'banget', 'keren', 'banget', 'aplikasi', 'telkomsel', 'mudah', 'beli', 'paket', 'murah']</t>
  </si>
  <si>
    <t>['amaze', 'pokoknya', 'udh', 'jdi', 'pelanggan', 'setia', '']</t>
  </si>
  <si>
    <t>['dapet', 'sinyal', 'bagus', 'kambuh', 'sinyal', 'jelek', 'gini', 'betah', 'pakai', 'telkomsel']</t>
  </si>
  <si>
    <t>['benci', 'paket', 'darurat', 'aktifkan', 'aktif', 'mohon', 'perjelas', 'paket', 'darurat', 'enak', 'benci', 'banget', 'udah', 'thn', 'make', 'telkomsel', 'memberhentikan', 'paket', 'darurat', 'kaya']</t>
  </si>
  <si>
    <t>['tingkatkan', 'jaga', 'kualitas']</t>
  </si>
  <si>
    <t>['tolong', 'perbaiki', 'jaringan', 'jaringan', 'main', 'game', 'hilang', 'total', 'paketnya', 'mahal', 'jaringan', 'burik']</t>
  </si>
  <si>
    <t>['nyesel', 'gua', 'beli', 'telkomsel', 'semenjak', 'wifi', 'telkom', 'jaringa', 'telkomsel', 'parah', 'leletnya', 'jam', 'lelet', 'paketnya', 'mending', 'axis', 'sinyal', 'kuat', 'jarang', 'lelet', 'bonusannya']</t>
  </si>
  <si>
    <t>['aplikasinya', 'keluwar', 'tolong', 'perbarui', 'boyar', 'bagus']</t>
  </si>
  <si>
    <t>['berat', 'buka', '']</t>
  </si>
  <si>
    <t>['pulsa', 'hilang', 'misterius', 'dilaporkan', 'via', 'veronika', 'diperbaiki', 'kambuh', 'isi', 'pulsa', 'takut', 'hilangnya', 'mikir', 'pakai', 'telkomsel']</t>
  </si>
  <si>
    <t>['maaf', 'nukar', 'poin', 'pulsa', 'gimana']</t>
  </si>
  <si>
    <t>['samapai', 'telkomsel', 'lemot', 'kaya', 'gini', 'pengguna', 'telkomsel', 'udh', 'bru', 'kali', 'aktivin', 'data', 'lemot', 'paket', 'rugi', 'kaya', 'gini', 'beli', 'paket', 'duit', 'daon']</t>
  </si>
  <si>
    <t>['menyenangkan', 'telkomsel', 'bangga', 'jaringan', 'toet', 'toet', 'telkomsel', 'always', '']</t>
  </si>
  <si>
    <t>['cepat', 'sinyalnya']</t>
  </si>
  <si>
    <t>['buka', 'aplikasinya']</t>
  </si>
  <si>
    <t>['tolong', 'jaringannya', 'perbaiki', 'lost', 'connect']</t>
  </si>
  <si>
    <t>['kuota', 'kartu', 'halo', 'harga', 'mahal', 'dibanding', 'prodak']</t>
  </si>
  <si>
    <t>['aplikasi', 'buka', 'lambat']</t>
  </si>
  <si>
    <t>['telkomsel', 'aneh', 'deh', 'paket', 'kuota', 'kepake', 'cepet', 'paket', 'paket', 'kepake', 'duluan', 'paket', 'paket', 'hangus', 'sia', 'berkurang', 'kuotanya', 'tolong', 'realistis', 'nyedot', 'kuota', '']</t>
  </si>
  <si>
    <t>['beluk', 'klik', 'tombol', 'apapun', 'transaksi']</t>
  </si>
  <si>
    <t>['perbaiki', 'masak', 'masuk', 'smsx', 'tukar', 'poin', 'tukar', 'ngk', 'poinku', 'tukar', 'cuman', 'pom', 'dpt', 'data', 'ngk']</t>
  </si>
  <si>
    <t>['pelayanannya', 'bagus', 'tingkat', 'kwalitas', 'jaringan', 'internetnya']</t>
  </si>
  <si>
    <t>['enak', 'ribet', 'mantaps']</t>
  </si>
  <si>
    <t>['pulsa', 'kuota', 'tpi', 'pulsa', 'habis', '']</t>
  </si>
  <si>
    <t>['aplikasi', 'trllu', 'sring', 'lag', 'admin', 'yth', 'pengumuman', 'pemenang', 'undihepi', 'sllu', 'mundur', 'jadwal', 'disertakan', 'foto', 'pemenang', 'ktika', 'pengambilan', 'hadiahnya', 'trm', 'kasih', '']</t>
  </si>
  <si>
    <t>['tingkatkan', 'kadong', 'masuk']</t>
  </si>
  <si>
    <t>['mudah', 'penggunaannya']</t>
  </si>
  <si>
    <t>['download', 'rugi', 'kuota', 'udah', 'tukar', 'poin', 'alhasil', 'gagal', 'aplikasi', 'berguna', 'pulsa', 'terpotong']</t>
  </si>
  <si>
    <t>['download', 'rugi', 'pas', 'konfirmasi', 'penukaran', 'poin', 'gagal', 'aplikasi', 'emang', 'menarik', 'orang', 'penukaran', 'poin', 'download', 'teryata', 'iklan', 'emang', 'telkomsel', 'payah', 'jaringan', 'lelet', 'tukar', 'poin', 'gagal', 'aplikasi', 'bermutu', 'berguna']</t>
  </si>
  <si>
    <t>['jaringan', 'telkomsel', 'lemod', '']</t>
  </si>
  <si>
    <t>['layanan', 'telkomsel', 'bagus']</t>
  </si>
  <si>
    <t>['paket', 'murah', 'sinyal', 'provider', 'mati', 'lampu', 'sinyal', 'hilang', 'gitu']</t>
  </si>
  <si>
    <t>['layanan', 'terbaik', 'jaman']</t>
  </si>
  <si>
    <t>['pliss', 'mahal', 'mahal', '']</t>
  </si>
  <si>
    <t>['harga', 'paket', 'internet', 'mahal', 'suami', 'pakai', 'telkomsel', 'tolong', 'solusi', 'memuaskan', 'fix', 'pindah', 'operator', '']</t>
  </si>
  <si>
    <t>['memudahkan', 'mencari', 'dibutuhkan', 'telkomsel', '']</t>
  </si>
  <si>
    <t>['suka', 'aplikasi', 'beli', 'paket', 'telkomsel', 'murah', 'promo', 'undi', 'undi', 'hadiah', 'kasi', 'bintang', 'deh']</t>
  </si>
  <si>
    <t>['mantap', 'bonusnya', '']</t>
  </si>
  <si>
    <t>['bagus', 'semoga', 'dpt', 'kouta', 'undian', 'gb']</t>
  </si>
  <si>
    <t>['sayang', 'pilihan', 'combo', 'sakti', 'mahal', 'mahal', 'mohon', 'perbaiki', 'pemakaiannya', 'trimakasih']</t>
  </si>
  <si>
    <t>['mahal', 'doang', 'koneksi', 'lemot', 'layak', 'harga', 'segitu', 'koneksi', 'lemot', 'kek', 'gini', 'aneh', 'banget', 'bayar', 'mahal', 'dapet', 'kualitas', 'terbaik', 'dapet', 'kualitas', 'buruk']</t>
  </si>
  <si>
    <t>['gatau', 'telkomsel', 'kesini', 'pelit', 'paketan', 'beli', 'dimahalin', 'trus', 'coba', 'beli', 'paket', 'murah', 'gabisa', 'coba', 'beli', 'paket', 'kuota', 'gabisa', 'alhasil', 'pulsa', 'kesedot', 'merakyat', 'banget', 'berkah', 'cari', 'cuan', '']</t>
  </si>
  <si>
    <t>['terimah', 'kasih', 'aplikasi', 'membantu', '']</t>
  </si>
  <si>
    <t>['kembangkan', 'fitur', 'fiturnya']</t>
  </si>
  <si>
    <t>['aplikasinya', 'jelek', 'bangat', 'hapus', 'playstore', 'tukar', 'pulsa', 'telkomsel', 'pelit']</t>
  </si>
  <si>
    <t>['okee', 'kren', 'cepat']</t>
  </si>
  <si>
    <t>['kecepatan', 'internet', 'klw', 'malam', 'gunanya', 'paket', 'unlimit', 'mua', 'beli', 'paket', 'mahal', 'dapet', 'paket', 'murah', 'teken', 'mohon', 'perbaiki', 'kadang', 'lemot', 'banget', 'udah', 'cari', 'tampat', 'bagus', '']</t>
  </si>
  <si>
    <t>['login', 'bonus', 'kawan', 'paket', 'murah', 'sucses', 'terlkomsel', 'apk', 'berguna', 'serba', 'murah']</t>
  </si>
  <si>
    <t>['sympah', 'aplikasinya', 'jelek', 'banget', 'ngak', 'ngotak', 'kkkkkkkkkkkkkkkkkkkkkkkkkkkkkkkkkkkkkkkkkkkkkkkkkkkkk', 'nuker', 'poin', 'ngak', 'katnya', 'udah', 'pembelian', 'pket', 'masuk']</t>
  </si>
  <si>
    <t>['senang']</t>
  </si>
  <si>
    <t>['telkomsel', 'taik', 'paketan', 'sja', 'mahal', 'sinyal', 'urusin', 'angin', 'ujan', 'gangguan', 'ajg', '']</t>
  </si>
  <si>
    <t>['', 'update', 'kow', 'buka', 'sich', '']</t>
  </si>
  <si>
    <t>['pembelian', 'paket', 'datanya', 'langsung', 'dibayar', 'ewallet', 'maunya', 'isi', 'pulsa', '']</t>
  </si>
  <si>
    <t>['skg', 'ttp', 'terpercaya']</t>
  </si>
  <si>
    <t>['buruk', 'klaim', 'check', 'daily', 'mb', 'pulsa', 'rb', 'isi', 'internet', 'pulsa', 'ludes', 'abis', 'kuota', 'mb', 'gmna', 'coba', 'penjelasannya']</t>
  </si>
  <si>
    <t>['sinyal', 'internet', 'lemott']</t>
  </si>
  <si>
    <t>['', 'telkomsel', 'mantap', 'variasinya', '']</t>
  </si>
  <si>
    <t>['kasih', 'bintang', 'apresiasi', 'update', 'aplikasi', 'telkomsel', 'sdah', 'berkembang', 'saran', 'harga', 'paket', 'terjangkau', 'tekankan', 'telkomsel', 'memperbaiki', 'kualitas', 'jaringannya', 'wilayah', 'pedesaan', 'wilayah', 'pedesaan', 'jaringan', 'jaringan', 'internet', 'setabil', 'daerah', 'provinsi', 'sumatera', 'selatan', 'kabupaten', 'musi', 'banyuasin', 'kecamatan', 'lais', 'desa', 'lais', 'dusun', 'desa', 'lais']</t>
  </si>
  <si>
    <t>['mantul', 'pisan', 'euy']</t>
  </si>
  <si>
    <t>['trima', 'kasih', 'pelayanan', 'berpengalaman', 'telkomsel', 'retingnya', 'mudah', 'mudahan', 'kedepan', 'mencapai', 'trima', 'kasih']</t>
  </si>
  <si>
    <t>['fungsi', 'mudah', 'pahami']</t>
  </si>
  <si>
    <t>['tolong', 'sinyal', 'dikuatkan', 'rumah', 'dilantai', 'minim', 'lemah', 'sinyal']</t>
  </si>
  <si>
    <t>['membantu', 'terima', 'kasih', 'promo']</t>
  </si>
  <si>
    <t>['kasih', 'bintang', 'paketan', 'giga', 'rb', 'pakai']</t>
  </si>
  <si>
    <t>['harganya', 'diturunkan']</t>
  </si>
  <si>
    <t>['kecewa', 'telkomsel', 'paket', 'telkomsel', 'beragam', 'mahal', 'telkomsel', 'mudah', 'diakses', 'murah', 'asli', 'kecewa']</t>
  </si>
  <si>
    <t>['emang', 'aplokasi', 'sebeleum', 'gue', 'bli', 'combo', 'sakti', 'exstra', 'unlimitid', 'gue', 'beli', 'combo', 'sakti', 'muncul', 'jan', 'mintak', 'duel', '']</t>
  </si>
  <si>
    <t>['kasih', 'bintang', 'karna', 'suka', 'membatu']</t>
  </si>
  <si>
    <t>['membantu', 'mudah']</t>
  </si>
  <si>
    <t>['telkomsel', 'jaringan', 'lemot', 'cepat', 'bandingkan', 'provider', 'pakai', 'telkomsel', 'perbaiki', 'jaringan', 'lemot', 'trimkasih', '']</t>
  </si>
  <si>
    <t>['untk', 'pembelian', 'cepat']</t>
  </si>
  <si>
    <t>['jaringan', 'parah', 'males', 'tsel', 'telkolmsel', 'kesini', 'parah', '']</t>
  </si>
  <si>
    <t>['mohon', 'harga', 'paket', 'data', 'kemahalan', 'kak', 'sekian', 'terima', 'kasihhhh', '']</t>
  </si>
  <si>
    <t>['semoga', 'hadia']</t>
  </si>
  <si>
    <t>['andalin', 'kesini', 'memuaskan', '']</t>
  </si>
  <si>
    <t>['tolong', 'diperbaiki', 'jaringan', 'telkomsel', 'hilang', 'timbul', 'jengkel']</t>
  </si>
  <si>
    <t>['habis', 'update', 'app', 'oktober', 'paket', 'keluarga', 'paket', 'internet', 'hilang', 'pengumuman', 'app', 'paket', 'internet', 'udah', 'dimatikan', 'sad', '']</t>
  </si>
  <si>
    <t>['pengecekkan', 'pulsa', 'susah', 'nomor', 'trus', 'disuruh', 'ganti', 'kartu', 'hallo', 'gapari', 'bayar', 'rb', 'bayar', 'double', 'sampe', 'komplain', 'kesini', 'bayar', 'skrng', 'udh', 'sampe', 'rb', 'paketan', 'skrng', 'murah', 'nomor', 'bertahan', 'keringanan', 'pelanggan', 'kartu', 'cek', 'pulsa', 'atm', 'pulsa', 'aktivasi', 'byk', 'trus', 'dikit', 'komplain', 'sistim', 'dolo']</t>
  </si>
  <si>
    <t>['jaringan', 'slalu', 'bgus', 'slalu', 'pakai', 'telkomsel', '']</t>
  </si>
  <si>
    <t>['lumayan', 'udah', 'lancar']</t>
  </si>
  <si>
    <t>['terimakasih', 'apk', 'bagus', 'banget', '']</t>
  </si>
  <si>
    <t>['masuk', 'akal', 'dikitlah', 'paket', 'booster', 'unlimited', 'kartu', 'telkomsel', 'ilangin', 'nyuruh', 'ganti', 'kartu', 'nyuruh', 'pindah', 'provider', 'kartu', 'dikartu', 'fup', 'abis', 'dibatasin', 'kb', 'speed', 'segitu', 'delay', 'udah', 'telkomsel', 'ngeluh', 'harga', 'ilangin', 'gini', 'masuk', 'akal', 'dikitlah', 'kecewa', 'banget', 'telkomsel', 'mending', 'mikir', '']</t>
  </si>
  <si>
    <t>['sinyal', 'telkomsel', 'jelek', 'sinyal', 'orang', 'beralih', 'komitmen', 'no', '']</t>
  </si>
  <si>
    <t>['bahagia', 'senang', 'banget']</t>
  </si>
  <si>
    <t>['mantap', 'memudahkan']</t>
  </si>
  <si>
    <t>['jaringan', 'mengakibatkan', 'lag', 'game', 'beli', 'mahal', 'pelayanan', 'sinyal', 'buruk']</t>
  </si>
  <si>
    <t>['bintang', 'tpi', 'tolong', 'sinyal', 'pesisir', 'kuat', 'sinyal', 'susah', 'terima', 'kasih']</t>
  </si>
  <si>
    <t>['tukar', 'poin', 'jawabanya', 'sistim', 'abel', 'abel']</t>
  </si>
  <si>
    <t>['mantap', 'telkom', 'pilih', '']</t>
  </si>
  <si>
    <t>['maaf', 'aktipin', 'kartu', 'hilang', 'pas', 'regist', 'nama', 'istri', 'kartu', 'bersangkutan', 'pekerjaan', 'udah', 'bawa', 'sop', 'sop', 'mengakibatkan', 'orang', 'kehilangan', 'pencaharian', 'pekerjaan', 'lahan', 'makan', 'tolong', 'koreksi', 'kebikan', 'bersangkutan', 'grafari', 'negeri', 'kepikiran', 'kecewa', 'grafari', 'cianjur']</t>
  </si>
  <si>
    <t>['jaringan', 'jelek', 'penggunaan', 'kuota', 'boros', 'tlg', 'perbaiki', 'jaringannya', 'menggagu', 'pekerjaan']</t>
  </si>
  <si>
    <t>['stop', 'berlangganan', 'percepat', 'sam', '']</t>
  </si>
  <si>
    <t>['membantu', 'memilih', 'paket', 'sukai']</t>
  </si>
  <si>
    <t>['buruk', 'harga', 'paket', 'paksa', 'isi', 'pulsa', '']</t>
  </si>
  <si>
    <t>['sistem', 'telkomsel', 'bagus', 'alasan', 'bintang', 'telkomsel', 'event', 'kejutan', 'kuota', 'gb', 'membayar', 'rp', 'poin', 'mytelkomsel', 'terlanjur', 'menekan', 'klaim', 'event', 'pulsa', 'rp', 'pergi', 'membeli', 'pulsa', 'mencoba', 'mengklaim', 'event', 'gagal', 'tulisan', 'mencapai', 'batas', 'penukaran', 'menukarnya', 'kumohon', 'diperbaiki']</t>
  </si>
  <si>
    <t>['tolong', 'yth', 'telkomsel', 'kualitas', 'jaringannya', 'cuaca', 'mendung', 'hujan', 'jaringan', 'simpati', 'suka', 'parah', 'kyk', 'gini', 'terpaksa', 'sya', 'kasih', 'bintang', 'mksh', '']</t>
  </si>
  <si>
    <t>['telkomsel', 'tolong', 'kembalikan', 'pulza', 'beli', 'paket', 'unlimited', 'youtube', 'telkomsel', 'tolong', 'kembalikan', 'merugikan', 'pengguna', 'telkomsel', 'njig', '']</t>
  </si>
  <si>
    <t>['coba', 'mudah', 'ahn', 'bermanfaat']</t>
  </si>
  <si>
    <t>['dipakai', 'perbaikan', 'downgrade', 'aplikasi', 'jaringan', 'keluhan', 'kolom', 'komentar', 'diarahkan', 'bla', 'bla', 'bla', 'perbaikan', 'keluhan', 'masuk', 'ditampung', 'layaknya', 'ternak', 'lele', 'diusahakan', 'tolong', 'pelanggan', 'dirugikan', 'least', 'pelayanan', 'keluhan', 'simple', 'diarahkan', 'kesana', 'kemari', 'aplikasi', 'optimal', 'pnggunanya']</t>
  </si>
  <si>
    <t>['aplikasinya', 'baguss', 'bangeeeeetttttt']</t>
  </si>
  <si>
    <t>['semoga', 'berkah', 'telkomsel', 'dri', 'ikutan', 'tukar', 'poin', '']</t>
  </si>
  <si>
    <t>['pulsa', 'hilang', 'kuota', 'kemendikbud']</t>
  </si>
  <si>
    <t>['jaringan', 'buruk', 'kesini', 'kacau', 'jaringan', 'telkomsel', '']</t>
  </si>
  <si>
    <t>['promo', 'paket']</t>
  </si>
  <si>
    <t>['suka', 'banget', 'pulsa', 'pinjam', 'sangan', 'membantu', 'terima', 'kasih', 'telkomsel', 'semoga', 'jasa']</t>
  </si>
  <si>
    <t>['udh', 'beli', 'mahal', 'dipakai']</t>
  </si>
  <si>
    <t>['layanan', 'lancar']</t>
  </si>
  <si>
    <t>['suka', 'telkomsel', 'sinyalnya', 'sungguh', 'memuaskan', 'paket', 'datanya', 'menarik']</t>
  </si>
  <si>
    <t>['paketnya', 'mahal', 'jaringannya', 'jelek', 'mantap', 'cocok', 'foya', 'in', 'uang', '']</t>
  </si>
  <si>
    <t>['dowlod', 'telkom', 'lol', 'siyal', 'kayak', 'lol', 'telkom', 'sumpah', 'tower', 'telkom', 'rumah', 'nglek', 'berat', 'konsul', 'telkom', '']</t>
  </si>
  <si>
    <t>['hai', 'telkomsel', 'tolong', 'donk', 'adain', 'tranfer', 'kuota', 'sayang', 'banget', 'kuota', 'trus', 'aktifnya', 'tinggal', 'bbrp', 'trus', 'hangus', 'tolong', '']</t>
  </si>
  <si>
    <t>['bintang', 'telkomsel', 'ngga', '']</t>
  </si>
  <si>
    <t>['pulsa', 'tersedot', 'kuota', 'tenggang', 'provider', 'daerah', 'sinyal', 'pakai', 'telkomsel']</t>
  </si>
  <si>
    <t>['log', 'susah', 'dikirimin', 'link', 'pas', 'dibuka', 'linknya', 'tetep', 'kebuka', 'aplikasinya', 'parah', 'banget', '']</t>
  </si>
  <si>
    <t>['tolong', 'telkomsel', 'udah', 'gangguan', 'muluk', 'gua', 'beli', 'paket', 'sinyal', 'murahan', 'babi', 'babi']</t>
  </si>
  <si>
    <t>['', 'bagus', 'mempermudah', 'informasi', '']</t>
  </si>
  <si>
    <t>['bagus', 'aplikasinya', 'sekolah', 'online', 'kayak', 'gini', 'pandemi', 'ngerjakan', 'tugas', 'google', 'classroom', 'zooom', 'google', 'meet', 'pokoknya', 'aplikasinya', 'membantu', 'sekian', 'terimakasih', '']</t>
  </si>
  <si>
    <t>['jaringan', 'telkomsel', 'buruk', 'pelanggang', 'kecewa', 'kabupaten', 'bone']</t>
  </si>
  <si>
    <t>['bagus', 'susah', 'loginnya', 'yaa']</t>
  </si>
  <si>
    <t>['penilaian', 'pelayanan', 'telkomsel', 'kualitas', 'sinyal', 'koneksi', 'jaringan', 'harga', 'paket', 'data', 'telkomsel', 'murah', 'customer', 'service', 'ramah', 'terimakasih', 'telkomsel', 'semoga', 'berkembang', 'telkomsel', 'telkomsel', 'jaya', 'jaya', 'jaya', '']</t>
  </si>
  <si>
    <t>['poin', 'trs', 'pdhl', 'udah', 'ngisi', 'beli', 'paket', 'haruse', 'tambahan', 'poin', 'mohon', 'kesalahan', 'perbaiki', 'tunggu', 'perbaikanya', 'terimakasih']</t>
  </si>
  <si>
    <t>['sinyal', 'bosen', 'telkomsel', 'banget', 'sinyal', 'lag', 'trs', 'udah', 'boros']</t>
  </si>
  <si>
    <t>['akp', 'bagus', 'banget', 'serius']</t>
  </si>
  <si>
    <t>['telkomsel', 'aneh', 'kuota', 'internet', 'pulsa', 'berkurang']</t>
  </si>
  <si>
    <t>['parah', 'jaringan', 'ganti']</t>
  </si>
  <si>
    <t>['tolong', 'telkomsel', 'staf', 'staf', 'beserta', 'jajarannya', 'terhormat', 'mohon', 'perbaiki', 'aktif', 'pembelian', 'paket', 'data', 'pelanggan', 'telkomsel', 'beli', 'paket', 'beli', 'paket', 'tanggal', 'habisnya', 'tanggal', 'habis', 'masanya', 'langganan', 'bertahun', '']</t>
  </si>
  <si>
    <t>['main', 'curang', 'buka', 'aplikasi', 'app', 'produk', 'telkomsel', 'speed', 'koneksi', 'turun', 'drastis', 'buka', 'app', 'telkomsel', 'speed', 'beli', 'kuota', 'kuota', 'jaringan', 'penuh', 'provider', 'cangkupan', 'luas', 'gara', 'pindah', 'provider', 'ganti', 'wifi', 'indihome']</t>
  </si>
  <si>
    <t>['permisi', 'maaf', 'sya', 'ksh', 'bintang', 'krna', 'telkomsel', 'bgs', 'sya', 'tdi', 'bli', 'salah', 'film', 'play', 'film', 'harga', 'kuotanya', 'murah', 'tpi', 'pdhal', 'sya', 'kuotanya', 'jdi', 'tlong', 'perbaiki', 'sya', 'membeli', 'film', 'tlong', 'perbaiki', 'lgi', 'telkomsel', 'sya', 'pamit', 'dlu', '']</t>
  </si>
  <si>
    <t>['jaringannya', 'lemot', 'kuota']</t>
  </si>
  <si>
    <t>['suka', 'sasya', 'suka']</t>
  </si>
  <si>
    <t>['provider', 'main', 'game', 'sinyal', 'ilang', 'dri', 'langsung', 'lenyap', 'sinyalnya', 'ggwp', 'emang', 'provider']</t>
  </si>
  <si>
    <t>['udah', 'taun', 'telkomsel', 'kecewa', 'hmpir', 'sinyal', 'buruk', 'kecewa', 'parah']</t>
  </si>
  <si>
    <t>['kemahalan', 'internet']</t>
  </si>
  <si>
    <t>['krg', 'login', 'ulang', 'ribet']</t>
  </si>
  <si>
    <t>['aplikasinya', 'jelek', 'masak', 'membeli', 'paket', 'nlfn', 'ajh', 'pulsa', 'mencukupi']</t>
  </si>
  <si>
    <t>['jaringannya', 'bagus', 'banget', 'udah', 'promo']</t>
  </si>
  <si>
    <t>['sungguh', 'aneh', 'nyata', 'paket', 'quota', 'internet', 'habs', 'pembatas', 'otomatis', 'data', 'mati', 'beli', 'tgl', 'sampe', 'tgl', 'habs']</t>
  </si>
  <si>
    <t>['kasih', 'bintang', 'jaringan', 'telkomsel', 'semahin', 'laloood']</t>
  </si>
  <si>
    <t>['mudah', 'paket', 'komplit', 'tampilan', 'menarik', 'cepat', 'paket', 'telkomsel', 'beda', 'paket', '']</t>
  </si>
  <si>
    <t>['pengguna', 'telkomsel', 'thn', 'lokasinya', '']</t>
  </si>
  <si>
    <t>['syg', 'rating', 'stengah', 'bintang', 'dongkol', 'keki', 'isi', 'mahal', 'combo', 'sakti', 'buruk', 'sinyal', 'green', 'lake', 'cman', 'menang', 'mahal', 'bukti', 'sinyalnya', 'garis', 'pdhal', 'kuota', 'lbh', 'gb', 'perbaiki', 'suruh', 'org', 'isi', 'kuota', 'mahal', 'promo', 'kecewa', '']</t>
  </si>
  <si>
    <t>['good', 'pegawe', 'indihomo', 'makh', 'wajib', 'kartu']</t>
  </si>
  <si>
    <t>['prosesnya', 'mudah']</t>
  </si>
  <si>
    <t>['telkomsel', 'transaksi', 'gagal', 'tolong', 'hitung', 'males', 'telkomsel', 'dibandingin', 'operator']</t>
  </si>
  <si>
    <t>['udah', 'simpati', 'data', 'tetep', 'parah', 'buang', 'uang', 'bayar', 'paket', 'lag', 'parah', 'sesuai', 'harga', 'dintawarkan', 'sangaaatt', 'kecewa', 'telkomsel']</t>
  </si>
  <si>
    <t>['cepat', 'pengisian', 'paket', 'data', 'pulsanya', 'harga', 'paket', 'data', 'tolong', 'promosinya', '']</t>
  </si>
  <si>
    <t>['membantu', 'proses', 'limitnya', 'cepat', 'khusus', 'mbak', 'csnya', 'ramah', 'banget', 'good', 'joob']</t>
  </si>
  <si>
    <t>['', 'telkomsel', 'terbaik']</t>
  </si>
  <si>
    <t>['terimakasi', 'mempermudah', 'akses', 'paketan', 'data', 'aplikasi', 'mytelkomsel', 'jaya']</t>
  </si>
  <si>
    <t>['', 'telkomsel', 'jelek', 'pulsa', 'hilang', 'pemakaian', '']</t>
  </si>
  <si>
    <t>['aplikasi', 'bermanfaat', '']</t>
  </si>
  <si>
    <t>['kuotanya', 'murah', 'ceria', '']</t>
  </si>
  <si>
    <t>['mudah', 'jaringan', 'luas']</t>
  </si>
  <si>
    <t>['asyik', 'banget', 'deh', 'opening', 'notif', 'sound', 'great', '']</t>
  </si>
  <si>
    <t>['telkomsel', 'top']</t>
  </si>
  <si>
    <t>['paket', 'mahal', 'mahal', 'ampun', 'murah', 'pikir', 'warga', 'indonesia', 'kaya', 'kaya', 'duit', 'beli', 'paket', 'mahal', 'mahal', 'kualitas', 'sinyal', 'buruk', '']</t>
  </si>
  <si>
    <t>['lanjay', 'dimana', 'aplikasi', 'keren', 'manfaat', 'hadiah']</t>
  </si>
  <si>
    <t>['ksh', 'karna', 'pengguna', 'puas', 'aplikasi', 'skrg', 'saiya', 'alami', 'apk', 'memuaskan', 'bintang', 'segini', 'saiya', 'ksh', 'pusying', '']</t>
  </si>
  <si>
    <t>['', 'error', 'aplikasi']</t>
  </si>
  <si>
    <t>['terima', 'kasih', 'kak', 'udah', 'bagus', 'kasih', 'diperbaiki', 'terima', 'kasih']</t>
  </si>
  <si>
    <t>['tolong', 'perbanyak', 'diakses', 'kuota', 'unlimited', 'games', 'game', 'online', 'akses', 'one', 'piece', 'bounty', 'rush', 'pubg', 'mobile', 'dll', 'trimakasih', '']</t>
  </si>
  <si>
    <t>['setannn', 'emosi', 'jaringan', 'kerjaan', 'admin', 'tlonglah', 'jaringan', 'perbaiki', 'buka', 'aplikasi', 'mytelkomsel', 'update', 'jaringan', 'diperbaiki', 'untung', 'doang', 'mah', 'telkomsel']</t>
  </si>
  <si>
    <t>['kali', 'coba', 'smoga', 'direspon']</t>
  </si>
  <si>
    <t>['mantap', 'promosinya', 'trims', 'telkomsel']</t>
  </si>
  <si>
    <t>['paket', 'murah', 'combo', 'sakti', 'syg', 'apk', 'bug', 'masuk', 'apk', 'mengatasi', 'trs', 'kuota', 'cpt', 'habis', 'kecepatan', 'cpt', 'gatau', '']</t>
  </si>
  <si>
    <t>['bagus', 'apk', 'keren']</t>
  </si>
  <si>
    <t>['', 'tellkomsel', 'boss', 'murah', 'beli', 'pulsa']</t>
  </si>
  <si>
    <t>['udh', 'instal', 'apk', 'hapus', 'instal', 'nomor', 'gabisa', 'daftar', 'apk', 'telkomsel', '']</t>
  </si>
  <si>
    <t>['pelayanan', 'bagus', 'harga', 'paket', 'murah']</t>
  </si>
  <si>
    <t>['membantu', 'pengguna', 'setia', 'telkomsel']</t>
  </si>
  <si>
    <t>['berkibarlah', 'telkomsel', '']</t>
  </si>
  <si>
    <t>['puas', 'membantu', 'thanks', 'aplikasi', 'telkomsel', '']</t>
  </si>
  <si>
    <t>['jaringan', 'kadang', 'stabil', 'harga', 'paket', 'kuota', 'mahal', 'jaman', 'susah', 'gini', 'dinaikin', 'tolol', 'tolol']</t>
  </si>
  <si>
    <t>['telkomsel', 'miskin']</t>
  </si>
  <si>
    <t>['tolong', 'menukar', 'point', 'extra', 'kejutan', 'kuota', 'gagal', 'sistem', 'sibuk', 'coba', 'mencapai', 'batas', 'penukaran', 'tolong', 'perbaiki', '']</t>
  </si>
  <si>
    <t>['tolong', 'sistem', 'pindah', 'telkomsel', 'halo', 'telkomsel']</t>
  </si>
  <si>
    <t>['harganya', 'turunin', 'donk']</t>
  </si>
  <si>
    <t>['jaringan', 'internetnya', 'stabil']</t>
  </si>
  <si>
    <t>['oplikasi', 'membatu', 'trimaksih', 'semoga', 'sukses', 'amin', '']</t>
  </si>
  <si>
    <t>['harga', 'mahal', 'diatas', 'propaider', 'sinyal', 'jelek', 'farah', 'nyesel', 'beli', 'paket', 'kuota', 'nex', 'ngak', '']</t>
  </si>
  <si>
    <t>['aplikasi', 'membantu', '']</t>
  </si>
  <si>
    <t>['kouta', 'habis', 'ambil', 'pulsa', 'tolong', 'rubah', 'sistem', '']</t>
  </si>
  <si>
    <t>['murah', 'dicoba', 'pakaet', 'voice']</t>
  </si>
  <si>
    <t>['jual', 'beli', 'pulsa', 'bpjs', 'ketenagakerjaan', 'gimana', '']</t>
  </si>
  <si>
    <t>['gampang', 'beli', 'pulsa', 'cek', 'kuota', 'triple']</t>
  </si>
  <si>
    <t>['', 'perkenalkan', 'nama', 'ardinal', 'senang', 'aplikasi', 'telkomsel', 'mudah', 'diakses', 'segi', 'fungsi', 'fitur', 'promo', 'undian', 'menarik', 'terimakasih', 'telkomsel', 'jaya', 'telkomsel', 'the', 'best', '']</t>
  </si>
  <si>
    <t>['', 'bagus', 'ringan', 'cepat', '']</t>
  </si>
  <si>
    <t>['simpel', 'penggunaannya']</t>
  </si>
  <si>
    <t>['tolong', 'sistem', 'lock', 'pulsa', 'udah', 'kali', 'pulsa', 'suka', 'hilang', 'nggak', 'dipakai', 'apapun']</t>
  </si>
  <si>
    <t>['paket', 'jual', 'kelipatan', 'terkecil', 'kasih', 'full', 'rating', 'hapus', 'reting', 'kasih', '']</t>
  </si>
  <si>
    <t>['telkomsel', 'knp', 'ksini', 'jaringan', 'down', 'signal', 'bagus', 'skrg', 'parah', 'jeleknya', '']</t>
  </si>
  <si>
    <t>['parah', 'mahal', 'beli', 'paket', 'combo', 'unlimited', 'byk', 'kuota', 'pakai', 'harap', 'perbaiki', 'harga', 'mahal', '']</t>
  </si>
  <si>
    <t>['terbaik', 'pelanggan']</t>
  </si>
  <si>
    <t>['trouble', 'susah', 'login', 'praktis', '']</t>
  </si>
  <si>
    <t>['', 'telkomsel', 'baguss', 'membeli', 'kuota', 'mudah', 'terimakasih', 'telkomsel']</t>
  </si>
  <si>
    <t>['isi', 'pulsa', 'rb', 'telkomsel', 'poin']</t>
  </si>
  <si>
    <t>['sinyal', 'diperbaiki', 'malulah', 'operator', 'sebelah', 'sesuai', 'harga', 'ampun', 'ampun']</t>
  </si>
  <si>
    <t>['aplikasi', 'maling', 'pulsa', 'telkomsel', 'licik', 'hape', 'dual', 'sim', 'card', 'paket', 'data', 'pakai', 'kuota', 'kartu', 'telkomsel', 'ambil', 'alih', 'jaringan', 'menghilangkan', 'jaringan', 'seluler', 'sim', 'card', 'jaringan', 'auto', 'connect', 'telkomsel', 'hasilnya', 'kartu', 'telkomsel', 'pasang', 'paket', 'data', 'terpotong', 'pulsa', 'internet', 'ombudsman', 'kppu', 'audit', 'ikhlas', 'promo', 'kuota', 'murah', 'pandemi', 'covid', 'maling', 'pulsa', 'pelanggan', 'berkah', 'hidup', 'komisaris', 'atasan', '']</t>
  </si>
  <si>
    <t>['bagus', 'jaringannya']</t>
  </si>
  <si>
    <t>['jaringan', 'telkomsel', 'tergangu', 'gua', 'make', 'lancar', 'lancar', 'kesini', 'ngelag', 'main', 'game']</t>
  </si>
  <si>
    <t>['jaringan', 'dlu', 'bagus', 'sekrang', 'kadang', 'lemot']</t>
  </si>
  <si>
    <t>['tolong', 'perbaikkan', 'aplikasi', 'pergunakan', '']</t>
  </si>
  <si>
    <t>['telkomsel', 'terimakasih', 'kartu', 'perdana', 'telkomsel', 'promo', 'internrt', 'murah', '']</t>
  </si>
  <si>
    <t>['membantu', 'memilih', 'paket', 'disukai', 'tersedia', 'paket', 'famili', 'aplikasi', '']</t>
  </si>
  <si>
    <t>['apl', 'buruk', 'harga', 'paket', 'gb', 'hilangkan', 'harga', 'mahal', 'mahal', 'telkomsel', 'mohon', 'maaf', 'ganti', 'operator', 'ganti', 'ganti', 'paket', 'harga']</t>
  </si>
  <si>
    <t>['telcomsel', 'hebat']</t>
  </si>
  <si>
    <t>['kagak', 'transaksi', '']</t>
  </si>
  <si>
    <t>['paket', 'disediakan', 'terjangkau', 'harganya']</t>
  </si>
  <si>
    <t>['pribadi', 'suka', 'memakai', 'telkomsel', 'mudah', 'terimah', 'kasih', 'telkomsel', '']</t>
  </si>
  <si>
    <t>['emang', 'terbaik', 'aplikasi', 'makasih', 'kak', 'udh', 'melayani', 'pelanggan', '']</t>
  </si>
  <si>
    <t>['apalah', 'telkomsel', 'paketnya', 'masuk', 'akal', 'mahal', 'bergiga', 'giga', 'harga', 'jatuhnya', 'murah', 'giganya', 'ngabisin', 'tetep', 'dompet', 'jebol', '']</t>
  </si>
  <si>
    <t>['mohon', 'kuota', 'habis', 'pulsa', 'dipotong', 'pemberitahuan']</t>
  </si>
  <si>
    <t>['pulsa', 'slalu', 'potong', 'internet', 'aya', 'maket', 'internet', '']</t>
  </si>
  <si>
    <t>['telkomsel', 'busuk', 'area', 'cikarang', 'parah', 'ngeselin']</t>
  </si>
  <si>
    <t>['terimakasih', 'jalan', 'lancar']</t>
  </si>
  <si>
    <t>['sinyal', 'ditempat', 'jelek', 'kuota', 'habis', 'auto', 'ganti', 'kartu', 'kecewa', 'berat']</t>
  </si>
  <si>
    <t>['team', 'telkomsel', 'tolong', 'prioritaskan', 'pemakaian', 'kouta', 'habis', 'ends', 'today', 'paket', 'internet', 'paket', '']</t>
  </si>
  <si>
    <t>['informasi', 'pembelian', 'dibandingkan', 'mahal', '']</t>
  </si>
  <si>
    <t>['harga', 'paket', 'ber', 'ubah', 'paket', 'aktif', 'harga', 'murah', 'paket', 'habis', 'harga', 'berubah']</t>
  </si>
  <si>
    <t>['sederhana', 'bagus', 'fitur', 'fiturnya', 'baguss']</t>
  </si>
  <si>
    <t>['tambahin', 'fitur', 'ngunci', 'pulsa', 'pulsa', 'kesedot']</t>
  </si>
  <si>
    <t>['sialan', 'aplikasi', 'kau', 'dibuka', 'susah', 'kebukanya', '']</t>
  </si>
  <si>
    <t>['murah', 'bingit', 'deehh']</t>
  </si>
  <si>
    <t>['bagus', 'bermanfaat']</t>
  </si>
  <si>
    <t>['membantu', 'informatif']</t>
  </si>
  <si>
    <t>['bayar', 'kartu', 'halo', 'komunikasi', 'data', 'seluler', 'telp']</t>
  </si>
  <si>
    <t>['aplikasi', 'instal', 'update', 'versi', 'android', 'android', '']</t>
  </si>
  <si>
    <t>['smga', 'telkomsel', 'membaik']</t>
  </si>
  <si>
    <t>['woi', 'updatenya', 'ulang', 'ulang']</t>
  </si>
  <si>
    <t>['parah', 'tuyul', 'pulsa', 'pulsa', 'lenyap', 'kali', 'selaluuuu', 'mengalami', 'bbrp', 'temen', 'mengalami']</t>
  </si>
  <si>
    <t>['harga', '']</t>
  </si>
  <si>
    <t>['nomorku']</t>
  </si>
  <si>
    <t>['beli', 'paket', 'pulsa', 'kepotong', 'ndak', '']</t>
  </si>
  <si>
    <t>['aplikasi', 'membantu', 'penggunaan', 'pulsa', 'cuman', 'paket', 'ditawarkan', 'friendly', 'wil', 'papua', 'barat', 'ditingkatkan', 'kualitas', 'jaringan', 'internetnya', '']</t>
  </si>
  <si>
    <t>['isiin', 'vocer', 'langsung', 'habis', 'pas', 'cek', 'paketan', 'masuk', 'pas', 'masukin', 'vocer', 'terpakai', 'merugikan', 'kecewa']</t>
  </si>
  <si>
    <t>['nahal', 'paket', 'bulanan']</t>
  </si>
  <si>
    <t>['duh', 'slow', 'respon', 'sistemnya', 'diubah', '']</t>
  </si>
  <si>
    <t>['', 'banget', 'semoga', 'sukses']</t>
  </si>
  <si>
    <t>['pokok', 'keren', 'telekomunikasi', 'sel', 'indonesia', 'desa', 'bagus', 'hotel', 'vila']</t>
  </si>
  <si>
    <t>['telkomsel', 'kesini', 'udh', 'kyk', 'sampah', 'jaringannya', 'youtube', 'ngelag', 'nge', 'game', 'udh', 'rekomendasi', 'paket', 'mahal']</t>
  </si>
  <si>
    <t>['astaga', 'telkomsel', 'penipu', 'paket', 'gb', 'download', 'film', 'gb', 'habis', 'kuota', 'terang', 'terangan', 'penghitung', 'data', 'terpakai', 'gb', 'penipu', 'telkomsel', 'konsumen', 'terpaksa', 'make', 'provider', 'kesan', 'bagus', 'lumayan', '']</t>
  </si>
  <si>
    <t>['login', 'kartu', '']</t>
  </si>
  <si>
    <t>['perkembangan', 'tolong', 'aplikasinya', 'jan', 'ribet', 'simple']</t>
  </si>
  <si>
    <t>['saangat', 'membantu', 'telkomsel', 'aplikasi']</t>
  </si>
  <si>
    <t>['kartu', 'bkin', 'mskin', 'udh', 'hbs', 'kuota', 'ambil', 'pulsa', 'bgo', 'liat', 'kartu', 'kuota', 'hbis', 'apkh', 'ambil', 'pulsa', 'ngga', 'tpi', 'telkomsel', 'kya', 'kartu', 'stres', 'bego', '']</t>
  </si>
  <si>
    <t>['deh', 'murah', 'carik', 'paket', 'internet', 'telkomsel', 'senang', 'ups', '']</t>
  </si>
  <si>
    <t>['pulsa', 'darurat', 'bos']</t>
  </si>
  <si>
    <t>['mudah', 'ragu', 'langsung', 'download', '']</t>
  </si>
  <si>
    <t>['mytlkomsel', 'sempurna', 'tambahkan', 'sistem', 'pinjam', 'kuota', 'pulsa', 'pembayaran', 'lakukan', 'mengisi', 'pulsa', 'potong', 'otomatis', 'langsung', 'atm', 'rekening', 'dll', 'andaikan', 'kuota', 'telpon', 'negri', 'mytelkomsel', 'sempura', 'keluarga', 'saudara', 'teman', 'dll', 'negri', 'indonesia', 'jaringannya', 'bermasalah', 'internet', 'telpon', '']</t>
  </si>
  <si>
    <t>['telkomsel', 'parah', 'stabil', 'kartu', 'tri', 'masak', 'pas', 'hujan', 'jaringan', 'turun', 'bener', 'recomended', 'tsel', 'mohon', 'kedepan', 'diperbaiki', 'terimakasih']</t>
  </si>
  <si>
    <t>['tingkatkan', 'sinyal', 'pedalaman', 'kalimantan']</t>
  </si>
  <si>
    <t>['peningkatan', 'beli', 'kuota', 'cepat', 'masuknya', 'good', 'job', 'telkomsel', '']</t>
  </si>
  <si>
    <t>['puas', 'bangat', 'pakai', 'telkomsel']</t>
  </si>
  <si>
    <t>['telkomsel', 'bagus', 'dlm', 'pelayanan', 'sinyal', 'bagus', 'memuaskan', 'pelanggan', 'thanks', 'telkomsel', 'maju', 'trs', 'dlm', 'mutu', 'kwalitas', 'jaringan', 'jangkauan', '']</t>
  </si>
  <si>
    <t>['isi', 'pulsa', 'langsung', 'kesedot', 'beli', 'kuota', 'ketengan', 'youtube', 'unlimited', 'sehari', 'telkomsel', 'dipaket', 'tertulis', 'paketnya', 'dipakai', 'dibuka', 'youtube', 'transaksi', 'pembelian', 'paket', 'gagal', 'menunggu', 'ujung', 'kepotong', 'pulsanya', 'dipakai', 'keluhan', 'maaf', 'salah', 'pemilihan', 'terimakasih', '']</t>
  </si>
  <si>
    <t>['murah', 'terjangkau', 'paket', 'favorite', 'paket', 'ceria', 'terimakasih', 'telkomsel', '']</t>
  </si>
  <si>
    <t>['mohon', 'telkomsel', 'jaringannya', 'jelek', 'perhatikan', 'daerah', 'desa', 'jaringannya', 'stabil', 'tolong', 'perbaiki', 'kualitas', 'jaringannya', 'kec', 'bintang', 'ara', 'kab', 'tabalong', 'cuman', 'tower', 'lemot', 'banget', 'tolong', 'kasih', 'kenyamanan', 'pengguna', 'telkomsel', 'khususnyaa', 'daerah', 'pedalaman', 'please', '']</t>
  </si>
  <si>
    <t>['balikin', 'pulsa', 'gua', 'woy', 'kouta', 'dodol', 'potong', 'akses', 'internet', 'non', 'paket', '']</t>
  </si>
  <si>
    <t>['buka', 'mytelkomsel']</t>
  </si>
  <si>
    <t>['hasil', 'memuaskan']</t>
  </si>
  <si>
    <t>['kota', 'lekas', 'habis', 'main', 'jam', 'langsung', 'habis', 'gb']</t>
  </si>
  <si>
    <t>['', 'mantap', 'maju']</t>
  </si>
  <si>
    <t>['tolong', 'kebijakannya', 'kartu', 'telkomsel', 'kali', 'perbarui', 'perbarui', 'olah', 'permain', 'tolong', 'dengarkan', 'tolong', 'perbaiki', 'masyarakat', 'pribadi', 'berpindah', 'kartu', 'produktif', 'lgi']</t>
  </si>
  <si>
    <t>['mytelkomsel', 'transaksi', 'apapun', 'muda']</t>
  </si>
  <si>
    <t>['bonus', 'kouta', 'gratis', 'kasi', 'bintang', '']</t>
  </si>
  <si>
    <t>['cepat', 'habis', 'kuota', 'perasaan', 'ngga', 'pemakaian']</t>
  </si>
  <si>
    <t>['mengesankan']</t>
  </si>
  <si>
    <t>['kecewa', 'telkomsel', 'telkomsel', 'bonus', 'promo', 'pilih', 'kasih', 'sinyalnya', 'kesini', 'susah', 'pembelian', 'paket', 'data', 'termahal', 'keamanan', 'lock', 'pulsa', 'utama', 'data', 'habis', 'kayak', 'provider', 'sebelah', 'telkomsel', 'bentar', 'update', 'fitur', 'nyaman', 'pelanggan', 'pembelian', 'paket', 'data', 'kecewa', 'sbg', 'contoh', 'beli', 'pulsa', 'sesuai', 'paket', 'pembelian', 'notifikasi', 'pulsa', 'perbaiki', 'deh', '']</t>
  </si>
  <si>
    <t>['membantu', 'meceke', 'kota', 'beli', 'kota', 'pokonya', 'debes']</t>
  </si>
  <si>
    <t>['terbantukan', 'aplikasi']</t>
  </si>
  <si>
    <t>['sinyal', 'parah']</t>
  </si>
  <si>
    <t>['kesini', 'mengecewakan', 'jaringan', 'lemot', 'pengguna', 'setia', 'telkomsel', 'kecewa', 'kacau', 'telkomsel', 'selamat', 'tinggal', 'ganti', 'gsm']</t>
  </si>
  <si>
    <t>['maaf', 'membuka', 'youtube', 'paket', 'unlimited', 'utama', 'langsung', 'tersedot', 'membeli', 'paket', 'ekstra', 'unlimited', 'fup', 'gb', 'paket', 'unlimited', 'youtube', 'paket', 'mohon', 'perbaikannya', '']</t>
  </si>
  <si>
    <t>['kualitas', 'jaringan', 'telkomsel', 'setaun', 'parah', 'banget', 'banget', 'hilangnya', 'sekalinya', 'diandelin', '']</t>
  </si>
  <si>
    <t>['telkomsel', 'hatu']</t>
  </si>
  <si>
    <t>['gua', 'nyari', 'kuota', 'ceria', 'butuh', 'sekolah']</t>
  </si>
  <si>
    <t>['sdah', 'pakai', 'kartu', 'hallo', 'dri', 'telkomsel', 'grade', 'jaringan', 'jdi', 'prioritas', 'parah', 'merugikan', 'pengguna', 'mengecewakan', '']</t>
  </si>
  <si>
    <t>['membantu', 'isinya', 'hahaha']</t>
  </si>
  <si>
    <t>['telkomsel', 'kacau', 'knp', 'paket', 'fup', 'unlimited', 'download', 'playstore', 'lemot', 'pdhal', 'kenceng']</t>
  </si>
  <si>
    <t>['kebijakan', 'telkomsel']</t>
  </si>
  <si>
    <t>['login', 'tulisannya', 'oops', 'kesalahan', 'nomor', 'telepon', 'udah', 'bener', 'tolong', 'login', 'udah', 'semingguan']</t>
  </si>
  <si>
    <t>['oke', 'coba']</t>
  </si>
  <si>
    <t>['gemana', 'masukan', 'telkomsel', 'enak', 'tengo', 'pulsa']</t>
  </si>
  <si>
    <t>['veronica', 'nyambung', 'gitu', '']</t>
  </si>
  <si>
    <t>['kasih', 'bintang', 'memuaskan', 'bintangnya']</t>
  </si>
  <si>
    <t>['', 'paketan', 'mahal', 'jaringan', 'busuk', 'benerin', 'daerah', 'jakarta', 'utara', 'orang', 'ngeluh', 'jaringan', 'lemot', 'parah', 'telkomsel']</t>
  </si>
  <si>
    <t>['memuaskan', 'signalnya', 'kadang', 'lari', 'lari', '']</t>
  </si>
  <si>
    <t>['sya', 'kasih', 'bintang', 'skrg', 'sya', 'kasih', 'bintang', 'dkrnakan', 'alsn', 'sngt', 'kcwa', 'kinerja', 'karyawannya', 'pdhl', 'bln', 'sllu', 'byar', 'tghan', 'krtu', 'pscabyar', 'ntah', 'knp', 'tb', 'karyawannya', 'menghub', 'ortu', 'sya', 'menagih', 'biaya', 'kartu', 'sya', 'sya', 'ckp', 'lma', 'mnggnakn', 'lynan', 'telkomsel', 'bru', 'sya', 'mndptkn', 'plynan', 'alsan', 'apl', 'bsa', 'dibuka', 'disarankan', 'diperbarui', 'diperbarui', 'ttp', 'dibuka', 'disuruh', 'update', 'lgi', 'bgmn', 'mohon', 'bantuannya']</t>
  </si>
  <si>
    <t>['jaringan', 'terlalau', 'jelek', 'coba', 'perbaiki', 'jaringan', 'telkomsel', 'pakainkartu', 'parah', 'telkomsel']</t>
  </si>
  <si>
    <t>['poinnya', 'ditukar', 'pengguna', '']</t>
  </si>
  <si>
    <t>['jaringan', 'putus', '']</t>
  </si>
  <si>
    <t>['', 'paket', 'unlimited']</t>
  </si>
  <si>
    <t>['telkomsel', 'mantaaap']</t>
  </si>
  <si>
    <t>['pakai', 'aplikasi', 'hadiah', 'kuota', 'rajin', 'chek', 'makasih', 'ditingkatkan', 'promo', 'pembelian', 'paket', 'internet', '']</t>
  </si>
  <si>
    <t>['nomor', 'undiannya', '']</t>
  </si>
  <si>
    <t>['cape', 'telkomsel', 'jaringan', 'bener', 'main', 'game', 'chating', 'susah', 'taeklah', 'telkomsel', 'mending', 'smartfreen', '']</t>
  </si>
  <si>
    <t>['', 'apk']</t>
  </si>
  <si>
    <t>['semoga', 'dapet', 'motor', '']</t>
  </si>
  <si>
    <t>['ganti', 'ulasan', 'ahh', 'skalian', 'ganti', 'jaringan', 'profeder', 'kadih', 'bintanng', 'duit', 'angin', 'beli', 'kuota', '']</t>
  </si>
  <si>
    <t>['bnyk', 'pilihan']</t>
  </si>
  <si>
    <t>['telkomsel', 'betulkan', 'jaringan', 'plosok', 'udah', 'diplosok', 'jaringan', 'bagus', 'mampus']</t>
  </si>
  <si>
    <t>['ekstra', 'unlimited', 'hilang', 'tolong', 'perbaiki', 'taman', 'masi', 'perbaiki', 'pindah', 'kartu']</t>
  </si>
  <si>
    <t>['', 'wisata', 'lawu', 'tawangmangu', 'kab', 'karanganyar', 'sinyal']</t>
  </si>
  <si>
    <t>['gagal', 'paham', 'undian', 'pemenangnya']</t>
  </si>
  <si>
    <t>['', 'protes', 'telkom', 'tinggal', 'kendal', 'tepatnya', 'kec', 'paten', 'daerah', 'berdiri', 'menara', 'telkom', 'sinyal', 'jelek', 'untu', 'membuka', 'medsos', 'susah', 'main', 'game', 'kesal', 'tolong', 'telkom', 'jaringannya', 'diperbaiki', 'harga', 'paket', 'dayamu', 'kekuatan', 'jaringan', 'sebanding', 'tolong', 'cepat', 'diperbaiki', '']</t>
  </si>
  <si>
    <t>['telkomsel', 'jaringannya', 'jelek', 'bngt', 'lokasi', 'tangerang', 'kota', 'sinyalnya', 'buruk', 'banget', 'pindah', 'gaes', 'nyesel']</t>
  </si>
  <si>
    <t>['gagal', 'beli', 'paket', 'gangguan', 'system', 'hobby', 'banget', 'coba', 'unistall', 'tetep', 'gabisa', 'beli', 'paket']</t>
  </si>
  <si>
    <t>['menjangkau', 'terpencil', '']</t>
  </si>
  <si>
    <t>['knpa', 'telkomsel', 'skrang', 'jaringan', 'jlekk', 'tlong', 'prbaiki', 'ssya', 'nyaman', 'main', 'game']</t>
  </si>
  <si>
    <t>['mohon', 'tingkatkan', 'kualitas', 'jaringan', 'kesini', 'parah', 'jaringan', 'telkomsel', '']</t>
  </si>
  <si>
    <t>['sinyalnya', 'gajelas']</t>
  </si>
  <si>
    <t>['penggunanya', 'mudah']</t>
  </si>
  <si>
    <t>['api', 'unggun', 'perusahaannya', 'kemajuan', 'parah', 'jaringan', 'buruk']</t>
  </si>
  <si>
    <t>['tolong', 'telkomsel', 'bohong', 'isi', 'ulang', 'pulsa', 'cash', 'back', 'buktinya', 'dapet', 'membohongi', 'bintang', 'malu', 'orang', 'kasih', 'bintang', 'bintang', 'kasih', 'bintang', '']</t>
  </si>
  <si>
    <t>['kuota', 'sosmed']</t>
  </si>
  <si>
    <t>['telkomsel', 'kesini', 'sinyalnya', 'udah', 'asik', 'kek', 'buka', 'sosmed', 'buka', 'game', 'lemot', 'sinyal', 'kek', 'kesendat', 'sedihh', 'uda', 'pengguna', '']</t>
  </si>
  <si>
    <t>['kualitas', 'jaringan', 'internet', 'telkomsel', 'jelek', 'banget', 'knp', 'hilang', 'koneksi', 'butuh', 'jaringan', 'stabil', 'tolong', 'perbaiki', 'minimal', 'perbagus']</t>
  </si>
  <si>
    <t>['mantap', 'pokok']</t>
  </si>
  <si>
    <t>['seiring', 'mahalnya', 'kuota', 'simpati', 'signalnya', 'kacau', 'berimbangkah', '']</t>
  </si>
  <si>
    <t>['kuota', 'mahal', 'jaringan', 'jelek', '']</t>
  </si>
  <si>
    <t>['tolong', 'telkomsel', 'tambahkan', 'fitur', 'apps', 'paket', 'internet', 'suka', 'suka', 'axis', 'pilih', 'aplikasi', 'dijadikan', 'paket', 'internet', 'contoh', 'beli', 'paket', 'internet', 'kouta', 'instagram', 'pilih', 'instagram', 'paketnya', 'beli', 'tolong', 'apps', 'dipilih', 'paketnya', 'terserah', 'milihnya', 'paket', 'axis', 'suka', 'suka', 'terbatas', 'milihnya', 'apps', 'paketkan', 'list']</t>
  </si>
  <si>
    <t>['semoga', 'dapet', 'mobil', 'amin']</t>
  </si>
  <si>
    <t>['sinyal', 'buruk', 'tolong', 'perbaiki', 'pengguna', 'telkomsel', 'kecewa', 'respon', 'perlakuan', 'telkomsel', '']</t>
  </si>
  <si>
    <t>['aplikasi', 'dibuka', 'tpi', 'pas', 'beli', 'paket', 'aplikasi', 'klik', 'beli', 'gangguan', 'sistem', 'mohon', 'coba', 'menit', 'berulang', 'gitu', 'tolong', 'kasih', 'solusi']</t>
  </si>
  <si>
    <t>['listrik', 'wilayah', 'nyala', 'knp', 'jaringan', 'internet', 'telkomsel', 'nyala']</t>
  </si>
  <si>
    <t>['asli', 'jaringan', 'lalod', 'tinggal', 'dikota', 'makassar', 'bayar', 'tagihan', 'lancar', 'selancar', 'jaringannya', 'adehhhh']</t>
  </si>
  <si>
    <t>['pakai', 'jdi', 'lom', 'bagus', 'jdi', 'ksh', 'dlu']</t>
  </si>
  <si>
    <t>['telkomsel', 'berbobot', 'mari', 'ganti', 'kartu', '']</t>
  </si>
  <si>
    <t>['operator', 'jaringan', 'buruk', 'jelek', 'untung', 'papua', 'tdak', 'saingan', 'oprator', 'masuk', 'telkomsel', 'gulung', 'tikar', 'kapa', '']</t>
  </si>
  <si>
    <t>['salam', 'binjai']</t>
  </si>
  <si>
    <t>['tolong', 'didaerahku', 'telkomsel', 'susah', 'udah', 'paketnya', 'mahal', 'sinyalnya', 'susah', 'ganti', 'im', 'paketannya', 'murah', 'sinyalnya', 'bagus']</t>
  </si>
  <si>
    <t>['sinyal', 'ngelag', 'harga', 'kuota', 'mahal', 'promo', 'dikit', 'sinyal', 'naek', 'turun', 'udh', 'beli', 'mahal', 'mahal', 'kuota', 'ngelag']</t>
  </si>
  <si>
    <t>['gua', 'beli', 'pulsa', 'telkomsel', 'bayar', 'dana', 'pembayaran', 'selesai', 'berhasil', 'pulsanya', 'kagak', 'gua', 'laporin', 'komunikasi', 'ama', 'komputer', 'ganti', 'ruginya', 'kagak', 'komputernya', 'suruh', 'bukti', 'pembayaran', 'kasih', '']</t>
  </si>
  <si>
    <t>['perbaikin', 'donk', 'sinyal', 'daerah', 'bogor', 'kota', 'suka', 'putus', 'cuman', 'mahal', 'kualitasnya', '']</t>
  </si>
  <si>
    <t>['bsa', 'cek', 'kuota', 'app', 'permudah', 'bsa', 'cek', 'kuota', 'akses', 'cepat', 'gausah', 'ribet', 'app', 'bsa', 'dibuka', 'layarnya', 'putih', 'doang']</t>
  </si>
  <si>
    <t>['payah', 'login', 'make', 'link', 'otp', 'dlu', 'pulsa', 'skrg', 'goib']</t>
  </si>
  <si>
    <t>['beli', 'pulsa', 'pakek', 'mytelkomsel', 'susah', 'aktif', 'kartu', 'tenggang', '']</t>
  </si>
  <si>
    <t>['down', 'war']</t>
  </si>
  <si>
    <t>['', 'telkomsel', 'jaya', 'kedepan', 'gar', 'hadiah', 'pelanggan', 'setia', 'telkomsel']</t>
  </si>
  <si>
    <t>['knpa', 'transfer', 'pulsa', 'banking', 'masuk', 'transaksi', 'bca', 'berhasil', 'tolong', 'bantu']</t>
  </si>
  <si>
    <t>['bintang', 'lupa', 'jaringannya', 'jlek', 'mhon', 'perhatikan']</t>
  </si>
  <si>
    <t>['pelayanan']</t>
  </si>
  <si>
    <t>['perbaiki', 'sistem', 'keamanannya', 'dirugikan', 'udah', 'kalinya', 'pemberitahuan', 'sms', 'pengaktipan', 'paket', 'darurat', 'aktipkan', 'membeli', 'memesan', 'paket', 'mohon', 'perbaikannya', 'relkomsel']</t>
  </si>
  <si>
    <t>['sekrang', 'telkomsel', 'sinyal', 'ngeleg', 'isi', 'pulsa', 'pas', 'beli', 'kouta', 'leg', 'sinta', 'mohon', 'diperbaiki', '']</t>
  </si>
  <si>
    <t>['jelek', 'banget', 'aplikasi', 'udah', 'transfer', 'uang', 'isi', 'kuota', 'pulsanya', 'masuk']</t>
  </si>
  <si>
    <t>['daerah', 'tabone', 'sinyal', 'internet', 'bagus', 'kalah', 'provider', 'dimana', 'keseruan', 'genggaman']</t>
  </si>
  <si>
    <t>['gua', 'kasih', 'pakai', 'telkomsel', 'mending', 'pakai', 'menyesal', 'trus', 'makai', 'mending', 'ganti', 'bermaen', 'game', 'ntar', 'rusak', 'karna', 'karna', 'kesal', 'jaringan', 'busuk', 'telkomsel', 'trus', 'uang', 'beli', 'kuota', 'telkomsel', 'mahal', 'sayang', 'uangnya', 'beli', 'percaya', 'jngan', 'makai', 'telkomsel', 'nyesel', 'ntar', '']</t>
  </si>
  <si>
    <t>['tingkatkan', 'pelayanan', 'sinyalnya']</t>
  </si>
  <si>
    <t>['kasih', 'bintang', 'tolong', 'diperbaiki']</t>
  </si>
  <si>
    <t>['ditingkatkan']</t>
  </si>
  <si>
    <t>['susah', 'bukak', '']</t>
  </si>
  <si>
    <t>['telkomsel', 'ngerasain', 'gobloknya', 'sinyal', 'telkomsel', 'mahal', 'iya', 'harganya', 'kaya', 'sinyal', 'edge']</t>
  </si>
  <si>
    <t>['informasi', 'membantu', 'terima', 'kasih', 'telkomsel']</t>
  </si>
  <si>
    <t>['pulsa', 'sisa', 'rb', 'ambil', 'paket', 'malam', 'gb', 'rb', 'masuk', 'notif', 'pulsa', 'mencukupi', 'pulsa', 'jam', 'pulsa', 'hilang', 'paket', 'maen', '']</t>
  </si>
  <si>
    <t>['bermanfaat', 'membantu', 'akses', 'cepat']</t>
  </si>
  <si>
    <t>['', 'beli', 'unlimited', 'sosmed', 'sepuas', 'hati', 'kuota', 'utama', 'habis', 'hmmm', 'merugikan', 'kuota', 'unlimited', 'sosmed', 'menghabiskan', 'kuota', 'utama', 'dipakai', 'unlimitednya', 'merugikan', '']</t>
  </si>
  <si>
    <t>['harga', 'paket', 'kemahalan', 'telkomsel', '']</t>
  </si>
  <si>
    <t>['tolong', 'perbaiki', 'jaringan', 'daerah', 'pondok', 'gede']</t>
  </si>
  <si>
    <t>['duluh']</t>
  </si>
  <si>
    <t>['tersedia', 'pilihan', 'paket']</t>
  </si>
  <si>
    <t>['jelek', 'banget', 'udah', 'mah', 'jaringan', 'mahal', 'nukerin', 'poin', 'udah', 'minggu', 'coba']</t>
  </si>
  <si>
    <t>['luarbiasa', 'suka', 'apknya', 'mantap', 'pokoknya', '']</t>
  </si>
  <si>
    <t>['bermanfaat', 'bagus', 'tingkat']</t>
  </si>
  <si>
    <t>['tolong', 'telkomsel', 'fiktur', 'pulsa', 'kesedot', 'data', 'habis', 'kejadian', 'pas', 'data', 'habis', 'pulsa', 'kesedot', 'pulsa', 'rb', 'kesedot', 'data', 'internet', 'habis', 'tolong', 'telkomsel', 'perbaiki', 'aplikasinya', 'kayak', 'axis', 'net', 'fiktur', 'pengunci', 'pulsa', 'tersedot', 'data', 'internet', 'habis', '']</t>
  </si>
  <si>
    <t>['diatur', 'penggunaan', 'pulsa', 'data', 'pulsa', 'data', 'bersamaan', 'pulsanya', 'kadang', 'kepotong', '']</t>
  </si>
  <si>
    <t>['oke', 'aplikasinya']</t>
  </si>
  <si>
    <t>['jaringan', 'ditingkatkan', '']</t>
  </si>
  <si>
    <t>['halo', 'telkomsel', 'kualitas', 'jaringan', 'buruk', 'segini', 'daerah', 'kota', 'depok', 'pikir', 'byk', 'orang', 'pakai', 'jam', 'malam', 'kebawah', 'sinyal', 'down', 'mahal', 'doang', 'kualitas', 'murahan']</t>
  </si>
  <si>
    <t>['apk', 'sngt', 'membantu', 'udah', 'membantu', 'lihat']</t>
  </si>
  <si>
    <t>['sya', 'ngerasa', 'telkomsel', 'hancur', 'udah', 'paket', 'mahal', 'sinyal', 'hilang', 'lemot', 'banget', 'klau', 'siang', 'trus', 'parahnya', 'pulsa', 'kepotong', 'nggak', 'diapa', 'apain', 'tolong', 'telkomsel', 'ditangani', 'klau', 'nggak', 'cepat', 'lambat', 'pengguna', 'telkomsel', 'pindah', 'provider', 'sebelah', '']</t>
  </si>
  <si>
    <t>['mempermudah', 'perpanjang', 'data', 'sinyalnya', 'bagus', 'mohon', 'ditingkatkan']</t>
  </si>
  <si>
    <t>['beli', 'kuota', 'mahal', 'banget']</t>
  </si>
  <si>
    <t>['provider', 'terbesar', 'indonesia', 'sinyal', 'lelet', 'mumpuni', 'trlalu', 'janji', 'promo', 'promo', 'playanan', 'memuaskan', 'mahal', 'mengecewakan', '']</t>
  </si>
  <si>
    <t>['lumayan', 'asik', 'indosat', 'serba', 'murah', 'gb', 'rb', 'semangat', 'simpati', 'promonya', 'ganti', 'makasih']</t>
  </si>
  <si>
    <t>['praktis', 'mudah']</t>
  </si>
  <si>
    <t>['pulsa', 'habis', 'kemana', 'yaaa', '']</t>
  </si>
  <si>
    <t>['bagus', 'cuman', 'daerah', 'timur', 'maluku', 'sgnal', 'hilang']</t>
  </si>
  <si>
    <t>['harga', 'paket', 'internetnya', 'mahal']</t>
  </si>
  <si>
    <t>['ditingkatkan', 'provider', 'pengaman', 'pulsa', 'nge', 'lock', 'pulsa', 'kosong', 'pas', 'nelpon', 'kali', 'sedot', 'data', 'cepet', 'banget', 'habis', 'tolong', 'tinhkatkan', '']</t>
  </si>
  <si>
    <t>['apk', 'sanagat', 'bagus', '']</t>
  </si>
  <si>
    <t>['kasih', 'bintang', 'pakek', 'app']</t>
  </si>
  <si>
    <t>['jaringan', 'sel', 'astaga', 'sanggup', 'putus']</t>
  </si>
  <si>
    <t>['beli', 'mahal', 'mahal', 'jaringan', 'bobrok', 'kecewa', '']</t>
  </si>
  <si>
    <t>['koneksi', 'putus', 'main', 'game', 'kecewa', '']</t>
  </si>
  <si>
    <t>['duh', 'knp', 'smnjak', 'pindah', 'paska', 'simpati', 'halo', 'stiap', 'masuk', 'pembayaran', 'dibayarkan', 'ngapa', 'dapet', 'sms', 'terimakasih', 'bayar', 'silahkan', 'restart', 'reatart', 'puluhan', 'internetnyaa', 'gini', 'mendingan', 'paska', 'bayar', 'kecewaaa']</t>
  </si>
  <si>
    <t>['isi', 'pulsa']</t>
  </si>
  <si>
    <t>['kecewa', 'liat', 'jaringan', 'internet', 'telkomsel', 'error', 'bang', 'beli', 'paket', 'kuota', 'mahal', 'mahal', 'biarpun', 'combo', 'sakti', 'jaringan', 'dimana', 'kepuasan', 'konsumen']</t>
  </si>
  <si>
    <t>['membantu', 'terima', 'kasih', '']</t>
  </si>
  <si>
    <t>['trima', 'kasih', 'membatu']</t>
  </si>
  <si>
    <t>['sinyal', 'lemot']</t>
  </si>
  <si>
    <t>['tolong', 'perbaiki', 'jaringan', 'suka', 'lelet', 'skrg', '']</t>
  </si>
  <si>
    <t>['layanan', 'telkomsel', 'memuaskan']</t>
  </si>
  <si>
    <t>['makjus']</t>
  </si>
  <si>
    <t>['burikkkkk', 'harga', 'paket', 'sesuai', 'kualitas']</t>
  </si>
  <si>
    <t>['knp', 'jaringan', 'telkomsel', 'siang', 'malam', 'ngelag', 'mohon', 'perbaikan', 'karna', 'terganggu', 'banget']</t>
  </si>
  <si>
    <t>['gini', 'paket', 'gb', 'unli', 'paket', 'mahal', 'mahal', 'butuh', 'paket', 'nelpon', 'sms', 'harap', 'disediakan', 'paket', 'toping', 'kuota', 'paket', 'nelpon', 'sms', 'membandingkan', 'diseluruh', 'indonesia', 'kartu', 'murah', 'murah', 'paketnya', 'rating', 'kartu', 'simpati', 'loop', 'menurun', 'drastis', 'sekian', 'terima', 'kasih']</t>
  </si>
  <si>
    <t>['sialan', 'penipuan', 'beli', 'pulsa', 'paketin', 'aplikasi', 'kesedot', 'tinggal', 'laporkan', 'berwajib', 'parah', 'abis', 'konsemen', 'ditipu', 'blm', 'tolong', 'niat', 'kembalikan', 'pulsa']</t>
  </si>
  <si>
    <t>['update', 'android', '']</t>
  </si>
  <si>
    <t>['aplikasinya', 'bagus', 'membantu', 'orang', 'kemudahan', 'berkomunikasi', 'bersosial']</t>
  </si>
  <si>
    <t>['', 'telkomsel', 'membantu', 'terima', 'kasih', 'telkomsel']</t>
  </si>
  <si>
    <t>['kasih', 'bintang', 'deh', '']</t>
  </si>
  <si>
    <t>['aplikasi', 'keren', 'banget', '']</t>
  </si>
  <si>
    <t>['maaf', 'yaa', 'knpa', 'telkomsel', 'login', 'terkeluar', 'apknya', 'eror', 'jaringan', 'maslah', 'smpek', 'sya', 'uninstall', 'trus', 'sya', 'instal', 'lgii', 'bgtu', 'tolong', 'diperbaiki', 'yaa', 'kedepannya', 'sya', 'beli', 'telkomsel', 'pdhall', 'msak', 'pelanggan', 'setia', 'bgni', '']</t>
  </si>
  <si>
    <t>['uda', 'dapet', 'poin', 'inggin', 'manukar', 'poin', 'gb', 'pas', 'tukarkan', 'tolong', 'admin', 'perbaiki', '']</t>
  </si>
  <si>
    <t>['aplikasi', 'bagus', 'paketan']</t>
  </si>
  <si>
    <t>['telkom', 'kek', 'kon']</t>
  </si>
  <si>
    <t>['dear', 'telkomsel', 'sekian', 'komentar', 'negatif', 'tolong', 'ditanggapi', 'acuan', 'perbaikan', 'trutama', 'pulsa', 'regur', 'kepotong', 'gara', 'gara', 'lupa', 'matiin', 'paket', 'data', 'paket', 'internet', 'habis', 'mati', 'dihidupin', 'pulsa', '']</t>
  </si>
  <si>
    <t>['bumn', 'maling', 'pulsa', 'kuota', 'lindah', 'darat', 'konsumen', 'konsumen', 'kabur', 'gini', '']</t>
  </si>
  <si>
    <t>['udh', 'mahal', 'jaringan', 'ngeleg']</t>
  </si>
  <si>
    <t>['mempermudah', 'sopan', 'lancar']</t>
  </si>
  <si>
    <t>['telkomsel', 'brsahabat', 'orang', 'miskin', 'data', 'kuota', 'mahal', 'jaringan', 'sinyal', 'bagus', 'daerah', 'pedesa', 'mohon', 'tingkat', 'perluas', 'tiang', 'tower']</t>
  </si>
  <si>
    <t>['kasi', 'bintang', '']</t>
  </si>
  <si>
    <t>['tolong', 'pengguna', 'kartu', 'telkomsel', 'udh', 'bertahun', 'harga', 'paket', 'miringkan', 'dikit', 'masak', 'iya', 'pengguna', 'harga', 'murah', 'dripda', 'pengguna', '']</t>
  </si>
  <si>
    <t>['terimakasih', 'telkomsel', 'semoga', 'kedepannya', 'jaringan', 'sinyal', 'gps', 'perkuat', 'orderan', 'masuk', 'akun', 'amin']</t>
  </si>
  <si>
    <t>['enak', 'ribet']</t>
  </si>
  <si>
    <t>['the', 'best', 'pkoknya', 'tingkatkan', 'trus', 'paket', 'combonya', 'menit', 'telponnya', 'diablikin', 'sprti', 'dlu', 'mnit', 'skrg', 'mnit', 'slbihnya', 'best']</t>
  </si>
  <si>
    <t>['sinyalnya', 'kuat']</t>
  </si>
  <si>
    <t>['ntar', 'tambahin']</t>
  </si>
  <si>
    <t>['mudah', 'pakai', 'ribet']</t>
  </si>
  <si>
    <t>['harga', 'bermasyarakat', '']</t>
  </si>
  <si>
    <t>['beli', 'paket', 'telkom', 'ngerespon', 'beli', 'paket', 'terusa', 'maaf', 'gangguan', 'sistem', 'pas', 'transaksi', 'payah', 'kali', 'harga', 'pejabat', 'pelayanan', 'kek', 'warung', 'warteg', '']</t>
  </si>
  <si>
    <t>['pelayanan', 'puas', 'terimakasih', 'developer', 'info', 'tolong', 'harga', 'paket', 'mahal', 'mahal', 'alhamdulillah', 'suka', '']</t>
  </si>
  <si>
    <t>['ulasan', 'hapus', 'tipu', 'gitu', 'heheh', 'ttp', 'kasih', 'bintang', 'undi', 'poin', 'lari', 'daerah', 'jabodetabek', 'papua', 'undian', 'kasih', 'bintang', '']</t>
  </si>
  <si>
    <t>['kemaren', 'beli', 'paket', 'mulu', 'dibilangnya', 'gangguan', 'tolong', 'diperbaiki', '']</t>
  </si>
  <si>
    <t>['parah', 'sinyal', 'main', 'game', 'lag', 'sinyal', 'merah', 'pindah', 'operator', '']</t>
  </si>
  <si>
    <t>['lemot', 'jaringanya']</t>
  </si>
  <si>
    <t>['beli', 'paket', 'gigamax', 'basic', 'aplikasi', 'telkomsel', 'tertulis', 'lakh', 'knpa', 'aktipnya', 'malh', 'tolong', 'jelasin', 'knpa', 'tetima', 'kasih', '']</t>
  </si>
  <si>
    <t>['dapet', 'sms', 'klu', 'ngisi', 'pulsa', 'mytelkomsel', 'bonus', 'pulsa', 'rb', 'pas', 'ngisi', 'pembayaran', 'blm', 'berhasil', 'silahkan', 'coba']</t>
  </si>
  <si>
    <t>['kasih', 'telkomsel', 'sinyal', 'jelek', 'lemot', 'tolong', 'diperbaiki', 'hrgnya', 'mahal', 'kualitas', 'jelek']</t>
  </si>
  <si>
    <t>['insha', 'allah', 'menang', 'honda', 'brio']</t>
  </si>
  <si>
    <t>['terima', 'kasih', 'kakak', '']</t>
  </si>
  <si>
    <t>['telkomsel', 'bngt', 'jaringan', 'penggunaan', 'nyaman', 'hapus', 'kartu', 'harga', 'mahal', 'kenyamanan', 'pengguna', 'pikirin']</t>
  </si>
  <si>
    <t>['paket', 'tinggal', 'indo', 'paket', 'nelpon', 'negeri']</t>
  </si>
  <si>
    <t>['tingkat', 'sinyal', 'internetnya', 'sinyal', 'internetnya', 'lemot', 'banget', 'lemot', 'jelek', 'banget', '']</t>
  </si>
  <si>
    <t>['pribadi', 'apk', 'bagus', 'log', 'repot', 'alias', 'ribet', 'bin', 'susah', 'pokoknya', 'sip', 'deh', 'apk', 'good', 'lucky', 'telkomsel']</t>
  </si>
  <si>
    <t>['jaringannya', 'nyusahin', 'orang', 'txs']</t>
  </si>
  <si>
    <t>['sinyalnya', 'payah', 'buruk']</t>
  </si>
  <si>
    <t>['terpaksa', 'berhenti', 'telkomsel', 'krna', 'pandemi', 'berhemat', 'terimakasih', 'telkomsel', 'undur', 'jaringan']</t>
  </si>
  <si>
    <t>['tolonglah', 'operator', 'telkomsel', 'kirimi', 'sms', 'gosting', 'taik', 'langganan', 'sms', 'kyak', 'gituan', 'isi', 'pulsa', 'kirimi', 'sms', 'gosting', 'pulsa', 'terpotong', 'kirimi', 'sms', 'mamanya', 'malak', 'pelanggan', 'lampirkan', 'sms', 'taik', 'klian', 'kirimkan', 'anneth', 'bingung', 'ghosting', 'zara', 'berdua', 'nonton', 'kau', 'tsel', 'kaudandia', 'berlaku', 'tarif', 'internet', 'info', 'unreg', '']</t>
  </si>
  <si>
    <t>['skrg', 'telkomsel', 'lelet', 'banget', 'kalah', 'ama', 'sebelah']</t>
  </si>
  <si>
    <t>['aplikasi', 'bug', 'daily', 'chekin', 'bener', 'mesan', 'paket', 'bermasalah', '']</t>
  </si>
  <si>
    <t>['penggunaan', 'mudah', 'kemudahan', 'transaksi']</t>
  </si>
  <si>
    <t>['telkomsel', 'lambat', '']</t>
  </si>
  <si>
    <t>['tolong', 'telkomsel', 'aktifnya', 'perpanjang', 'maksimal', 'aktif', 'kartu', 'aktif', '']</t>
  </si>
  <si>
    <t>['segi', 'harga', 'lumayan', 'murah', 'lumayan', 'irit', 'game', 'sebentar', 'chatting', 'googling', 'kdang', 'suka', 'gangguan', 'mudah', 'telkomsel', 'mengalami', 'gangguan', 'pelanggan', 'puas']</t>
  </si>
  <si>
    <t>['mantaphhh', 'apk', 'mudah', 'cek', 'pulsa', 'beli', 'paket', 'data']</t>
  </si>
  <si>
    <t>['assalamualaikum', 'jajaran', 'telkomsel', 'mohon', 'pantau', 'kemabali', 'jaringan', 'minggu', 'tanggal', 'oktober', 'jaringan', 'internet', 'buruk', 'pelanggan', 'telkomsel', 'mohon', 'perbaikan', 'jaringannya', 'tepatnya', 'daerah', 'seputaran', 'darul', 'makmur', 'nagan', 'raya', 'daerah', 'pemukiman', 'ujong', 'tanjong']</t>
  </si>
  <si>
    <t>['jaringan', 'lancar', 'berita', 'ketinggalan', 'update', 'komunikasi', 'keluarga', 'teman', 'teman', 'organisasi', 'lancar', 'melancarkan', 'memudahkan', 'urusan', '']</t>
  </si>
  <si>
    <t>['bug', 'check', 'udah', 'check', 'hitung', 'aneh', 'aplikasi', '']</t>
  </si>
  <si>
    <t>['tolonglah', 'pulsa', 'rb', 'kemahalan', '']</t>
  </si>
  <si>
    <t>['kuota', 'utama', 'gb', 'nonton', 'online', 'via', 'notif', 'kuota', 'habis', 'parah', '']</t>
  </si>
  <si>
    <t>['bayar', 'mahal', 'mahal', 'malam', 'sinyal', 'ilang', 'mulu', 'dana', 'bansos', 'gelapkan', 'sinyal', 'kim', 'klah', '']</t>
  </si>
  <si>
    <t>['jelek', 'layanannya']</t>
  </si>
  <si>
    <t>['', 'menarik', 'acaranya']</t>
  </si>
  <si>
    <t>['telkomsel', 'lemot', 'parah', 'coba', 'diperbaiki', 'jaringan', 'ganti', 'alat', 'bagus', 'bts', 'pemancar', 'murahan', 'coba', 'dengerin', 'tuch', 'keluhan', 'consumen']</t>
  </si>
  <si>
    <t>['jaringan', 'banget', 'cuuyy']</t>
  </si>
  <si>
    <t>['kwalitas', 'jaringan', 'internet', 'jelek']</t>
  </si>
  <si>
    <t>['maaf', 'make', 'kartu', 'main', 'game', 'mati', 'nyala', 'data']</t>
  </si>
  <si>
    <t>['lumayan', 'bagus', 'aplikasinya']</t>
  </si>
  <si>
    <t>['promo', 'dibeli', 'kecewa', 'harganya', 'mahal', '']</t>
  </si>
  <si>
    <t>['membantu', 'simple', 'belanja', 'cek', 'saldo']</t>
  </si>
  <si>
    <t>['membantu', 'semoga', 'kedepannya', 'salam', 'udara']</t>
  </si>
  <si>
    <t>['good', 'aplikasi', 'sngt', 'membantu']</t>
  </si>
  <si>
    <t>['sinyal', 'cmn', 'harga', 'kuota', 'mayan', 'mahal']</t>
  </si>
  <si>
    <t>['paketan', 'mahal', 'jaringan', 'lelet', 'sesuai', 'harga', 'paketan', 'jenis', 'jaringanya']</t>
  </si>
  <si>
    <t>['mantap', 'download', 'cepatan']</t>
  </si>
  <si>
    <t>['promo', 'lumayan', 'untk', 'pengieitan', 'pengeluaran', 'untk', 'kuota', 'internet', 'terimakasih', 'telkomsel']</t>
  </si>
  <si>
    <t>['jaringan', 'terburuk', 'indonesia', 'kuota', 'ganti', 'kartu', 'kapok', 'pakai', 'telkomsel', 'gangguan', 'lelet', 'lemot', 'mending', 'gua', 'patahin', 'kartu', '']</t>
  </si>
  <si>
    <t>['paket', 'mahal', 'rusak', 'kualitas', 'jaringannya', 'kecewa', 'kualitas', 'jaringan', 'lancar', '']</t>
  </si>
  <si>
    <t>['membantu', 'mengecek', 'kuata', 'beli', 'paket']</t>
  </si>
  <si>
    <t>['pelayanan', 'bijaksana']</t>
  </si>
  <si>
    <t>['harganya', 'murahin']</t>
  </si>
  <si>
    <t>['telkomsel', 'sinyal', 'lelet', 'gua', 'beli', 'paket', 'telkomsel', 'terpakai', 'mohon', 'perbaikannya']</t>
  </si>
  <si>
    <t>['mudah', 'mudahan', 'paket', 'internet', 'murah']</t>
  </si>
  <si>
    <t>['salah', 'jaringan', 'lancar', 'indonesia', 'lancar', 'ngeri', 'bngt', 'lancarny', 'sangking', 'lancarnya', 'emosi']</t>
  </si>
  <si>
    <t>['jara', 'mengisi', 'pusa']</t>
  </si>
  <si>
    <t>['kuota', 'multimedia', 'mendingan', 'masukin', 'kuota', 'utama', 'kuota', 'multi', 'media', 'lemotnya', 'banget', 'kouta', 'multi', 'media', 'chat', 'games', 'music', 'sosmed', 'lemot', '']</t>
  </si>
  <si>
    <t>['', 'area', 'kota', 'bangil', 'pasuruan', 'sinyal', 'bagus', 'mudik', 'rmh', 'ortu', 'deket', 'lapangan', 'udara', 'iswahyudi', 'sinyalnya', 'bagus', '']</t>
  </si>
  <si>
    <t>['membantu', 'disaat', 'membutuhkan', 'beli', 'pulsa', 'paket', 'data']</t>
  </si>
  <si>
    <t>['terimakasih', 'pelayanan', 'telkomsel']</t>
  </si>
  <si>
    <t>['paket', 'kuota', 'mahal', 'mahal']</t>
  </si>
  <si>
    <t>['aplikasi', 'provider', 'ampas']</t>
  </si>
  <si>
    <t>['good', 'banget', '']</t>
  </si>
  <si>
    <t>['cepat', 'praktis', 'tinggal', 'pilih', '']</t>
  </si>
  <si>
    <t>['bagus', 'banget', 'aplikasi', 'diamond', 'jugak', '']</t>
  </si>
  <si>
    <t>['telkom', 'dapet', 'pesan', 'telkomsel', 'tekan', 'simpan', 'ngelag', 'beli']</t>
  </si>
  <si>
    <t>['', 'telkomsel', 'baguss']</t>
  </si>
  <si>
    <t>['pulsa', 'dihisap', 'paket', 'data', 'mati', 'membeli', 'paket', 'pembelian', 'paket', 'pulsa', 'berkurang', 'berbeda', 'harga', 'paket']</t>
  </si>
  <si>
    <t>['paket', 'promo', 'konsisten', 'merugikan', 'sbg', 'pelanggan', 'paket', 'ceria', 'aktif', 'dipake', 'sbg', 'pelanggan', 'dirugikan', '']</t>
  </si>
  <si>
    <t>['upgrade', 'login', 'mulu', 'masuk', 'puas', '']</t>
  </si>
  <si>
    <t>['aplikasi', 'membantu', 'terima', 'kasih']</t>
  </si>
  <si>
    <t>['min', 'saran', 'tambahin', 'fitur', 'kunci', 'pulsa', 'kuota', 'internet', 'abis', 'pulsa', 'langsung', 'kesedot', '']</t>
  </si>
  <si>
    <t>['seneng', 'banget', 'mudah', 'cek', 'pulsa', 'paket']</t>
  </si>
  <si>
    <t>['hallo', 'kak', 'telkomsel', 'suka', 'nyuri', 'gua', 'gue', 'isi', 'pulsa', 'potong', 'gue', 'ngutang', 'apapun', 'isi', 'pulsa', 'makan', 'telkomsel', 'menerus', '']</t>
  </si>
  <si>
    <t>['kuota', 'unlimited', 'dipakai', 'lemot', 'bls', 'chat', 'lambat', 'terkirim']</t>
  </si>
  <si>
    <t>['banyakin', 'promo', 'kuota', 'murah']</t>
  </si>
  <si>
    <t>['bagus', 'aplikasinya']</t>
  </si>
  <si>
    <t>['kali', 'udah', 'ambil', 'bonus', '']</t>
  </si>
  <si>
    <t>['mudah', 'jaringan', 'mantap', 'give', 'away', 'telkomsel', '']</t>
  </si>
  <si>
    <t>['terimksh', 'telkomsel', 'kebantu', 'disaat', 'perlukan', '']</t>
  </si>
  <si>
    <t>['kecewa', 'bayar', 'shopee', 'pay', 'skeg', 'udh', '']</t>
  </si>
  <si>
    <t>['pelayanannya', 'kadang', 'suka', 'error', 'tabulik']</t>
  </si>
  <si>
    <t>['lag', 'main', 'game', 'online']</t>
  </si>
  <si>
    <t>['pakai', 'combo', 'sakti', 'penggunaan', 'pilihan', 'combo', 'sakti', 'simpati', 'loop', 'trimakasih']</t>
  </si>
  <si>
    <t>['puas', 'diskonnya']</t>
  </si>
  <si>
    <t>['membantu', 'nggak', 'undian', 'poin']</t>
  </si>
  <si>
    <t>['telkomsel', 'sinyalnya', 'hilang', 'mohon', 'diperbaiki', 'kenyamanan', 'terimakasih']</t>
  </si>
  <si>
    <t>['aplikasi', 'merespons', 'error', 'berdampak', 'kinerja', 'lag', 'suka', 'tolong', 'perbaiki', 'konksi', 'buruk', 'masak', 'aplikasi', 'buruk']</t>
  </si>
  <si>
    <t>['semoga', 'sinyal', 'stabil', 'cepat']</t>
  </si>
  <si>
    <t>['josss', 'bngt', 'masuknya', 'gampang', '']</t>
  </si>
  <si>
    <t>['memudahkan', 'combo', 'saktinya', 'belli']</t>
  </si>
  <si>
    <t>['login', 'mytelkomsel', 'susah', 'refresh', 'susah', 'beli', 'paket', 'data', 'semenjak', 'tgl', 'oktober', 'kemarin', 'tampilan', 'login', 'mytelkomsel', 'app', 'isinya', 'relogin', 'reinstall', 'pengaruhnya', 'coba', 'login', 'mytelkomsel', 'web', 'login', 'pakai', 'sosmed', 'nomor', 'handphone', 'sosial', 'media', 'urusan', 'urusin', 'pelayanan', 'kelancaran', 'fasilitas', '']</t>
  </si>
  <si>
    <t>['matikan', 'suara']</t>
  </si>
  <si>
    <t>['tolong', 'jaringan', 'telkomsel', 'perbaiki', 'jaringannya', 'lancar', 'kayak', 'jaringan', 'terkalahkan', '']</t>
  </si>
  <si>
    <t>['paket', 'mahal', 'rbu', 'gb', 'jaringan', 'kek', 'taikk', 'mahal', 'lancar', 'mahal', 'jaringannya', 'lemot', 'sampah']</t>
  </si>
  <si>
    <t>['beli', 'kuota', '']</t>
  </si>
  <si>
    <t>['sngt', 'mudah', 'masuknya']</t>
  </si>
  <si>
    <t>['kayak', 'sampah', 'jaringan', 'berguna', 'paketan', 'mahal', 'kwalitas', 'jaringan', 'sampah']</t>
  </si>
  <si>
    <t>['jaringan', 'telkomsel', 'rusak', '']</t>
  </si>
  <si>
    <t>['sianyal', 'unlimitid', 'simpati', 'jelek', 'banget', 'kecewa', 'banget', 'beli', 'unlimitid', 'max', 'habis', 'kuota', 'utamanya', 'kecepatan', 'lemot', 'banget', 'buka', 'facebook', 'susah']</t>
  </si>
  <si>
    <t>['bagus', 'banget', 'jaringannya']</t>
  </si>
  <si>
    <t>['peringatan', 'performa', 'telkomsel', 'menurun', 'pengguna', 'berlangganan', 'merasakan', 'kerugian', 'keuntungan', 'percaya', 'jejaring', 'telkomsel']</t>
  </si>
  <si>
    <t>['mudah', 'info', 'promo', 'kuota', 'internet']</t>
  </si>
  <si>
    <t>['undian', 'hepi', 'perminggu', 'undi', 'kemaren', 'tngl', 'okt', 'umumkan', 'cek', 'mlh', 'mundur', 'tngl', 'okt', 'tolong', 'konsisten']</t>
  </si>
  <si>
    <t>['chek', 'hsilnya', 'kuota', 'gb', 'klaimnya', 'hrus', 'pke', 'pulsa', 'rupiah', 'trimakasih', 'mytelkomsel']</t>
  </si>
  <si>
    <t>['pulsa', 'data', 'simpati', 'mhal']</t>
  </si>
  <si>
    <t>['promo', 'aplikasi', 'kode', 'dial']</t>
  </si>
  <si>
    <t>['', 'keterangan', 'cashback', 'pembelian', 'pulsa', 'pakai', 'gopay', 'zonkk', '']</t>
  </si>
  <si>
    <t>['hai', 'pelanggan', 'mytelkomsel', 'telkomsel', 'batas', 'wilayah', 'mohon', 'tindak', 'lanjuti', 'rugi', 'beli', 'paket', 'data', 'masuk', 'wilayah', 'kecewa', 'semoga', 'atasi', 'cepat', '']</t>
  </si>
  <si>
    <t>['lumayan', 'membantu']</t>
  </si>
  <si>
    <t>['diperbanyak', 'diskon', 'paketnya', 'manta', '']</t>
  </si>
  <si>
    <t>['aplikasi', 'eror', 'abal', '']</t>
  </si>
  <si>
    <t>['gimana', 'eroor', 'palagi', 'pas', 'daily', 'checkin', 'trus', 'signal', 'suka', 'hilang', 'kecewa', 'jaringan', 'telkom']</t>
  </si>
  <si>
    <t>['udah', 'beli', 'pulsa', 'nelpon', 'jwb', 'pulsa', 'pdahal', '']</t>
  </si>
  <si>
    <t>['jaringan', 'lemot', 'main', 'game', 'lmot', 'banget', 'jaringan', 'tolong', 'perbaiki', 'kecewa', 'jaringan', 'lemot', '']</t>
  </si>
  <si>
    <t>['semoga', 'dapet', 'hadiah', 'brio']</t>
  </si>
  <si>
    <t>['mempermudah', 'pembelian', 'paket', 'data', 'ribet', 'trs', 'promo']</t>
  </si>
  <si>
    <t>['ayogeh', 'telkom', 'lemot', 'parah', 'banget', 'tibatiba', 'berubah', 'banget', 'mahal', 'kualitas', 'bagus', 'mahal', 'kualitas', 'buka', 'shopee', 'nunggu', 'liat', 'gambar', 'produk', 'main', 'game', 'wort', 'telkom', 'kaya', 'gini', 'sok', 'fokus', 'lemot', 'parah', '']</t>
  </si>
  <si>
    <t>['combo', 'sakti', 'emang', 'paten', 'suraten', '']</t>
  </si>
  <si>
    <t>['membantu', 'promo', 'murah']</t>
  </si>
  <si>
    <t>['bagus', 'murah', 'praktis']</t>
  </si>
  <si>
    <t>['siip', 'pokok', 'mntap']</t>
  </si>
  <si>
    <t>['aplikasinya', 'payah', 'lemot', 'jelek']</t>
  </si>
  <si>
    <t>['sinyal', 'jelek', 'aplikasi', 'suka', 'close', 'mulu', 'aplikasinya', 'bagus', 'kualitas', 'sinyal', 'tpi', 'kesini', 'ancur', 'sinyal', 'ancur', 'aplikasi', 'close', 'mulu', '']</t>
  </si>
  <si>
    <t>['bagus', 'banget', 'membantu', 'pembelian', 'paket', 'data']</t>
  </si>
  <si>
    <t>['sampah', 'dunia', 'mahal', 'ketulungan', 'paket', 'internetnya', 'didesaku', 'kartu', 'sinyal', 'udah', 'ganti']</t>
  </si>
  <si>
    <t>['bagus', 'maaf', 'lengkap', 'bisannya', 'beli', 'ditambahin', 'tolong', 'paketan', 'internetnya', 'beli', '']</t>
  </si>
  <si>
    <t>['bintang', 'program', 'promo', 'eror', 'khusus', 'internet', 'combo', 'sakti']</t>
  </si>
  <si>
    <t>['nyesel', 'nyesel', 'nyesel', 'beli', 'kuota', 'telkomsel', 'harganya', 'mahal', 'kualitas', 'kaya', 'supah', 'pengen', 'banting', 'gara', 'sinya', 'lemot', 'kaya', 'gini', '']</t>
  </si>
  <si>
    <t>['udah', 'langganan', 'telkomsel', 'jaman', 'sinyal', 'edge', 'sampe', 'telkomsel', 'maintenance', 'kualitas', 'sinyal', 'buruk', 'dibanding', 'provider', 'lost', 'signal', 'service', 'main', 'game', 'afk', 'gegara', 'sinyal']</t>
  </si>
  <si>
    <t>['sukses']</t>
  </si>
  <si>
    <t>['asli', 'kuat', 'kuota', 'asli', '']</t>
  </si>
  <si>
    <t>['aplikasi', 'bagus', 'berfungsi']</t>
  </si>
  <si>
    <t>['kecewa', 'telkomsel', 'mekanisme', 'kuota', 'kemendikbud', 'kutoa', 'org', 'terpilih', 'permendiknud', 'guru', 'dosen', 'siswa', 'mahasiswa', 'kuota', 'kemendikbud', 'pic', 'sekolah', 'nomer', 'guru', 'daftarkan', 'mohon', 'penjelasannya', '']</t>
  </si>
  <si>
    <t>['jelek', 'rewel', 'maunya', 'survey', 'iklan', 'ngecek', 'pulsa', 'data', 'doang', 'info', 'tersembunyi', '']</t>
  </si>
  <si>
    <t>['aplikasi', 'sagat', 'egois', 'kya', 'aplikasi', 'kadaluarsa', '']</t>
  </si>
  <si>
    <t>['', 'gunung', 'sinyalnya', 'coba', 'sinyal', 'diatas', 'gunung']</t>
  </si>
  <si>
    <t>['mahal', 'paketnya', 'pas', 'beli', 'paket', 'combo', 'sakti', 'udh', 'lma', 'pindah', 'sebelah']</t>
  </si>
  <si>
    <t>['telkomsel', 'memperbaharui', 'sistemnya', 'kouta', 'habis', 'langsung', 'menyedot', 'pulsa', 'tanggung', 'tanggung', 'pulsa', 'disedot', '']</t>
  </si>
  <si>
    <t>['gimana', 'instal', 'masukin', 'kode', 'verifikasinya', 'tolong', 'perbaiki']</t>
  </si>
  <si>
    <t>['membeli', 'paket', 'internet', 'satupun', 'via', 'aplikasi', 'solusinya', 'efek', 'apapun', 'bertahun', 'pakai', 'aplikasi', 'mengecewakan', 'memperbaiki']</t>
  </si>
  <si>
    <t>['promo', 'variatif']</t>
  </si>
  <si>
    <t>['', 'telkomsel', 'aplikasi', 'instal', 'update']</t>
  </si>
  <si>
    <t>['aplikasi', 'keat', 'jelek', '']</t>
  </si>
  <si>
    <t>['aplikasi', 'membantu', 'perfect']</t>
  </si>
  <si>
    <t>['telkomsel', 'mudah']</t>
  </si>
  <si>
    <t>['mudah', 'menginstal']</t>
  </si>
  <si>
    <t>['kadang', 'udah', 'beli', 'paket', 'tpi', 'masuk', 'kasi', 'bintng', 'dlu', 'tolong', 'dibaikin']</t>
  </si>
  <si>
    <t>['suka', 'ngelag', 'login', 'masuk', 'apk', 'lambat', 'beli', 'paketnya']</t>
  </si>
  <si>
    <t>['aplikasi', 'bagus', 'inopatip', 'keren', 'gampang', 'mudah', 'ubtung']</t>
  </si>
  <si>
    <t>['semoga', 'menang', 'beruntung', 'hadiah', 'gua', 'pelanggan', 'telkomsel', '']</t>
  </si>
  <si>
    <t>['update', 'mending', 'kasih', 'paket', 'murah', 'kah', 'gratis', 'kah', 'paketnya', 'mahal', 'parah', '']</t>
  </si>
  <si>
    <t>['mudah', 'gampang']</t>
  </si>
  <si>
    <t>['pakai']</t>
  </si>
  <si>
    <t>['', 'sinyal', 'telkomsel', 'jelek', 'hilang', 'sinyal', 'telkomsel', 'udah', 'paket', 'internet', 'mahal', 'sinyalnya', 'jelek', 'aplikasi', 'bodoh', 'daily', 'login', 'tgl', 'agsts', 'program', 'daily', 'udah', 'hapus', 'belom', 'claim', 'kuota', 'udah', 'hangus', 'payah', 'merugikan']</t>
  </si>
  <si>
    <t>['bagus', 'bngt', 'pokonya', 'mudah', 'cepat', 'proses', '']</t>
  </si>
  <si>
    <t>['aplikasi', 'telkomsel', 'mempermudah', 'dlm', 'mencek', 'info', 'paket', 'data', 'pulsa']</t>
  </si>
  <si>
    <t>['pengguna', 'telkomsel', 'kesal', 'pakrt', 'ketengan', 'cuman', 'seminggu', 'tolong', 'min', 'fitur', 'paket', 'ketengan', 'sebulan', 'unlimitednya', 'paket', 'youtube', 'tiktok', 'tks']</t>
  </si>
  <si>
    <t>['its', 'aplikasinya', 'tawaran', 'program', 'wilayah', 'pelosok', '']</t>
  </si>
  <si>
    <t>['praktis', 'murah', 'thanks']</t>
  </si>
  <si>
    <t>['quota', 'notif', 'sms', 'mengakses', 'internet', 'tarif', 'non', 'paket', 'langsung', 'habis', 'pulsa', 'regularnya']</t>
  </si>
  <si>
    <t>['cuca', 'buruk', 'suara', 'terdengarnya', 'diperbaiki', 'tehnik', 'canggih']</t>
  </si>
  <si>
    <t>['telkomsel', 'mahal', 'paket', 'datanya', 'dipakein', 'paket', 'data', 'pulsanya', 'kesedot', 'ampun', 'aah', '']</t>
  </si>
  <si>
    <t>['tlg', 'tingkatkan', 'kualitas', 'diperluas', 'jaringanya', '']</t>
  </si>
  <si>
    <t>['bintang', 'bicara']</t>
  </si>
  <si>
    <t>['puas', 'harga', 'pakettt', 'mahalll', '']</t>
  </si>
  <si>
    <t>['kesini', 'promo', 'paket', 'combo', 'sakti', 'mahal', 'puluhan', 'berlangganan', 'telkomsel', 'mohon', 'bantuan', 'mimin', '']</t>
  </si>
  <si>
    <t>['jaringan', 'telkomsel', 'parah', 'masuk', 'kamar', 'langsung', 'diruang', 'tamu', 'bar', 'jln', 'full', 'tetep', 'lemot', 'parah', 'ganti', 'provider']</t>
  </si>
  <si>
    <t>['jaringan', 'lancar', 'paket', 'mahal', '']</t>
  </si>
  <si>
    <t>['buagus', 'banget', 'suka', 'apk']</t>
  </si>
  <si>
    <t>['abis', 'update', 'susah', 'open']</t>
  </si>
  <si>
    <t>['gangguan', '']</t>
  </si>
  <si>
    <t>['membantu', 'mengisi', 'paket', 'promo', 'hadiahnya', '']</t>
  </si>
  <si>
    <t>['sayang', 'gampang', 'eror']</t>
  </si>
  <si>
    <t>['pulsa', 'terpotong', 'berlanganan', 'paket', 'apapun', 'telkomsel', 'pulsa', 'terpotong', 'pemberitahuan', 'apapun']</t>
  </si>
  <si>
    <t>['promo', 'bonus', 'mantap', '']</t>
  </si>
  <si>
    <t>['alkhamdulillaah', 'membantu', 'apk', '']</t>
  </si>
  <si>
    <t>['udah', 'paketan', 'internet', 'isi', 'pulsa', 'tersedot', 'pemakaian', 'internet', '']</t>
  </si>
  <si>
    <t>['suka', 'telkomsel', 'beli', 'kuota', 'promo', 'terjangkau']</t>
  </si>
  <si>
    <t>['tolong', 'paket', 'daruratnya', 'diaktivkan']</t>
  </si>
  <si>
    <t>['kecepatan', 'internet', 'buka', 'apk', 'telkomsel', 'diatas', 'kbps', 'apk', 'telkomsel', 'close', 'kecepatan', 'internet', 'langsung', 'turun', 'kbps', 'kbps', 'browsing', 'google', 'youtube', 'super', 'lemot', 'akal', 'akalan', 'pulsa', 'reguler', 'habis', 'kuota', 'data', 'tindakan', 'merugikan', 'konsumen', '']</t>
  </si>
  <si>
    <t>['lumayan', 'daftarin', 'paket', '']</t>
  </si>
  <si>
    <t>['suka', 'jaringan', 'kuat']</t>
  </si>
  <si>
    <t>['jaringan', 'combo', 'sakti', 'rb', 'bagus', 'mencoba', 'main', 'game', 'jaringan', 'alhasil', 'loading', 'kecewa']</t>
  </si>
  <si>
    <t>['gampang', 'cek', 'kuota', 'pulsa']</t>
  </si>
  <si>
    <t>['akses', 'cepat', 'promo', 'produk', 'digital']</t>
  </si>
  <si>
    <t>['angga', 'saputra', 'bagus', 'mantap']</t>
  </si>
  <si>
    <t>['mencoba', 'nyaman', 'bintang', 'tambai', '']</t>
  </si>
  <si>
    <t>['tolong', 'tambahkan', 'fitur', 'auto', 'beli', 'paket', 'data', 'sistemnya', 'kuota', 'habis', 'pulsa', 'tersisa', 'otomatis', 'terpakai', 'beli', 'paket', 'data', 'pulsa', 'aman', 'terkena', 'tarif', 'non', 'paket', '']</t>
  </si>
  <si>
    <t>['telkosel', 'suka', 'lelet', 'karingan', '']</t>
  </si>
  <si>
    <t>['gajelas', 'pas', 'masuknya', 'udah', 'perbaiki', 'dikasih', 'bintang']</t>
  </si>
  <si>
    <t>['semoga', 'dapet', 'undian', 'motor', 'kerja']</t>
  </si>
  <si>
    <t>['bagus', 'banget', 'mudah']</t>
  </si>
  <si>
    <t>['', 'telkomsel', 'android', 'instal', 'tolong', 'diperbaiki', '']</t>
  </si>
  <si>
    <t>['membantuu', '']</t>
  </si>
  <si>
    <t>['gara', 'gara', 'kalah', 'main', '']</t>
  </si>
  <si>
    <t>['pulsa', 'kepotong']</t>
  </si>
  <si>
    <t>['memuaskan', 'menu', 'lengkap', 'penggunaan', 'mudah', 'mudahkan', 'mndptkn', 'hadiahnya', 'pengguna', 'setia', '']</t>
  </si>
  <si>
    <t>['aplikasi', 'mudah', 'pergunakan']</t>
  </si>
  <si>
    <t>['keren', 'aplikasi', 'memudahkan', 'pengguna']</t>
  </si>
  <si>
    <t>['udah', 'puluhan', 'thn', 'berlangganan', 'nga', 'diskon', 'telkomsel']</t>
  </si>
  <si>
    <t>['menyesal', 'pakai', 'telkomsel', 'jaringan', 'ancur', 'parah', '']</t>
  </si>
  <si>
    <t>['pelayanannya']</t>
  </si>
  <si>
    <t>['trims', 'udh', 'msk']</t>
  </si>
  <si>
    <t>['telkomsel', 'buruk', 'jaringan', 'lelet', 'banget']</t>
  </si>
  <si>
    <t>['mantap', 'ayo', 'jaringan', 'peambanan', 'jogja']</t>
  </si>
  <si>
    <t>['nyedot', 'kuota', 'buka', 'app', 'doang']</t>
  </si>
  <si>
    <t>['aplikasi', 'telkomsel', 'perkembangan', 'top', 'game', 'free', 'fire']</t>
  </si>
  <si>
    <t>['kuota', 'promo', 'mytelkomsel', 'teman', 'adil', 'aplikasi', 'promo', 'kuota', '']</t>
  </si>
  <si>
    <t>['wtf', 'tolong', 'penjelasannya', 'beli', 'rutin', 'paket', 'unlimited', 'youtube', 'tpi', 'kali', 'tesedot', 'kuota', 'utama', 'gb', 'dlm', 'gunanya', 'unlimited', 'youtube', 'tpi', 'terkurang', 'kuota', 'utama', 'what', 'the', 'hell', 'dude', '']</t>
  </si>
  <si>
    <t>['lelet', 'jaringannya']</t>
  </si>
  <si>
    <t>['telkomsel', 'buruk', 'njir', 'sumpah', 'bnyak', 'update', 'buruk', 'jaringan', 'kecewa']</t>
  </si>
  <si>
    <t>['dmna', 'jrngan']</t>
  </si>
  <si>
    <t>['memuaskan', 'telkomsel', 'emang', 'bagus']</t>
  </si>
  <si>
    <t>['paketan', 'beli', 'mahal', 'sinyal', 'taikk', 'lemot', 'pakai', 'main', 'game', 'cokk', 'cokk', 'nyesell', 'pakai', 'telkomsel', '']</t>
  </si>
  <si>
    <t>['gimana', 'kallo', 'sisan', 'pulsa', 'kesedot', 'sii', 'hikang', 'pulsa', 'woii', 'bangkrut', 'gua']</t>
  </si>
  <si>
    <t>['', 'kontrol', 'pulsa']</t>
  </si>
  <si>
    <t>['promo', 'mahal', 'koneksi', 'lemot']</t>
  </si>
  <si>
    <t>['telkomsel', 'koneksinya', 'buruk', 'kecepatan', 'internet', 'buruk']</t>
  </si>
  <si>
    <t>['jaringanya', 'setabil', 'bermain', 'game', 'online', 'terkadang', 'suka', 'down', 'jaringannya']</t>
  </si>
  <si>
    <t>['kuota', 'jaringan', 'bagus', 'beli', 'paketan', 'error', 'mulu']</t>
  </si>
  <si>
    <t>['mantap', 'bosku', 'telkomsel', 'gacor']</t>
  </si>
  <si>
    <t>['mahal', 'mahal', 'kouta', 'babiiii']</t>
  </si>
  <si>
    <t>['sinyal', 'error', 'harga', 'kuota', 'murah', '']</t>
  </si>
  <si>
    <t>['aplikasi', 'mantap', 'kasih', '']</t>
  </si>
  <si>
    <t>['mudah', 'informasi', 'promo', 'kartu', 'telkomsel', '']</t>
  </si>
  <si>
    <t>['telkomsel', 'anjiiing', 'anjiiiiiing', 'anjiiiiiing', 'jaringan', '']</t>
  </si>
  <si>
    <t>['tertera', 'combo', 'sakti', 'sekalinya', 'udah', 'ngisi', 'pulsa', 'langsung', 'hilang', 'promo', 'are', 'you', 'kidding', '']</t>
  </si>
  <si>
    <t>['cuman', 'ngasih', 'saran', 'sinyalnya', 'perbaiki', 'jan', 'gaya', 'ajh', 'blom', 'lurus']</t>
  </si>
  <si>
    <t>['sinyal', 'jelek', 'ping', 'hancur', 'harga', 'paket', 'data', 'mahal', 'pindah', 'provider', 'udah', 'gitu']</t>
  </si>
  <si>
    <t>['masuk', 'suruh', 'perbarui', 'update', 'tetep', 'masuk']</t>
  </si>
  <si>
    <t>['telcomsel', 'lancar']</t>
  </si>
  <si>
    <t>['telkomsel', 'dikit', 'lag', 'sinyal', 'stabil', 'nonton', 'video', 'main', 'game', 'nyaman', 'maen', 'game', 'sinyal', 'eror', 'kalah', 'capek', 'udah', 'mahal', 'jelek', 'kualitas', 'udah', 'percaya', '']</t>
  </si>
  <si>
    <t>['terimakasih', 'telkom', 'sel', 'semoga', 'pensiun', 'membangun', 'lahan', 'pertanian', 'bumi', 'hijau', 'langit', 'kau', 'turunkan', 'janda', 'menikah', 'mahar', 'ceo', 'telkom', 'terhormat', 'hati', 'pastinya', 'rajin', 'menabung', 'pengeeeen', 'banget', 'nyamnyung', 'pas', 'sekolah', 'online', 'kamera', 'jelek']</t>
  </si>
  <si>
    <t>['kasih', 'bintang', 'tukar', 'poin', 'sertakan', 'pulsa', 'beli', 'kuota', 'tukar', 'poin', '']</t>
  </si>
  <si>
    <t>['mantap', 'lanjutkan', 'sukses', 'tuk', 'telkmsellll', 'the', 'best']</t>
  </si>
  <si>
    <t>['memudahkan', 'pengecekan', 'aktif', 'sisa', 'kuota', 'dpt', 'membeli', 'paket', 'data']</t>
  </si>
  <si>
    <t>['miskin', 'simpati', 'paket', 'mahal', '']</t>
  </si>
  <si>
    <t>['sengat', 'bagus']</t>
  </si>
  <si>
    <t>['jaringan', 'tolong', 'perbaiki']</t>
  </si>
  <si>
    <t>['telkomsel', 'unlimited', 'jaringannya', 'lemot', 'najisss', 'malem', 'main', 'game', 'online', 'ping', 'merah', 'trus', 'kuota', 'utamanya', 'kuota', 'unlimited', 'wajar', 'lag', 'kuota', 'utamanya', 'ngelag', 'pindah', 'provide', 'aah', 'bukti', 'buktinya', '']</t>
  </si>
  <si>
    <t>['bagus', 'aplikasi', 'mytelkomsel']</t>
  </si>
  <si>
    <t>['jaringan', 'stabil', 'buka', 'aplikasi', 'muter', 'dlu', 'ujung', 'kluar', '']</t>
  </si>
  <si>
    <t>['gimna', 'telkomsel', 'tpi', 'sinyal', 'jelek', 'stabilkan', 'langsung', '']</t>
  </si>
  <si>
    <t>['telkomsel', 'mantap', 'promo', 'promonya', '']</t>
  </si>
  <si>
    <t>['oke']</t>
  </si>
  <si>
    <t>['keluhan', 'kerja']</t>
  </si>
  <si>
    <t>['semoga', 'bagus']</t>
  </si>
  <si>
    <t>['keren', 'mudah', 'hadiah']</t>
  </si>
  <si>
    <t>['update', 'susah', 'login', 'link', 'code', 'verifikasi', 'ngirimnya', 'telat', 'udah', 'kadaluarsa', 'berkali', 'kali', '']</t>
  </si>
  <si>
    <t>['tolong', 'perhatikan', 'kenyamanan', 'harga', 'paket', 'mahalkan', 'jaringan', 'baguskan', '']</t>
  </si>
  <si>
    <t>['install', '']</t>
  </si>
  <si>
    <t>['sinyal', 'bar', 'naek', 'turun', 'sampe', 'sinyalnya', 'jelek', 'android', 'tolong', 'ditingkatkan', 'tinggal', 'bekasi', 'utara', 'percaya', 'banget', 'simpati', 'telkomsel', 'kecewa', 'berat', 'bintang', 'tunggu', 'perbaikan', 'terima', 'kasih']</t>
  </si>
  <si>
    <t>['jujur', 'kecewa', 'pelanggan', 'telkomsel', 'karnaken', 'signal', 'lemot', 'mempengaruhi', 'aktifitas', 'main', 'game', 'kadang', 'sampe', 'afk', 'sedih', 'ayo', 'dengarkanlah', 'curhatan', 'kasihan', 'gamer', '']</t>
  </si>
  <si>
    <t>['komplen', 'daerah', 'main', 'mobile', 'legend', 'leg', 'kalah', 'tdi', 'menang', 'pengguna', 'simpati', 'daerah', 'pesarean', 'kec', 'pagerbaraang', 'kab', 'tegal', 'indosat', 'indosat', 'punaya', 'indonesia', 'telkomyet', 'salah', 'telkomsel', 'indonesia', '']</t>
  </si>
  <si>
    <t>['semoga', 'mobil', 'honda', 'brio', 'aamiinn', 'telkomsel', 'terbaik']</t>
  </si>
  <si>
    <t>['provider', 'jaringan', 'kek', 'bab', '']</t>
  </si>
  <si>
    <t>['sip', 'dach', 'mantap', 'jiwa', 'pokoknya', '']</t>
  </si>
  <si>
    <t>['bergabung']</t>
  </si>
  <si>
    <t>['masuk', 'app', 'dipermudah', 'susah', 'banget', '']</t>
  </si>
  <si>
    <t>['aplikasi', 'bagus', 'event', 'pulsa', 'gratisnya', 'jarang', '']</t>
  </si>
  <si>
    <t>['jelek', 'kali', 'telkomsel', 'yak', 'jaringan', 'ngelag', 'paket', 'nambah', 'mahal', 'maunya', 'telkomsel', 'pengen', 'ditinggal', 'pelanggan', 'setianya', 'parah', 'bener', 'telkomsel', 'emang', 'ndak', 'pengen', 'diperbaiki', 'kerusakannya', 'kah', '']</t>
  </si>
  <si>
    <t>['coba', 'bagus']</t>
  </si>
  <si>
    <t>['knpa', 'yaa', 'kuota', 'daily', 'check', 'hri', 'cek', 'jdi', 'tolong', 'prbaiki', 'sistemnya', '']</t>
  </si>
  <si>
    <t>['semoga', 'berjalan', 'kagi']</t>
  </si>
  <si>
    <t>['membantu', 'syekali']</t>
  </si>
  <si>
    <t>['hey', 'telkomsel', 'tolong', 'kasih', 'paket', 'harga', 'murah', 'gpp', 'mahal', 'sinyal', 'stabil', 'sinyal', 'naek', 'turun', 'paket', 'mahal']</t>
  </si>
  <si>
    <t>['kecewa', 'kuota', 'gb', 'jaringan', 'full', 'sosmed', 'kek', 'youtube', 'dll', 'lancar', 'gada', 'kendala', 'giliran', 'main', 'game', 'stabil', 'jaringan', 'game', 'gue', 'gue', 'doang', 'pengguna', 'telkomsel', 'ngalamin', 'gangguan', 'main', 'game']</t>
  </si>
  <si>
    <t>['alkhamdullilah', 'lancar', 'ngebutt']</t>
  </si>
  <si>
    <t>['sinyal', 'busuk']</t>
  </si>
  <si>
    <t>['paketan', 'gratis', 'bosqq']</t>
  </si>
  <si>
    <t>['merugikan']</t>
  </si>
  <si>
    <t>['telkomsel', 'sinyalnya', 'jelek', 'banget', 'seh', 'asli', 'jelek', 'belinya', 'mahal', 'sinyal', 'full', 'dikit', 'troble', 'kemarin', 'bagus', 'skrg', 'jelek', 'banget', 'bintang', 'ntar', 'bagus', 'bintang', 'itupun', 'pindah', 'mtree', 'mengecewakan', 'telkomsel', '']</t>
  </si>
  <si>
    <t>['bagus', 'bonus', 'langganan', 'amazon', 'video', 'gratis']</t>
  </si>
  <si>
    <t>['tolong', 'perbaiki', 'mahal', 'doang']</t>
  </si>
  <si>
    <t>['bagus', 'membabtu']</t>
  </si>
  <si>
    <t>['jarang', 'bonusnya']</t>
  </si>
  <si>
    <t>['jaringan', 'telkomsel', 'wilayah', 'wonogiri', 'jawa', 'lambat', 'perbaikan', 'perbaikan', 'sinyal', 'melambat', 'tanggal', 'oktober', 'mohon', 'percepat', 'perbaikan', 'karna', 'mengganggu', 'sekolah', 'belajar', 'online', 'trima', 'kasih', '']</t>
  </si>
  <si>
    <t>['hadeh', 'telkomsel', 'kuota', 'mahal', 'kualitas', 'sinyalnya', 'menurun', 'main', 'game', 'streaming', 'sinyalnya', 'jumping', 'menit', 'diperbaiki', 'kualitasnya', 'sesuai', 'harganya']</t>
  </si>
  <si>
    <t>['perbanykan', 'promo', 'paket', 'murah']</t>
  </si>
  <si>
    <t>['sinyalnya', 'mantap']</t>
  </si>
  <si>
    <t>['kemarin', 'tgl', 'top', 'pulsa', 'mytelkomsel', 'pembayaran', 'pakai', 'shopeepay', 'cash', 'back', 'koin', 'shopee', 'blm', 'masuk', 'coba', 'tgl', 'top', 'pulsa', 'cash', 'back', 'koin', 'shopee', 'blm', 'masuk', 'gimana', 'penjelasannya', 'terima', 'kasih', '']</t>
  </si>
  <si>
    <t>['mantap', 'indonesia', 'banget']</t>
  </si>
  <si>
    <t>['jaringan', 'busuk', 'paketan', 'wes', 'larang', 'digawe', 'ngegame', 'lag', 'ping', 'stabil', 'cokk', '']</t>
  </si>
  <si>
    <t>['good', 'job', 'semoga', 'lancar']</t>
  </si>
  <si>
    <t>['tlong', 'perkuat', 'sinyal', 'area', 'pegunungan']</t>
  </si>
  <si>
    <t>['jaringan', 'busuk', 'daerah', 'ciganjur', 'jagakarsa', 'jakarta', 'selatan', 'beli', 'enak', 'lancar', 'kesini', 'busuk', 'jaringan', 'nyesel', 'telkomsel', 'mahal', 'paketannya', 'ganti', 'provider', 'fix', '']</t>
  </si>
  <si>
    <t>['bangsat', 'lag', 'mulu']</t>
  </si>
  <si>
    <t>['tolong', 'suara', 'opening', 'dihilangkan', 'terganggu', '']</t>
  </si>
  <si>
    <t>['telkom', 'daerah', 'mati', 'lampu', 'sinyalnya', 'goib', 'yaa', 'kek', 'gitu', 'sinyalnya']</t>
  </si>
  <si>
    <t>['telkomsel', 'sinyalnya', 'buruk', 'beli', 'kuota', 'kenceng', 'abis', 'setelahnya', 'sinyal', 'stabil', 'kecewa', 'pelanggan', 'telkomsel', '']</t>
  </si>
  <si>
    <t>['lemot', 'kaya', 'siput', '']</t>
  </si>
  <si>
    <t>['membantu', 'informasi', 'penggunaan', 'tsel']</t>
  </si>
  <si>
    <t>['telkomsel', 'terbaik']</t>
  </si>
  <si>
    <t>['semoga', 'lancar']</t>
  </si>
  <si>
    <t>['nggak', 'bedanya', 'axis', 'udah', 'mahal', 'delay', 'tolonglah', 'perbaiki', 'jaringannya', 'cari', 'keuntungan', 'doang', '']</t>
  </si>
  <si>
    <t>['bintang', 'stabilin', 'sinyalnya', 'koplok']</t>
  </si>
  <si>
    <t>['sinyal', 'jelek', 'parah', 'wilayah', 'bali', 'udh', 'bertahun', 'pakai', 'telkomsel', 'skrg', 'sinyal', 'ancur', 'kecewa', 'telkomsel', 'harga', 'paket', 'udah', 'mahal', 'tpi', 'sinyal', 'ancur', 'next', 'kayaknya', 'move', '']</t>
  </si>
  <si>
    <t>['sinyal', 'kuat', 'langganan', 'setia', 'telkomsel', 'puas']</t>
  </si>
  <si>
    <t>['membantu', 'susahnya', 'tukar', 'poin', 'pulsa']</t>
  </si>
  <si>
    <t>['sinyal', 'telkomsel', 'setabail', 'buka', 'google', 'lelet', 'banget', 'beli', 'kuotanya', 'mahal', 'sinyal', 'turun', 'karuan', 'sebangai', 'penguna', 'telkomsel', 'kecewa', 'merugikan', 'konsumen', '']</t>
  </si>
  <si>
    <t>['kwalias', 'signal', 'bagus']</t>
  </si>
  <si>
    <t>['telkomsel', 'terdepan', 'smua', 'jaringan', 'telp', 'internet', '']</t>
  </si>
  <si>
    <t>['sinyal', 'telkomsel', 'hilang', 'hilangan']</t>
  </si>
  <si>
    <t>['keren', 'aplikasi', 'mytelkomsel']</t>
  </si>
  <si>
    <t>['sinyal', 'lemot', 'paketan', 'mahal', 'gimna', 'memuaskan', 'pelnggan', 'gini', 'mending', 'ganty', 'memuaskn', '']</t>
  </si>
  <si>
    <t>['sinyal', 'lambat']</t>
  </si>
  <si>
    <t>['udah', 'mampus', 'kah', 'udah', 'seminggu', 'lelet', 'naudzubillah', 'isi', 'kuota', 'jalannya', 'kayak', 'keong', 'udah', 'bangkrut', 'kayaknya']</t>
  </si>
  <si>
    <t>['', 'ribet', 'proses', 'cepat']</t>
  </si>
  <si>
    <t>['aplikasinya', 'bagus', 'buangettttttttttttttttttttttttttttttttttttttttttttttttttttttttt']</t>
  </si>
  <si>
    <t>['benerin', 'sinyalnya', 'mas', 'pacar', '']</t>
  </si>
  <si>
    <t>['paket', 'internetnya', 'mahal', 'paket', 'internet', 'unlimited', 'kartu', 'bertahun', 'pakai', 'telkomsel', '']</t>
  </si>
  <si>
    <t>['telkomsel', 'susah', 'mahal', 'trs', 'beli', 'paket', 'telpon', 'bintang', 'karna', 'kecewa']</t>
  </si>
  <si>
    <t>['aplikasi', 'tolol', 'verifikasi', 'valid', 'sampe', 'kali', 'diinstall', 'aplikasi', 'nyedot', 'quota', 'doang', 'salam', 'tolol', 'aplikasi', 'memudahkan', 'cari', 'untung', 'amanah', 'bermanfaat', '']</t>
  </si>
  <si>
    <t>['alhamdulillah', 'gampang', 'koq', 'bertahun', 'pakai', 'telkomsel', 'pakai', 'aplikasinya', 'stelah', 'adek', 'bilng', 'telkomsel', 'promo', '']</t>
  </si>
  <si>
    <t>['aplikasih', 'bagussssssss', 'bangat', '']</t>
  </si>
  <si>
    <t>['bagus', 'performanya', 'kuota', 'nakin', 'murah', '']</t>
  </si>
  <si>
    <t>['turunin', 'harga', 'kuota', 'internet', 'suu', '']</t>
  </si>
  <si>
    <t>['jaringan', 'kesini', 'parah', 'siang', 'malam', 'harapan', 'ane', 'semoga', 'telkomsel', 'bangkrut', '']</t>
  </si>
  <si>
    <t>['wooww', 'mantabb']</t>
  </si>
  <si>
    <t>['treeji', 'kartu', 'lelet', 'sinyalnya']</t>
  </si>
  <si>
    <t>['lelet', 'membukanya', 'bosm', 'mendingan', 'versilama']</t>
  </si>
  <si>
    <t>['doank', 'hadiah']</t>
  </si>
  <si>
    <t>['error', 'gabisa', 'belik', 'paket']</t>
  </si>
  <si>
    <t>['bagus', 'mempermudah', 'pembelian']</t>
  </si>
  <si>
    <t>['internet', 'kuota', 'lokal', 'aktivasi', 'kuota', 'penggunaan', '']</t>
  </si>
  <si>
    <t>['kasi', 'bintang', 'karna', 'masi', 'kategori', 'mahal']</t>
  </si>
  <si>
    <t>['harga', 'paketan', 'interner', 'kemahalan']</t>
  </si>
  <si>
    <t>['aktif', '']</t>
  </si>
  <si>
    <t>['min', 'telkomsel', 'lemot', 'banget', 'sii', '']</t>
  </si>
  <si>
    <t>['paketannya', 'mahal', 'orang', 'ganti', 'kartu', 'sinyal', 'telkomsel']</t>
  </si>
  <si>
    <t>['mudah', 'aman', 'nyaman', 'menyenangkan', 'paketnya', 'promonya', 'mytelkomsel', '']</t>
  </si>
  <si>
    <t>['masuk', 'aplikasi', '']</t>
  </si>
  <si>
    <t>['jaringan', 'telkomsel', 'penggunanya']</t>
  </si>
  <si>
    <t>['mantap', 'pokonya']</t>
  </si>
  <si>
    <t>['apk', 'error', 'jaringan', 'halo', 'jelek', 'banget', '']</t>
  </si>
  <si>
    <t>['sinyal', 'ilang', 'sinyal', 'lemot', 'payah', 'telkomsel']</t>
  </si>
  <si>
    <t>['good', 'paketannya', 'kemahalan', 'pengguna', 'simpati', 'ganti', 'kartu', 'sim', 'mbok', 'yao', 'paketannya', 'murahin', 'gitu', 'lohhh']</t>
  </si>
  <si>
    <t>['buka', 'web', 'muncul', 'iklan', 'kuota', 'kuota', 'paket', 'kuota', 'tersedia', 'paket', 'kebutuhan', 'hangus', 'sia', 'sia', 'periode', 'kecewa']</t>
  </si>
  <si>
    <t>['tolong', 'diperbaiki', 'sinyal', 'kabupaten', 'sampang', 'kecamatan', 'banyuates', 'desa', 'trapang', 'sehabis', 'magrib', 'pagi', 'sinyal', 'pagi', 'ampe', 'sore']</t>
  </si>
  <si>
    <t>['bintang', 'membuktikan']</t>
  </si>
  <si>
    <t>['menarik', 'yes', 'jugak']</t>
  </si>
  <si>
    <t>['udah', 'enak', 'telkomsel', 'leleh', 'promo', 'pelit', 'jaringan', 'down']</t>
  </si>
  <si>
    <t>['memudahkan', 'pelanggan', '']</t>
  </si>
  <si>
    <t>['kasih', 'bintang', 'karna', 'blom', 'coba', 'bagus', 'bintang', 'tapii', 'lumayan', 'bagus']</t>
  </si>
  <si>
    <t>['busuk', 'banget', 'sinyal']</t>
  </si>
  <si>
    <t>['bintang', 'udah', 'jujur', 'bintang', '']</t>
  </si>
  <si>
    <t>['harga', 'paket', 'mahal', 'jaringannya', 'lemot', 'ganguan']</t>
  </si>
  <si>
    <t>['kode', 'verifikasi', 'dikirim', 'habis', 'login']</t>
  </si>
  <si>
    <t>['bagus', 'fan', 'mudah', 'mengerti']</t>
  </si>
  <si>
    <t>['bagus', 'apk']</t>
  </si>
  <si>
    <t>['pulsa', 'darurat', 'potongan', 'pulsa', 'darurat', 'udah', 'kali', 'bkn', 'nilai', 'uang', 'lho', 'sungguh', 'kecewa', 'costumer']</t>
  </si>
  <si>
    <t>['telkomsel', 'udah', 'tlfn', 'suaranya', 'coba', 'dibenahin', 'eek']</t>
  </si>
  <si>
    <t>['bagus', 'ajaz', 'promosi', 'paket', 'murah']</t>
  </si>
  <si>
    <t>['login', 'beli', 'kuota', 'internet', 'gimana', '']</t>
  </si>
  <si>
    <t>['membayar', 'disaat', 'kuota', 'gratis', 'apk', 'telkomsel', 'karna', 'gratis', 'gimana']</t>
  </si>
  <si>
    <t>['benerin', 'sinyal', 'aduh', 'main', 'lag', 'mantap', 'ngelag', 'mulu', '']</t>
  </si>
  <si>
    <t>['aplikasi', 'bagus', 'cocok', 'penggunaan', 'kartu', 'simpati']</t>
  </si>
  <si>
    <t>['terimakasih', 'perbaiki', 'layana', 'telkomsel', 'jaringan', 'telkomsel']</t>
  </si>
  <si>
    <t>['apl', 'telkomsel', 'membantu']</t>
  </si>
  <si>
    <t>['miiin']</t>
  </si>
  <si>
    <t>['kesini', 'beli', 'paket', 'sediain', 'opsi', 'mahal', 'lgi', 'kapok']</t>
  </si>
  <si>
    <t>['paket', 'data', 'menarik', 'jaringan', 'handal', 'pakai', 'telkom', 'solusinya', 'ganti', 'operator']</t>
  </si>
  <si>
    <t>['bagus', 'apilkasi']</t>
  </si>
  <si>
    <t>['telkomsel', 'jaringan', 'bagus', 'daerah', 'kabupaten', 'bengkayak', 'kalbar', 'jelek', 'pengguna', 'jaringan', 'terpaksa', 'jaringan', 'tolong', 'perbaiki', 'jaringan', 'internet', 'balok', 'full', 'internet', 'jelek', 'pekerjaan', 'terganggu', '']</t>
  </si>
  <si>
    <t>['apk', 'banget', 'murah', '']</t>
  </si>
  <si>
    <t>['puluhan', 'membeli', 'pulsa', 'telkomsel', 'terhitung', 'puas', 'telkomsel']</t>
  </si>
  <si>
    <t>['paket', 'data', 'internet', 'digabungkan', 'paket', 'telp', 'sms', 'sosmed', 'paket', 'khusus', 'internet', 'paket', 'internet', 'kebanyakan', 'digabungkan', 'paket', 'sms', 'dipakai', 'sms', 'mubazir', 'pengguna', 'beli', 'rugi', 'khusus', 'paket', 'data', 'internet', 'paket', 'pilihannya', '']</t>
  </si>
  <si>
    <t>['maf', 'sblumnya', 'knak', 'trkdng', 'signal', 'hilang', 'stabil']</t>
  </si>
  <si>
    <t>['telkomsel', 'emang', 'mutu', 'ngunci', 'pulsa', 'sumpah', 'telkomsel', 'emang', 'merugikan', 'banget']</t>
  </si>
  <si>
    <t>['kuota', 'nonton', 'lokal', 'dipake', 'streaming', 'nnton', 'aplikasi', 'disney', 'plus', 'viu', 'kemakan', 'kuota', 'kuota', 'nnton', 'lokalnya', 'kesentuh', 'telkomsel', 'penipu', '']</t>
  </si>
  <si>
    <t>['aplikasi', 'telkomsel', 'mudah', 'beli', 'paket']</t>
  </si>
  <si>
    <t>['dasar', 'ahlak', 'knpa', 'jaringanya', 'ngelag', 'trus', 'main', 'game', 'bkin', 'ksal', 'jringanya', 'hilang']</t>
  </si>
  <si>
    <t>['bermanfaat', 'membantu']</t>
  </si>
  <si>
    <t>['makasih', 'menciptakan', 'apk', 'sukak', 'mohon', 'kasih', 'promo', 'murah', 'marah', '']</t>
  </si>
  <si>
    <t>['paket', 'cantumin', 'aplikasi', 'penipuan', 'contohnya', 'paket', 'gamesmax', 'gag', 'mainin', 'game', 'tercantum', 'gamesmax', 'stuck', 'loading', 'jaringan', 'tersedia', '']</t>
  </si>
  <si>
    <t>['internet', 'meluncur', 'murah', 'mudah', 'menang', 'lanjutkan']</t>
  </si>
  <si>
    <t>['bermanfaat', 'mudah', 'transaksi']</t>
  </si>
  <si>
    <t>['telkonsel', 'mudah', 'telkomsel', 'sinyal', 'kuat']</t>
  </si>
  <si>
    <t>['jaringannya', 'mantap']</t>
  </si>
  <si>
    <t>['thanks', 'telkomsel', 'pengguna', 'cobany']</t>
  </si>
  <si>
    <t>['sial', 'kagak', 'suru', 'chat', 'veronika', 'anak', 'nogol', 'tlp', 'csnya', 'sibuk', 'melulu', '']</t>
  </si>
  <si>
    <t>['wow', 'burik', 'bohonggggggg']</t>
  </si>
  <si>
    <t>['telkomsel', 'jelek', 'promo', 'ribu', 'hilang', 'mendaftar', 'pas', 'udah', 'isi', 'pulsa', 'hilang', 'promo']</t>
  </si>
  <si>
    <t>['telkomsel', 'pwt', 'sinyalnya', 'oke', 'terkadang', 'masuk', 'ruangan', 'sinyal', 'bagus', '']</t>
  </si>
  <si>
    <t>['tingkatkan', 'kwalitas', 'jaringan', 'wilayah', 'bogor', '']</t>
  </si>
  <si>
    <t>['aplikasinya', 'bagus', 'mudah', 'pakainya', 'pengguna', 'telkomsel', 'buruan', 'download', 'jamin', 'rugi', 'deh', '']</t>
  </si>
  <si>
    <t>['kecepatan', 'jaringan', 'memburuk', 'download', 'kb', '']</t>
  </si>
  <si>
    <t>['signalnya', 'putus', 'menghilang', 'gsm', 'pascabayar', 'tolong', 'perbaiki', 'servernya', 'berganti', 'program', 'tawarkan', 'pascabayar', '']</t>
  </si>
  <si>
    <t>['tolong', 'perbaiki', 'jaringan', 'palembang', 'ogan', 'ilir', 'parahhhhh', 'sihhh', 'gue', 'beli', 'mahal', 'data', 'mala', 'lemott']</t>
  </si>
  <si>
    <t>['telkomsel', 'beli', 'pulsa', 'beli', 'paket', 'pas', 'beli', 'paket', 'pulsanya', 'hangus', 'ntah', 'ppk']</t>
  </si>
  <si>
    <t>['udah', 'beli', 'ribu', 'pas', 'beli', 'kesalahan', 'sistem', 'masak', 'iya', 'duit', 'ilang', 'sia', 'sia']</t>
  </si>
  <si>
    <t>['semetara']</t>
  </si>
  <si>
    <t>['beda', 'beda', 'kecepatan', 'internetnya', 'masalahkah', 'telkomsel', '']</t>
  </si>
  <si>
    <t>['jaringan', 'sekarng', 'parah', 'game', 'stabil']</t>
  </si>
  <si>
    <t>['aplikasi', 'bagus', 'promo', '']</t>
  </si>
  <si>
    <t>['tlng', 'tingkatkan', 'kualitasnya']</t>
  </si>
  <si>
    <t>['pengguna']</t>
  </si>
  <si>
    <t>['update', 'ngak', 'kemajuan', 'memori', 'udah', 'full', 'ngak', 'update', 'hapus', 'kali', 'aplikasi', 'hapus', 'aplikasi', 'bermanfaat']</t>
  </si>
  <si>
    <t>['aplikasi', 'diupdate', 'kali', 'bener', 'kinerjanya', 'dibuka', 'berat', 'kdang', 'mlah', 'nutup', 'sndri', 'bru', 'dpake', 'bbrp', 'update', 'gtu', 'trus', '']</t>
  </si>
  <si>
    <t>['lumayan', 'bagus', 'kekurangan']</t>
  </si>
  <si>
    <t>['banyakin', 'bonus', 'daily', 'check', 'pokoknya', 'telkomsel', 'mantap', '']</t>
  </si>
  <si>
    <t>['batas', 'login', 'login', 'ulang', '']</t>
  </si>
  <si>
    <t>['coba', 'pengguna', 'telkomsel', 'smoga', 'kedepannya', '']</t>
  </si>
  <si>
    <t>['mantap', 'nemuaskan']</t>
  </si>
  <si>
    <t>['urusan', 'lancar']</t>
  </si>
  <si>
    <t>['kasi', 'mnang']</t>
  </si>
  <si>
    <t>['pengguna', 'telkomsel', 'telkomsel', 'mahal', 'top', 'pulsa', 'adminnya', 'gede', 'kayak', 'sebelah', 'paket', 'internet', 'udah', 'abis', 'langsung', 'abis', 'pulsa', 'kesedot', 'hati', 'hati', 'nomor', 'langsung', 'blokir', 'telat', 'isi', 'pulsa', 'dahlah', '']</t>
  </si>
  <si>
    <t>['telkomsel', 'maling', 'pulsa', 'tolong', 'beresin']</t>
  </si>
  <si>
    <t>['beli', 'paketan', 'muncul', 'error', 'koneksi', 'jaringan', 'lancar', 'situ', 'disuruh', 'coba', 'menit', 'alhasil', 'error', 'coba', 'besoknya', '']</t>
  </si>
  <si>
    <t>['knp', 'jaringan', 'tsel', 'parah', 'kya', 'dlu', 'nawarin', 'paket', 'murah', 'tpi', 'sinyal', 'jelek', 'bsa', 'buka', 'video', 'harap', 'tsel', 'memperbaiki', 'jaringanya']</t>
  </si>
  <si>
    <t>['telkomselll', 'anakkk', 'dajjall']</t>
  </si>
  <si>
    <t>['semoga', 'mamfa', '']</t>
  </si>
  <si>
    <t>['telkomsel', 'oke', 'sayang', 'dpt', 'undian', 'ngarep', 'dpt', 'hadiah', 'mobil', 'nmax', 'bagus', 'hehehe', '']</t>
  </si>
  <si>
    <t>['susah', 'membuka', 'loading']</t>
  </si>
  <si>
    <t>['sinyal', 'gangguan', 'terooss', 'pdahal', 'deket', 'tower', 'telkomsel']</t>
  </si>
  <si>
    <t>['jaringan', 'perbaiki', 'dikit', 'peketnya', 'mahal', 'mahal', 'jaringannya', 'memuaskan', 'banget', 'coba', 'coba', 'mending', 'cari', 'jaringan', 'telkomsel', 'mengecewakan', '']</t>
  </si>
  <si>
    <t>['gila', 'harganya', 'nyesel', 'ganti', 'telkomsel', '']</t>
  </si>
  <si>
    <t>['jaringan', 'sinyal', 'lemot', 'dlu', 'klok', 'uda', 'musim', 'hujan', 'masikin', 'sinyal', 'lelet', 'internet', 'uda', 'komlin', 'jgk', 'perubahan', 'sma', 'sedik', 'parah', '']</t>
  </si>
  <si>
    <t>['jelek', 'jaringanya', 'suka', 'ngilang', 'parah', 'telkomsel', 'buruk', 'jaringan', 'perbaiki', 'udah', 'komplen', 'membantu']</t>
  </si>
  <si>
    <t>['apk', 'error', 'gimana', 'pulsa', 'kirim', 'pulsa', 'saldo', 'nggak', 'apk']</t>
  </si>
  <si>
    <t>['alangkah', 'lbh', 'bagus', 'telkomsel', 'memasang', 'fitur', 'lock', 'button', 'pengatur', 'pengunci', 'pulsa', 'operator', 'atur', 'aplikasi', 'telkomsel', 'pulsa', 'terpakai', 'disadari', 'paket', 'habis']</t>
  </si>
  <si>
    <t>['maaf', 'min', 'kasih', 'bintang', 'beli', 'pulsa', 'hilang', 'nggk', 'berlangganan', 'kali', 'beli', 'hilang', '']</t>
  </si>
  <si>
    <t>['telkomsel', 'kalimantan', 'sinyalnya', 'jelek', '']</t>
  </si>
  <si>
    <t>['kadang', 'jaringan', 'putus', 'tolong', 'diperbaiki']</t>
  </si>
  <si>
    <t>['kuota', 'data', 'habis', 'ngambil', 'pulsa', 'donk', 'pulsa', 'habis', 'hitungan', 'detik', '']</t>
  </si>
  <si>
    <t>['bintang', 'pulsa', 'kesedot', 'habis', 'paket', 'internet', 'knp', 'plsa', 'kemakan', 'sinyalnya', 'parah', 'udh', 'gitu', 'ngabisin', 'pulsa', 'pulak', 'tolong', 'telkomsel', 'perbaiki', '']</t>
  </si>
  <si>
    <t>['serasa', 'tertarik', 'mencoba', 'moga', 'jujur', 'amanah', '']</t>
  </si>
  <si>
    <t>['oke', 'peningkatan', 'kualitasnya', 'ubah', 'ulasan', 'bintang', 'lanjutkan', 'tingkatkan', 'telkomsel', '']</t>
  </si>
  <si>
    <t>['telkomsel', 'udah', 'bagus', 'lumayan', 'terjangkau', 'suka', 'login', 'nungguin', 'link', 'dikirim', 'sagat', 'sinkat', '']</t>
  </si>
  <si>
    <t>['pemeras', 'uang', 'handal']</t>
  </si>
  <si>
    <t>['diandalkan', 'smpai', '']</t>
  </si>
  <si>
    <t>['bagus', 'banget', 'aplikasinya', 'pokoknya', 'memuaskan']</t>
  </si>
  <si>
    <t>['kecewa', 'berat', 'sinyal', 'jelek', 'luemoottt', 'banget', 'dibandingkan', 'operator', 'seluler', 'nyesel', 'beli', 'telkomsel']</t>
  </si>
  <si>
    <t>['', 'isi', 'kota', 'giga', 'oktober', 'pulsa', 'kota', 'hilang', 'ssja', 'masuk', 'internet', 'lokasi', 'kebun', 'desa', 'aska', 'kec', 'sinjai', 'selatan', 'kab', 'sinjai', 'klu', 'pindah', 'kartu', 'vocer', '']</t>
  </si>
  <si>
    <t>['program', 'hadiahnya', 'bagus', 'menarik', 'smoga', 'telkomsel', 'jaya', 'dihati', 'program', 'hadiahnya', 'gencarkan', '']</t>
  </si>
  <si>
    <t>['jaringan', 'internet', 'daerah', 'susah', 'telkomsel', 'terpakai', 'kuotanya', 'mohon', 'perbaiki', 'ditambah', 'jaringan', 'internet', 'stabil']</t>
  </si>
  <si>
    <t>['aplikasi', 'eror', 'tolol']</t>
  </si>
  <si>
    <t>['mudah', 'akses', 'nyaman', 'jaringan', 'interney', 'ngebuuuut', 'telkomsel', 'keren', '']</t>
  </si>
  <si>
    <t>['telkom', 'dihati']</t>
  </si>
  <si>
    <t>['suka', 'telkomsel', 'tpi', 'saran', 'bole', 'jaringan', 'tingkatkan', 'khusus', 'area', 'punggiran', 'kota', 'mksh', '']</t>
  </si>
  <si>
    <t>['harga', 'paket', 'mahal', 'tpi', 'jaringan', 'susah', '']</t>
  </si>
  <si>
    <t>['tukar', 'poin', 'jok', 'bsa', 'poin', 'udah', 'mencapai', 'penukaran', 'voucher', 'penukaran', 'tipuan', 'belaka', '']</t>
  </si>
  <si>
    <t>['ralat', 'pelayanan', 'buruk', 'maintenance', 'buruk', 'beli', 'paket', 'internet', 'buruk', 'perangkat', 'xiaomi', 'note', 'garansi', 'resmi', 'tam', 'iya', 'masuk', 'menu', 'pemilihan', 'paket', 'buruk']</t>
  </si>
  <si>
    <t>['mantul', 'sayang', 'nggak', 'paket', 'bantuan']</t>
  </si>
  <si>
    <t>['stres', 'sinyal', 'ilang', 'lag', 'bandung', 'desa', 'rancamulya', 'perbaikinya', 'telkomsel', 'gini', 'trus']</t>
  </si>
  <si>
    <t>['telkomsel', 'burikkkkkkkkkkkkkkkkkkkkkkkkkkkkkkkkkkkkkkkkkkkkkkkkkkkkkkkkkkkkkkkkkkkkkkkkkkkkkkkkkkkkkkkkk', 'liat', 'liat', 'kebawah', 'gua', 'burik']</t>
  </si>
  <si>
    <t>['hadiah', 'orang', 'kuota', 'pembelian', 'cuman', 'pakai', 'pulsa', 'dana', 'shopepay', 'gimana', 'update', 'update', 'apk', '']</t>
  </si>
  <si>
    <t>['parah', 'telkomsel', 'jaringan', 'internet', 'lemot', 'bangat', 'mimin', 'telkomsel']</t>
  </si>
  <si>
    <t>['sinyal', 'telkomsel', 'buruk', 'main', 'game', 'susah', 'paket', 'mahal', 'kualitas', 'buruk', 'gimna', 'keluhan', 'sinyal']</t>
  </si>
  <si>
    <t>['tolong', 'diperbaiki', 'loginya', 'loginnya', 'berat', 'nggak', 'kebuka', 'aplikasi', '']</t>
  </si>
  <si>
    <t>['pemenang', 'cek', 'dmn']</t>
  </si>
  <si>
    <t>['mantap', 'banget', 'poko', '']</t>
  </si>
  <si>
    <t>['pengen', 'hadiah', '']</t>
  </si>
  <si>
    <t>['paket', 'murah', 'serba', 'mahal', 'hasil', 'sinyal', 'susah', 'tinggal', 'deket', 'tower', 'telkomsel', 'ujan', 'sinyal', 'ancur', 'gangguan', 'mending', 'turunin', 'harga', 'harga', 'paketan', 'kecewa', 'kali', 'bekali', 'niat', 'mahal', 'iya', 'sesuai', 'kekuatan', 'sinyal', 'gangguan']</t>
  </si>
  <si>
    <t>['aplikasinya', 'berguna', '']</t>
  </si>
  <si>
    <t>['app', 'update', 'bagus', 'rusak', 'masuk', 'nomor', 'masuk', 'ambil', 'untung', 'kepuasan', 'pelangan', 'bangkrut']</t>
  </si>
  <si>
    <t>['skalian', 'tukar', 'poin', 'apk', 'simple', 'perbanyak', 'promo', 'paket', 'murah']</t>
  </si>
  <si>
    <t>['serba', 'mahal', 'jaringanya', 'ngk', 'burik', '']</t>
  </si>
  <si>
    <t>['wilayah', 'kab', 'ciamis', 'jawa', 'barat', 'bagus', 'cuman', 'jaringan', 'jelek', 'banget', 'paket', 'mahal', 'tolong', 'diperbaiki', 'respon', 'lambat', 'bnyk', 'direspon', '']</t>
  </si>
  <si>
    <t>['memuaskan', 'tanggal', 'pulsa', 'membeli', 'paket', 'nelpon', 'system', 'pulsa', 'mencukupi', 'tolong', 'ajarkan', 'gimana', 'berkomentar', 'kinerja', 'telkomsel', '']</t>
  </si>
  <si>
    <t>['telkomsel', 'jaringan', 'internetnya', 'ngak', 'setabil', 'udah', 'minggu', 'blom', 'membaik', 'kab', 'bungo']</t>
  </si>
  <si>
    <t>['hasil', 'kerja', 'bagus']</t>
  </si>
  <si>
    <t>['mudah', 'praktis']</t>
  </si>
  <si>
    <t>['pulsa', 'geratis']</t>
  </si>
  <si>
    <t>['suka', 'aplikasi', 'beli', 'paket', 'internet', 'murah', 'terimakasih', 'telkomsel', 'pengguna', 'telkomsel', 'setiamu', '']</t>
  </si>
  <si>
    <t>['loading', '']</t>
  </si>
  <si>
    <t>['gajelas', 'paket', 'dibeli', 'gangguan', 'mulu']</t>
  </si>
  <si>
    <t>['gue', 'paket', 'murah', 'woi', '']</t>
  </si>
  <si>
    <t>['keren', 'banget', 'hadiah', 'semoga', 'rejeki', 'hadia', 'amin']</t>
  </si>
  <si>
    <t>['bagus', 'telkomsel', 'bru', 'bnyk', 'kuota', 'lbh', 'irit', 'kuota']</t>
  </si>
  <si>
    <t>['jaringan', 'internet', 'telkomsel', 'lemot', 'data', 'internet', 'terbuang', 'sia', 'mahal', 'jayawijaya', 'papua']</t>
  </si>
  <si>
    <t>['hujan', 'turun', 'ping', 'signifikan', 'bangga', 'plat', 'merah', 'tingkat', '']</t>
  </si>
  <si>
    <t>['lemot', 'sinyalnya', 'udah', 'kecepatan', 'cmn', 'langganan', 'daei', 'umur', 'buruk', 'sinyalnya', 'mahal', 'sinyalnya', 'stabil', 'tolong', 'diperbaiki', 'sinyalnya', 'terimakasih', '']</t>
  </si>
  <si>
    <t>['mantap', 'semoga', 'tbah']</t>
  </si>
  <si>
    <t>['seterus', 'murah', '']</t>
  </si>
  <si>
    <t>['telkomsel', 'mantap', 'mahalnya', 'signal', 'buruk', 'sebentar', 'bangkrut', 'aminnnnn', 'sinyalnya', 'babiiiii']</t>
  </si>
  <si>
    <t>['harga', 'mahal', 'kartu', 'berkelas', 'perfoma', 'jaringan', 'buruk', 'exis', 'bener', 'tolong', 'pas', 'harga', 'perfoma', 'mohon', 'turun', 'harga', 'jual', 'bonus', 'berkurang', 'coba']</t>
  </si>
  <si>
    <t>['pulsa', 'gua', 'cok', 'balikin']</t>
  </si>
  <si>
    <t>['jaringan', 'lemot', 'paketnya', 'mahal', '']</t>
  </si>
  <si>
    <t>['gara', 'gara', 'update', 'login', 'masuk']</t>
  </si>
  <si>
    <t>['membantu', 'mempermudah']</t>
  </si>
  <si>
    <t>['apk', 'mntap']</t>
  </si>
  <si>
    <t>['perusahaan', 'segede', 'telkom', 'sinyalnya', 'macem', 'gini', 'sumpah', 'gedek', 'banget']</t>
  </si>
  <si>
    <t>['isi', 'pulsa', 'hilang', 'telkomsel', 'tolong', 'ambil', 'pulsa', 'ijin', '']</t>
  </si>
  <si>
    <t>['paket', 'internet', 'mahal', 'jaringan', 'buruuuuuuuukk', 'buang', 'duit', 'beli', 'paketan']</t>
  </si>
  <si>
    <t>['pokoknya', 'mantab']</t>
  </si>
  <si>
    <t>['setia', 'telkomsel', 'mengecewakan', 'lancar', 'jaya', 'telkomsel']</t>
  </si>
  <si>
    <t>['telokom', 'kepa', 'gua', 'paketin', 'multimitid', 'kuota', 'gua', 'abis', 'rugi', 'gua', 'bangsat', 'tlol', 'ajik']</t>
  </si>
  <si>
    <t>['mantap', 'kepo', 'udah', 'donlod', 'ajj', 'bagus']</t>
  </si>
  <si>
    <t>['aplikasi', 'buka', 'gangguan', '']</t>
  </si>
  <si>
    <t>['harga', 'paket', 'mahal', 'bukanya', 'murah', 'mahal', 'mengecewakan', '']</t>
  </si>
  <si>
    <t>['kuota', 'hbs', 'langgsung', 'makan', 'pulsa', 'tanggung', 'langgsung', 'lenyap', 'sengaja', 'stop', 'kasih', 'opsi', 'lanjutkan', 'browsing', 'pulsa', '']</t>
  </si>
  <si>
    <t>['kuota', 'giga', 'minggu', 'habis', 'cari', 'duit', 'bohongin', 'orang', 'miskin', 'kali', 'imi', 'aneh', 'sekelas', 'telkomsel', 'jujur', '']</t>
  </si>
  <si>
    <t>['memudahkan', 'mytelkomsel']</t>
  </si>
  <si>
    <t>['respon', 'cepat', 'trksh']</t>
  </si>
  <si>
    <t>['jaringan', 'bagus', 'gua', 'paham', 'telkomsel', 'udh', 'berusaha', 'keras', 'benerin', 'semangat', '']</t>
  </si>
  <si>
    <t>['diperbaharui', 'jaringan', 'buruk', '']</t>
  </si>
  <si>
    <t>['gangguan', 'hilang', 'sinyal', 'jaringan', 'terbaik', 'paket', 'mahal', 'layanan', 'murahan']</t>
  </si>
  <si>
    <t>['pelanggan', 'sel', 'kabur', 'pelanggan', 'ganti', 'nomer', 'itupun', 'sel', 'kecewa', 'kali', 'menghub', 'hasil', 'dipakai', 'jual', 'kuota', 'youtub', 'udah', 'dibeli', 'kepake', 'kuota', 'utama', 'pulsa', 'habis', 'sisa', 'mantap', 'pokoknya', 'pelayanannya', 'otw', 'pindah']</t>
  </si>
  <si>
    <t>['paket', 'unlimited', 'ngapa', 'ngapain', 'ngelag']</t>
  </si>
  <si>
    <t>['membantu', 'memudahkan', 'orang', 'membeli', 'paket', 'quota', 'cepat', '']</t>
  </si>
  <si>
    <t>['kesini', 'jaringan', 'buruk', 'mendung', 'drop', 'hujan', 'ilang', 'ilangan', 'kecewa', 'aslina', 'pengguna', 'telkomsel', 'kecewa', 'kompensasi', 'haduhh', '']</t>
  </si>
  <si>
    <t>['signal', 'kuat', 'putusnya']</t>
  </si>
  <si>
    <t>['pulsa', 'tersedot', 'sayaa', 'pakai', 'wifi', 'menghubungi', 'email', 'aplikasi', 'telkomsel', 'pulsa', 'terpotong', 'rugi', 'pelanggan', '']</t>
  </si>
  <si>
    <t>['suara', 'ganggu', 'ten', 'tong', 'teng', 'ngapain', 'fitur', 'welcome']</t>
  </si>
  <si>
    <t>['berhasil', 'bintangin', 'sebuanyak', 'buanyaknya']</t>
  </si>
  <si>
    <t>['aplikasinya', 'gini', 'gini', 'doank', 'update', 'perkembangan', 'sinyal', 'simpati', 'parah', 'tower', 'pas', 'mati', 'lampu', 'sinyal', 'buruk', 'sinyalnya', '']</t>
  </si>
  <si>
    <t>['telkomsel', 'tolong', 'diperluas', 'jangkauan', 'sinyalnya', 'didaerah', 'pelosok', 'cuman', 'bar', 'itupun', 'mbps', 'ditambah', 'tower', 'btsnya']</t>
  </si>
  <si>
    <t>['aplikasi', 'kadang', 'lemot', 'error', 'back', 'semoga', 'perubahan', 'lbh']</t>
  </si>
  <si>
    <t>['harga', 'paketnya', 'kemahalan', 'blokk', 'udah', 'pandemi', 'menurunkan', 'ekonomi', 'harga', 'paket', 'data', 'dimahalin', 'masuk']</t>
  </si>
  <si>
    <t>['jaringan', 'ditempatku', 'buruk', 'pol', 'paketan', 'dimahalin', 'layanan', 'bengek', '']</t>
  </si>
  <si>
    <t>['sinyal', 'lancar', 'desa', 'tpi', 'paket', 'data', 'harganya', 'lumayan', 'yaa', 'turunin', 'harga', 'paket', 'data', '']</t>
  </si>
  <si>
    <t>['knapa', 'promo', 'paket', 'game']</t>
  </si>
  <si>
    <t>['tuker', 'poin', 'hadiahnya', 'bagaimna', 'hadiahnya']</t>
  </si>
  <si>
    <t>['buruk', 'gukung', 'tikar', 'sinyalnya', 'jelek', 'banget', 'pantes', 'harga', 'kuotanya', 'belinya', 'mahal', 'mahal', 'mending', 'gukung', 'tikar', 'pantes', 'jaringan', 'buriq', 'segenap', 'customer', 'kecewa', 'semoga', 'cepat', 'bangkrut', '']</t>
  </si>
  <si>
    <t>['udah', 'harga', 'paketnya', 'skrng', 'mahal', 'banget', 'jaringannya', 'pon', 'buruk', 'kartu', '']</t>
  </si>
  <si>
    <t>['keluarga', '']</t>
  </si>
  <si>
    <t>['nyesal', 'install', 'apk', 'paket', 'gb', 'kudaftar', 'hilang', 'gegara', 'install', 'apk', 'jebakan', 'apk', 'hilangin', 'paket', 'promo', 'gb', 'pdahal', 'sdah', 'paket', 'promo', 'gb', 'pakai', 'jebakan', '']</t>
  </si>
  <si>
    <t>['signal', 'telkomsel', 'melambat', 'update', 'aplikasi', 'mutar', 'dicoba', 'aplikasi', 'telkomsel', 'gangguan', 'logout', 'login', 'ulang', 'download']</t>
  </si>
  <si>
    <t>['coba', 'liat', 'endingnya']</t>
  </si>
  <si>
    <t>['oke', 'telkomsell']</t>
  </si>
  <si>
    <t>['pulsa', 'berkurang', 'alasan', 'pulsa', 'berkurang', 'ambil', 'internet', 'free', 'daily', 'check', 'redeem', 'pakai', 'pulsa', 'redeem', '']</t>
  </si>
  <si>
    <t>['mantap', 'barang']</t>
  </si>
  <si>
    <t>['paket', 'mahal', 'paket', 'murah', 'hemat', 'paket', 'ceriah', 'langsung', 'hilang', 'gitu', 'sinyal', 'low', 'kota']</t>
  </si>
  <si>
    <t>['beli', 'pulsa', 'aplikasi', 'telkomsel', 'pembayaran', 'sitem', 'virtual', 'bank', 'pulsa', 'masuk', 'salah', 'asli', 'bobrok', 'sistem', 'pembayaran', 'mengikuti', 'step', 'asli', 'kecewa', 'sitem', 'merugikan']</t>
  </si>
  <si>
    <t>['trimakasih', 'semoga', 'terbaik']</t>
  </si>
  <si>
    <t>['jeblok', 'sinyal']</t>
  </si>
  <si>
    <t>['aplikasi', 'bagus', 'skali', 'tawaran', 'murah', 'bagus', 'skali', '']</t>
  </si>
  <si>
    <t>['mantaap', 'aplikasinya']</t>
  </si>
  <si>
    <t>['aplikasi', 'telkomsel', 'mantap']</t>
  </si>
  <si>
    <t>['kecewa', 'pelayanan', 'muak', 'paket', 'mahal', 'ngga', 'stabil', 'stabil']</t>
  </si>
  <si>
    <t>['suka', 'mengeluh', 'orang', 'terimakasih', 'keras', 'menghubungkan', 'keluarga', 'temen', 'bertahun', 'yaa', 'wajar', 'manusia', 'kadang', 'lancar', 'kadang', 'yaa', 'wajar', 'bisanya', 'ngeluh', 'bersyukur', 'bisanya', 'ngeluh', 'doang', 'gegara', 'jaringan', 'eror', 'langsung', 'kasih', 'rate', 'jelek', 'noobs', '']</t>
  </si>
  <si>
    <t>['tolong', 'system', 'poin', 'telkomsel', 'klow', 'tukar', 'paket', 'data', 'potong', 'pulsa', 'poin', 'tukar', 'kuota', 'hrs', 'pakai', 'uang', 'pulsa', '']</t>
  </si>
  <si>
    <t>['jaringannya', 'jelek', 'kesel', 'pakenya', '']</t>
  </si>
  <si>
    <t>['sinyalnya', 'tingkatkan', 'error', 'pakai']</t>
  </si>
  <si>
    <t>['suka', 'aplikasi', 'mudah', 'cek', 'kuota', 'beli', 'paket', 'sakti', '']</t>
  </si>
  <si>
    <t>['harga', 'udah', 'proses', 'cepat']</t>
  </si>
  <si>
    <t>['bagus', 'bagus']</t>
  </si>
  <si>
    <t>['mempermudah', 'pelanggan']</t>
  </si>
  <si>
    <t>['tolong', 'tolong', 'diperbaiki', 'penggunaan', 'kuota', 'sgt', 'merugikan', 'pengalaman', 'membeli', 'paket', 'pendidikan', 'zoom', 'pakai', 'zoom', 'berlaku', 'terpakai', 'kuota', 'utama', 'rugi', 'kali', 'beli', 'paket', 'malam', 'terpakai', 'kuota', 'utama', 'jam', 'pagi', 'saran', 'fitur', 'memilih', 'kuota', 'memiliki', 'jenis', 'kuota', '']</t>
  </si>
  <si>
    <t>['ngerti', 'apk', 'keluhan', 'pulsa', 'kesedot', 'gara', 'gara', 'kuota', 'habis', 'belom', 'perbaikan', 'mending', 'notif', 'kuota', 'habis', 'notifnya', 'duluan', 'pulsa', 'kesedot', 'notif', 'kuota', 'habis', 'ngeselin', 'nyedot', 'pulsa', 'kuota', 'sumpah', 'keperluan', 'kartu', 'telkomsel', 'gue', 'udah', 'pindah', 'provider', 'paketan', 'mahal', 'servicenya', 'buruk', '']</t>
  </si>
  <si>
    <t>['daily', 'check', 'hadiah', 'kuota', 'aktif', 'udah', 'semenjak', 'migrasi', 'telkomsel', 'halo']</t>
  </si>
  <si>
    <t>['membatu', 'mengecek', '']</t>
  </si>
  <si>
    <t>['paket', 'telfon', 'mahal', 'paket', 'internet', 'mahal', 'jaringan', 'parah']</t>
  </si>
  <si>
    <t>['perbaiki', 'sinyal']</t>
  </si>
  <si>
    <t>['dear', 'telkomsel', 'pulsa', 'habis', 'dipakai', '']</t>
  </si>
  <si>
    <t>['aplikasi', 'mudah', 'dsn']</t>
  </si>
  <si>
    <t>['mantap', 'prosesnya', 'cepat', '']</t>
  </si>
  <si>
    <t>['bingung', 'telkomsel', 'mengisi', 'kuota', 'jam', 'pastikan', 'kuotanya', 'aktif', 'dipakai', 'kuota', 'berkurang', 'pulsa', 'berkurang', 'gimana', 'pulsa', 'sisa', 'terpakai', 'sia', 'sia', 'kuota', 'utuh', '']</t>
  </si>
  <si>
    <t>['kasih', 'bintang', 'coba', 'aplikasi']</t>
  </si>
  <si>
    <t>['bagus', 'telkomsel', 'mudah', 'membeli', 'kebutuhan', 'pket', 'data', 'sesuai', '']</t>
  </si>
  <si>
    <t>['telkomsel', 'kali', 'signal', 'didaerah', 'kadang', 'brosing', 'ruangan', 'tolong', 'ditingkatkan', 'pemancarnya', 'telkomsel', 'milik', 'publik', 'bagus', '']</t>
  </si>
  <si>
    <t>['aplikasi', 'bagus', 'bangettttt', '']</t>
  </si>
  <si>
    <t>['mytelkomsel', 'tiada', 'sgguh', 'sgat', 'terbaik', '']</t>
  </si>
  <si>
    <t>['piha', 'telkomsel', 'data', 'hasil', 'cek', 'masuk', 'klaim', 'pulsa', 'potong']</t>
  </si>
  <si>
    <t>['mahal', 'paket']</t>
  </si>
  <si>
    <t>['dimana', 'jaringan', 'dimana', 'tarif', 'telkomsel', 'mahal', 'bintang', 'jaringan', 'puas', 'harga', 'tarif', 'tlpn', 'internetnya']</t>
  </si>
  <si>
    <t>['mantap', 'informasinya', 'hadiah', 'bonus', 'buanyak', 'pokoknya', 'inovasi', 'kalah', 'vendor', 'semangat', '']</t>
  </si>
  <si>
    <t>['kesempatan', 'mengarahkan', '']</t>
  </si>
  <si>
    <t>['siip', 'infonya']</t>
  </si>
  <si>
    <t>['kualitas', 'jaringan', 'buruk']</t>
  </si>
  <si>
    <t>['terimakasih', 'telkomsel', 'kasih', 'nnti', 'hadiahnya', 'nyusul', 'klik', 'pull']</t>
  </si>
  <si>
    <t>['telkomsel', 'mengudara', 'telkomsel', 'no', '']</t>
  </si>
  <si>
    <t>['habis', 'kouta', 'beli', 'paket', 'diapk', 'telkm', 'lupa', 'menon', 'aktifkan', 'data', 'selulernya', 'pulsa', 'habis', 'dipotong', 'pembelian', 'paket', 'data', '']</t>
  </si>
  <si>
    <t>['jaringan', 'telkomsel', 'bagus', '']</t>
  </si>
  <si>
    <t>['coba', 'beli', 'kuota', 'apk', 'pembayaran', 'shopeepay', 'bayar', 'notifikasi', 'proses', 'gagal', 'trus', 'gmna', '']</t>
  </si>
  <si>
    <t>['telkomsel', 'dihati']</t>
  </si>
  <si>
    <t>['kualitas', 'jaringan', 'burukkk', 'mahal', 'doang', 'sinyal', 'jelek', 'kota', 'hutan']</t>
  </si>
  <si>
    <t>['oke', 'banget', 'splikasinya']</t>
  </si>
  <si>
    <t>['telkomsel', 'data', 'rahasia', 'harap', 'access', 'operator', 'perhatikan', 'pertengahan', '']</t>
  </si>
  <si>
    <t>['gimana', 'poin', 'dapet', 'undian', 'voucher', 'jt']</t>
  </si>
  <si>
    <t>['perlukan', 'bagus', 'membantu', '']</t>
  </si>
  <si>
    <t>['buka', 'aplikasi', 'wifi', 'traffic', 'upload', 'download', 'berbanding', 'lurus', 'memangnya', 'data', 'telkomsel', 'upload', 'ambil', 'hati', 'hati', 'potensi', 'pencurian', 'data', 'guys', '']</t>
  </si>
  <si>
    <t>['aplikasi', 'telkomsel', 'jdi', 'karuan', 'beli', 'pulsa', 'pembayaran', 'via', 'sms', 'banking', 'berhasil', 'pulsa', 'masuk', 'telkomsel']</t>
  </si>
  <si>
    <t>['kadang', 'bagus', 'kadang', 'nggak', '']</t>
  </si>
  <si>
    <t>['menguntungkan']</t>
  </si>
  <si>
    <t>['puas', 'nyaman', 'mudah', 'memebeli', 'paket', 'kuota', 'pulsa', 'telkomsel']</t>
  </si>
  <si>
    <t>['apalah', 'telkomsex', 'inet', 'illang', 'ngilang', 'mulu', 'babi']</t>
  </si>
  <si>
    <t>['jangkauan', 'luas', '']</t>
  </si>
  <si>
    <t>['tingkatkan', 'layanannya', 'bintangnya', 'tingkatkan']</t>
  </si>
  <si>
    <t>['telkomsel', 'mantap', 'sinyal', '']</t>
  </si>
  <si>
    <t>['takut', 'promo', 'beda', 'operator', '']</t>
  </si>
  <si>
    <t>['kuota', 'nonton', 'hemat', 'gabisa', 'dipake', 'anjirr', 'belii']</t>
  </si>
  <si>
    <t>['bintang', 'pelayanannya', 'pulsa', 'terpotong', 'jawabannya', 'kena', 'biaya', 'gprs', 'lucu', 'paket', 'data', 'off', 'gprs', 'motong', 'pulsa', 'logikanya', 'pakai', 'byu', 'orbit', 'telkomsel', 'pakai', 'wifi', 'data', 'off', 'nomor', 'pulsanya', 'kesedot', 'kalai', 'kepotong', 'gprs', 'nomor', 'ilang', 'pulsanya']</t>
  </si>
  <si>
    <t>['kasih', 'rating', 'kasih', 'pengguna', 'desa', 'jaringan', 'lelet', 'paket', 'mahal', 'sesuai', 'layanan', 'tawar', 'harga']</t>
  </si>
  <si>
    <t>['telkomsel', 'sinyalnya', 'parah', 'super', 'lemotttt', 'slogan', 'sinyal', 'kuat', 'berubah', 'kualitas', 'sinyal', 'terburuk', 'operator', '']</t>
  </si>
  <si>
    <t>['kuota', 'multimedia', 'unlimited', 'aplikasi', 'gapernah', '']</t>
  </si>
  <si>
    <t>['ole', 'terimakasih']</t>
  </si>
  <si>
    <t>['jaringan', 'buruk', 'pdahal', 'kota', 'mangkanya', 'pindah', 'telkomsel', 'karna', 'signal', 'bagus', 'kaya', 'bintang']</t>
  </si>
  <si>
    <t>['telkomsel', 'parah', 'klw', 'hujan', 'jaringanmya', 'susah', 'banget', '']</t>
  </si>
  <si>
    <t>['sinyal', 'jelek', 'terjangkau', 'daerah', 'area', 'perkotaan', 'undi', 'hepi', 'menang', 'beneran', 'kah', '']</t>
  </si>
  <si>
    <t>['daerah', 'terdalam', 'telkomsel', 'tetep', 'jangkau']</t>
  </si>
  <si>
    <t>['pilihan', 'paketnya', '']</t>
  </si>
  <si>
    <t>['saran', 'tambahin', 'fitur', 'kunci', 'pulsa', 'axis', 'kouta', 'internet', 'aman', 'pulsa', '']</t>
  </si>
  <si>
    <t>['sakarang', 'msuknya', '']</t>
  </si>
  <si>
    <t>['good', 'aplikasi', 'memudahkan', 'memantau', 'kuota', 'san', 'pembelian', 'kuota']</t>
  </si>
  <si>
    <t>['kouta', 'multimedia', 'terpakai', 'habis', 'kouta', 'utama', 'hey', 'boss', 'orang', 'suka', 'drakor', 'buka', 'aplikasi', 'ping', 'mekan', 'data', 'lumayan', '']</t>
  </si>
  <si>
    <t>['payah', 'sik', 'simpati', 'skarang', 'udah', 'simpati', 'udh', 'lemah', 'skarang']</t>
  </si>
  <si>
    <t>['gini', 'pas', 'buka', 'aplikasi', 'suruh', 'perbaharui', 'ngak', 'bertransaksi', 'susah', 'sinyal', 'telkomsel', 'hilang', '']</t>
  </si>
  <si>
    <t>['tolong', 'min', 'acc', 'tolong', 'lock', 'unlock', 'plz', 'kemakan', 'internet', 'paket', 'internet']</t>
  </si>
  <si>
    <t>['knapa', 'pembaharuan', 'paket', 'mifi', 'main', 'sya', 'tdak', 'dklaim', 'tolong', 'kasih', 'solusinya', 'terima', 'kasih']</t>
  </si>
  <si>
    <t>['sinyal', 'putus', 'gajelas', 'merugikan', 'gamers', 'kartu', 'karna', 'terpaksa', 'rating', 'dibawah', 'nol', 'gua', 'kasi', 'elu', 'telkomsel', '']</t>
  </si>
  <si>
    <t>['paket', 'combo', 'saktinya', 'kayak', 'buka', 'sosmed', 'youtube', 'dihitung', 'kuota', 'utama', 'kuota', 'multimedia', 'giliran', 'kuota', 'utama', 'habis', 'sosmed', 'lemot', 'kuota', 'multimedianya']</t>
  </si>
  <si>
    <t>['operator', 'rakus', 'paket', 'internet', 'pulsa', 'disedot', 'ayo', 'rame', 'laporkan', 'aplikasi', 'klik', 'titik', 'pojok', 'kanan', '']</t>
  </si>
  <si>
    <t>['udah', 'mahal', 'jaringan', 'lelet', 'nauzubillah']</t>
  </si>
  <si>
    <t>['kuota', 'beli', 'mahal', 'signal', 'penuh', 'buffring', 'mulu', 'game', 'buka', 'app', 'lemot', 'ampun', 'suka', 'keseel', 'kesini', 'lemah', 'bet', 'signal', 'jaringan', '']</t>
  </si>
  <si>
    <t>['signal', 'telkomsel', 'buruk', 'streaming', 'youtube', 'buffering', 'kesel', '']</t>
  </si>
  <si>
    <t>['aplikasi', 'mantul', 'mantap']</t>
  </si>
  <si>
    <t>['ari', 'setiawan', 'aplikasi', 'mempermudah', 'pembelian', 'kuota', 'pulsa', 'sukses', 'bust', 'telkomsel', 'mudah', 'hadiahny', 'dpt', '']</t>
  </si>
  <si>
    <t>['tingkatkan', 'jaringannya', '']</t>
  </si>
  <si>
    <t>['log', 'out', 'and', 'masuk', 'mengganggu', 'kya', 'bugs']</t>
  </si>
  <si>
    <t>['provider', 'pembuat', 'dosa', 'acara', 'games', 'signal', 'main', 'games', 'stabil', 'info', 'edge', '']</t>
  </si>
  <si>
    <t>['mohon', 'diper', 'baiki', 'jaringan', 'wilayah', 'lemah', 'jarigan', 'telkom', 'sel', 'penguna', 'telkom', 'berharap', 'setidak', 'jarigan', 'lemot']</t>
  </si>
  <si>
    <t>['kesini', 'stabil', 'koneksi', 'kecewa']</t>
  </si>
  <si>
    <t>['tolong', 'wilayah', 'lampung', 'timur', 'kecamatan', 'melinting', 'desa', 'sumberhadi', 'pasang', 'tower', 'telkomsel', 'sinyalnya', 'kecang', 'down', 'afk', 'main', 'game']</t>
  </si>
  <si>
    <t>['kecewa', 'banget', 'main', 'game', 'ping', 'jumping', 'cape', 'gua', 'rank', 'turun', 'gara', 'gara', 'jaringan', '']</t>
  </si>
  <si>
    <t>['alah', 'sia', 'boy']</t>
  </si>
  <si>
    <t>['menarik', 'paket']</t>
  </si>
  <si>
    <t>['teh', 'bandung', 'baguz', 'pizan', 'aplikasi', 'sayangnya', 'teh', 'suka', 'mun', 'cek', 'kota', 'teh', 'punten', 'kang', 'teteh', 'naha', 'teh', 'gini', 'kasih', 'bintang', 'sok', '']</t>
  </si>
  <si>
    <t>['kecewa', 'aplikasi', 'telkomsel', 'beli', 'paket', 'mahal', 'memasang', 'aplikasi', 'telkomsel', 'instal', 'masuk', 'berkali', 'kali', 'coba', 'instal', 'kecewa', '']</t>
  </si>
  <si>
    <t>['paket', 'mahal', 'pelayanan', 'signal', 'stabil', 'sesuai', 'rugi', 'customer']</t>
  </si>
  <si>
    <t>['kuota', 'kuota', 'utama', 'habis', 'tnggal', 'multimedia', 'sma', 'degan', 'bohong', 'jaringan', 'lelet', 'nyesal', 'pakai', 'telkomsel', 'ganti', 'kartu']</t>
  </si>
  <si>
    <t>['sinyal', 'telkomsel', 'cacat', 'main', 'game', 'ngelag', 'mulu', 'parah']</t>
  </si>
  <si>
    <t>['nomor', 'telat', 'isi', 'pulsa', 'pulsa', 'hilanh', 'dinonaktifkan', 'telkomsel', 'diaktifkan']</t>
  </si>
  <si>
    <t>['jelek', 'bangat', 'skrg', 'sinyal', 'jaringan', 'telkomsel', 'payaaah', 'kayak', 'lemoooooot', 'nonton', 'yotube', 'pakai', 'telkomsel', 'nonton', 'emosi', 'daraaah', 'krna', 'ganti', 'provider', '']</t>
  </si>
  <si>
    <t>['terimakasih', 'telkomsel', 'berkat', 'paket', 'gamesmax', 'diamond', 'kredit', 'skor', 'berkurang', 'masuk', 'gameplay', 'gameplay', 'sinyalnya', 'merah', 'rekomend', 'banget', 'deh', 'pokoknya', 'teman', 'menambah', 'stress', 'game', 'silahkan', 'beli', 'paket', 'gamesmax', 'diamond', 'telkomsel', 'gameplay', 'rusak', 'sinyal', 'ancur', 'dapet', 'diamond', 'salah', 'selamat', 'menikmati', 'permainan', 'emosi', 'sinyalnya', 'waaah']</t>
  </si>
  <si>
    <t>['sinyal', 'suka', 'hilang', 'udah', 'beli', 'paket', 'mahal', 'sinyal', 'lemot', 'angin', 'dikit', 'hujan', 'dikit', 'sinyal', 'langsung', 'lemot', 'mati', 'lampu', 'sinyal', 'langsung', 'hilang', 'mohon', 'diperbaiki', 'perihal', 'kenyamanan', 'pengguna', 'pelangan', '']</t>
  </si>
  <si>
    <t>['kecewa', 'barusan', 'beli', 'pulsa', 'pulsa', 'langsung', 'habis', 'pakai', 'apapun', 'merugikan', 'pengguna', 'telkomsel', 'tolong', 'perbaiki', 'beli', 'pulsa', 'habis', 'pemakaian', 'apapun', 'chat', 'customer', 'service', 'aplikasi', 'respon', 'respon', 'chat', 'lambat', 'sinyal', 'memadai', 'internetan']</t>
  </si>
  <si>
    <t>['bismillah', 'semoga', 'bermanfaat', 'berkibar', '']</t>
  </si>
  <si>
    <t>['min', 'tolong', 'update', 'terbaru', 'pengaturan', 'hilangin', 'suara', 'opening', 'app', 'malam', 'buka', 'app', 'auto', 'kaget', 'maksiih']</t>
  </si>
  <si>
    <t>['kasih', 'bintang', 'kaya', 'gini', 'aplikasinya', 'kesalahan', 'sistem']</t>
  </si>
  <si>
    <t>['telkomsel', 'iya', 'telkomsel', 'namnya', 'telkomtol', 'aasuuu', 'pas', 'curi', 'lord', 'mendadak', 'lag', 'pas', 'abis', 'main', 'muter', 'paket', 'murahan']</t>
  </si>
  <si>
    <t>['plis', 'woii', 'telkomsel', 'jaringan', 'diperbaiki', 'main', 'bagus', 'ancurr', 'paketan', 'mahal', 'kualitas', 'jaringan', 'lelet', 'lag']</t>
  </si>
  <si>
    <t>['sinyal', 'jelek', 'mahal', 'kalah', 'tree', 'murah', 'sinyal', 'bagus', 'kecewa', 'berat', '']</t>
  </si>
  <si>
    <t>['skrg', 'signal', 'prnh', 'stabil', 'harga', 'paket', 'dinaikkan', 'kualitas', 'sinyal', 'servis', '']</t>
  </si>
  <si>
    <t>['beli', 'paket', 'telepon', 'susahnya', 'ampun', 'keterangan', 'maaf', 'gangguan', 'sistem', 'sampe', 'coba', 'uninstall', 'trus', 'install', 'semenjak', 'update', 'terbaru', 'jelek', 'aplikasi', 'beli', 'paket', 'nelpon', 'paket', 'internet', 'aplikasi', 'telkomsel', '']</t>
  </si>
  <si>
    <t>['pilihan', 'unreg', 'paket']</t>
  </si>
  <si>
    <t>['', 'membeli', 'paket', 'telkomsel', 'yaaa', '']</t>
  </si>
  <si>
    <t>['koin', 'aph', 'boss', 'tukar', 'jangn', 'ngadain', 'koin', 'tuker', 'tayna', 'jabwannya', 'berbelit', 'belit', 'prose', 'tinggal', '']</t>
  </si>
  <si>
    <t>['', 'sinyal', 'jelek', 'suka', 'stabil', 'daerah', 'perkotaan', 'paket', 'mahal', 'kepake', 'paket', 'data', 'pulsanya', 'paket', 'internet', 'beli', '']</t>
  </si>
  <si>
    <t>['males', 'paketan', 'mahal', 'pdhal', 'kecepatan', 'heran']</t>
  </si>
  <si>
    <t>['krisis', 'sinyal', 'akses', 'data', 'telkomsel', 'trikmu', 'ketebak', 'jaringan', 'downgrade', 'speed', 'stability', 'luncurin', 'manfaatnya', 'beralih', 'disetarakan', 'jaringan', 'setara', 'hahaha', 'konyol']</t>
  </si>
  <si>
    <t>['paket', 'mahal', 'jaringan', 'buruk']</t>
  </si>
  <si>
    <t>['buruk', 'kecewa', 'kuota', 'games', 'max', 'kuota', 'games', 'kesedot', 'pulsa', 'kesedot', 'kasih', 'bintang', 'smoga', 'fitur', 'lock', 'pulsa', '']</t>
  </si>
  <si>
    <t>['tolong', 'min', 'nomor', 'paketan', 'kouta', 'tegangan', 'pendidikan', 'harian', 'dsb', 'plis', 'respon', 'min', 'kecewa', 'ilang', 'gitu']</t>
  </si>
  <si>
    <t>['bagus', 'banget', 'apk', 'tolong', 'harga', 'paket', 'murah', 'dikit', 'ppkm', '']</t>
  </si>
  <si>
    <t>['jenis', 'paket']</t>
  </si>
  <si>
    <t>['update', 'sinyal', 'dibagi', 'beli', 'paket', 'unlimited', 'youtube', 'kadang', 'buka', 'kadang', 'lost', 'connection', 'gajelas', 'provider', 'jual', 'paket', 'data', 'sinyalnya', 'dibagi', '']</t>
  </si>
  <si>
    <t>['telkomsel', 'zoom', 'muncul', 'internet', 'mengganggu', 'pas', 'kartu', 'tolong', 'perbaiki', 'link', 'zoom', 'muncul', 'internet', 'hadehhh']</t>
  </si>
  <si>
    <t>['ampunnnn', 'dahhh', 'jaringan', 'telkom', 'harga', 'mahal', 'sinyal', 'daerah', 'kota', 'nyerahhh', 'dahhhh', 'telkom']</t>
  </si>
  <si>
    <t>['telkomsel', 'signalnya', 'stabil', 'kuota', 'terbuang', 'kepakai', 'kuota', 'aktif', 'habis', '']</t>
  </si>
  <si>
    <t>['isii', 'pulsa', 'pakek', 'mbangking', 'masuk', 'kaco', '']</t>
  </si>
  <si>
    <t>['kasih', 'bintang', 'signal', 'ditmpat', 'jelek', 'milih', 'milih', 'tempt', 'bru', '']</t>
  </si>
  <si>
    <t>['kurangi', 'bintangnya', 'min', 'layanan', 'data', 'telkomsel', 'lemot', 'min']</t>
  </si>
  <si>
    <t>['sngat', 'membantu']</t>
  </si>
  <si>
    <t>['opsi', 'bayar', 'virtual', 'bank', 'account', 'mohon', 'pencerahan']</t>
  </si>
  <si>
    <t>['disconec', 'hilang', 'sinyal', 'lemoot', 'tetep', 'ambyaaarr']</t>
  </si>
  <si>
    <t>['sumpah', 'aplikasi', 'operator', 'penipuan', 'nilai', 'beli', 'pasang', 'aplikasinya']</t>
  </si>
  <si>
    <t>['parah', 'parah', 'parah', 'signalmu']</t>
  </si>
  <si>
    <t>['lumayan', 'informasinya']</t>
  </si>
  <si>
    <t>['bagus', 'isi', 'paket', 'gampang', 'cuman', 'tolong', 'kasih', 'promo', 'paket', 'harganya', 'bersahabat', '']</t>
  </si>
  <si>
    <t>['cuman', 'kasih', 'saran', 'telkomsel', 'paket', 'telpon', 'sebulan', 'menit', 'membutuhkannya', 'telkomsel', 'tinggal', 'langganan', 'repot', 'antri', 'grapari']</t>
  </si>
  <si>
    <t>['sinyal', 'bgs', 'dimna', 'kpnpun', 'the', 'best']</t>
  </si>
  <si>
    <t>['kenp', 'sinyaly', 'ssh', 'tolong', 'sgr', 'perbaiki']</t>
  </si>
  <si>
    <t>['beli', 'paket', 'ketengan', 'unlimited', 'youtube', 'ampass']</t>
  </si>
  <si>
    <t>['kegiatan', 'ujian', 'pengiriman', 'data', 'online', 'dihadapkan', 'macet', 'gagal', 'pemborosan', 'pulsa', 'data', 'harap', 'maklum', 'mohon', 'perhatiannya', 'terima', 'kasih', '']</t>
  </si>
  <si>
    <t>['telkomsel', 'bangga', 'mengecewakan', 'singal', 'buruk', 'jaringan', 'cinere', 'depok', 'bagus', 'daerah', 'pegunungan']</t>
  </si>
  <si>
    <t>['kadang', 'suka', 'error', 'ribet']</t>
  </si>
  <si>
    <t>['koneksi', 'buruh', 'tingkat', 'pembelian', 'termahal', 'layanan', 'koneksi', 'layak', 'prioritaskan', 'karna', 'kualitas', 'bobrok']</t>
  </si>
  <si>
    <t>['jangkauan', 'jaringan', 'diperbaharui', 'beserta', 'kecepatan', 'unduh', 'upload', 'diperbaiki', '']</t>
  </si>
  <si>
    <t>['mudah', 'mengecek', 'pulsa', 'kuota', 'beli', 'kuota', 'gampang', '']</t>
  </si>
  <si>
    <t>['tolong', 'optimal']</t>
  </si>
  <si>
    <t>['nyesel', 'telkomsel', 'jaringan', 'telkomsel', 'jelek', 'paketan', 'mahalskali', 'pengguna', 'telkomsel', 'mending', 'pindah', 'telkomsel']</t>
  </si>
  <si>
    <t>['habis', 'perbarui', 'login', 'udh', 'mahal', 'sinyelnya', 'lelet']</t>
  </si>
  <si>
    <t>['harga', 'paket', 'mahal', 'sesuai', 'sinyal', 'lemot', 'terkadang', 'hilang', 'sinyal', 'nyoba', 'kartu', 'telkomsel', 'lemot', 'parah', 'manas', 'selamat', 'tinggal', 'telkomsel']</t>
  </si>
  <si>
    <t>['discount', 'lumayan']</t>
  </si>
  <si>
    <t>['tolong', 'signal', 'diperbaiki', 'buka', 'learning', 'nunggu', 'menit', 'anjay', 'ujian', 'main', 'game', 'ping', 'jelek', 'banget', 'harga', 'pejabat', 'kualitas', 'jelata']</t>
  </si>
  <si>
    <t>['maju', 'telkomsel']</t>
  </si>
  <si>
    <t>['pulsa', 'habis', 'tersedot', 'perasaan', 'kemarin', 'beli', 'kuota', 'murah', 'habis', 'pulsaku', 'teganya', 'telkomsel', 'sedot', 'pulsa', 'izin', 'pulsaku', 'habis', 'kemarin', 'tinggal', 'rupiah', 'mytelkomsel', 'aman', 'aman', 'mytelkomsel', 'lite', 'mytelkomsel', 'pulsanya', 'terkuras', 'terusan', 'pakai', 'dasar', 'hancur', 'deh', 'pulsanya', 'habis', 'mohon', 'telkomsel', 'perbaiki', '']</t>
  </si>
  <si>
    <t>['telkomsel', 'mantap', 'puas', 'telkomsel', 'terima', 'kasih', 'telkomsel', '']</t>
  </si>
  <si>
    <t>['udah', 'jaringan', 'bermasalah', 'kadang', 'suka', 'jam', 'terduga', 'kgk', 'mati', 'lampu', 'jaringan', 'jelek', 'livestreaming', 'ama', 'rapat', 'bermasalah', 'tolong', 'diperbaiki', 'kabel', 'lapisi', 'besi', 'baja', 'digigit', 'ama', 'hiu', 'rusak', 'parah']</t>
  </si>
  <si>
    <t>['buka', 'aplikasi', 'telkomsel', 'lemott', 'buka', 'aplikasinya', 'lemot', 'lho', 'mhn', 'perbaiki']</t>
  </si>
  <si>
    <t>['paket', 'unlimited', 'max', 'nggak', 'nge', 'game', 'kuota', 'habis', 'nggak', 'kaya', 'mahal', 'paketannya', 'trus', 'jaringannya', 'merah']</t>
  </si>
  <si>
    <t>['tolong', 'opsi', 'pembayaran', 'ditambah', 'kartu', 'debit', 'kredit', 'mager', 'konter', 'beli', 'vocer', 'ribet', 'isi', 'pulsa', 'beli', 'paketan']</t>
  </si>
  <si>
    <t>['seumur', 'hidup', 'sinyal', 'hancur', 'perihal', 'tugas', 'ujian', 'mahasiswa', 'terlambat', 'kirimkan', 'provider', 'admin', 'hapus', 'beban', 'aktivitas', 'dimasa', 'pandemi', 'jam', 'sore', 'hancur', 'konektivitas', 'smartfren', 'lancar', 'posisi', 'kota', 'medan', 'pelosok', 'pdhl', 'harga', 'paket', 'diatas', 'harga', 'rb', 'pelayanan', 'smarftren', 'dibawah', 'ribu']</t>
  </si>
  <si>
    <t>['suka', 'bngtt', 'apk', 'paket', 'tinggl', 'menukarkan', 'poin', 'memilih', 'hadiah', 'hadiah', 'pokok', 'nyesel', 'deh', 'milih', 'apk', '']</t>
  </si>
  <si>
    <t>['terima', 'kasih', 'semoga', 'jaringanya']</t>
  </si>
  <si>
    <t>['diperbaiki', 'koneksi', 'jaringannya', 'kendala', 'lam', 'butuh', 'alasan', 'janji', 'doang', 'butuh', 'perbaiki', 'jaringannya', 'koneksi', 'buruk', 'sinyal', 'bagus', 'mengikuti', 'daring', 'sehari', 'seminggu', '']</t>
  </si>
  <si>
    <t>['halah', 'tukar', 'poin', 'paket', 'data', 'sistem', 'sibuk', 'payah', '']</t>
  </si>
  <si>
    <t>['mytelkomsel', 'excellent', 'aplikasi', 'membantu', 'pengguna', 'mengikuti', 'urutan', 'prosedur', 'pengisian', 'pulsa', 'online', 'meregister', 'kartu', 'mengaktifkan', 'nomor', 'masuk', 'jaringan', 'dst']</t>
  </si>
  <si>
    <t>['provider', 'terburuk', 'kuota', 'unlimited', 'terpakai', 'terpakai', 'tiktok', 'kuota', 'utama', 'kuota', 'utama', 'beli', 'unlimited', 'beda', 'pembelian', 'sedot', 'kuota', 'utama', 'unlimited', 'kuota', 'mahal', 'bayar', 'kualitas', 'sinyal', 'buruk', 'pelayanan', 'jelek']</t>
  </si>
  <si>
    <t>['aplikasinya', 'bagus', 'cek', 'kuota', 'cuman', 'saran', 'iklannya', 'dimasukan', 'nonton', 'youtube', 'sbagai', 'pelanggan', 'telkomsel', 'kcewa', 'iklan', 'mengganggu', 'nonton', 'youtube', 'pelanggan', 'rugi', 'klau', 'bgini', 'tolonglah', 'dihilangkan', 'pelanggan', 'puas', '']</t>
  </si>
  <si>
    <t>['mantap', 'membanbtu']</t>
  </si>
  <si>
    <t>['sinyal', 'ilang', 'main', 'game', 'online', 'kesinih', 'sinyal']</t>
  </si>
  <si>
    <t>['tingkat', 'kualitas', 'jaringan', 'banyakin', 'promo', 'tarif', 'murah']</t>
  </si>
  <si>
    <t>['harga', 'mahal', 'sinyal', 'buruk', 'kartu', 'indonesia', 'pdahal', 'murah', 'tpi', 'kencang']</t>
  </si>
  <si>
    <t>['mantap', 'tolong', 'promo', 'data', 'mksh']</t>
  </si>
  <si>
    <t>['terpaksa', 'telkomsel', 'provider', 'lian', 'monopoli', 'telkomsel', 'wilayah', 'timur', 'paketan', 'internet', 'telkomsel', 'mahal']</t>
  </si>
  <si>
    <t>['', 'hadiah', 'ataw', 'penghargaan', 'nomor', 'skali', 'pakai', 'telkomsel', 'tolg', 'pertimbangkan', '']</t>
  </si>
  <si>
    <t>['oke', 'tsel', 'keluhan', 'ditanggapi', 'semoga', 'respon', 'dng', 'tambahin', '']</t>
  </si>
  <si>
    <t>['jaringannya', 'berguna', 'telkomsel', 'memikirkan', 'perbaikan', 'respon', 'layanan', 'buruk', 'solusi', 'pakai', 'telkomsel', 'buruk', 'tsel', 'perduli', 'kenyamanan', 'konsumen']</t>
  </si>
  <si>
    <t>['mytelkomsel', 'membantu', 'memuaskan']</t>
  </si>
  <si>
    <t>['', 'beli', 'paket', 'telpon', 'sms', 'harga', 'aktif', 'aktifnya', 'aktif', 'paket', 'korupsi', 'telkomsel', 'hedeh', '']</t>
  </si>
  <si>
    <t>['enak', 'simple', 'gqmpang', 'akses', 'kadang', 'logout', '']</t>
  </si>
  <si>
    <t>['aplikasi', 'kuota', 'internet', 'hemat', 'walapun', 'membuka', 'youtube', 'buka', 'games', 'kuota', 'internet', 'hemat', 'download', 'aplikasi', 'telkomsel', 'ayo', 'secepatnya', 'download', 'aplikasi']</t>
  </si>
  <si>
    <t>['tolong', 'lahhh', 'sistem', 'sedot', 'pulsa', 'dihapuskan', 'merugikan', 'konsumen', 'tolong', 'dikaji', 'sistem', 'kenyamanan', 'pelanggan', 'blokir', 'akses', 'internet', 'paket', 'data', 'habis', 'main', 'sedot', 'pulsa', '']</t>
  </si>
  <si>
    <t>['beli', 'paket', 'gagal', 'muncul', 'oopss', 'something', 'wrong', 'kesalahan', 'coba', 'udah', 'coba', 'tetep']</t>
  </si>
  <si>
    <t>['update', 'paketan', 'telvon', 'harian', 'cma', 'stlah', 'update', 'mantap', 'kali', 'naikin', 'harganya', 'lawak', 'badut', 'paketan', 'ngotak', '']</t>
  </si>
  <si>
    <t>['mahu', 'masuk', 'sound', '']</t>
  </si>
  <si>
    <t>['paket', 'telpon', 'sebulan', 'rbu', 'rbu', 'mahal', 'telkom', 'sel', 'kecewa', '']</t>
  </si>
  <si>
    <t>['paket', 'mahal', 'sinyale', 'jelek', 'buruk', 'karuan', 'hadehhhhhhhhhhhhhhhhhhhhhhhhhhh']</t>
  </si>
  <si>
    <t>['memudahkan', '']</t>
  </si>
  <si>
    <t>['kasih', 'bintang', 'soalny', 'diwilayah', 'jaringan', 'bagus', 'mohon', 'perbaiki', 'wilayah']</t>
  </si>
  <si>
    <t>['jaringan', 'buruk', '']</t>
  </si>
  <si>
    <t>['penipu', 'pulsa', 'instal', 'log', 'telkom', 'hoax', 'instal', 'penipi']</t>
  </si>
  <si>
    <t>['sinyal', 'jelek', 'banget', 'boros', 'kouta']</t>
  </si>
  <si>
    <t>['masuk', 'apk']</t>
  </si>
  <si>
    <t>['program', 'kuota', 'internet', 'membantu', 'berbasis', 'online', '']</t>
  </si>
  <si>
    <t>['apk', 'sulit', 'dibuka', 'hpus', 'data', 'trus', 'login', 'terbuka', 'ntar', 'klw', 'kluar', 'hrus', 'ngulang', 'kayk', 'gitu', 'tolonglah', 'perbaiki', 'jujus', 'pelanggan', 'setia', 'telkomsel', 'jaringan', 'sinyal', 'telkomsel', 'bersahabat', 'stabil', 'lelet', 'lola', 'sbagainya', 'tolong', 'tingkatkan', 'komunikasi', 'lancar', 'trutama', 'pelanggan', 'stia', 'telkomsel', '']</t>
  </si>
  <si>
    <t>['informasi', 'masyarakat', 'indonesia', 'smoga', 'jaya']</t>
  </si>
  <si>
    <t>['nyedot', 'pulsa', 'pintar', 'telkomsel', 'paket', 'kesedot', 'pulsa', 'top', 'maling']</t>
  </si>
  <si>
    <t>['', 'bnget', 'pokoknya']</t>
  </si>
  <si>
    <t>['knp', 'udah', 'gua', 'update', 'ngak', 'masuk']</t>
  </si>
  <si>
    <t>['telkomsel', 'busuk', 'fix', 'ganti', 'kartu', '']</t>
  </si>
  <si>
    <t>['', 'perumahan', 'graha', 'martubung', 'parah', 'kali', 'kli', 'inernetnya', 'pntesan', 'dsini', 'bnyk', 'pke', 'product', 'axiata']</t>
  </si>
  <si>
    <t>['kasih', 'bintang', 'memuaskan', 'bintang', '']</t>
  </si>
  <si>
    <t>['aplikasinya', 'bagus', 'kasih', 'bintang', 'sinyal', 'low', 'lihat', 'tingkat', 'bar', 'tolong', 'fix']</t>
  </si>
  <si>
    <t>['telkomsel', 'paket', 'internet', 'daerah', 'mahal', 'njinggggg', 'telkomsel', 'cepat', 'kaya', 'gimana', 'mahal', 'banget']</t>
  </si>
  <si>
    <t>['', 'promo', 'internet', 'murah', 'telkomel']</t>
  </si>
  <si>
    <t>['aplikasinya', 'berguna']</t>
  </si>
  <si>
    <t>['', 'setia', 'telkom', 'karene', 'segi', 'sinyal', 'paket', 'internet', 'jarang', 'trobel', '']</t>
  </si>
  <si>
    <t>['membantu', 'pengaturan', 'pemakaian', 'kuota', 'telpon']</t>
  </si>
  <si>
    <t>['kuota', 'mahal', 'jangkauan', 'luas', 'bumn', 'tetep', 'mati', 'lampu', 'sinyal', 'mati', 'provider', 'sampe', 'segitunya']</t>
  </si>
  <si>
    <t>['bgus', 'baget', 'mudaa', 'pakek', 'kek', 'ginian']</t>
  </si>
  <si>
    <t>['penggunaan', 'aplikasi', 'telkomsel', 'efesien', 'mohon', 'dipermudah', '']</t>
  </si>
  <si>
    <t>['sinyak', 'buruk', 'bngt', 'didaerah', 'mati', 'lampung', 'sinyal', 'langsung', 'ilang']</t>
  </si>
  <si>
    <t>['memudahkan', 'cek', 'beli', 'kuota']</t>
  </si>
  <si>
    <t>['kasih', 'bintang', 'min', 'unlimited', 'youtube', 'memakan', 'kuota', 'lokal', 'kuota', 'lokal', 'habis', 'memakan', 'kuota', 'multimedia', 'kuota', 'multimedia', 'habis', 'youtube', 'stop', 'berarrti', 'unlimited', 'youtube', 'min', 'tanggal', 'berlaku', 'data']</t>
  </si>
  <si>
    <t>['admin', 'telkomsel', 'terhormat', 'tolong', 'jaringan', 'telkomsel', 'daerah', 'buah', 'batu', 'bandung', 'jelek']</t>
  </si>
  <si>
    <t>['telkomsel', 'aneh', 'udah', 'gua', 'isi', 'pulsa', 'paket', 'udah', 'beli', 'paket', 'jaringannya', 'aneh', 'kecewa', 'gua']</t>
  </si>
  <si>
    <t>['', 'kartu', 'gue', 'kesedot', 'pulsanya', 'kuota', 'sinyal', 'lemot', 'paket', 'mahal', 'mending', 'pindah', 'axis']</t>
  </si>
  <si>
    <t>['aplikasi', 'berkualitas']</t>
  </si>
  <si>
    <t>['alhamdulillah', 'keluarga', 'telkomsel', 'membantu', 'keluarga', 'berkomunikasi', 'terima', 'kasih', 'telkomsel', '']</t>
  </si>
  <si>
    <t>['telkomsel', 'biaya', 'transfer', 'pulsa', 'mahal', 'mahal', 'harga', 'beli', 'pulsa', 'udah', 'telkomsel', 'bener', 'bener', 'kecewa', 'transfer', 'pulsa', 'biaya', 'ngabisin', 'pulsa']</t>
  </si>
  <si>
    <t>['paket', 'harganya', 'mahal']</t>
  </si>
  <si>
    <t>['', 'suruh', 'update', 'trs', 'emang', 'kuota', 'rugi', 'bgini', 'telkomsel']</t>
  </si>
  <si>
    <t>['', 'gramapuri', 'persada', 'cibitung', 'signalnya', 'jelek', 'tolong', 'diperbaiki', 'bagus', 'auto', 'bintang', 'terima', 'kasih', '']</t>
  </si>
  <si>
    <t>['keren', 'mudah']</t>
  </si>
  <si>
    <t>['oke', 'deh', 'mil', 'garis', 'pantai', '']</t>
  </si>
  <si>
    <t>['tolong', 'rendem', 'poin', 'dibikin', 'edit', 'poin', 'ditukar', 'tks']</t>
  </si>
  <si>
    <t>['tingkat', 'pelayanan', 'telkomsel']</t>
  </si>
  <si>
    <t>['bagus', 'salah', 'pilih', '']</t>
  </si>
  <si>
    <t>['bagus', 'mudah', 'utuk', 'beli', 'paket']</t>
  </si>
  <si>
    <t>['mudah', 'melakukanya']</t>
  </si>
  <si>
    <t>['gangguan', 'jaringan']</t>
  </si>
  <si>
    <t>['lepas', 'telkomsel']</t>
  </si>
  <si>
    <t>['jaringan', 'internet', 'area', 'cempaka', 'putih', 'jakpus', 'buruk']</t>
  </si>
  <si>
    <t>['mantap', 'kasih', 'paket', 'murah']</t>
  </si>
  <si>
    <t>['pulsa', 'kepotong', 'kuota', 'internet', 'potong', 'kuota', 'utama', 'paraaaahhhh', 'banget', 'telkomsel', 'jelekkk', 'pulsa', 'beli', 'kuota', 'anehnya', 'terpotong', 'pulsa', 'tipu', '']</t>
  </si>
  <si>
    <t>['nambah', 'kacau', 'apk', 'masuk', 'sekelas', 'provider', 'nomor', 'apknya', 'ampun', 'deh']</t>
  </si>
  <si>
    <t>['mempermudah', 'kebanyakan', 'hafalin', 'nomor', 'bust', 'cek', 'kartu']</t>
  </si>
  <si>
    <t>['updet', 'money', '']</t>
  </si>
  <si>
    <t>['telkom', 'mohonlah', 'jaringan', 'hilang', 'udah', 'signalnya', 'gua', 'daring', 'telkom', 'telkom', 'tolooong']</t>
  </si>
  <si>
    <t>['jaringan', 'telkom', 'lemot', 'semenjak', 'indihome', 'telkom', 'rusak', 'normal', 'lemot', '']</t>
  </si>
  <si>
    <t>['dicoba', 'paket', 'data', 'pulsa', 'sedot', '']</t>
  </si>
  <si>
    <t>['membantu', 'beli', 'paket', 'internet']</t>
  </si>
  <si>
    <t>['parah', 'sii', 'aplikasi', 'telkomsel', 'gangguan', 'beli', 'paket', 'data', 'bulanan', 'maaf', 'sistem', 'gangguan', 'cobaa', 'udah', 'hapus', 'cache', 'app', 'udah', 'hapus', 'data', '']</t>
  </si>
  <si>
    <t>['ehmm', 'gemes', 'stiap', 'buka', 'aplikasi', 'telkomsel', 'blank', 'knp', 'telkomsel', 'tutup', 'aplikasi', 'pdhl', 'isi', 'data']</t>
  </si>
  <si>
    <t>['beli', 'paket', 'telkomsel', 'mengalami', 'gangguan', 'kecewa']</t>
  </si>
  <si>
    <t>['app', 'bodoh', 'akses']</t>
  </si>
  <si>
    <t>['menarik', 'membantu', 'pembelajaran', 'sistematis', 'lainya', 'terimakasih', '']</t>
  </si>
  <si>
    <t>['bagus', 'semoga', 'slalu', 'terjaga', 'kualitasnya', '']</t>
  </si>
  <si>
    <t>['semoga', 'bagus', 'aplikasinya', 'paket', 'datanya', 'nyaman']</t>
  </si>
  <si>
    <t>['jaringannya', 'gigit', 'hiu', '']</t>
  </si>
  <si>
    <t>['gimana', 'yallah', 'udah', 'gangguan', 'trs', 'gabisa', 'isi', 'pulsa', 'data', 'dll', 'yallah', 'gimana', 'tolong', 'tanggapanya', 'sistem', 'sibuk', 'sistem', 'sibuk', '']</t>
  </si>
  <si>
    <t>['ney', 'telkomsel', 'bego', 'tolol', 'bin', 'marukkk', 'paket', 'kuota', 'internet', 'msih', 'pulsa', 'kepotong', 'internetan', 'woyyy', 'malinggggggg', '']</t>
  </si>
  <si>
    <t>['praktis', 'aplikasinya', 'mudah', 'terimakasih', 'telkomsel']</t>
  </si>
  <si>
    <t>['kang', 'paket', 'boss']</t>
  </si>
  <si>
    <t>['kecewa', 'cek', 'tagihan', 'sent', 'gift', 'lihat', 'poin']</t>
  </si>
  <si>
    <t>['aplikasinya', 'bagus', 'kuotanya', 'boros', 'berlaku', 'sudh', 'habis', 'boros', 'banget', '']</t>
  </si>
  <si>
    <t>['coba', 'aplikasi']</t>
  </si>
  <si>
    <t>['sengaja', 'beli', 'paket', 'sii', 'beli', 'pulsa', 'tbtb', 'habis', 'ditarik', 'gitu', 'ajaa', 'parah', 'telkomsel', 'skrg']</t>
  </si>
  <si>
    <t>['kuota', 'paket', 'dibeli', 'cepat', 'terkuras', 'jaringan', 'jalannya', 'siput', 'karna', 'nomor', 'diwajibkan', 'ganti', 'tolong', 'terkait', 'membenahi', 'sistem', 'untung', 'pelanggan', 'kau', 'kuras', '']</t>
  </si>
  <si>
    <t>['paket', 'internet', 'mahalllllll', 'bundling', 'paket', 'isinya', 'butuh', 'kuota', 'internet', 'tambahin', 'embel', 'embel', 'nonton', 'sinyal', 'jelek', 'telkomsel', 'beli', 'paket', 'games', 'notif', 'paket', 'games', 'telkomsel', 'telkomsel', 'kecewa']</t>
  </si>
  <si>
    <t>['semoga', 'undian', 'membantu', 'rakyat', 'indonesia', 'menghadapi', 'pandemi']</t>
  </si>
  <si>
    <t>['telkomsel', 'sinyalnya', 'kayak', 'taik', 'udah', 'kasih', 'kualitas', 'harga', 'doang', 'mahal', '']</t>
  </si>
  <si>
    <t>['lemot', 'buka', 'aplikasi', 'telkomsel', '']</t>
  </si>
  <si>
    <t>['penawaran', 'membahagiakan', 'semoga', 'membawa', 'berkah']</t>
  </si>
  <si>
    <t>['beli', 'kuota', 'gamemax', 'udah', 'abis', 'kuota', 'utamanya', 'lelet', 'abis']</t>
  </si>
  <si>
    <t>['jaringan', 'lelet', 'harga', 'mahal', 'beli', 'kuota', 'pulsa', 'terpakai', 'sesangkan', 'kuota', 'internet', 'macet', '']</t>
  </si>
  <si>
    <t>['bagus', 'proses', 'cepat', 'kuota', 'lancar', 'lemot']</t>
  </si>
  <si>
    <t>['telkomsel', 'jaringan']</t>
  </si>
  <si>
    <t>['beli', 'kuota', 'pendidikan', 'kuota', 'utama', 'ngurang', 'pas', 'buka', 'aplikasi', 'pendidikan', 'ngurang', 'kuota', 'utama', 'manajemennya', 'bener', '']</t>
  </si>
  <si>
    <t>['mahal', 'kartu', 'lamaku', '']</t>
  </si>
  <si>
    <t>['udah', 'murah', 'jaringan', 'kadang', 'susah']</t>
  </si>
  <si>
    <t>['bgs', 'sich', 'tolong', 'lemot']</t>
  </si>
  <si>
    <t>['hah', 'udah', 'ngisi', 'pulsa', 'rbu', 'hilang', 'beli', 'paket', 'tolong', 'aplikasinya', 'dibenerin', 'bangettt', 'udah', 'ngisi', 'pulsa', 'dimakan', '']</t>
  </si>
  <si>
    <t>['tutup', 'aplikasi', 'dibuka', 'error', 'wajib', 'instal', 'ulang', 'buka', 'bobrok', 'kalah', 'aplikasi', 'keuangan', 'level', '']</t>
  </si>
  <si>
    <t>['maju', 'mantap', 'bos', '']</t>
  </si>
  <si>
    <t>['terbaik', 'membantu', 'pembelian', 'pulsar', 'paket', 'data']</t>
  </si>
  <si>
    <t>['klu', 'bagus']</t>
  </si>
  <si>
    <t>['kecewa', 'paket', 'pendidikan', 'kuota', 'belajar', 'rb', 'dihapus', 'kecewa', 'harga', 'mahal', 'sinyal', 'jelek', 'banget', 'mending', 'ganti', 'kartu']</t>
  </si>
  <si>
    <t>['aplikasi', 'mudah', 'pastinya', 'bagus', '']</t>
  </si>
  <si>
    <t>['mengecewakan', 'jaringan', 'paket', 'internetnya', 'jelek', '']</t>
  </si>
  <si>
    <t>['kartu', 'aktif', 'gabisa', 'diisi', 'pulsa', 'nelfon', 'terima', 'telfon', 'letak', 'menu', 'apk', 'ribet']</t>
  </si>
  <si>
    <t>['bener', 'jelek', 'ribet', 'aplikasinya', 'cek', 'kuota', 'hrs', 'update', 'log', 'email', 'telkomsel', 'mudah', 'apk', 'provider']</t>
  </si>
  <si>
    <t>['aplikasi', 'telkomsel', 'update', 'beli', 'paket', 'gangguan', 'mingguan', 'beli', 'paket', 'aplikasi', 'telkomsel', 'chat', 'veronika', 'nyambung', 'lokasi', 'prov', 'kalsel', 'kab', 'batola', 'kec', 'muara', 'handel', 'mesjid', '']</t>
  </si>
  <si>
    <t>['bagus', 'menang', 'telkomsel', 'point', '']</t>
  </si>
  <si>
    <t>['oke', 'kadang', 'megerti']</t>
  </si>
  <si>
    <t>['mahal', 'doang', 'paket', 'lemot', 'otak', 'min', 'harga', 'sesuai', 'kualiatas', 'jaringan']</t>
  </si>
  <si>
    <t>['puas', 'mudah', 'dipahami']</t>
  </si>
  <si>
    <t>['semoga', 'tarifnya', 'terjangkau', 'rakyat']</t>
  </si>
  <si>
    <t>['telkomsel', 'pakai', 'jatingan', 'lias']</t>
  </si>
  <si>
    <t>['menjaga', 'stabilitas', 'jaringan', 'gangguan', 'koneksi', '']</t>
  </si>
  <si>
    <t>['tolong', 'sinyal', 'perkuat', 'solya', 'peguna', 'derever', 'ojol', 'kerena', 'telkom', 'erol', 'sinyal']</t>
  </si>
  <si>
    <t>['tolong', 'tingkatkan', 'layanannya', 'promo', 'berubah', 'ubah', 'pindah', 'hati']</t>
  </si>
  <si>
    <t>['lelet', 'loading', '']</t>
  </si>
  <si>
    <t>['aplikasi', 'berguna', 'cek', 'pemakaian', 'kouta', 'internet']</t>
  </si>
  <si>
    <t>['signal', 'oke', 'truus', 'hambatan']</t>
  </si>
  <si>
    <t>['pakai', 'telkomsel', 'internet', 'telepon', 'lancar']</t>
  </si>
  <si>
    <t>['terbantu', 'adax', 'aplikasi', 'bnyak', 'informasi', 'fitur', 'fitur', 'berguna', 'bermanfaat', 'temukan', 'aplikasi', 'smoga', 'terkomsel', 'jaya', 'meningkatkan', 'pelayananx', '']</t>
  </si>
  <si>
    <t>['emang', 'pilihanku', 'cek', 'logo', 'apk', 'telkomsel', 'diliat', 'playstur', 'tulisanya', 'unistal']</t>
  </si>
  <si>
    <t>['bagus', 'membantu', 'makasih', 'telkomsel']</t>
  </si>
  <si>
    <t>['tingkatkan', 'pelayanan', 'paket', 'murah']</t>
  </si>
  <si>
    <t>['puas', 'aplikasi', 'mytelkomsel', 'mudah', 'lihat', 'pulsa', 'promo', 'paket', 'internet', 'murah', '']</t>
  </si>
  <si>
    <t>['pulsa', 'hilang', 'pdhl', 'paketnya', 'aktifnya', 'mengalaminya', 'sinyal', 'buruk', 'sebanding', 'harga', 'mahal']</t>
  </si>
  <si>
    <t>['bagus', 'aplikasinya', 'okokokokokokokok']</t>
  </si>
  <si>
    <t>['isi', 'paket', 'gangguan', 'sistem', 'mulu']</t>
  </si>
  <si>
    <t>['aplikasi', 'terpasang']</t>
  </si>
  <si>
    <t>['blm', 'prnah', 'menang', 'undian', 'tpi', 'ttp', 'ksi', 'bintang', 'krna', 'apl', 'mmang', 'best', 'smoga', 'kali', 'menang', 'undian', '']</t>
  </si>
  <si>
    <t>['payah', 'puuooool', 'update', 'kali', 'buka', 'daftar', 'versi', 'bagus', 'mending', 'dihapus', 'ngurangi', 'memori']</t>
  </si>
  <si>
    <t>['aplikasi', 'gajelas', 'bug', 'mulu', 'beli', 'kuota', 'ekstra', 'unlimited', 'gabisa', '']</t>
  </si>
  <si>
    <t>['sya', 'suka', 'aplikasinya', 'membantu']</t>
  </si>
  <si>
    <t>['mantap', 'pembelian', 'paketnya']</t>
  </si>
  <si>
    <t>['sedih', 'banget', 'beli', 'kuota', 'harga', 'notif', 'maaf', 'membeli', 'produk', 'pdhl', 'udh', 'beli', 'kuota', '']</t>
  </si>
  <si>
    <t>['wilayah', 'manado', 'kota', 'kotamobagu', 'berharap', 'telkomsel', 'jaringan', 'dikabupaten', 'kepulauan', 'sangihe', 'dimanado', 'dikota', 'kotamobagu', 'terimakasih', '']</t>
  </si>
  <si>
    <t>['pindah', 'sebelah', 'jaringan', 'jarang', 'stabil', 'hujan', 'parah', 'banget', 'menang', 'mahal', 'doang']</t>
  </si>
  <si>
    <t>['mohon', 'aktifkan', 'pembelian', 'pulsa', 'dlm', 'aplikasi', 'aktifkan']</t>
  </si>
  <si>
    <t>['nyesel', 'telkomsel', 'jaringan', 'angin', 'stabil', 'trus', 'pulsa', 'hilang', 'haram', '']</t>
  </si>
  <si>
    <t>['ribet', 'beli', 'kuota', 'internet', 'dibagi']</t>
  </si>
  <si>
    <t>['bagus', 'cuman', 'harga', 'paketnya', 'mahal', 'bener', 'aplikasinya', 'berat', 'bukanya']</t>
  </si>
  <si>
    <t>['beli', 'paket', 'sakti', 'murah', 'kartu', '']</t>
  </si>
  <si>
    <t>['kecewa', 'banget', 'telkomsel', 'jaringan', 'kacau', 'udah', 'beraturan', 'pindah', 'kartu']</t>
  </si>
  <si>
    <t>['maaju', 'telkomsel', 'lupa', 'hadiahnya', '']</t>
  </si>
  <si>
    <t>['pengguna', 'udh', 'seminggu', 'lbh', 'knp', 'bsa', 'tranfer', 'pulsa', 'hub', 'msh', 'blm', 'pulsa', 'pengguna', 'telkomsel', 'kecewa']</t>
  </si>
  <si>
    <t>['sinyal', 'dijakarta', 'jelek', 'jakarta', 'tolong', 'diperbaiki', 'kualitas', 'harga', 'tolong', 'mahal', 'masya', 'kalah', 'operator', 'malu', 'telkomsel', 'telkom', 'telkom', 'bumn']</t>
  </si>
  <si>
    <t>['pembelian', 'paket', 'pakai', 'ovo', 'tersedia']</t>
  </si>
  <si>
    <t>['semoga', 'bagus', 'sinyalnya', 'telkomsel', 'jaya', '']</t>
  </si>
  <si>
    <t>['aplikasi', 'update', 'mulu', 'bosen', 'puyeng', 'cek', 'kuota', '']</t>
  </si>
  <si>
    <t>['kartu', 'pke', 'tpi', 'knp', 'sinyal', 'msh', 'jelek']</t>
  </si>
  <si>
    <t>['kadang', 'suka', 'lemot', 'masuk', 'aplikasi']</t>
  </si>
  <si>
    <t>['', 'telkomsel', 'merugikan', 'pengguna', 'bertahun', 'percaya', 'pinjam', 'pulsa', 'transaksi', 'telkomsel', 'berjuta', 'juta', 'kecewa', 'telkomsel', 'percaya', 'pengguna', 'telkomsel', 'dancooookk', 'iteeelll', '']</t>
  </si>
  <si>
    <t>['tambahkan', 'fitur', 'kunci', 'pulsa', 'donk', 'min', 'pas', 'kuota', 'abis', 'nyedot', 'pulsa', 'ane', 'kecolongan', 'pulsa', 'gara', 'tambahin', 'fitur', 'kasih', '']</t>
  </si>
  <si>
    <t>['min', 'seminggu', 'sinyalnya', 'lemot', 'banget', 'tolong', 'harga', 'kuota', 'telkomsel', 'mahal', 'sinyal', 'jelek', 'kayak', 'gini']</t>
  </si>
  <si>
    <t>['mahal', 'jaringan', 'busuk']</t>
  </si>
  <si>
    <t>['puas', 'pelayanan', 'mytelkomsel', 'cepat', 'respon', 'mudah']</t>
  </si>
  <si>
    <t>['dowload', 'blm', 'memahami', 'manfaatnya', 'kegunaan', 'manfaat', 'kasih', 'bintang', '']</t>
  </si>
  <si>
    <t>['aplikasi', 'telkosel', 'mempermudah', 'transaksi', 'pulsa', 'mempermudah', 'promo', 'promo', 'menarik', 'telkomsel', 'terma', 'kasih', 'telkomsel', 'jaya', '']</t>
  </si>
  <si>
    <t>['makinnnn', 'parahhh', 'kartu', 'halo', 'huft', 'parah', 'parahh', 'parahhhh']</t>
  </si>
  <si>
    <t>['dear', 'telkomsel', 'jelek', 'tolong', 'jaringannya', 'diakses', 'kesemua', 'pelosok', 'akses', 'udah', 'belik', 'mahal', '']</t>
  </si>
  <si>
    <t>['app', 'bagus', 'berguna']</t>
  </si>
  <si>
    <t>['mahal', 'buruk', 'jaringan', 'perbaiki', 'woy', 'ngga', 'nyaman']</t>
  </si>
  <si>
    <t>['puas', 'tpi', 'cpt', 'hbis']</t>
  </si>
  <si>
    <t>['telkomsel', 'sinyale', 'setabil', 'udah', 'berlangganan', 'udah', 'telkomsel', 'sinyalnya', 'setabil', 'kadang', 'hilang', 'muncul', 'harap', 'kualitas', 'sinyalnya', 'tingkatkan', 'pelanggan', 'setia', 'telkomsel', 'kecewa', '']</t>
  </si>
  <si>
    <t>['aihh', 'ngk', 'bilng', 'lgi', 'sinyal', 'telkomsel', 'bermasalah', 'apalgi', 'klai', 'mlm', 'jaringan', 'mengeluh', 'sperti', 'klau', 'ganti', 'kartu', 'kesell', 'maaf', 'klau', 'perkataan', 'menyinggung', 'tpi', 'batas', 'kesabaran', 'tolong', 'perhatikan']</t>
  </si>
  <si>
    <t>['telkomsel', 'jaya']</t>
  </si>
  <si>
    <t>['membantu', 'cek', 'paket', 'dll', 'kedepannya', 'temanya', 'rubah', 'keren', 'gar', 'menarik']</t>
  </si>
  <si>
    <t>['tinggal', 'kota', 'rumah', 'jaringan', 'bermasalah', 'alasan', 'tembok', 'macem', 'penghalang', 'telkomsel', 'center', 'kartu', 'tri', 'axis', 'normal']</t>
  </si>
  <si>
    <t>['jaringan', 'madesu', 'lemot', 'bener', 'jaringan', 'nomer', 'beda', 'kenyataan', '']</t>
  </si>
  <si>
    <t>['kasih', 'langsung']</t>
  </si>
  <si>
    <t>['lag', 'parah']</t>
  </si>
  <si>
    <t>['update', 'giliran', 'update', 'loading', 'setahun', 'menjengkelkan', '']</t>
  </si>
  <si>
    <t>['tukar', 'poin', 'abis', 'nggak', 'dapet', 'njirrt', 'permainan', 'orang', 'mah']</t>
  </si>
  <si>
    <t>['lemot', 'bang', 'telkomsel', 'dibelakang', 'rumah', 'towernya', 'kecepatan', 'kaya', 'segitu', 'udah', 'ngacir', 'puas', 'nonton', 'youtube', 'line', 'lancar', 'nonton', 'status', 'whatsapp', 'loading', 'melulu']</t>
  </si>
  <si>
    <t>['', 'telkontol', 'kpan', 'jaringanya', 'diperbaiki', '']</t>
  </si>
  <si>
    <t>['telkomsel', 'bangkrut', 'dimanapun', 'mengeluhkan', 'jaringan', 'spednya', 'siput', 'donloads', 'mb', 'memakan', 'berjam', 'kwalitas', 'telkomsel', 'buruk', '']</t>
  </si>
  <si>
    <t>['jangkauan', 'luas', 'pelayanan', 'costumer', 'cepat', 'tanggap', 'anjurkan', 'rekan', 'saudara', 'sahabat', 'memilih', 'telkomsel', 'mytelkomselnya']</t>
  </si>
  <si>
    <t>['gini', 'beli', 'internet', 'minggu', 'besoknya', 'kasih', 'kuota', 'kemdikbud', 'nyedot', 'kuota', 'kemdikbud', 'internet', 'beli', 'utuh', 'tolong', 'kalok', 'internet', 'aktifnya', 'pendek', 'dahulukan', 'rugi', 'beli', 'kuota']</t>
  </si>
  <si>
    <t>['pengguna', 'telkomsel']</t>
  </si>
  <si>
    <t>['update', 'promo', 'hilang', 'jelek', 'banget', 'harga', 'promo', 'sakti', 'berbeda', 'nomer', 'coba', 'jelek', 'banget', 'murah', 'engga', 'berpengaruh', 'susah', 'pakai', 'aplikasi', 'beda', 'gini', 'mah']</t>
  </si>
  <si>
    <t>['bagus', 'peduli', 'masyarakat']</t>
  </si>
  <si>
    <t>['telkomsel', 'lemot', 'tingkatkan', 'kualitasnya']</t>
  </si>
  <si>
    <t>['kesenjangan', 'kualitas', 'desa', 'kota', 'bayaar', 'mahaaaaall', 'kualitas', 'jeleeeekkk']</t>
  </si>
  <si>
    <t>['jaringan', 'jelek', 'gnya', 'kuotanya', 'mahal', 'daerah', 'jogja', 'kaya', 'ganti', 'kartu', '']</t>
  </si>
  <si>
    <t>['barusan', 'beli', 'pulsa', 'masuk', 'telkomsel', 'muncul', 'pulsanya', 'cek', 'manual']</t>
  </si>
  <si>
    <t>['pakai', 'telkomsel', 'mahal', 'jaringan', 'super', 'jelek']</t>
  </si>
  <si>
    <t>['tolong', 'telkomsel', 'aplikasi', 'telkomsel', 'terkahir', 'beli', 'paket', 'internet', 'paket', 'keterangan', 'hubungkan', 'jaringan', 'coba', 'paket', 'terpaksa', 'beli', 'paket', 'tolong', 'solusinya']</t>
  </si>
  <si>
    <t>['good', 'cuman', 'hadiah', 'voucher', 'belanja', 'diganti', 'manfaatnya']</t>
  </si>
  <si>
    <t>['tolong', 'jaringannya', 'diperbaiki', 'beli', 'paket', 'mahal', 'mahal', 'sesuai', 'jaringan', 'tower', 'deket', 'rumah']</t>
  </si>
  <si>
    <t>['ganti', 'kartu', '']</t>
  </si>
  <si>
    <t>['bagus', 'belom', 'donglot', 'donglot', '']</t>
  </si>
  <si>
    <t>['terima', 'kasih', 'aplikasi', 'telkomsel', 'terbantu']</t>
  </si>
  <si>
    <t>['jos', 'murah', '']</t>
  </si>
  <si>
    <t>['ceckin', 'koin', 'claim', 'bonus', 'koin', 'pergi', 'ntah', 'kemana', 'terserah', '']</t>
  </si>
  <si>
    <t>['terima', 'kasih', 'telkomsel', 'sukses', 'melayani', 'rakyat', 'indonesia']</t>
  </si>
  <si>
    <t>['jaringanmu', 'kesini']</t>
  </si>
  <si>
    <t>['signal', 'buruk', 'perbaikan', '']</t>
  </si>
  <si>
    <t>['jaringanya', 'bagusin', 'donk', 'boss', 'ngelag', 'babi', 'bagusin', 'jaringanya']</t>
  </si>
  <si>
    <t>['sipp', 'moga', 'promo']</t>
  </si>
  <si>
    <t>['', 'saranin', 'simpati', 'maju', 'bukanya', 'kuat', 'sinyal', 'menurun', 'stabil', '']</t>
  </si>
  <si>
    <t>['bagus', 'lelet']</t>
  </si>
  <si>
    <t>['aplikasi', 'bagus', 'sedunia', 'sebentar', 'nge', 'hang', 'gimana', 'telkomsel', 'tolong', 'benerin']</t>
  </si>
  <si>
    <t>['link', 'gbisa', 'bng', 'taro', 'disitu', '']</t>
  </si>
  <si>
    <t>['kasih', 'bintang', 'telkomsel', 'lemot', 'banget', 'suka', 'kesel', 'singyal', 'lemot', 'kuota', 'kayak', 'singyal', 'bagus', 'lancar', 'lemot', 'banget', 'kecewaaa', 'gua', '']</t>
  </si>
  <si>
    <t>['memudahkan', 'isi', 'paket']</t>
  </si>
  <si>
    <t>['promo', 'shopee', 'cashback', 'percaya', 'php', 'doang', 'koin', 'masuk', 'udah', 'bayar']</t>
  </si>
  <si>
    <t>['', 'galau', 'jaringan', 'lemot']</t>
  </si>
  <si>
    <t>['maaf', 'telkomsel', 'knp', 'daerah', 'buka', 'apk', 'online', 'kuota', 'kartu', 'tolong', 'bantuan', 'telokmsel']</t>
  </si>
  <si>
    <t>['aplikasi', 'membantu', 'langsung', 'beli', 'paket', 'poinnya', 'ditukar', 'bagus', 'pokoknya']</t>
  </si>
  <si>
    <t>['stelah', 'pindah', 'halo', 'lelet', '']</t>
  </si>
  <si>
    <t>['listrik', 'mati', 'signalnya', 'mati', 'gmn', 'mbak', 'vero', '']</t>
  </si>
  <si>
    <t>['paketanya', 'mahal', 'baget']</t>
  </si>
  <si>
    <t>['kebanyakan', 'updet', 'apk']</t>
  </si>
  <si>
    <t>['tolong', 'quota', 'lokal', 'lokalan', 'pengguna', 'setia', 'telkomsel', 'repot', 'sia', 'sia', 'top', 'quota', 'pindah', 'lokasi', 'ngga', 'pakai', '']</t>
  </si>
  <si>
    <t>['maen', 'game', 'masi', 'nglek']</t>
  </si>
  <si>
    <t>['aplikasi', 'lemot', 'terbuka', '']</t>
  </si>
  <si>
    <t>['kak', 'kali', 'login', 'login', 'kak', 'hapus', 'aplikasi', 'download', 'ulangg', 'tolong', 'kak', 'diperbaiki', '']</t>
  </si>
  <si>
    <t>['sinyal', 'lelet', 'parah', 'kalah', 'kartu', 'kota', 'hutan']</t>
  </si>
  <si>
    <t>['kasih', 'bintang', 'beb', 'tdi', 'main', 'mobile', 'legend', 'afk', 'gara', 'sinyal', 'ilang', 'ketiga', 'kalinya', 'dibikin', 'afk', 'gara', 'sinyal', 'pas', 'buka', 'aplikasi', 'lancar', 'jaya', 'tpi', 'sampe', 'afk', 'gara', 'sinyal', 'kukasih', 'bintang', 'push', 'mmr', 'afk', 'pahamkan', 'beb', 'makasih', '']</t>
  </si>
  <si>
    <t>['telkomsel', 'memudahkan']</t>
  </si>
  <si>
    <t>['beli', 'bayar', 'pulsa', 'masuk', 'tolong', 'bantu', 'trmksh', '']</t>
  </si>
  <si>
    <t>['aplikasinya', 'bakus', 'tolong', 'kurangi', 'harga', 'pembeliannya', 'kadan', 'beli', 'data', 'harga', 'mahal', 'gratisan', 'telpon', 'sms', '']</t>
  </si>
  <si>
    <t>['puas', 'promo', 'paketan']</t>
  </si>
  <si>
    <t>['puas', 'daftar', 'paket', 'datanya', 'mahal', '']</t>
  </si>
  <si>
    <t>['aplikasi', 'rumit', 'kirim', 'paket', 'beda', 'nomor', 'beda', 'mint', 'kode', 'otp', 'link', 'sialan', 'fitur', 'kirim', 'hadiahnya', '']</t>
  </si>
  <si>
    <t>['murah', 'intinya']</t>
  </si>
  <si>
    <t>['tolong', 'punga', 'telkomsel', 'perbaiki', 'jaringan', 'kaya', 'bobrok', 'gini', 'paket', 'mahal', 'jaringan', 'kaya', 'kura', 'kalah', 'provider', 'murah', '']</t>
  </si>
  <si>
    <t>['telkomselllllll', 'woiiiiii', 'betulin', 'sinyal', 'woiiiiiii', 'liat', 'download', 'gambar', 'nunggu', 'menit', 'harga', 'sesuai', 'kualitas', 'males', 'gua', 'make', 'tsel', 'kayak', 'serius', 'sinyal']</t>
  </si>
  <si>
    <t>['gini', 'pulsa', 'habis', 'gara', 'paket', 'internet', 'aktif', 'nggak', 'banget', 'isi', 'pulsa', 'langsung', 'ludes', 'gara', 'sengaja', 'data', 'seluler', 'aktif', '']</t>
  </si>
  <si>
    <t>['telkomsel', 'parahhh', 'pakai', 'chat', 'berjam', 'jam', 'lpading', 'nelpon', 'pakia', 'putus', 'putus', 'pakai', 'aplikasi', 'gopartenr', 'gojek', 'loading', 'kebuka', 'buka', 'seharian', 'main', 'game', 'loading', 'internet', 'putus', 'sumpahhhh', 'syaa', 'bohoong', 'komentar', 'langsung', 'hapus', 'pesan', 'hapus', 'admin', 'saudara', 'saudara', 'baca', 'pesan', 'beribtahu', 'beli', 'kuota', 'internet', 'telkomselll', 'jamin', 'menyessall', '']</t>
  </si>
  <si>
    <t>['', 'telkomsel', 'lag', 'parah', 'ganti', 'kartu', 'signalnya', 'ssh', 'telkomsel', 'point', 'nambah', 'nambah', 'anjg']</t>
  </si>
  <si>
    <t>['pulsa', 'kepotong', 'trus', 'pemberitahuan', 'telkomsel', 'maling', 'pulsa', 'paket', 'mahal', 'maling', 'kejadian', 'oktober', 'paket', 'internet', 'pulsa', 'dicuri', 'telkomsel', 'tinggal', 'telpon', 'bayar', 'isi', 'pulsa', 'nelpon', 'takut', 'sisa', 'saldonya', 'dicuri', 'tolong', 'pemangku', 'kepentingan', 'telkomsel', 'halal', 'uang', 'hasil', 'nyuri']</t>
  </si>
  <si>
    <t>['semoga', 'jaringa', 'lancarrrr', 'jaringan', 'dibangun', 'sampe', 'mengurangi', 'kualitas', 'karna', 'org', 'dipungkiri', 'mungkinkarna', 'handset', 'support', 'harga', 'mahall', 'blum', 'kbeli', 'alternatiff', 'ttep', '']</t>
  </si>
  <si>
    <t>['hei', 'telkomsel', 'yth', 'zaman', 'maju', 'lemot', 'sinyal', 'tolong', 'perbaiki', 'kinerja', 'telkomsel', 'tenggelam', 'kurasa', '']</t>
  </si>
  <si>
    <t>['aplikasi', 'bagus', 'bagus']</t>
  </si>
  <si>
    <t>['parah', 'banget', 'sinyal', 'ilang']</t>
  </si>
  <si>
    <t>['tolong', 'telkomsel', 'urutan', 'pemakaian', 'kuota', 'didahulukan', 'kuota', 'habis', 'masanya', 'kuota', 'kemendikbud', 'kepake', 'duluan', 'kuota', 'berlaku', 'nggak', 'kepake', '']</t>
  </si>
  <si>
    <t>['paket', 'beli', 'isi', 'plsa', 'paketnya', 'ilang', 'haanneehhhh', '']</t>
  </si>
  <si>
    <t>['pulsa', 'melebihi', 'paket', 'beli', 'sisa', 'pulsa', '']</t>
  </si>
  <si>
    <t>['telkom', 'mantap']</t>
  </si>
  <si>
    <t>['jaringan', 'dimana', '']</t>
  </si>
  <si>
    <t>['aplikasi', 'bagus', 'ketipu', 'aplikasi', 'pas', 'bli', 'kuota', 'halaman', 'poin', 'pulsa', 'habis', 'pikirbeli', 'kuotanyabisa', 'poin', 'doang', 'pulsa', 'rugi', 'pulsa', 'habis', 'poin', 'habis', 'kuotanya', 'cuman', 'rugi', 'rugi', '']</t>
  </si>
  <si>
    <t>['bagus', 'apknya']</t>
  </si>
  <si>
    <t>['bagus', 'app']</t>
  </si>
  <si>
    <t>['harga', 'internet', 'mahal', 'diatas', 'hrga', 'fasilitas', 'ono', 'kucrut', 'internet', 'dpet', 'gb', 'coba', 'kouta', 'segitu', 'pelit', 'mahal', 'lgi', '']</t>
  </si>
  <si>
    <t>['beli', 'pulsa', 'udh', 'habis', 'pakek', 'tolong']</t>
  </si>
  <si>
    <t>['paket', 'ngelek', 'min', 'tolong', 'perbaiki', 'makasih', '']</t>
  </si>
  <si>
    <t>['turun', 'ranting', 'bos', 'aneh', 'paket', 'data', 'pulsa', 'tetep', 'kena', 'kadang', 'nyampe', 'nol', 'kesedot']</t>
  </si>
  <si>
    <t>['sabtu', 'minggu', 'menikmati', 'liburan', 'bareng', 'kluarga', 'lupa', 'ditemani', 'telkomsel', 'super', 'duper', 'lemot', '']</t>
  </si>
  <si>
    <t>['sinyal', 'telkomsel', 'jelek', 'pindah', 'provider']</t>
  </si>
  <si>
    <t>['memuaskan', 'tingkatkan', 'kualitas', 'jaringannya', 'login', 'lambat']</t>
  </si>
  <si>
    <t>['mantap', 'aplikasi', 'membantu']</t>
  </si>
  <si>
    <t>['mantap', 'mudah', 'pokok']</t>
  </si>
  <si>
    <t>['uda', 'beli', 'pulsa', 'beli', 'paketan', 'internet', 'masuk', 'tolong', 'cek', 'operator', 'segini', 'bintang']</t>
  </si>
  <si>
    <t>['tanggepi', 'kasih', 'bintang', 'ntar', 'tanggepi', 'solusinya', 'tambahin', 'nanya', 'instal', 'apk', 'login', 'verifikasi', 'memasukan', 'kode', 'verifikasinya', 'trus', 'gimana', 'loginnya', 'coba', 'metode', 'veronika', 'balas', '']</t>
  </si>
  <si>
    <t>['mengunakan', 'apliksi', 'telkomsel', 'pketan', 'internet', 'ngak', 'kaleng', 'kaleng', 'bnyak', 'promo']</t>
  </si>
  <si>
    <t>['halo', 'mimin', 'beli', 'paket', 'combo', 'sakti', 'kemarin', 'sampe', 'slalu', 'keterangannya', 'maaf', 'gangguan', 'periksa', 'koneksi', 'internet', 'ulangi', 'menit', 'udah', 'coba', 'kemarin', 'tetep', 'kuota', 'dikit', 'jaringan', 'bagus', 'mohon', 'bantuannya', 'min']</t>
  </si>
  <si>
    <t>['aplikasi', 'ngentod', 'pulsa', 'sedot', 'ajg', 'tagihan', 'kuota', 'darurat', '']</t>
  </si>
  <si>
    <t>['telkomsel', 'iklan', 'promosinya', 'cenderung', 'licik', 'menjebak', 'rawan', 'salah', 'klik', 'tombol', 'diaplikasi', 'iklan', 'merugikan', 'pelanggan', 'awam', 'pelanggan', 'setia', 'telkomsel', 'terima', 'kasih']</t>
  </si>
  <si>
    <t>['nomor', 'tekomsel', 'orang', 'yaa', 'pas', 'masuk', 'orang', 'pas', 'cek', 'gimana', '']</t>
  </si>
  <si>
    <t>['jaringan', 'lelet', 'harga', 'internet', 'mahal', 'duh', 'harga', 'rb', 'lawak', '']</t>
  </si>
  <si>
    <t>['', 'mantap', 'cepat', 'bnget']</t>
  </si>
  <si>
    <t>['dear', 'mytelkomsel', 'daily', 'chek', 'error', 'pertengahan', 'bln', 'kehilangan', 'momment', 'bonus', 'streaming', 'movie', 'sepenuhnya', 'mengurangi', 'kuota', 'multimedia', 'kuota', 'internet', 'reguler', 'berkurang', 'dihari', 'jam', 'lemot', 'sinyal', 'dipakai', 'terkadang', 'sinyal', 'turun', 'aplikasi', 'update', 'restart', 'clear', 'cache', 'pakai', 'keluaran', 'android', 'overall', 'okey', 'semoga', 'diperkuat', 'sinyal', 'pelayanannya', 'terimakasih', '']</t>
  </si>
  <si>
    <t>['login', 'lemot', 'tukar', 'poin', 'ngk', 'pakai', 'kartu', '']</t>
  </si>
  <si>
    <t>['pembelian', 'paket', 'kuota', 'mudah', 'cepat', 'menit', 'tank', '']</t>
  </si>
  <si>
    <t>['payah', 'sinyal', 'gabisa', 'apapa', 'bobrok', '']</t>
  </si>
  <si>
    <t>['super']</t>
  </si>
  <si>
    <t>['telkomsel', 'jaringan', 'terluas', 'harga', 'paket', 'merakyat']</t>
  </si>
  <si>
    <t>['paketan', 'habis', 'telat', 'detik', 'nonaktifkan', 'data', 'sisa', 'pulsa', 'langsung', 'kesedot', 'perhatian']</t>
  </si>
  <si>
    <t>['recommended', 'pakai', 'telkomsel', 'sbagai', 'pengguna', 'jaringan', 'telkomsel', 'buruk', 'sisa', 'pulsa', 'paketan', 'buang', 'duit', 'tolong', 'perbaiki', 'jaringannya', 'daily', 'check', 'suka', 'bug', 'pulsa', 'terkadang', 'tersedot']</t>
  </si>
  <si>
    <t>['beli', 'kuota', 'telkomsel', 'kyk', 'gini']</t>
  </si>
  <si>
    <t>['aplikasi', 'bagus', 'kemudahan', 'mengaktifkan', 'paket']</t>
  </si>
  <si>
    <t>['sinyal', 'bagus', 'hadiah', 'menarik']</t>
  </si>
  <si>
    <t>['aplikasi', 'force', 'close', 'mulu', 'suruh', 'update', 'versi', 'terbaru', 'versi', 'yng', 'terpasang', 'mohon', 'upade', 'bug', 'force', 'close', '']</t>
  </si>
  <si>
    <t>['bagus', 'rusak', 'habisin', 'uang', 'tidk', 'nyaman', 'pakek', 'kartu', 'ganti', 'axis']</t>
  </si>
  <si>
    <t>['ngelek', 'mulu', 'jaringannya', 'tolong', 'betulkan']</t>
  </si>
  <si>
    <t>['sya', 'senang', 'bergabung', 'dng']</t>
  </si>
  <si>
    <t>['bintang', 'undian', 'tukar', 'poin', 'telekomsel', 'adakan', 'undian', 'tukar', 'poin', 'sampe', 'bohong', 'bohong', 'poin', 'tukar', 'bisah', 'ditukar', 'undian', 'bohong']</t>
  </si>
  <si>
    <t>['smga', 'undian', 'tukar', 'poin', 'hadia', 'handphone', 'kegiatan', 'belajar', 'online', '']</t>
  </si>
  <si>
    <t>['kualitas', 'sinyal', 'udah', 'jelek', 'tarif', 'mahal', 'sesuai', 'harga', 'berhenti', 'pakai', 'telkomsel', 'sayang', 'udah', 'dipakai', '']</t>
  </si>
  <si>
    <t>['pelanggan', 'harga', 'paket', 'mahal', 'data', 'habis', 'langsung', 'sedot', 'pulsa', 'mengedepankan', 'kepuasan', 'pelanggan', 'nyesel']</t>
  </si>
  <si>
    <t>['fungsinya', 'bermanfaat']</t>
  </si>
  <si>
    <t>['kecewa', 'berat', 'kabar', 'jaringan', 'laut', 'tergigit', 'hiu', 'informasinya', 'rapikan', 'signal', 'kunjung', 'membaik', 'penambahan', 'jaringan', 'tolong', 'jaringan', 'kekuatannya', 'turunkan', '']</t>
  </si>
  <si>
    <t>['tolong', 'donk', 'perbaiki', 'kualitas', 'signal', 'telkomsel', 'harga', 'kualitas', 'signal', 'merosot', 'jelek']</t>
  </si>
  <si>
    <t>['promo', 'harian', 'unlimited', 'gitu', 'klik', 'gb', 'pemakaian', 'wajar', 'unlimited', 'unlimited', 'berubah', 'limit', 'gb', 'ngasih', 'bonus', 'mb', 'jaringan', 'ribet', 'klw', 'iklash', 'ksi', 'bonus', 'mending', 'emg', 'smua', 'daerah', 'udah', '']</t>
  </si>
  <si>
    <t>['rakus', 'ama', 'pulsa', 'beli', 'pulsa', 'rb', 'trus', 'pas', 'paketin', 'udah', 'tanda', 'centang', 'tanda', 'transaksi', 'berhasih', 'ehhh', 'kuota', 'masuk', 'pulsa', 'embat', 'sumpah', 'kecewa', 'banget', 'telkomsel', 'perbaiki', 'tolong', 'pulsa', 'kunci', 'ohhhh', 'iya', 'hilangin', 'namanya', 'paket', 'darurat', 'suka', 'aktif', 'tolong', 'perbaiki', 'min', '']</t>
  </si>
  <si>
    <t>['coba', 'bagus', 'ganti', 'laen', '']</t>
  </si>
  <si>
    <t>['tolong', 'menu', 'ngelock', 'pulsa', 'telkomselnya', 'pas', 'kuota', 'habis', 'paketin', 'telkomsel', 'nyalain', 'data', 'pulsanya', 'keburu', 'habis', 'tolonglah', 'tolol', 'provider', 'gede', 'kepikiran', '']</t>
  </si>
  <si>
    <t>['heran', 'update', 'aplikasi', 'ribet', 'mencoba', 'beli', 'paket', 'aktivasinya', 'mohon', 'diperbaiki', 'naikan', 'bintangnya', 'mohon', 'telkomsel', 'menstabilkan', 'jaringan', 'internetnya', 'harga', 'mahal', 'provider', 'jujur', 'belasan', 'telkomsel', 'kecewa', '']</t>
  </si>
  <si>
    <t>['halo', 'kartu', 'tsel', 'udh', 'jaringan', 'udh', 'bersihin', 'dll', 'ttp', 'jaringan']</t>
  </si>
  <si>
    <t>['gagal', 'login', 'orbit', 'atasi', 'mytelkomsel']</t>
  </si>
  <si>
    <t>['maaf', 'min', 'sinyal', 'telkomsel', 'internetan', 'langsung', 'jaringan', 'berubah', 'jaringan', 'telpon', '']</t>
  </si>
  <si>
    <t>['mytelkomsel', 'berat', 'lambat', 'dibandingkan', 'myxl', 'mysmartfren', 'tolong', 'diperbaiki', '']</t>
  </si>
  <si>
    <t>['', 'liat', 'hasil']</t>
  </si>
  <si>
    <t>['selamat', 'kena', 'prank']</t>
  </si>
  <si>
    <t>['apk', 'bener', 'gimana', 'sihh', 'isi', 'pulsa', 'beli', 'kuota', 'pulsa', 'cek', 'jam', 'pulsa', 'habis', 'potong', 'gimana', 'siiihhh', 'kesel', 'aplikasi', 'merugikan', 'banget', 'nyesel', 'telkomsel', 'paaaaaaraaahhh', 'ihhhhh', 'pengen', 'maki', 'maki', 'kecewa', 'banget', 'allah']</t>
  </si>
  <si>
    <t>['hey', 'jaringan', 'terluas', 'indonesia', 'kali', 'main', 'game', 'jaringan', 'stabil', 'ngaku', 'jaringan', 'terluas', 'indonesia', 'seharus', 'beneran', 'bagus', 'jaringan', 'berasa', 'pindah', 'provider', 'minus', 'telkomsel', 'jaringan', 'terluas', 'indonesia', '']</t>
  </si>
  <si>
    <t>['parah', 'jaringan', 'kek', 'eek', 'parah', 'lag', 'banget', 'nnton', 'streaming', 'lelet', 'bnget', 'kuota', 'mahal', 'jaringan', 'ampass', 'pelanggan', 'telkomsel', 'bertahun', 'pke', 'telkomsel', 'parah', 'jaringan', '']</t>
  </si>
  <si>
    <t>['suka', 'potongan', 'pulsa', '']</t>
  </si>
  <si>
    <t>['udah', 'paket', 'data', 'super', 'duper', 'mahal', 'jaringan', 'internet', 'kayak', 'keong', 'kerja', 'duit', 'pentingkan', 'perhatikan', 'costumer', 'jaringan', 'bangsatttttt']</t>
  </si>
  <si>
    <t>['kerja', 'iklan', 'menjanjikan', 'janji', 'hutang', 'janjimu', 'pengguna', 'sinyal', 'lancar', 'sinyalnya', 'kek', 'siput', 'jalan', 'bos', 'maaf', 'kerja', 'beli', 'paketan', 'uang', 'daun', 'sorry', 'bintang', 'pilihan', 'jempol', 'jempol', 'udah', 'pektan', 'selangit', 'harganya', 'sinyal', 'letoy', 'pelanggan', 'raja', '']</t>
  </si>
  <si>
    <t>['sukses', 'beli', 'paket', 'gue', 'hidupin', 'data', 'bisah', 'tolol']</t>
  </si>
  <si>
    <t>['aplikasi', 'udah', 'diperbarui', 'nggak']</t>
  </si>
  <si>
    <t>['sinyal', 'trouble', 'parah']</t>
  </si>
  <si>
    <t>['pulsa', 'beli', 'paket', 'internet', 'sakti', 'harga', '']</t>
  </si>
  <si>
    <t>['menakjubkan']</t>
  </si>
  <si>
    <t>['kuota', 'pendidikan', 'nggk', 'dipakai', 'lancar', 'gmeet', 'zoom', 'nggk']</t>
  </si>
  <si>
    <t>['bagus', 'mudah', 'sukses', 'telkomsel', 'promo', 'hahaha']</t>
  </si>
  <si>
    <t>['jaringan', 'telkomsel', 'skrng', 'lemot', 'dlu', 'dlu', 'chas', 'pleng', 'skrg', 'buka', 'video', 'susah', 'ampiuuuun']</t>
  </si>
  <si>
    <t>['aplikasi', 'telkomsel', 'menyenangkan', 'membantu', '']</t>
  </si>
  <si>
    <t>['udah', 'banyakin', 'promonya', 'iya', 'liat', '']</t>
  </si>
  <si>
    <t>['undi', 'hepi', 'minggu', 'beneran', 'poin', 'random', 'ikutin', 'undian', 'dpt', 'ampe', 'mggu', 'abisin', 'poin', 'undian', 'pulsa', 'klu', 'dpt', 'payah']</t>
  </si>
  <si>
    <t>['manfaatnya', 'bagus', 'memudahkan', 'cepat', 'murah', 'kualitas', 'kepercayaan', 'pelanggan', 'terbaik', '']</t>
  </si>
  <si>
    <t>['aplikasinya', 'bagus', 'banget', '']</t>
  </si>
  <si>
    <t>['untk', 'membatu', 'apk', '']</t>
  </si>
  <si>
    <t>['bintang', 'aplikasi', 'sangst', 'berguna', 'ttg', 'kouta', 'pulsa', 'dsb', 'terima', 'kasih', 'telkomsel', 'semoga', 'jaya', '']</t>
  </si>
  <si>
    <t>['jaringan', 'telkomsel', 'jelek', 'harga', 'paket', 'doang', 'mahal', 'jaringan', 'diurusin']</t>
  </si>
  <si>
    <t>['parah', 'kirim', 'pulsa', 'langsung', 'mytelkomsel', 'disuruh', 'downlod', 'linkaja', 'berat', '']</t>
  </si>
  <si>
    <t>['kak', 'kartuku', 'cek', 'pulsa', 'sms', 'telp', 'isi', 'pulsa', 'menerima', 'panggilan', 'masuk', 'sms', 'masuk', 'tandanya', 'kartu', 'blokir', '']</t>
  </si>
  <si>
    <t>['telkomsel', 'tolong', 'udah', 'rugi', 'puluhan', 'ribu', 'pulsa', 'hilang', 'gara', 'seringkali', 'mengakses', 'internet', 'pulsa', 'beli', 'kuota', 'dimakan', 'telkomsel', 'tolong', 'udah', 'banget', 'ngalaminnya', 'gini']</t>
  </si>
  <si>
    <t>['pulsa', 'telkomsel', 'banget', 'kesedot', 'alias', 'pdhal', 'udah', 'paket', 'internet', 'paket', 'telfon', 'banget', 'kayak', 'gitu', 'kesel', 'nggak', 'kecewa', 'banget']</t>
  </si>
  <si>
    <t>['susah', 'darurat', 'pulsa', 'darurat', 'nunggu', 'hadeh', 'make', 'kartu', 'bgtu', 'doang', 'tbah', 'ribet', 'udah', 'service', 'slow', 'respon', 'hadeh']</t>
  </si>
  <si>
    <t>['kecewa', 'sma', 'krtu', 'paket', 'msh', 'pulsa', 'sllu', 'hbis', 'kmakan', 'internet', '']</t>
  </si>
  <si>
    <t>['bagus', 'keren', 'membantu']</t>
  </si>
  <si>
    <t>['kasi', 'bintang', 'jaringan', 'wilayah', 'bagus', 'nelpon', 'kadang', 'susah', 'internet', 'mohon', 'jaringannya', 'ditingkatkan', 'terimakasih', 'love', 'telkomsel', '']</t>
  </si>
  <si>
    <t>['jaringan', 'jelek', 'lemot', 'sisi', 'paket', 'penggunaan', 'mengecewakan', 'kesini', 'parah', 'pengguna', 'bagus', 'buruk', 'pentingin', 'omsed', 'pelayanan', '']</t>
  </si>
  <si>
    <t>['mengakses', 'aplikasi', 'kuota']</t>
  </si>
  <si>
    <t>['aplikasi', 'membantu', 'mantap', '']</t>
  </si>
  <si>
    <t>['tolong', 'hadiah', 'chek', 'hri', 'otomatis', 'claim', 'mksh', 'sukses', 'trs', 'telkomsel']</t>
  </si>
  <si>
    <t>['telkomsel', 'jaringannya', 'buruk', 'diperbaiki', 'beli', 'paket', 'data', 'terpakai', 'pakai', 'wifi', 'rumah', '']</t>
  </si>
  <si>
    <t>['gembira', 'dikala', 'membuka', 'aplikasi', 'telkomsel', 'terbantu', 'kemudahan', 'kemudahan', 'telkomsel', 'kedepannya', 'ditingkatkan', 'kejelasan', 'informasi', 'penarikan', 'undiannya', 'telkomsel', 'pelanggan', 'didaerah', 'pedusunan', 'menikmati', 'penarikannya', 'salah', 'gebrakan', 'menarik', 'pelanggan', 'didaerah', 'jaringan', 'seluler', 'kudo', 'sukses', 'untukmu', 'telkomsel']</t>
  </si>
  <si>
    <t>['beli', 'kuota', 'internet', 'emang', 'pilihan', 'paket', 'internet', 'pilihan', 'internet', 'malam', 'paket', 'hiburan', 'maaf', 'pindah', 'provider', 'bye', 'bye', 'telkomsel']</t>
  </si>
  <si>
    <t>['jaringan', 'udh', 'sesuai', 'janji', 'kasih', 'bintang', 'smoga', 'tlkom', 'kasih', 'pelajar', 'harga', 'murah', 'bli', 'paketan', 'harian', 'chek', 'membantu', '']</t>
  </si>
  <si>
    <t>['suka', 'eror', 'sore', '']</t>
  </si>
  <si>
    <t>['alhamdulilah', 'bagus', 'telkomsel', 'lancar', 'internet', 'puas', 'memakai', 'ayolah', 'pakai', 'telkomsel']</t>
  </si>
  <si>
    <t>['udah', 'update', 'suruh', 'update', 'tombol', 'update']</t>
  </si>
  <si>
    <t>['', 'meli', 'paket', 'murah']</t>
  </si>
  <si>
    <t>['kuota', 'entertainment', 'maxstream', 'kepotong', 'kuota', 'utama', '']</t>
  </si>
  <si>
    <t>['harga', 'paket', 'internet', 'mahal', 'mahal', 'promo', 'mahal', '']</t>
  </si>
  <si>
    <t>['combo', 'sakti']</t>
  </si>
  <si>
    <t>['udah', 'install', 'notifikasi', 'kaga', 'masak', 'gimana', 'siy', 'cape', 'deh', 'telkomsel', 'belom', 'aplikasi', '']</t>
  </si>
  <si>
    <t>['kecewa', 'isi', 'plsa', 'pkerin', 'tgal', 'habis', 'plsa', 'tdak', 'habis', 'cranya', 'mncuri', 'konsumen', 'diam', '']</t>
  </si>
  <si>
    <t>['paket', 'data', 'pakai', 'tarif', 'non', 'paket', 'kecewa', '']</t>
  </si>
  <si>
    <t>['burik', 'burik', 'sinya', 'game', 'rusak', 'asik', 'kadang', 'gajelas', 'paket', 'mahal', 'rusak', 'telkomsel', '']</t>
  </si>
  <si>
    <t>['pulsa', 'kepotong', 'dipake']</t>
  </si>
  <si>
    <t>['hidup', 'susah', 'susah', 'tagihan', 'pakai', 'pajak', 'malak', 'bener', '']</t>
  </si>
  <si>
    <t>['cocok', 'keluarga', 'paket', 'combo', 'sakti', 'membantu']</t>
  </si>
  <si>
    <t>['pelayanan', 'bagus', 'kualitas', 'jaringan', '']</t>
  </si>
  <si>
    <t>['alhamdulillah', 'skrg', 'udah', 'normal', 'bintang', 'lgi', 'bayar', 'virtual', 'account', 'lgi', '']</t>
  </si>
  <si>
    <t>['lelet', 'online']</t>
  </si>
  <si>
    <t>['kadang', 'lancar', 'kadang', 'lelet']</t>
  </si>
  <si>
    <t>['buka', 'aplikasi', 'mytelkomsel', 'dibuka', 'jaringan', 'lancar']</t>
  </si>
  <si>
    <t>['apk', 'bgus', 'bangett', 'jaringannya', 'ngga', 'lemot']</t>
  </si>
  <si>
    <t>['mytelkomsel', 'banget']</t>
  </si>
  <si>
    <t>['isi', 'voucher', 'sistem', 'sibuk', 'tolong', 'telkomsel', 'kasih', 'fitur', 'isi', 'voucher', 'kaya', 'axisnet']</t>
  </si>
  <si>
    <t>['pertahankan', 'paket', 'hemat', 'combo', 'unlimited']</t>
  </si>
  <si>
    <t>['skrng', 'telkomsel', 'susah', 'dibuka']</t>
  </si>
  <si>
    <t>['pulsa', 'trus', 'berkarang', 'pulsa', '']</t>
  </si>
  <si>
    <t>['membantu', 'diskonnya', 'gede', 'yaaaaa']</t>
  </si>
  <si>
    <t>['penggunaan', 'kartu', 'knp', 'suprise', 'dealku', 'mahal']</t>
  </si>
  <si>
    <t>['memudahkn']</t>
  </si>
  <si>
    <t>['informatif', 'komunikatif']</t>
  </si>
  <si>
    <t>['paket', 'internet']</t>
  </si>
  <si>
    <t>['pulsa', 'utama', 'terpotong', 'internet', 'koata', 'coba', 'penguncian', 'pulsa', 'utama', 'akar', 'terpotong', 'kalah', 'exis', 'fasilitas', 'penguncian', 'pulsa', 'utama', 'biarpun', 'koata', 'habis', 'ketahuan', 'pulsa', 'terpotong']</t>
  </si>
  <si>
    <t>['kuota', 'gratis']</t>
  </si>
  <si>
    <t>['good', 'mudah', 'beli', 'paket', 'internet', 'tolong', 'donk', 'sinyal', 'tangerang', 'jelek', 'loading']</t>
  </si>
  <si>
    <t>['menjangkau', 'daerah', 'sabang', 'merauke', 'coba', 'cek', 'daerah', 'sosa', 'padang', 'lawas', 'sumatera', 'utara', 'ganti', 'nama', 'telkomsel', 'telkomshit']</t>
  </si>
  <si>
    <t>['kouta', 'hasil', 'chek', 'siang', '']</t>
  </si>
  <si>
    <t>['', 'lumayan', '']</t>
  </si>
  <si>
    <t>['kartu', 'telkomsel', 'hilang', 'sinyal', 'sumpah', 'nyaman', 'ketidak', 'setabilanbsinyal', '']</t>
  </si>
  <si>
    <t>['akses']</t>
  </si>
  <si>
    <t>['combo', 'sakti', 'payahhhh']</t>
  </si>
  <si>
    <t>['', 'bintang', 'app', 'dijalankan', 'kondisi', 'sinyal', 'telkomsel', 'daerah', 'pelosok', '']</t>
  </si>
  <si>
    <t>['perbaiki', 'perbarhatikan', 'hadiah', 'orang']</t>
  </si>
  <si>
    <t>['jaringan', 'wilayah', 'sumbar', 'area', 'kota', 'padang', 'nyesek', 'dada', 'perbaikan', 'mengasih', 'bintang', 'disetiap', 'jam', 'muncul', 'lambang', 'sinyal', 'disuruh', 'log', 'jaringan', 'paket', 'unlimited', '']</t>
  </si>
  <si>
    <t>['kali', 'masuk', 'telkomsel']</t>
  </si>
  <si>
    <t>['', 'telkomsel', 'aplikasi', 'membantu', 'contohnya', 'kehabisan', 'kuota', 'kehabisan', 'uang', 'telkomsel', 'pilihan', 'menu', 'menawarkan', 'pembelian', 'kuota', 'bayar', 'dibayar', 'membantu', 'download', 'yaaa']</t>
  </si>
  <si>
    <t>['bismillah', 'semoga', 'menang', 'undian', 'hepi', 'aamiiin']</t>
  </si>
  <si>
    <t>['respon', 'chat', 'dibalas', 'bot', 'pas', 'chat', 'official', 'twitter', 'media', 'bot', 'kadang', 'petugas', 'ngerti', 'ama', 'keluhan', 'endingnya', 'bales', 'bot']</t>
  </si>
  <si>
    <t>['relevan']</t>
  </si>
  <si>
    <t>['admin', 'yth', 'diperbaiki', 'akses', 'jaringan', 'internet', 'didaerahku', 'desa', 'tanjung', 'batu', 'kecamatan', 'derawan', 'kab', 'berau', 'kaltim', 'luas', 'puas', 'pelanggan', 'telkomsel', 'trims']</t>
  </si>
  <si>
    <t>['', 'update', 'trs', 'ehh', 'buka', 'apk', 'lemot', 'ngcek', 'kuota', 'erorr', 'terusss', 'udah', 'update', 'lemot', 'kalah', 'buka', 'aplikasi', '']</t>
  </si>
  <si>
    <t>['keseringan', 'update', 'keseringan', 'pulsa', 'hilang', 'raib', 'otomatisasi', 'off', 'data', 'kuota', 'abis', 'pulsa', 'keseringan', 'session', 'habis', 'login', 'login', '']</t>
  </si>
  <si>
    <t>['fitur', 'pembelian', 'kartu', 'perdana', 'diteil', 'kartu', 'loop', 'simpati', 'pilih', 'nomer', 'tolong', 'adakan', 'fitur', 'pulsa', 'save', 'kuota', 'habis', 'pulsa', 'habis', 'terikasih', '']</t>
  </si>
  <si>
    <t>['mudah', 'cepst']</t>
  </si>
  <si>
    <t>['idiot', 'aplikasinya', 'lelet', 'apknya', 'jaringannya', 'ikutan', 'lelet', 'kuota', 'utama', 'udh', 'habis', 'niat', 'ngasih', 'kuota', 'unlimited', 'sosmednya', 'full', 'unlimited', 'sampe', 'batasi', 'kuotanya', '']</t>
  </si>
  <si>
    <t>['bagus', 'ngapain', 'liat']</t>
  </si>
  <si>
    <t>['mahal', 'bosquu']</t>
  </si>
  <si>
    <t>['', 'you', 'new', 'dont', 'download', 'this', 'app', 'this', 'app', 'dissapointed', 'trust', 'download', 'aplikasi', 'mengecewakan', 'udah', 'bekali', 'kecewakan', 'makek', 'telkomsel', 'anjng']</t>
  </si>
  <si>
    <t>['berat']</t>
  </si>
  <si>
    <t>['produk', 'murah', 'ditawarkan', '']</t>
  </si>
  <si>
    <t>['telkomsel', 'menyediakan', 'layanan', 'anti', 'sedot', 'pulsa', 'masak', 'kali', 'jaringan', 'jelek', 'pakai', 'pulsa', 'mulu', 'sampek', 'kuota', 'pas', 'jaringan', 'turun', 'langsung', 'habis', 'pulsa', 'hadeh', '']</t>
  </si>
  <si>
    <t>['yaa', 'buka', 'aplikasi', 'kebuka', 'layar', 'putih', 'mesti', 'instal', 'ulang', 'melulu', 'buka']</t>
  </si>
  <si>
    <t>['napa', 'harga', 'paket', 'app', 'mahal', 'app', 'app', 'temenku', 'koq', 'app', 'dihargai', 'gilaaa', 'banget', 'ngab', 'selisih', 'app', 'gimana', 'nii', 'telkomsel', 'koq', 'ngebeda', 'pelanggan']</t>
  </si>
  <si>
    <t>['kecewa', 'liat', 'telkomsel', 'sinyal', 'internetnya', 'parah', 'masak', 'paket', 'combo', 'sakti', 'paket', 'multimedia', 'pkek', 'buka', 'youtube', 'main', 'game', 'gini', 'trus', 'mnding', 'pindah', 'kartu', 'murah', 'signal', 'lancar', 'kyk', 'telkomsel', 'kecewa', 'parahh']</t>
  </si>
  <si>
    <t>['', 'telkomsel', 'mantap', 'kemudahan', 'mengecek', 'membeli', 'pulsa', 'paket', 'kuota', 'informasi', 'lainnta', 'telkomsel', '']</t>
  </si>
  <si>
    <t>['jam', 'malem', 'sinyal', 'ilang', 'mending', 'cepet', 'ilangnya', 'sampe', 'jam', 'sinyal', 'ttp', 'mohon', 'diperbaiki', 'wilayah', 'bogor', 'thanks']</t>
  </si>
  <si>
    <t>['terima', 'kasih', 'telkomsel', 'pelayanan', 'terbaik', 'jaringan', 'super', 'kenceng', '']</t>
  </si>
  <si>
    <t>['tolong', 'paket', 'internet', 'mahal']</t>
  </si>
  <si>
    <t>['min', 'metode', 'pembayaran', 'dana', 'kuota', 'malam', 'gb', 'nggak']</t>
  </si>
  <si>
    <t>['nomer', 'sayq', 'knapa', 'paket', 'malamnya', 'hilang', 'balikin', 'masak', 'gabiaa', 'beli', 'paket', 'malam', 'balikin', 'fast', 'respon', 'please', '']</t>
  </si>
  <si>
    <t>['puas', 'dgan', 'aplikasi', '']</t>
  </si>
  <si>
    <t>['maling', 'maling', 'pulsa', 'abis', 'colong', 'telkomsel', 'maling', 'maling']</t>
  </si>
  <si>
    <t>['migrasi', 'halo']</t>
  </si>
  <si>
    <t>['pelayanan', 'bagus', 'kendala', 'sinyal', 'tolong', 'diperbaiki', 'sinyalnya', 'stabil']</t>
  </si>
  <si>
    <t>['aplikasi', 'membantu', 'membeli', 'paket', 'internet', 'bnyk', 'pilihan', 'mengadakan', 'event', 'suprise', 'deal', '']</t>
  </si>
  <si>
    <t>['fitur', 'terimakasih', '']</t>
  </si>
  <si>
    <t>['mahal', 'paket', 'internet', 'pelanggan', 'mohon', 'perhatikan', '']</t>
  </si>
  <si>
    <t>['telkomsel', 'provider', 'terbaik', 'diindonesia', 'jaringan', 'terluas', '']</t>
  </si>
  <si>
    <t>['keren', 'banget', '']</t>
  </si>
  <si>
    <t>['cuman', 'unek', 'jjr', 'gue', 'setia', 'kartu', 'telkomsel', 'tolong', 'perbaiki', 'sinyal', 'udah', 'mah', 'mahal', 'sinyal', 'burik', 'huh', 'ripuh', 'kesini', 'parah', 'sinyal', 'burikkkkkkkkkk', 'parah', 'burikkkkkk']</t>
  </si>
  <si>
    <t>['baguy', 'murah']</t>
  </si>
  <si>
    <t>['mohon', 'pembenaran', 'beli', 'kuota', 'mahal', 'mahal', 'pakai', 'uang', 'sinyal', 'memuaskan', 'kecewa', 'terimakasih', 'membaca', 'ulasan', 'mohon', 'pembenahan', 'sistem', '']</t>
  </si>
  <si>
    <t>['tampilan', 'sisa', 'kuota', 'nggak', 'realtime', 'kadang', 'udah', 'direfresh', 'stuck', 'ditambah', 'bgm', 'start', 'gunanya', 'alay', 'cok', 'kek', 'anak', 'magang', 'aplikasi']</t>
  </si>
  <si>
    <t>['undian', 'mobil', 'kabulkan']</t>
  </si>
  <si>
    <t>['harap', 'promonya', 'berkelanjutan', 'timbul', 'tenggelam', 'iklan', 'promo', 'hrs', 'ssuai', 'dng', 'promosikan', 'iklankan', 'konsumen', 'seprti', 'ana', 'kici', 'gula', 'tulisan', 'besarin', 'maklum', 'lansia', '']</t>
  </si>
  <si>
    <t>['sangt', 'membantu', 'mudah', 'meriah']</t>
  </si>
  <si>
    <t>['mengganggu', 'telponan', 'sinyal', 'murah', 'harga', 'mahal', '']</t>
  </si>
  <si>
    <t>['terbaik', '']</t>
  </si>
  <si>
    <t>['tawaran', 'menarik', 'hadiah', 'pelanggan', 'telkomsel', 'semoga', 'salah', 'pemenang', 'undian', 'berhadiah', 'telkomsel', 'semangat', 'hadiah', '']</t>
  </si>
  <si>
    <t>['aslinya', 'pengen', 'kasih', 'bintang', 'kasihan', 'pulsa', 'hilang', 'kuota', 'jangka', 'kuota', 'berkurang', 'pulsanya', 'hilang', 'aplikasi', 'historis', 'penggunaan', 'pulsa', 'penggunaan', 'kuota', 'mendetail', 'rinciii', 'pulsa', 'hilang', 'sekedar', 'menerka', 'pulsaku', 'habis', 'perasaan', 'nggak', 'kecewa', 'keluarga', 'pakek', 'telkomsel', 'ogah', 'banget', 'pakek', 'telkomsel', '']</t>
  </si>
  <si>
    <t>['kecewa', 'banget', 'ama', 'telkomsel', 'kesini', 'buruk', 'kwalitas', 'jaringan', 'tolonglah', 'perbaiki', 'kasian', 'adik', 'belajar', 'online', 'terganggu', 'sinyal', 'buruk', 'tolong', 'tower', 'telkomsel', 'sinyal']</t>
  </si>
  <si>
    <t>['isi', 'pulsa', 'kesedot', 'anjg', 'babi']</t>
  </si>
  <si>
    <t>['semoga', 'telkomsel', 'sukses', 'hati', 'masyarakat', 'terdepan', 'berharap', 'telkomsel', 'mengutamakan', 'kepentingan', 'masyarakat', 'membutuhkan', 'jaringan', 'luas', 'berdoa', 'semoga', 'allah', 'swt', 'terdepan', 'kepentingan', 'kebutuhan', 'masyarakat', 'membutuhkan', '']</t>
  </si>
  <si>
    <t>['pelayanan', 'buruk', 'top', 'pulsa', 'telkomsel', 'pembayaran', 'shopepay', 'saldo', 'dipotong', 'menerima', 'top', 'respon', 'email', 'bantuan', 'menghubungi', 'twitter', 'telegram', 'promo', 'menghubungi', 'kenakan', 'pulsa', 'pulsa', 'masuk', '']</t>
  </si>
  <si>
    <t>['haduhh', 'gmna', 'jaringan', 'nyaman', 'buka', 'macet', 'buka', 'apk', 'sosmed', 'lola', 'buka', 'vdeo', 'foto', 'gitu', 'buka', 'game', 'online', 'waw', 'lag', 'parah', 'anjimmm', 'pdhl', 'sblum', 'kejadian', 'kabel', 'gigit', 'hiu', 'lncar', 'skrg', 'gini', 'jaringan']</t>
  </si>
  <si>
    <t>['sinyal', 'simpati', 'kesini', 'buruk', 'kehilangan', 'pengguna', 'kecamatan', 'daerah']</t>
  </si>
  <si>
    <t>['adakan', 'promo', 'menarik', 'promo', 'murah', 'paket', 'data', 'tolong', 'update', 'pemakaian', 'data', 'cepat', 'habis', '']</t>
  </si>
  <si>
    <t>['mempermudah', 'pelanggan', 'telkomsel', 'ttg', 'info', 'diberikkan']</t>
  </si>
  <si>
    <t>['aplikasinya', 'bagus', 'banget']</t>
  </si>
  <si>
    <t>['kecewa', 'kartu', 'karna', 'parah', 'makan', 'pulsa', 'keras', 'banget', 'lgi', 'mohon', 'maaf', 'dlu', 'bagus', 'jaringan', 'kebun', '']</t>
  </si>
  <si>
    <t>['tolong', 'nyedot', 'pulsa', 'internet', 'kuotanya', 'nyedot', 'pulsa', 'pas', 'kartunya', 'dipake', 'hidupin', 'datanya', 'pulsa', 'kepotong', 'maunya', 'dipake', 'nomor', 'kuota', 'kemendikbud', 'hangus']</t>
  </si>
  <si>
    <t>['telkomsel', 'daerang', 'tangerang', 'tolong', 'diperbaiki', 'secepatnya', '']</t>
  </si>
  <si>
    <t>['apk', 'berguna', 'bangat', 'nggak', 'repot', 'chet', 'paket', 'blom', 'dowlood', 'apk', 'saran', 'buruan', 'dowlood']</t>
  </si>
  <si>
    <t>['sumpah', 'gua', 'pekek', 'kartu', 'sinyal', 'paket', 'lag', 'aneh', 'gitu', 'mahal', 'kecewa', 'guaaaa', 'darah', 'pakek', 'kartu']</t>
  </si>
  <si>
    <t>['kendala', 'pas', 'daftar', 'pas', 'sukses', 'daftar', 'happy']</t>
  </si>
  <si>
    <t>['malam', 'kak', 'download', 'telkomsel', 'verifikasi', 'masuk', 'nomer', 'udah', 'dimasukin', 'kode', 'link', 'sms', 'udh', 'dipencet', 'muncul', 'tulisan', 'link', 'expired', 'mnt', 'yng', 'dapet', 'sms', 'tolong', 'kak', 'bantuannya', '']</t>
  </si>
  <si>
    <t>['signal', 'bagus', 'pktanny', 'mahal', 'smua', 'jarang', 'promony']</t>
  </si>
  <si>
    <t>['mahal', 'doang', 'ngegame', 'lag', 'mulu']</t>
  </si>
  <si>
    <t>['kecewa', 'telkomsel', 'bayar', 'pulsa', 'darurat', 'senilai', 'minggu', 'ngak', 'ambil', 'pulsa', 'darurat', 'berpindah', 'jaringan', 'klw', 'gini']</t>
  </si>
  <si>
    <t>['mudah', 'nyaman', 'paket', 'terjangkau', 'terimakasih', 'telkomsel']</t>
  </si>
  <si>
    <t>['paketan', 'mahal', 'giliran', 'sinyalnya', 'busuk', 'harga', 'sesuai', 'kualitas', '']</t>
  </si>
  <si>
    <t>['', 'paket', 'darurat', 'potong', 'saldo', 'ngerampok', 'aje', 'operator', 'modus']</t>
  </si>
  <si>
    <t>['suka', 'tlkmsel', 'mlm', 'maen', 'game', 'lag', 'parah', 'malas', 'tlkomsel', 'jelek', 'bngt', 'maen', 'game', 'emosi', 'sumpah', 'maen', 'pke', 'telkomsel']</t>
  </si>
  <si>
    <t>['min', 'bis', 'beli', 'paket', 'min', 'gangguan', 'mulu', 'beli', 'paket', 'promo', 'malam', 'malam', '']</t>
  </si>
  <si>
    <t>['', 'knp', 'jaringannya', 'hr', 'siang', 'sampe', 'sore', 'jaringan', 'ilang', 'akses', 'kerjaan', 'ancurr', 'rugi', 'hr', 'kerja', 'tolong', 'info', 'sbner', 'promo', 'mlu', 'blas', 'pesan', '']</t>
  </si>
  <si>
    <t>['pulsa', 'ketarik', 'udh', 'habis', 'karna', 'jaringan', 'ilang', 'knp', 'pulsa', 'ketarik', 'trus', 'udh', 'internet', 'pengaturan', 'internetnya', 'gimana', 'rugi', 'kb', 'kena', 'rp', 'pulsa', '']</t>
  </si>
  <si>
    <t>['sinyal', 'telkomsel', 'perbaikan', 'error', 'kah', 'sinyal', 'buka', 'medsos', 'aplikasi', 'bangett', 'loadingnya', 'suka', 'connect', '']</t>
  </si>
  <si>
    <t>['gampang', 'bli', 'pulas', 'murah', 'dapet', 'kuwota']</t>
  </si>
  <si>
    <t>['admin', 'knp', 'tagihan', 'kartu', 'hallo', 'dibayar', 'koq', 'paketnya', 'masuk', 'dunk', '']</t>
  </si>
  <si>
    <t>['berkualitas', 'jaringan', 'lelet', 'ampun', '']</t>
  </si>
  <si>
    <t>['area', 'teluk', 'gong', 'penjaringan', 'jakarta', 'utara', 'jaringan', 'internet', 'perbaikin', 'udh', 'woy', 'inter', 'lemot', 'jaringan', 'kadang', 'hilang']</t>
  </si>
  <si>
    <t>['belom', 'coba']</t>
  </si>
  <si>
    <t>['tambahkan', 'harga', 'kuota', 'murah', 'meriah', 'pindah', 'sim', 'card']</t>
  </si>
  <si>
    <t>['jaringan', 'telkomsel', 'sialan', 'jelek', 'jaringannya', 'mahal', 'belikan', 'jaringan', 'lelet', 'yesel', 'belinya', 'udah', 'mahal', 'jarngan', 'lalet']</t>
  </si>
  <si>
    <t>['pasang', 'applikasi', 'jarigan', 'error', 'malu', 'menyandang', 'gelar', 'jarigan', 'terbesar', 'indonesia', 'rusak', 'nggk', 'pelayanan', 'terbaik', 'baiknya', 'mundur', 'penyedia', 'layanan', 'telpon', 'internet', '']</t>
  </si>
  <si>
    <t>['heran', 'deh', 'gue', 'kuota', 'gb', 'ngga', 'ngapa', 'ngapain', 'beli', 'kuota', 'bat', 'pending', 'tolong', 'jaringannya', 'diperbaiki', '']</t>
  </si>
  <si>
    <t>['telkomsel', 'kesini', 'bagus', 'kalah', 'provider', 'byr', 'sinyal', 'hilang', 'kadang', 'konek', 'kota', 'pedalaman', 'pakai', 'kartu', 'hallo', 'notaben', 'byr', 'pikir', 'migrasi', 'kartu', 'hallo', 'benefit', 'bagus', 'dapatkan', 'telkomsel', 'skrg', 'telkomsel', '']</t>
  </si>
  <si>
    <t>['unlimitidnya', 'hapus', 'lemot', 'buang', 'duit', 'cuuk', 'seumur', 'hidup', 'telkomsel', 'kecewa', 'hapus', 'kecepatan', 'unlimitidnya', 'kek']</t>
  </si>
  <si>
    <t>['mantap', 'signal', 'tingkatkan', 'plosok', 'kenyamanan', 'pelanggan', 'telkomseltelkomsel']</t>
  </si>
  <si>
    <t>['bintang', 'siip', 'bagusslaa', '']</t>
  </si>
  <si>
    <t>['sinyal', 'internet', 'hilang', 'jam', 'terhubun']</t>
  </si>
  <si>
    <t>['dear', 'telkomsel', 'profider', 'ngotak', 'koneksi', 'jaringan', 'jelek', 'harga', 'paket', 'mahal', 'sesuaikan', 'kualitas', 'harga', 'kecewa', 'bayar', 'beli', 'paket', 'uang', 'didapet', 'koneksi', 'lemot', 'harganya', 'ampun', 'mahalnya']</t>
  </si>
  <si>
    <t>['oke', 'mantap', 'telkomsel', 'semoga', 'paket', 'data', 'harganya', 'murah', 'meria']</t>
  </si>
  <si>
    <t>['kecewa', 'mytelkomsel', 'jaringan', 'sinyal', 'full', 'digunain', 'game', 'isi', 'kouta', 'gb', 'buka', 'whatsapp']</t>
  </si>
  <si>
    <t>['bertahun', 'pakek', 'telkomsel', 'kali', 'telkomsel', 'lelet', 'aplikasinya', 'berkualitas', '']</t>
  </si>
  <si>
    <t>['paket', 'mahal', 'jaringan', 'internet', 'buruk', 'jaringan', 'telkomsel', 'buruk', 'pakai', 'nlpn', 'susah', 'hargai', 'doank', 'pelanggan', 'perbaiki', 'jaringan', 'nyari', 'untung', '']</t>
  </si>
  <si>
    <t>['mudah', 'beli', 'paket', 'telkomsel', 'promo', 'nyesel', 'mendowload', 'app']</t>
  </si>
  <si>
    <t>['terimakasih', 'telkomsel', 'menemani', '']</t>
  </si>
  <si>
    <t>['kecewa', 'ama', 'jaringan', 'telkomse', 'jaringan', 'buriq', 'paket', 'mahal', 'jaringan', 'ancur']</t>
  </si>
  <si>
    <t>['baguss', 'kali', 'pokok', 'boonk', 'hoyyah', 'buruk', 'kali', 'jaringqnnya', 'buriqqqqqq', '']</t>
  </si>
  <si>
    <t>['sinyal', 'didaerah', 'unsoed', 'khusus', 'kota', 'purwokerto', 'sinyal', 'udah', 'klu', 'langsung', 'laq', 'chat', 'robot', 'veronika', 'solusi', 'ganti', 'kartu', 'bebos', 'udah', 'isi', 'pktan', 'gb', 'omg', 'sinyal', 'kere']</t>
  </si>
  <si>
    <t>['bacot', 'mikirin', 'sinyal', 'tinggal', 'ganti', 'kartu', 'pakai', 'telkomsel', 'sinyalnya', 'bener', 'saranin', 'nyesel', 'maaf', 'ngejek', 'kenyataan', 'klean', 'isi', 'pulsa', 'sms', 'trus', 'pulsa', 'klean', 'berkurang', 'emang', 'andalkan', 'niatnya', 'mempermudah', 'kenyataannya', 'mempersulit', 'mempermudah', 'mempersulit', 'bubarkan', 'kartu', 'telkomsel', 'sinyal', 'ayo', 'buabarkan']</t>
  </si>
  <si>
    <t>['paket', 'combo', 'sakti', 'udah', 'cek', 'skrang', 'jdi', 'daftar', 'kuota', 'kuota', 'muahal', '']</t>
  </si>
  <si>
    <t>['isi', 'pulsa', 'kemarin', 'pulsa', 'rb', 'habis', 'barusan', 'cek', 'diapa', 'in', 'tanda', 'bangkrut', 'pulsa', 'pengguna', 'hilang', 'kacau', '']</t>
  </si>
  <si>
    <t>['butuh', 'pulasa']</t>
  </si>
  <si>
    <t>['operator', 'merugikan', 'pelanggan', 'paket', 'mahal', 'jaringan', 'keq', 'taik', 'parahnya', 'fitur', 'pulsa', 'safe', 'kayak', 'indosat', 'kuota', 'pulsa', 'ratusan', 'ribu', 'kepotong', 'otomatis', 'gara', 'jaringan', 'stabil', 'down', 'bangkee']</t>
  </si>
  <si>
    <t>['cashback', 'isi', 'ulang', 'beli', 'kuota', 'pakai', 'shopeepay', 'cashback', 'diterima', 'ditambah', 'jaringannya', 'payah', 'mimpi', 'stabilkan']</t>
  </si>
  <si>
    <t>['kasih', 'blum', 'pakai', 'semoga', 'jaya', 'jaringannya']</t>
  </si>
  <si>
    <t>['telkomsel', 'paket', 'internet', 'unlimitid', 'youtube', 'nipu', 'beli', 'paket', 'unlimitid', 'youtube', 'mending', 'paket', 'unlimitid', 'asli']</t>
  </si>
  <si>
    <t>['simpati', 'elor', 'lemot', 'banget', '']</t>
  </si>
  <si>
    <t>['menyenagkan', 'hati', '']</t>
  </si>
  <si>
    <t>['apps', 'eror', 'lambat', 'sebulan', 'isi', 'pls', 'puluhan', 'juta', 'wilayah', 'aceh', 'tukar', 'poin']</t>
  </si>
  <si>
    <t>['semoga', 'hadiah', 'telkomsel']</t>
  </si>
  <si>
    <t>['bagus', 'jaringan', 'dimana']</t>
  </si>
  <si>
    <t>['bagus', 'cepat', 'pelayanan', '']</t>
  </si>
  <si>
    <t>['penyebaran', 'jaringan', 'internetnya', 'game', 'online', 'butuh', 'internet', 'stabil', 'lag', 'malam', '']</t>
  </si>
  <si>
    <t>['sinyal', 'leg', 'tingkatkan']</t>
  </si>
  <si>
    <t>['kecewa', 'kartu', 'perdana', 'simpati', 'optimal', 'mahal', 'kaya', 'paket', 'data', 'combo', 'sakti', 'unlimited', 'beli', 'harga', 'ribu', 'ribu', 'sekrang', 'status', 'mytelkomsel', 'gold', '']</t>
  </si>
  <si>
    <t>['terbaik', 'oummvh']</t>
  </si>
  <si>
    <t>['mantap', 'cepat', 'ngga', 'error']</t>
  </si>
  <si>
    <t>['paket', 'mahal', 'jaringan', 'internet', 'terburuk', 'sumuri', 'teluk', 'bintuni', 'papua', 'barat', 'alhasil', 'paket', 'terbuang', 'sia', 'sia', 'pelanggan', 'setia', 'orbit', 'wifi', 'indihomenya', 'berlanggan', 'rumah', 'indramayu', 'komplain', 'respon', 'solusi', '']</t>
  </si>
  <si>
    <t>['alhamdulillah', 'terimakasih', 'telkomsel', 'puas', 'merasakan', 'bnyaknya', 'bonus', 'paket', 'internet', 'murah', 'telkomsel', '']</t>
  </si>
  <si>
    <t>['paket', 'data', 'mahal', 'sinyal', 'lelet', '']</t>
  </si>
  <si>
    <t>['jaringannya', 'tolong', 'dlu', 'perbaiki', 'daerah', 'sumut', 'min', 'paketnya', 'mahal', 'jaringannya', 'ngotak', 'jaringan', 'kartu', 'kemaren', 'tolong', 'dlu', 'stabilkan', 'min', '']</t>
  </si>
  <si>
    <t>['aplikasi', 'memudahkan', 'mengecek', 'pulsa', 'kuota', 'telkomsel', 'tersedia', '']</t>
  </si>
  <si>
    <t>['bagus', 'mudah', 'han', 'menang', 'undian', 'langsung', 'dikirim', 'alamat', 'pemenang']</t>
  </si>
  <si>
    <t>['beli', 'paket', 'mudah', 'murah', 'pokoknya', 'aplikasinya', 'mantap']</t>
  </si>
  <si>
    <t>['pulsa', 'habis', 'hilang', 'disuruh', 'download', 'payah']</t>
  </si>
  <si>
    <t>['jaringannya', 'tingkatkan', 'kenceng', 'internetannya']</t>
  </si>
  <si>
    <t>['halo', 'min', 'beli', 'paketan', 'udah', 'beli', 'pulsa', 'gimana', 'kecewa']</t>
  </si>
  <si>
    <t>['tolong', 'udah', 'diperbarui', 'suruh', 'perbarui', '']</t>
  </si>
  <si>
    <t>['maki', 'gampang', 'nambahribet', 'login', 'pakai', 'magic', 'link', 'kesalahan', 'berxx', 'udah', 'gampang', 'otp', 'ganti', 'paket', 'udah', 'abis', 'matiin', 'iternetnya', 'pulsa', 'ambil', 'sampe', 'abis', 'abru', 'mati', 'internetnya', 'ngerugiin', 'castemer', 'kaya', 'pencurian', 'jaringan', 'mati', 'uplikasi', 'akfmtifin', 'internet', 'pulsa', 'enak', 'jugk', 'mah', 'abis', 'karna', 'kuota', 'abis', 'lupa', 'matiin', 'jaringan', 'merugikan', 'pencurian', 'halus']</t>
  </si>
  <si>
    <t>['koneksi', 'jaringan', 'internet', 'buruk', 'daerah', 'malili', 'luwu', 'timur', 'sulsel', 'hujan', '']</t>
  </si>
  <si>
    <t>['nyedot', 'pulsa', 'beli', 'paket', 'chat', 'buka', 'tetep', 'kesedot', 'pulsanya', 'bangke', 'emang']</t>
  </si>
  <si>
    <t>['app', 'susah', 'login', 'lambat', 'padah', 'update', 'hadiah', 'kuota', 'check', 'hilang', 'tukar', 'hadiah', 'kuota', 'limit', 'habis', 'check', 'nol', '']</t>
  </si>
  <si>
    <t>['maunya', 'paket', 'sunpris', 'deal', 'penuh', 'paket', 'capek', 'kejar', 'takut', 'hangus', 'beli', 'paket', 'dibawah', 'walopun', 'paket', 'beli', '']</t>
  </si>
  <si>
    <t>['hobby', 'nyedot', 'pulsa', '']</t>
  </si>
  <si>
    <t>['aplikasi', 'ngabisin', 'pulsa', 'pulsa', 'habis', 'kesedotnya']</t>
  </si>
  <si>
    <t>['jaringan', 'super', 'lemot', 'banget', '']</t>
  </si>
  <si>
    <t>['ngapain', 'update', 'bkn', 'aplikasi', 'sehari', 'minimalisir', 'update', '']</t>
  </si>
  <si>
    <t>['aplikasi', 'ruwettt', 'buka', 'aplikasi', 'mati', 'mulu', 'parah', '']</t>
  </si>
  <si>
    <t>['', 'niat', 'memperbaiki', 'layanan', 'komentar', 'org', 'dsni', 'jelek', 'jaringannya', 'ampun', 'sinyal', 'telkomsel', 'parah', 'lemot', 'hilang', 'udah', 'tlp', 'disuru', 'nunggu', 'berbulan', 'ttp', 'perubahan']</t>
  </si>
  <si>
    <t>['banyakin', 'diskon', 'quota']</t>
  </si>
  <si>
    <t>['entar', 'lau', 'bgus', 'kasih', 'full', 'bintang', '']</t>
  </si>
  <si>
    <t>['sinyalnya', 'mudah', 'tingkatkan', 'pas', 'musim', 'hujan', 'tetep', 'lancar', 'terimakasih', '']</t>
  </si>
  <si>
    <t>['neg', 'bener', 'jaringan', 'suruh', 'tetep', 'kaya', 'siput', 'udah', 'mahal', 'sesuai', 'layanan', 'ngadu', 'ujung', 'mimin', 'mimin', 'basi', 'anjirr', '']</t>
  </si>
  <si>
    <t>['puas', 'pelayanan', 'tukar', 'poin', 'udah', 'lumayan']</t>
  </si>
  <si>
    <t>['bagus', 'kota', 'jarkom', 'aman', 'lancar', 'suka', 'deh', 'tingkatkan', 'pelayanannya', 'tambahin', 'gratis', 'kuota', 'internet', '']</t>
  </si>
  <si>
    <t>['', 'terpenting', 'signal', 'lemot']</t>
  </si>
  <si>
    <t>['jaringan', 'lemot', 'napa', 'pelayanan', 'telkomsel', 'iklan', 'promo', 'perbanyak', 'jaringan', 'sinyal', 'perbaiki']</t>
  </si>
  <si>
    <t>['paket', 'promo', 'murah', 'kartu', 'telkomsel', 'muncul', '']</t>
  </si>
  <si>
    <t>['mahal', 'poin', 'tuker', 'tolong', '']</t>
  </si>
  <si>
    <t>['selamat', 'malam', 'aplikasi', 'telkomsel', 'check', 'harian', 'beli', 'kuota', 'tambahan', 'harian', 'mohon', 'bantu', 'perbaiki', '']</t>
  </si>
  <si>
    <t>['ngasih', 'nilai', 'beli', 'paket', 'skrg', 'telkomsel', 'dikurangin', 'korupsi', 'sinyal', 'jelek', '']</t>
  </si>
  <si>
    <t>['telkomsel', 'buruk', 'kualitasnya', 'telksel', 'jringannya', 'buruk', 'tinggal', 'tower', 'telkomsel', 'lemot', 'mahal', 'paket', 'datanya', 'berkualitas', 'pelanggan', 'setia', 'telkomsel', 'audadah', 'pakai', 'kecewa', 'banget', 'pakai', 'acara', 'pengguna', 'telkomsel', 'meninggalkan', 'kartu', 'diperbaiki', 'gangguan', 'jaringan', '']</t>
  </si>
  <si>
    <t>['aplikasi', 'berguna', 'wifi', 'mdnggunakan', 'app']</t>
  </si>
  <si>
    <t>['terimakasih', 'telkomsel', 'layanan', 'mempermudah', 'pembelian', 'paket', 'kuota', 'pengecekan', '']</t>
  </si>
  <si>
    <t>['pelanggan', 'tarifnya', 'mahal', 'paketnya', 'kartu', 'telkomsel', 'tarifnya', 'beda', 'kayaknya', 'suka', 'telkomsel', 'ngasih', 'tarif', 'pertimbangan', 'pindah', 'provider', '']</t>
  </si>
  <si>
    <t>['mantab', 'mudah']</t>
  </si>
  <si>
    <t>['coba']</t>
  </si>
  <si>
    <t>['mudah', 'membeli', 'pulsa', 'memeriksa', 'sisa', 'kuota', 'internet']</t>
  </si>
  <si>
    <t>['daily', 'check', 'normal', 'terima', 'kasih', 'dibetulin', 'nie', 'saran', 'plus', 'uneg', 'uneg', 'telkomsel', 'knapa', 'kuota', 'aplikasi', 'tgl', 'terpakai', 'duluan', 'kuota', 'aplikasi', 'aktif', 'timbul', 'ngga', 'kepakai', 'rugi', 'donk', 'kaya', 'gini', 'tolong', 'benerin', 'disyarat', 'aturan', 'membeli', 'paket', 'tgl', 'dipakai', 'duluan', 'gimana']</t>
  </si>
  <si>
    <t>['nice', 'aplikasi', 'memudahkan', 'beli', 'kouta', 'internet', 'pulsa', 'semoga', 'sukses', 'telkomsel', '']</t>
  </si>
  <si>
    <t>['login', 'tulisan', 'aplikasi', 'tutup', 'mulu', 'tolonggg', '']</t>
  </si>
  <si>
    <t>['kartu', 'simpati', 'info', 'tolong', 'keluarga', 'pakai', 'simpati', 'perbaiki', 'kartu', 'jaringan', 'lemot', 'mahal']</t>
  </si>
  <si>
    <t>['boros', 'telcomsel', 'paketnya', 'mahal', 'ganti', 'indosat', '']</t>
  </si>
  <si>
    <t>['kemudahan']</t>
  </si>
  <si>
    <t>['min', 'plis', 'adain', 'pitur', 'amanin', 'pulsa', 'kepotong', '']</t>
  </si>
  <si>
    <t>['telkomsel', 'mantap', 'percaya', 'massa']</t>
  </si>
  <si>
    <t>['mahal', 'banget']</t>
  </si>
  <si>
    <t>['telkomsel', 'lelet', 'bener', 'sebentar', 'sebentar', 'sinyal', 'ilang', 'kesel', 'gini', 'ganggu', 'aktivitas', 'bentar', 'sinyal', 'ilang', 'kota', 'bawa', 'daerah', 'pinggiran', 'angel', 'sinyale', 'ilang', 'blasssssss', 'kepake', 'mahal', 'stabil', 'okelah', 'pengguna', 'telkomsel', 'sekarng', 'udah', 'beli', 'kuota', 'mahal', 'sinyal', 'kaga', 'stabil', 'wes', 'angel', 'tolong', 'perbaiki', 'terimakasih', '']</t>
  </si>
  <si>
    <t>['aplikasi', 'berguna', 'uang', 'membeli', 'pkt', 'data']</t>
  </si>
  <si>
    <t>['harga', 'mahal', 'sgnal', 'busuk', 'suka', 'ilang', 'nomornya', 'nyangkut', 'akun', 'apapu', 'gunting', 'kartu', 'rusak', 'sampe', 'panas', 'nyari', 'signal']</t>
  </si>
  <si>
    <t>['beli', 'data', 'internet', 'terbagi', 'kuotanya', 'internet', 'omg', 'gb', 'maxstream', 'pakai', 'kuota', 'internet', 'dgan', 'kuota', 'omg', 'kuata', 'maxstream', 'terpakai', 'aktif', 'gimana', '']</t>
  </si>
  <si>
    <t>['sumpah', 'telkomsel', 'ampas', 'banget', 'ngasih', 'kouta', 'gratis', 'lelet', 'banget', 'kouta', 'utama', 'cepat', 'kecewa', 'banget', 'telkomsel', '']</t>
  </si>
  <si>
    <t>['beli', 'paket', 'telkomsel']</t>
  </si>
  <si>
    <t>['paket', 'mahal', 'pulsa', 'diisi', 'habis', 'todd']</t>
  </si>
  <si>
    <t>['banyakin', 'promo', 'membantu', 'pandemi', 'terimakasih', 'telkomsel', '']</t>
  </si>
  <si>
    <t>['paketan', 'dibeli', 'mahal', 'pas', 'gue', 'maen', 'game', 'down', 'telkomsel', 'kecewa', 'banget', '']</t>
  </si>
  <si>
    <t>['penjualan', 'mulu', 'diurusin', 'jaringan', 'diperkotaan', 'suka', 'ngilang', 'karuan', 'bela', 'beli', 'paket', 'mahal', 'stabil', 'taunya', 'habis', 'thinking', 'ama', 'operator', '']</t>
  </si>
  <si>
    <t>['signal', 'lemott', 'mahall', 'sedihhh']</t>
  </si>
  <si>
    <t>['jaringan', 'telkomsel', 'knpa', 'muncuk', 'gagal', 'login', 'pubg', '']</t>
  </si>
  <si>
    <t>['aplikasi', 'nguras', 'pulsa']</t>
  </si>
  <si>
    <t>['jaringan', 'kuota', 'multimedia', 'lelet', 'banget', 'bohong', 'dipake']</t>
  </si>
  <si>
    <t>['masuk', 'transaksi', 'pembayaran', 'apl']</t>
  </si>
  <si>
    <t>['sip', 'pokoknya']</t>
  </si>
  <si>
    <t>['sms', 'nsp', 'masuk', 'menghabiskan', 'pulsanya', 'pakai', 'nsp', '']</t>
  </si>
  <si>
    <t>['aplikasi', 'mytelkomsel', 'bagus', 'gampang', 'cek', 'kuota', 'nomor', '']</t>
  </si>
  <si>
    <t>['pilihan', 'pembayaran', 'via', 'apk', 'ribet', '']</t>
  </si>
  <si>
    <t>['jaringan', 'bermasalah', 'ujian', 'masak', 'jaringan', 'mendadak', 'hilang', 'timbul', 'kecepatan', 'mb', 'mendadak', 'fix', 'woi', 'udah', 'mahal', 'jaringan', 'lemot', 'pulak', 'bagusan', 'tree', 'telkomnyet', '']</t>
  </si>
  <si>
    <t>['update', 'mulu', '']</t>
  </si>
  <si>
    <t>['terimakasih', 'telkomsel', 'menyediakan', 'paket', 'murah', 'hemat']</t>
  </si>
  <si>
    <t>['duhh', 'registrasi', 'bermasalah', 'telkomsel', 'hebat', 'promosi', 'kenyataannya', 'jaringan', 'super', 'lelet', '']</t>
  </si>
  <si>
    <t>['lanvar']</t>
  </si>
  <si>
    <t>['jaringannya', 'lemot']</t>
  </si>
  <si>
    <t>['kota', 'bandar', 'lampung', 'jaringan', 'lancar', 'lag', 'ktober', 'telkomsel', 'lag', 'banget', 'diapa', 'in', 'sesuai', 'dibayar']</t>
  </si>
  <si>
    <t>['jujur', 'bener', 'bener', 'kecewa', 'telkomsel', 'gara', 'sinyal', 'jelek', 'kredit', 'scor', 'game', 'band', 'main', 'rank', 'udah', 'kuota', 'internet', 'mahal', 'jaringan', 'kadang', 'suka', 'buruk', 'banget', 'deh', 'telkomsel', 'tolong', 'telkomsel', 'jaringan', 'perbaiki', 'ligi', 'bagusin', 'stiap', 'beli', 'paket', 'jaringan', '']</t>
  </si>
  <si>
    <t>['harganya', 'mahal', 'banget', 'belek', 'data', 'gb', 'aktif', 'hr', 'seru', 'harga', 'gb', 'rb']</t>
  </si>
  <si>
    <t>['perbanyak', 'promo', 'yaaa', '']</t>
  </si>
  <si>
    <t>['pengumuman', 'undi', 'hepi', 'janji', 'tgl', 'okt', 'sampe', 'kabar']</t>
  </si>
  <si>
    <t>['kurangi', 'harga']</t>
  </si>
  <si>
    <t>['beli', 'paket', 'combo', 'paket', 'multi', 'media', 'berguna', 'kemaren', 'gunanya', 'paket', 'paket', 'multimedia', 'bagusan', 'silahkan', 'beli', 'paket', '']</t>
  </si>
  <si>
    <t>['main', 'mobilegen', 'area', 'gunung', 'putri', 'plosok', 'tolong', 'perbaiki']</t>
  </si>
  <si>
    <t>['sinyal', 'kuat', 'suka', 'baguss', 'good']</t>
  </si>
  <si>
    <t>['', 'info', 'jaringan', 'telkomsel', 'parah', 'masuk', 'game', 'masuk', 'ganti', 'kartu', 'alasanya', 'knapa', 'gitu', 'perbaikan', '']</t>
  </si>
  <si>
    <t>['buka', 'tautan', 'facebook', 'penawaran', 'untul', 'beli', 'paket', 'internet', 'paketnya', 'ngpain', 'ditawarin', 'trs', '']</t>
  </si>
  <si>
    <t>['isi', 'pulsa', 'aplikasi', 'telkomsel', 'masuk', 'saldo', 'shopeepay', 'udah', 'terpotong', 'ditambah', 'tindak', 'the', 'best', '']</t>
  </si>
  <si>
    <t>['', 'paket', 'ceria', 'gb', 'ngga', 'beli', 'lgi', 'gangguan', 'udah', 'minggu', 'coba', 'ngga', '']</t>
  </si>
  <si>
    <t>['kecewa', 'bonus', 'gb', 'klaim', 'terklaim', 'toling', 'min', 'perbaiki', 'kuota', 'klaim', 'keperluan', 'mendesak', 'bgini', 'kuota', 'simpanan']</t>
  </si>
  <si>
    <t>['hadiah', 'mobil', 'honda', 'brio']</t>
  </si>
  <si>
    <t>['perbaiki', '']</t>
  </si>
  <si>
    <t>['coba', 'unduh', 'mytelkom', 'lemot', 'pisan', 'qouta', 'msh', 'unduh', 'ampunnnn', 'lemot', 'kartu', 'hallo', 'tukar', 'sayang', 'nomor', '']</t>
  </si>
  <si>
    <t>['adil', 'udah', 'cek', 'ulang', 'cek', '']</t>
  </si>
  <si>
    <t>['telkomsel', 'tolong', 'sinyal', 'kecepatan', 'stabil', 'dibawah', 'kbps', 'kuota', 'tolong', 'bantuannya', 'telkomsel']</t>
  </si>
  <si>
    <t>['coba', 'lumayan', 'bagus', 'gampang', 'pembelian', 'paket', 'internet', 'makasih']</t>
  </si>
  <si>
    <t>['pelayanan', 'memuaskan']</t>
  </si>
  <si>
    <t>['memenangkan', 'undian', 'telkomsel', '']</t>
  </si>
  <si>
    <t>['aneh', 'apk', 'telkomselnya', 'pulsa', 'buka', 'apk', 'mengurangi', 'pulsa', 'data', 'selular', 'wifi', 'jdi', 'buka', 'apk', 'ambil', 'paket', 'telkomsel', 'otomatis', 'mengurangi', 'pulsa', 'aneh', '']</t>
  </si>
  <si>
    <t>['woy', 'developer', 'gua', 'beli', 'paket', 'data', 'muncul', 'kaya', 'gini', 'maaf', 'gangguan', 'sistem', 'mohon', 'cek', 'koneksi', 'udah', 'ulangi', 'transaksi', 'menit', 'gitu', 'udah', 'gua', 'beli', 'paket', 'ngentod', 'merugikan', 'pengguna', 'beli', 'combo', 'sakti', 'konsol', 'emang', 'kau', 'pan', '']</t>
  </si>
  <si>
    <t>['jaringan', 'mengecewakan', 'tolong', 'phak', 'telkomtol', 'diperbaiki', 'jaringannya', 'woiii', 'kali', 'main', 'ngelag', 'ngelag', 'ngelag', 'orang', 'toxic', 'muluuuu', 'tolong', 'yahh', 'tolong', 'perbaiki', 'jaringan', 'muuu', 'terimakasih', '']</t>
  </si>
  <si>
    <t>['daily', 'check', 'bug', 'kemaren', 'stamp', 'check', 'ilang', 'trus', 'reward', 'stamp', 'terklaim', 'ambil']</t>
  </si>
  <si>
    <t>['kasih', 'bintang', 'beli', 'pulsa', 'tgl', 'kemarin', 'pas', 'chat', 'pulsa', 'tinggal', 'gapake', 'nelpon', 'paket', 'pulsa', 'tlp']</t>
  </si>
  <si>
    <t>['jaringan', 'telkomsel', 'daerah', 'suka', 'ilang', 'ilang', 'timbul', 'mengecewa']</t>
  </si>
  <si>
    <t>['heran', 'uda', 'cek', 'cek', 'alpa', 'cek', '']</t>
  </si>
  <si>
    <t>['mohon', 'bantuannya', 'kmren', 'nomer', 'daftar', 'telpon', 'internet', 'topup', 'ngisi', 'pulsa', 'masuk', '']</t>
  </si>
  <si>
    <t>['bagus', 'sayang', 'kayak', 'ngak', 'hadia', 'gitu', 'ngisi', 'pulsa', 'isi', 'poucer', 'apk', 'ngak', 'isi', 'voucer', 'coba', 'bisaain', 'dapet', 'kuota', 'beeapa', 'lucdrae', 'enak']</t>
  </si>
  <si>
    <t>['kali', 'kasih', 'promo', 'gtu', 'kek', 'customer', 'jga', 'seneng', 'stay', 'trus', 'provider', 'telkom', 'saran', 'udah', 'terwujud', 'ksih', 'bintang', '']</t>
  </si>
  <si>
    <t>['appnya', 'susah', 'buka', 'ngeselin', 'banget', 'males', 'tel']</t>
  </si>
  <si>
    <t>['koneksi', 'buruk', 'harga', 'paket', 'lumayan', 'mahal', 'bagus', 'dimana', '']</t>
  </si>
  <si>
    <t>['', 'dpt', 'voucher', 'daily', 'check', 'pas', 'isi', 'pulsa', 'habis', 'kuota', 'habis', 'msh', 'perbaiki', 'lbh', 'transparan', 'sistem']</t>
  </si>
  <si>
    <t>['kesel', 'banget', 'top', 'via', 'app', 'pulsa', 'masuk', 'masuk', 'complaint', 'twitter', 'lambat', '']</t>
  </si>
  <si>
    <t>['jelek', 'kali', 'jaringan', 'telkom', 'beli', 'paket', 'telkom', 'hapus', 'kartu', 'telkom', 'indonesia']</t>
  </si>
  <si>
    <t>['terpaksa', 'telkomsel']</t>
  </si>
  <si>
    <t>['pembayaran', 'linkaja', 'aksesnya', 'diteruskan']</t>
  </si>
  <si>
    <t>['leot', 'banget', 'kali', 'ngecek', 'kuota', 'tolong', 'telkomsel', 'diperbaiki', 'sistemnya', 'sekelas', 'telkomsel', 'lemot', 'banget']</t>
  </si>
  <si>
    <t>['pelayanan', 'jelek', 'paket', 'mahal', 'mahal', 'jaringan', 'gangguan', '']</t>
  </si>
  <si>
    <t>['iklan', 'mengganggu']</t>
  </si>
  <si>
    <t>['suka', 'aplikasi', 'membantu', 'sya']</t>
  </si>
  <si>
    <t>['sinyal', 'suka', 'drop', 'suka', 'stuck', 'aktivitas', 'terganggu', 'sinyal', 'buruk', '']</t>
  </si>
  <si>
    <t>['', 'telkomsel', 'membantu']</t>
  </si>
  <si>
    <t>['hancur', 'lebur', 'sinyal', 'telkomsel', 'dipelosok', 'perkotaan', 'gedung', 'hancur', 'sinyalnya', 'kecewa', 'kecewa', 'nomor', 'nomor', 'hallo', '']</t>
  </si>
  <si>
    <t>['telkomtod', 'sinyal', 'beres', 'ilang', 'pdhal', 'mahal', 'pulak', 'kalah', 'ama', 'indosat']</t>
  </si>
  <si>
    <t>['ngambil', 'paket', 'kombo', 'sakti', 'pas', 'dibeli', 'gagal', 'gangguan', 'sistem', 'udah', 'kemaren']</t>
  </si>
  <si>
    <t>['telkomsel', 'ter', 'urus', 'kerjanya', 'nambahin', 'promo', 'kuota', 'sinyal', 'pemakaian', 'perhatikan', 'tolong', 'perhatikan', 'kualitasnya', 'terjamin', 'sinyal', 'stabil', 'pemakaian', 'boros', 'bandingkan', 'menyinggung', 'org', 'perasaan', 'kesal', 'seluler', 'telkomsel', 'main', 'sinyal', 'kadang', 'gangguan', 'kota']</t>
  </si>
  <si>
    <t>['perbaiki', 'signal', 'ilang', 'stabil', 'jelek', 'jaringan', 'telkomsel']</t>
  </si>
  <si>
    <t>['', 'suruh', 'update', 'abis', 'update', 'buka', 'hapus', 'instal', 'instal', 'ulang', 'susah', 'login', 'masuk', 'deh', 'aplikasi', 'telkomsel', 'terrrbaaaiikkkk', 'mantaaapppp', '']</t>
  </si>
  <si>
    <t>['tolong', 'ambil', 'pulsa', 'pajak', 'sehari', 'rupiah', 'pulsa', '']</t>
  </si>
  <si>
    <t>['login', 'game', 'kuota', 'beli', 'kuota', 'kemdikbud']</t>
  </si>
  <si>
    <t>['makasih', 'berguna']</t>
  </si>
  <si>
    <t>['ditingkatkan', 'kinerja', 'muda', 'penggunaannya']</t>
  </si>
  <si>
    <t>['tolong', 'kuota', 'gamesmax', 'silver', 'dibenerin', 'kuota', 'multimedianya', 'dipake', 'cacat', 'banget', 'perusahaan', 'gede', 'doang', '']</t>
  </si>
  <si>
    <t>['coba', 'download', 'ulang', 'aplikasinya', 'ucapkan', 'goodbye', 'telkomsel', '']</t>
  </si>
  <si>
    <t>['notifikasi', 'pop', 'aplikasi', 'notofikasi', 'promo', 'internet', 'combo', 'unlimited', 'rb', 'dll', 'klik', 'notif', 'muncul', 'promo', 'ditemukan', 'aneh', 'coba', 'real', 'jngn', 'promo', 'menipu', 'kadang', 'dapet', 'sms', 'promo', 'klik', 'link', 'hasil', 'promo', 'temukan', 'pembohongan', 'publik', 'nama', 'tolong', 'benahi', '']</t>
  </si>
  <si>
    <t>['', 'bener', 'apk', 'ambil', 'promo', 'dapet', 'coin', 'shopee', 'tertera', 'rame', 'cashback', 'coba', 'beli', 'masuk', '']</t>
  </si>
  <si>
    <t>['mengecewakan', 'maasih', 'banget', 'bug', 'check', '']</t>
  </si>
  <si>
    <t>['mantap', 'versi', 'terbaru', 'sound', '']</t>
  </si>
  <si>
    <t>['update', 'daily', 'chack', 'udah', 'chack', 'full', 'parah', 'banget', 'niat', 'kasih', 'kuota', 'ngapain', 'program', 'kaya', 'gitu', '']</t>
  </si>
  <si>
    <t>['lanjutkan', 'mantap', 'lancar', 'jaya', 'mulus', 'rahayu']</t>
  </si>
  <si>
    <t>['pkei', 'lemot', 'gaes']</t>
  </si>
  <si>
    <t>['sinyal', 'josss', 'pokoke', 'telkomsel', 'gitu', '']</t>
  </si>
  <si>
    <t>['dipermudah', 'ribet']</t>
  </si>
  <si>
    <t>['menbantu', 'dlm', 'pembelian', 'pulsa', 'data', 'dll']</t>
  </si>
  <si>
    <t>['membantu', 'insaallah', 'mudah', 'rez', 'aamiin', 'allah', 'humma', 'aamiin']</t>
  </si>
  <si>
    <t>['sinyal', 'jelek', 'tolong', 'perbaiki']</t>
  </si>
  <si>
    <t>['lumayan', 'update']</t>
  </si>
  <si>
    <t>['', 'banget', 'dipake', 'aplikasinya']</t>
  </si>
  <si>
    <t>['yaa']</t>
  </si>
  <si>
    <t>['aplikasi', 'promo', 'berlaku', 'giliran', 'udah', 'daftarin', 'berlaku', 'kali', 'ngadain', 'promo', 'jujur', 'bos', 'mah', 'hoax', 'termasuknya']</t>
  </si>
  <si>
    <t>['bagus', 'jaringannya', 'mahal', 'beda', 'beda', 'paket', 'data', 'ditawarkan']</t>
  </si>
  <si>
    <t>['berbulan', 'bertahun', 'rajin', 'beli', 'paket', 'internet', 'kali', 'perbulan', 'nmr', 'april', 'mei', 'sinyal', 'mendadak', 'jelek', 'sejelek', 'jeleknya', 'mengeluh', 'kebanyakan', 'orang', 'ditempat', 'mengeluh', 'kapok', 'beli', 'paket', 'internet', 'mending', 'beli', 'ribuan', 'dpt', 'gb', 'for', 'now', 'bye', 'bye', 'paket', 'internet', 'telkomsel', 'see', 'you', 'again', 'sinyalmu', 'bagus', 'paket', 'internetmu', 'lbh', 'murah', 'rotfl', '']</t>
  </si>
  <si>
    <t>['sinyal', 'jelek', 'ilang', 'gimana', 'pengguna', 'nyaman', 'asik', 'main', 'game', 'sinyal', 'hilang', 'tingkatkan', 'perbarui', 'bintang']</t>
  </si>
  <si>
    <t>['telkomsel', 'semoga', 'maju']</t>
  </si>
  <si>
    <t>['kasih', 'bintang', 'aplikasinya', 'bagus', 'promonya', 'berubah', 'ubah', 'promonya']</t>
  </si>
  <si>
    <t>['membantu', 'dengn', 'pembelian', 'pls', 'sngat', 'murah']</t>
  </si>
  <si>
    <t>['signal', 'paraaaah', 'cek', 'kuota', 'beli', 'kuota', 'susah', 'buruk']</t>
  </si>
  <si>
    <t>['kecewa', 'banget', 'abis', 'update', 'ngelag', 'separah', 'ampe', 'ping', 'lompat', 'sinyal', 'batang', 'trus', 'ilang', 'menambah', 'kealphaan', '']</t>
  </si>
  <si>
    <t>['mantap', 'sinyal', 'kalw', 'harganya', 'murahin', '']</t>
  </si>
  <si>
    <t>['gimna', 'siii', 'disuruh', 'perbaruhi', 'seteleh', 'perbaruhi', 'jelek', 'aplikasi', 'pembayaran', 'ovo', 'shopee', 'dll', 'astagaaa', 'kaya', 'gini', 'gue', 'ogah', 'perbaruhi', 'mendingan', 'app', 'tekomsel']</t>
  </si>
  <si>
    <t>['kasi', 'hot', 'promonya', 'murah', 'kuota', 'smpe', 'pindah', 'pesaing']</t>
  </si>
  <si>
    <t>['langganan', 'game', 'pulsa', 'kesedot', 'habis', 'gmn', 'ngatasinya']</t>
  </si>
  <si>
    <t>['tolong', 'perbaiki', 'internetnya']</t>
  </si>
  <si>
    <t>['udah', 'telkomsel', 'paket', 'unlimited', 'youtube', 'nggak', 'syarat', 'ketentuan', 'batas', 'pemakaian', 'kenapaa', 'nggak', 'youtube', 'segi', 'bumn', 'gini', 'banget', 'astaga', 'udah', 'kapitalis', 'banya', 'konspirasi']</t>
  </si>
  <si>
    <t>['kecewa', 'pelayanan', 'telkomsel', 'masyarakat', 'papua', 'membutuhkan', 'akses', 'internet', 'mudah', 'kesetaraan', 'informasi', 'pengetahuan', 'telkomsel', 'satunya', 'proveder', 'memiliki', 'koneksi', 'buruk', 'harga', 'paket', 'menjulang', 'satunya', '']</t>
  </si>
  <si>
    <t>['telkomsel', 'kayak', 'gini', 'skrg', 'sumpah', 'bagusan', 'provider', 'harga', 'murah', 'bandingin', 'telkom', 'ngerasa', 'beli', 'kuota', 'mahal', '']</t>
  </si>
  <si>
    <t>['fitur', 'check', 'aplikasi', 'bug', 'login', 'login', 'ngulang', 'klaim', 'voucher', '']</t>
  </si>
  <si>
    <t>['gimana', 'log', 'kesalahan', 'apanya', '']</t>
  </si>
  <si>
    <t>['paket', 'internet', 'tinggal', 'sehari', 'lemot', 'sinyal', 'bentar', 'bentar', 'hilang', 'kuota']</t>
  </si>
  <si>
    <t>['', 'buk', 'brapa', 'owh', 'rb', 'unlimited', 'iyaa', 'iya', 'oke', 'deh', 'minggu', 'kemudiann', 'ajg', 'ternyataa', 'prabayar', 'unlimited', 'bangst']</t>
  </si>
  <si>
    <t>['beli', 'kuota', 'mahalnya', 'selangit', 'sinyal', 'stabil', 'lbih', 'cenderung', 'ping', 'merah', 'tlong', 'diperbaiki', 'kemana', 'kmi', 'mmberi', 'saran', 'kritik', 'tlong', 'ditanggapi', 'thanks']</t>
  </si>
  <si>
    <t>['memuaskan', 'mkasih', 'sel']</t>
  </si>
  <si>
    <t>['udah', 'bagus', 'bisagak', 'murahin', 'sikit', '']</t>
  </si>
  <si>
    <t>['paket', 'swadaya', 'khusus', 'corporate', 'ojol', 'cepet', 'abis', '']</t>
  </si>
  <si>
    <t>['bagus', 'cepat', 'akses', 'pembeli', '']</t>
  </si>
  <si>
    <t>['', 'perbaharui', 'nambah', 'akulaku', 'telkomsel', 'berdiri', '']</t>
  </si>
  <si>
    <t>['sinyal', 'bagus', 'telkomsel', 'capek', 'gua', 'pakek', 'telkomsel', 'paket', 'mahal', 'sesuai', 'jaringan', 'nyesel', 'sumpah', 'main', 'game', 'muter', 'muter', 'tower', 'deket', 'coba', 'yng']</t>
  </si>
  <si>
    <t>['', 'ksih', 'bintang', 'sox', 'bonus', 'sms', 'susah', 'dgunakn', 'gagal', 'mengirim', 'bonus', 'telepon', 'pulsa', 'pulsa', 'terpotong', 'potong', 'tlg', 'dlu', 'perbaiki', 'program', 'paketx', 'tks']</t>
  </si>
  <si>
    <t>['tolong', 'mengirim', 'sms', 'promosi', 'nsp', 'videomax', 'menerima', 'kali', 'sms', 'mengganggu', 'membutuhkan', 'layanan', 'nsp', 'videomax', '']</t>
  </si>
  <si>
    <t>['', 'turun', 'rating', 'stabil', 'signalnya', 'chek', 'auto', 'berpindah', 'manual', 'pas', 'muat', 'ulang', 'merespon', 'kau', 'banggakan', 'maaf', 'kesalahan', 'system', 'maaf', 'sistem', 'tekan', 'muat', 'ulang', 'merespon', '']</t>
  </si>
  <si>
    <t>['paket', 'mahal', 'terlambat', 'isi', 'paket', 'langsung', 'nyedot', 'pulsa', 'banget']</t>
  </si>
  <si>
    <t>['nambah', 'parah', 'kuota', 'internet', 'gb', 'update', 'telkmsl', 'udah', 'kartu', 'udah', 'sinyal', 'gimana', 'suwe', 'bener']</t>
  </si>
  <si>
    <t>['jaringan', 'telkomsel', 'susah', 'sesuai', 'tarifnya', 'mahal', 'namanya', 'istilah', 'kartu', 'sultan', 'tarif', 'mahal', 'layanan', 'buruk']</t>
  </si>
  <si>
    <t>['friendly', 'user', 'beli', 'paket', 'data', 'mudah', 'gagal', 'loading', 'buka', 'aplikasi']</t>
  </si>
  <si>
    <t>['bintang', 'dlu', 'msh', 'dipantau', 'sinyalnya', 'telkomsel', 'skrg', 'lemot']</t>
  </si>
  <si>
    <t>['bagus', 'gampang', 'daftar', 'gabungnya', 'membantu', 'aplikasi']</t>
  </si>
  <si>
    <t>['mksh', 'telkomsel', 'mudah', 'mengecek', 'paketan', 'pulsa', 'kouta', 'lainya']</t>
  </si>
  <si>
    <t>['alamat', 'email', 'kirimin', 'email', 'terkirim', 'emang', 'terima', 'pangaduan', 'kritikan', 'tutup', 'gitu', '']</t>
  </si>
  <si>
    <t>['kasih', 'bintang', 'kuota', 'darurat']</t>
  </si>
  <si>
    <t>['hadiahnya', 'semoga', 'pemenang', '']</t>
  </si>
  <si>
    <t>['isi', 'pulsa', 'hilang', 'gua', 'nggak', 'utang', 'paket', 'darurat', 'pulsa', 'gua', 'kepotong', 'paket', 'darurat', 'masuk', 'sms', 'klau', 'paket', 'darurat', 'gua', 'lunasin', 'maksudx', 'coba', 'maling', 'cari', 'untung', 'segitux', 'beralih', 'jaringanx', 'lancar', 'lemot', 'maling', 'pulsa', '']</t>
  </si>
  <si>
    <t>['aplikasi', 'bagus', 'terimakasih']</t>
  </si>
  <si>
    <t>['curhat', 'telkomsel', 'bertahun', 'rasakan', 'kualitasnya', 'menurun', 'anjlok', 'harga', 'kuota', 'mahal', 'pemotongan', 'pulsa', 'parah', 'sinyalnya', 'jagokan', 'kalah', 'provider', 'please', 'diperbaiki', '']</t>
  </si>
  <si>
    <t>['beli', 'ganti', 'paket', 'dilayani', '']</t>
  </si>
  <si>
    <t>['aplikasi', 'pelayanan', 'mudah', 'terimakasih', 'telkomsel', '']</t>
  </si>
  <si>
    <t>['semoga', 'aplikasi', 'membawa', 'keberkahan', 'amin', 'rabbalalamin']</t>
  </si>
  <si>
    <t>['keren', 'banget', 'aplikasinya', 'suka', 'banget', 'nggak', 'ribet', '']</t>
  </si>
  <si>
    <t>['kendala', 'apapun']</t>
  </si>
  <si>
    <t>['sekelas', 'telkomsel', 'apk', 'ngelock', 'pulsa', 'kalah', 'axis', 'jaringannya', 'hancur', 'harga', 'mahal', 'parah', 'sampah', 'untung', 'eman', '']</t>
  </si>
  <si>
    <t>['apk', 'beli', 'paket', 'internet', 'kusus', 'game', 'bonus', 'kuota', 'utama', 'kuota', 'utama', 'abis', 'kuota', 'game', 'gunain', 'maksud', 'kak', 'mahal', 'doang', 'jan', 'duit', 'pikirin', 'kak']</t>
  </si>
  <si>
    <t>['membangongkan', 'internet', 'mahal', 'kualitas', 'jaringan', 'abal', 'abal']</t>
  </si>
  <si>
    <t>['efisien', 'pengecekan', 'pulsa', 'kuota', 'memudahkan', 'membeli', 'paket']</t>
  </si>
  <si>
    <t>['membantu', 'pengisian', 'kuota', 'pulsa', 'bagus', '']</t>
  </si>
  <si>
    <t>['loging', 'alias', 'lemot', 'buka']</t>
  </si>
  <si>
    <t>['', 'cek', 'hadiah', 'vocer', 'gmn', 'gunakanya', '']</t>
  </si>
  <si>
    <t>['keren', 'mohon', 'menu', 'paket', 'spesial', 'nelponnya', 'berubah', 'harganya']</t>
  </si>
  <si>
    <t>['pulsa', 'hilang', 'hilangnya', 'puluhan', 'rupiah', 'orang', 'sadar', 'diperhatikan', 'berkurang', 'pas', 'dicek', 'keterangannya', 'pemakaian', 'internet', 'sim', 'card', 'dipakai', 'provider', 'telepon', 'masuk', 'telepon', 'rumah', 'pulsaku', 'disedot', 'orang', 'telepon', 'persetujuan', 'pulsa', 'dibebankan', 'penerima', '']</t>
  </si>
  <si>
    <t>['mantap', 'telkomsel', 'mudah']</t>
  </si>
  <si>
    <t>['jual', 'iklan', 'bos', 'beli', 'paket', 'game', 'max', 'dipakai', 'digame', 'jaringan', 'down', 'busuk', 'telkomsel']</t>
  </si>
  <si>
    <t>['', 'telkomsel', 'sii', 'ngisi', 'pulsa', 'kemaren', 'ambil', 'pulsanya', 'make', 'wifi', 'mode', 'pesawat', 'nyalain', 'data', 'ambil', 'sumpah', 'sii', 'rugi', '']</t>
  </si>
  <si>
    <t>['ntar']</t>
  </si>
  <si>
    <t>['kecewa', 'sinyal', 'error', 'jelek', 'telkomsel', 'skrng', 'memakai', 'telkomsel', 'skrng', 'ngk', 'terima', 'kasih']</t>
  </si>
  <si>
    <t>['', 'apk', 'playleter', 'update']</t>
  </si>
  <si>
    <t>['insa', 'allah', 'rezeki', 'undi', 'undi', 'hepi', 'motor', 'nmx', 'semoga', 'tercapai', 'ulantahun', 'telkomsel', 'aamiin', 'rabbal', 'alamin']</t>
  </si>
  <si>
    <t>['mahal', 'doang', 'lag']</t>
  </si>
  <si>
    <t>['mahal', 'doang', 'kualitas', 'kek', 'babi']</t>
  </si>
  <si>
    <t>['terimah', 'kasih', 'karna', 'perbaiki', 'bugnya', '']</t>
  </si>
  <si>
    <t>['jaringan', 'babi', 'ajar', 'jaringan', 'stabil', 'becus', 'jual', 'paketan', 'beli', 'paket', 'ngutang', 'jringan', 'kek', 'pampek']</t>
  </si>
  <si>
    <t>['', 'check', 'paket', 'masuknya', 'kayak', 'beli', 'buka', 'facebook', 'instagram', 'whatsapp', 'tiktok', 'dll', 'tpi', 'skrng', 'aneh', 'kali', 'apk', 'check', 'udh', 'habis', 'habis', 'ngulang', 'lgi', 'check', 'maksudnya', 'gimana', 'tolong', 'telkomsel']</t>
  </si>
  <si>
    <t>['sumpah', 'kecewa', 'telkomsel', 'jaringan', 'hilang', 'mulu', 'opeator', 'berlomba', 'lomba', 'memperbaiki', 'kualitas', 'jaringan', 'telkomsel', 'buruk', 'telkomsel', 'parah', 'parah', 'parah', '']</t>
  </si>
  <si>
    <t>['mudah', 'dipakainya', 'cek', 'pulsa', 'kuwota']</t>
  </si>
  <si>
    <t>['sistem', 'jaringan', 'stabil', '']</t>
  </si>
  <si>
    <t>['', 'main', 'mobile', 'legend', 'sinyal', 'telkomsel', 'stuck', 'loading', 'screen', 'mulu', 'ganti', 'kartu', '']</t>
  </si>
  <si>
    <t>['sinyal', 'telkomsel', 'jelek', 'play', 'bideo', 'daridulu', 'nggak', 'kendala', '']</t>
  </si>
  <si>
    <t>['kuota', 'ilang', 'udah', 'komplain', 'jawabannya', 'csnya', 'nyambung', '']</t>
  </si>
  <si>
    <t>['mahal', 'doang', 'kartu', 'telkomsel', 'tpi', 'jaringn', 'kek', 'taik']</t>
  </si>
  <si>
    <t>['apk', 'bagus', 'bgus']</t>
  </si>
  <si>
    <t>['', 'kota', 'palembang', 'daerah', 'gandus', 'pakai', 'kartu', 'telkomsel', 'ngk', 'sinyal', 'main', 'gaem', 'ngk', 'nyesal', 'pakai', 'kartu', 'telkom', 'kartu', 'hallo', 'sinyal', 'hilang', 'hilang', 'kadang', 'kadang', 'ngk', '']</t>
  </si>
  <si>
    <t>['jaringan', 'sampah', 'harga', 'mahal']</t>
  </si>
  <si>
    <t>['beli', 'paket', 'mahal', 'jaringannya', 'jelek', 'banget', 'bangke', 'emang', 'telkomsel', 'telfon', 'putus', 'mati', 'sinyal', 'kuat', 'trus', 'keluarin', 'salah', '']</t>
  </si>
  <si>
    <t>['jaringan', 'jelek', 'upgrade', 'paket', 'kartu', 'hallo', 'hancur', 'jaringannya', 'kuota', 'dicek', 'app', 'telkomsel', 'jaringan', 'normal', 'emang', 'diancam', 'app', '']</t>
  </si>
  <si>
    <t>['udh', 'kapok', 'ikutan', 'telkomsel', 'poin', 'kecewa', 'tukar', 'poin', 'sampe', 'kupon', 'undian', 'menang', 'poinya', 'tukar', 'promo', 'timbul', 'proses', 'pengundian', 'telkomsel', 'poin', 'fairplay', 'perlihatkan', 'proses', 'pengundinya', 'semoga', 'bahan', 'pertimbangan', 'telkomsel', 'kedepnya', '']</t>
  </si>
  <si>
    <t>['sinyal', 'telkomsel', 'buruk', 'rusak', 'tolong', 'perluasan', 'jaringannya', '']</t>
  </si>
  <si>
    <t>['mengerti']</t>
  </si>
  <si>
    <t>['kuota', 'internet', 'main', 'game', 'susah', 'banget', 'loby', 'game', 'sinyalnya', 'bagus', 'banget', 'pas', 'main', 'kaya', 'kuota', 'habis', 'pas', 'cek', 'bngt', 'handphone', 'kendala', '']</t>
  </si>
  <si>
    <t>['check', 'punyaku', 'kereset', 'selesai', 'tinggal', 'ambil', 'kereset']</t>
  </si>
  <si>
    <t>['kasih', 'opsi', 'menonaktifkan', 'paket', 'datalah', '']</t>
  </si>
  <si>
    <t>['', 'bet']</t>
  </si>
  <si>
    <t>['nyampe', 'kuota', 'ngulang', 'zalora', 'apk', 'aaaaa', 'liat', 'liat', 'haaah']</t>
  </si>
  <si>
    <t>['sinyal', 'busuk', 'kota', 'harga', 'paketan', 'mahal', 'kualitas', 'kampungan']</t>
  </si>
  <si>
    <t>['kasi', 'gua', 'promo', 'murah', 'dung']</t>
  </si>
  <si>
    <t>['daily', 'check', 'normal', 'terimakasih']</t>
  </si>
  <si>
    <t>['aplikasi', 'bagus', 'wajib', 'download', '']</t>
  </si>
  <si>
    <t>['aplikasi', 'mantap', 'praktis', 'ngisi', 'kuota', 'internet', 'pulsa']</t>
  </si>
  <si>
    <t>['harga', 'bintang', 'kualitas', 'kaki', 'browsing', 'lancar', 'ngegame', 'jumping', 'sampe', 'ms']</t>
  </si>
  <si>
    <t>['telkomsel', 'nggak', 'memuaskan', 'pelanggan', 'kepuasan', 'jaringan', 'telkomsel', 'angkat', 'bicara', 'anjiiing', '']</t>
  </si>
  <si>
    <t>['cepat', 'jaringan', 'bagus', 'lelet', 'baguslaha', 'pokoknya', 'gambar', 'vidio', '']</t>
  </si>
  <si>
    <t>['beli', 'paket', 'combo', 'sakti', 'koneksi', 'apalah', 'paket', 'combo', 'sakti', 'beli', 'kenpa', 'taruh', 'aplikasi']</t>
  </si>
  <si>
    <t>['pengguna', 'telkomsel', 'langsung', 'download', 'aplikasi', 'telkomsel', 'berhasil', 'masuk', 'buka', 'aplikasi', 'coba', 'berulang', 'ttp', 'hapus', 'download', 'kebuka', 'aplikasi', 'buka', 'aplikasi', 'hapus', 'download', 'ulang', 'tolong', 'min', 'perbaikan', '']</t>
  </si>
  <si>
    <t>['jaringan', 'internet', 'buruk', 'cobalah', 'stabil', 'jaringan', 'internet', 'pengen', 'alih', 'kek', 'gini', 'tros', 'jaringan', 'internet']</t>
  </si>
  <si>
    <t>['telkomsel', 'kesini', 'kayak', 'sampah', 'sinyalnya', 'internetnya', 'beli', 'mahal', 'mahal', 'kuota', 'diperbaiki', 'lelet', 'kayak', 'gini', 'tahan', 'pindah', 'provider', 'tolonglah', 'didengar', 'perbaiki', 'maaf', '']</t>
  </si>
  <si>
    <t>['sinyal', 'jelek', 'plus', 'lemot', 'lokasi', 'rumah', 'deket', 'perhutanan', 'kota', 'kaya', 'gini', 'telkomnyet', '']</t>
  </si>
  <si>
    <t>['abang', 'telkom', 'bosen', 'hidupkah', 'satelitnya', 'oli', 'towernya', 'dikencingi', 'kucing', 'abang', 'telkom', 'pekan', 'kantornya', 'marpoyan', 'damai', 'jalan', 'cempedak', 'by', 'mobile', 'legen', 'yok', 'by', 'tigrel', 'kau', 'kartu', 'kau', 'kartu', 'jumpa', 'didepan', 'gramedia', 'kalah', 'tutup', 'menang', 'beli', 'kombo', 'sakti', 'cem', 'taik', 'aplikasi', 'bagus', 'semangat', 'bang', 'semoga', 'upgrade', 'sampe', '']</t>
  </si>
  <si>
    <t>['woy', 'knp', 'daily', 'check', 'gua', 'udah', 'ditahap', 'menjelang', 'aaaarrgghh', 'making', 'making', 'buruk', 'telkom']</t>
  </si>
  <si>
    <t>['mahal', 'paketannya', 'nggak', 'gratisan']</t>
  </si>
  <si>
    <t>['daily', 'cek', 'error', 'ulangi', '']</t>
  </si>
  <si>
    <t>['kuota', 'sosmed', 'duluan']</t>
  </si>
  <si>
    <t>['jaringan', 'terluas', 'kyak', 'kentut', 'ntar', 'timbul', 'ntar', 'hilang', 'ngeselin', '']</t>
  </si>
  <si>
    <t>['respon', 'cepat', 'diskon', '']</t>
  </si>
  <si>
    <t>['ngehina', 'aplikasi', 'orang', 'susah', 'payah', 'apk', 'coba', 'apk', 'nggak']</t>
  </si>
  <si>
    <t>['gila', 'telkomsel', 'uda', 'chek', 'sampe', 'hilang', 'chek', '']</t>
  </si>
  <si>
    <t>['terimakasih', 'telkomsel', 'seneng', 'gitu', 'dikasih', 'kuota', 'gratisan', 'ikutan', 'daily', 'check', 'rajin', 'tuker', 'poin', 'dapet', 'pulsa', 'rb', 'semoga', 'besok', 'dpt', 'ehe', 'kadang', 'sinyalnya', 'dadet', 'kaya', 'nyangkut', 'dipohon', 'pete', 'pliss', 'tolong', 'diperbaiki', 'nyaman', 'makenya', 'udah', 'gitu', 'thank', 'youuu', 'semoga', 'jayaa', 'yaaa', '']</t>
  </si>
  <si>
    <t>['telkomsel', 'pelayanan', 'terbaik', 'teruslah', 'berkarya', 'bangsa']</t>
  </si>
  <si>
    <t>['kecewa', 'telkomsel', 'membeli', 'voucher', 'paket', 'data', 'dipakai', 'uang', 'hilang', 'kali', 'membeli', 'voucher', 'paket', 'data', 'im', 'telkomsel', 'kecewa', '']</t>
  </si>
  <si>
    <t>['habis', 'diupdate', 'daily', 'checkin', 'nol', 'checkin', 'harian', 'dihilangkan', 'kasih', 'bintang', '']</t>
  </si>
  <si>
    <t>['pokonya', 'mantap', 'rumah', 'beli', 'pulsa', 'bermanfaat', 'download', 'apk', 'pokonya', 'ragu']</t>
  </si>
  <si>
    <t>['klaim', 'paket', 'eehh', 'daily', 'check', 'nol', '']</t>
  </si>
  <si>
    <t>['tolonglah', 'telkomsel', 'kasih', 'pulsa', 'save', 'buka', 'pulsa', 'habis', 'karna', 'pulsa', 'save', 'tolong', 'beli', 'pulsa', 'berasa', 'pulsa', 'save', 'coookkk']</t>
  </si>
  <si>
    <t>['dapet', 'bonus', 'gb', 'kepake', 'kuota', 'utama', '']</t>
  </si>
  <si>
    <t>['tolong', 'telkomsel', 'sinyalnya', 'kembalikan', 'kayak', 'udah', 'mahal', 'sinyalnya', 'lemot', 'pelanggan', 'kecewa', 'sinyal', 'tjdak', 'bagus']</t>
  </si>
  <si>
    <t>['lucu', 'program', 'check', 'lancar', 'tersisa', 'check', 'selesai', 'klaim', 'kuota', 'gb', 'gb', 'periode', 'sisa', 'ngulang', 'rugi', 'gimana', 'customer', 'setia', 'ehh', 'provider', 'mengecewakan', '']</t>
  </si>
  <si>
    <t>['check', 'hri', 'tpi', 'diulang', 'mlai', 'hri', 'pertma', 'lgi', 'tolong', 'diperbaiki', 'programnya', 'telkomsel']</t>
  </si>
  <si>
    <t>['nyesel', 'update', 'aplikasi', 'hadiah', 'chekin', 'keriset', 'udah', 'nyampe', 'voucher', 'diskon', '']</t>
  </si>
  <si>
    <t>['cuman', 'jaringan', 'buruk', 'nda', 'sesuai', 'harga', 'paket', 'dibeli', 'gini', 'trs', 'nggk', 'kepake', 'kartu', 'indonesia']</t>
  </si>
  <si>
    <t>['chek', 'ngulang', '']</t>
  </si>
  <si>
    <t>['paket', 'game', 'max', 'gbisa', 'mohon', 'diperbaiki']</t>
  </si>
  <si>
    <t>['ngelag', 'harganya', 'mahal', 'sesuai', 'kualitas', 'mahal', 'lag', 'nyeael', 'gua', 'beli']</t>
  </si>
  <si>
    <t>['', 'udh', 'cape', 'check', 'udh', 'dapet', 'reward', 'blm', 'klaim', 'reset', 'banget', 'ngasih', 'harapan', 'palsu', 'kaya', 'gitu']</t>
  </si>
  <si>
    <t>['woe', 'tsel', 'ajg', 'misi', 'daily', 'check', 'ngulang', 'pdhal', 'checkin', 'kali', 'dpt', 'kuota', 'gb', 'pdhal', 'checkin', 'curang', 'nama', 'telkomsel', 'gitu', 'bner']</t>
  </si>
  <si>
    <t>['fix', 'telkomsel', 'burik', 'dipake', 'sinyal', 'lemot', 'masuk', 'game', 'banget', 'sampe', 'tulisan', 'koneksi', 'stabil', 'masuk', 'game']</t>
  </si>
  <si>
    <t>['mantap', 'joss', 'sukses', '']</t>
  </si>
  <si>
    <t>['udah', 'updet', 'trus', 'chekin', 'mala', 'suru', 'ngulang', 'bangkrut', 'bangkrut', 'bos', 'nambah', 'susah', 'pelangan', 'sinyal', 'kuat', 'lemot', 'kartu', 'mahal', 'penipu', '']</t>
  </si>
  <si>
    <t>['sinyal', 'jaringan', 'telkomsel', 'bagus']</t>
  </si>
  <si>
    <t>['giliran', 'ambil', 'bonus', 'gb', 'check', 'jaringan', 'ksini', 'lemod', 'banget', 'promo', 'mahal', 'sperti', 'sya', 'kasih', 'bintang', 'ksini', 'check', 'eeech', 'masi', 'mengulang', 'dri', 'lgi', 'tipuuu', 'tipu', 'tipuuu']</t>
  </si>
  <si>
    <t>['murah', 'meriah', 'promoxa', 'jooooos']</t>
  </si>
  <si>
    <t>['tolong', 'paket', 'murah', 'mahal']</t>
  </si>
  <si>
    <t>['udah', 'belain', 'buka', 'daily', 'check', 'udah', 'nyampe', 'ngulang', 'gangguan', 'gimana', 'min', '']</t>
  </si>
  <si>
    <t>['jaringanya', 'suka', 'stabil', 'beli', 'paket', 'harga', 'paketnya', 'murah', 'sinyal', 'suka', 'kesel', 'jaringanya', 'lelet', 'dlu', 'bangga', 'banget', 'telkomsel', 'nyesel', 'tolong', 'mimin', 'jaringanya', 'perbaiki', 'terimakasih']</t>
  </si>
  <si>
    <t>['masok', 'telkomsel', 'perbarui', 'masok', 'kin', 'nmr', 'masok', 'tolong', 'perbaiki', '']</t>
  </si>
  <si>
    <t>['sesuai', 'relita', 'dlm', 'tulisan', 'kta', 'tgl', 'bkl', 'hbs', 'blm', 'apap', 'hbs', 'dlu', 'aneh', 'mkin', 'aneh']</t>
  </si>
  <si>
    <t>['app', 'diupdate', 'eror', 'isi', 'pulsa', 'ngga', 'check', 'dihari', 'kecewa', '']</t>
  </si>
  <si>
    <t>['koneksi', 'jaringan', 'internet', 'kartu', 'hallo', 'kartu', 'hallo', 'tetep', 'melempem', 'bilangnya', 'prioritas', 'jaringan', 'berbeda', 'paket', 'mahal', 'rasakan', 'kesini', 'jaringan', 'internetnya', 'telkomsel', 'down', 'umah', 'udah', 'joss', 'banget', 'udah', 'tetep', 'melempem', 'youtube', 'kecewa', '']</t>
  </si>
  <si>
    <t>['maaf', 'pelanggan', 'simpati', 'bulanan', 'aplikasi', 'telkomsel', 'mohon', 'penjelasannya', 'trimks']</t>
  </si>
  <si>
    <t>['daily', 'check', 'reset', 'udah', 'login', 'sampe', 'app', 'rusak', '']</t>
  </si>
  <si>
    <t>['jaringan', 'bermasalah', 'aplikasi', 'berjalan', 'lambat', '']</t>
  </si>
  <si>
    <t>['min', 'tsel', 'program', 'cek', 'udh', 'cek', 'pas', 'buka', 'apps', '']</t>
  </si>
  <si>
    <t>['habis', 'update', 'nomor', 'habis', 'dikirim', 'pulsa', 'paket', 'data', 'hilang', 'gakada', 'hystori', 'susah', 'beliin', 'kuota', 'orang', 'nomornya', 'kesimpen', 'kayak', 'diperbaiki', 'tmbh', 'bintang']</t>
  </si>
  <si>
    <t>['enak', 'bintang', 'lanjutkan', 'aplikasinya']</t>
  </si>
  <si>
    <t>['mengecewakan', 'pulsa', 'beli', 'paket', 'isi', 'pulsa', 'saldonya', 'beres', 'transaksi', 'pemakaian', 'mimin', 'veronika', '']</t>
  </si>
  <si>
    <t>['check', 'masuk', 'paket', 'gratis', 'pengen', 'klaim', 'susah', 'pakai', 'aplikasi', 'tolong', 'diperbaiki']</t>
  </si>
  <si>
    <t>['sinyal', 'gampang', 'hilang', 'kuota', 'mahal', 'tolong', 'fix', 'secepatnya', '']</t>
  </si>
  <si>
    <t>['min', 'pas', 'check', 'daily', 'udah', 'tinggal', 'nukerin', 'hadiahnya', 'hilang', 'ngeselin', 'bnget', 'udah', 'sabar', 'bulak', 'buka', 'telkomsel', 'daily', 'check', 'ehh', 'zonk', '']</t>
  </si>
  <si>
    <t>['aplikasi', 'bagus', 'saran', 'fitur', 'penghalang', 'pulsa', 'tersedot', 'paket', 'data', 'habis', 'menyenangkan', 'nggak', 'enak', 'pulsa']</t>
  </si>
  <si>
    <t>['check', 'tanggal', 'check', 'klaim', 'reward', 'kartu', 'semoga', 'ditingkatkan', 'ganti', 'kartu']</t>
  </si>
  <si>
    <t>['sinyal', 'jelek', 'banget', 'gimana', 'telkomsel', 'kayak', 'gini', 'sinyal', '']</t>
  </si>
  <si>
    <t>['tingkatkan', 'kwalitas']</t>
  </si>
  <si>
    <t>['daily', 'chek', 'terulang', 'tolong', 'diperbaiki']</t>
  </si>
  <si>
    <t>['daily', 'check', 'error', 'ulang', '']</t>
  </si>
  <si>
    <t>['paket', 'mahal', 'kualitas', 'signalnya', 'tolong', 'disesuaikan', 'kualitas', 'signal', 'menurun', 'daily', 'check', 'reset', '']</t>
  </si>
  <si>
    <t>['pas', 'main', 'game', 'nge', 'lag', 'buka', 'youtube', 'lancar', 'tolong', 'telkom', '']</t>
  </si>
  <si>
    <t>['nambah', 'error', 'daily', 'check', 'login', '']</t>
  </si>
  <si>
    <t>['apk', 'berengsek', 'nyesel', 'perbaaharui', 'udh', 'susah', 'susah', 'cekin', 'mlh', 'jdi', 'burik', 'banget']</t>
  </si>
  <si>
    <t>['pulsa', 'kepotong', 'anying', 'daily', 'check', 'niat', 'cek', 'kereset', 'nol', 'bang', 'paket', 'datanya', 'mahal', 'sinyal', 'tetep', 'burik']</t>
  </si>
  <si>
    <t>['capek', 'check', 'udh', 'hri', 'ulang', 'dri', 'lgi', '']</t>
  </si>
  <si>
    <t>['daile', 'chekin', 'ngebug', 'udah', 'chekin', 'ulangi', 'wakrunyah', 'tinggal', 'tolol']</t>
  </si>
  <si>
    <t>['tertipu', 'telkomsel', 'harga', 'mahal', 'paket', 'internet', 'pulsa', 'reguler', 'sebanding', 'kecepatan', 'jaringan', 'posisi', 'wilayah', 'posisi', '']</t>
  </si>
  <si>
    <t>['aplikasi', 'bngst', 'gua', 'udah', 'kumpulin', 'chek', 'masuk', 'hsri', 'chek', 'hilang', 'tolong', 'telkomsel', 'niat', 'kasih', 'reward', 'pelanggan', 'kaih', 'harapan', 'palsu', 'pelanggan', 'telkomsel', 'berkurang', 'beralih', 'operator']</t>
  </si>
  <si>
    <t>['memuaskan', 'didlm', 'kamar']</t>
  </si>
  <si>
    <t>['aplikasinya', 'suka', 'eror']</t>
  </si>
  <si>
    <t>['maketin', 'kuta', 'penbayaran', 'sopay', 'mohon', 'bantu']</t>
  </si>
  <si>
    <t>['udah', 'susah', 'susah', 'ngumpulin', 'stamps', 'direset', 'gimana', 'sisa', 'claim', 'hadiahnya', '']</t>
  </si>
  <si>
    <t>['bintang', 'dlu', 'min', 'knpa', 'hasil', 'check', 'harian', 'apk', 'telkomsel', 'ulang', 'kmbli', 'udh', 'check', 'harian', 'untk', 'dptkan', 'paket', 'gratisan', 'pdhl', 'blm', 'direset', 'min', 'pdhl', 'reset', 'tgl', 'oktober', 'knpa', 'udh', 'direset', 'min', 'skrg', 'tgl', 'oktober', 'tolong', 'diperbaiki', 'bug', 'min', 'udh', 'cape', 'login', 'apk', 'telkomsel', 'untk', 'ngambil', 'hadiah', 'paket', 'maap', 'turunin', 'bintang', 'min', 'jdi', 'kecewa', 'skli', '']</t>
  </si>
  <si>
    <t>['kayak', 'fair', 'gitu', 'iya', 'angin', 'hujan', 'daily', 'chek', 'chek', 'rutin', 'perbaiki', '']</t>
  </si>
  <si>
    <t>['daily', 'check', 'ngulang', 'periodenya', 'sesuai', 'tgl', 'ditentukan', 'kocak']</t>
  </si>
  <si>
    <t>['mengecewakan', 'pelayanan', 'sinyalnya', 'telkomsel']</t>
  </si>
  <si>
    <t>['sinyal', 'internet', 'perumahan', 'elysium', 'lippo', 'cikarang', 'buruk', 'perumahan', 'elit', 'jaringan', 'internet', 'buruk', 'tolong', 'ditindaklanjuti', 'secepatnya']</t>
  </si>
  <si>
    <t>['udah', 'check', 'minggu', 'update', 'app', 'reset', 'gini', 'mending', 'update', 'app', '']</t>
  </si>
  <si>
    <t>['gimana', 'udah', 'check', 'pas', 'check', 'hilang', 'error']</t>
  </si>
  <si>
    <t>['tambahin', 'fitur', 'cek', 'histori', 'transaksi', 'pelanggan', 'pulsanya', 'berkurang', 'transaksi', 'dial', 'transaksi', 'doang', 'seenggaknya', 'transaksi', 'ketahui', '']</t>
  </si>
  <si>
    <t>['suka', 'kartu', 'enak', 'jaringannya', 'kartu', 'mendukung', 'jaringan', '']</t>
  </si>
  <si>
    <t>['lumayan', 'bagus', 'jaringannya', 'lemah']</t>
  </si>
  <si>
    <t>['isi', 'voucher', 'via', 'aplikasi', 'ngapain', 'jual', 'voucher', 'update', 'aplikasi', 'provider', 'harga', 'paket', 'internet', 'murah', 'lipat', 'kualitas', 'jaringan', 'ngaku', 'murah', 'malaysia', 'kuota', 'internet', 'unlimited', 'fup', 'bandwidth', 'speed', 'mbps', 'ringgit', 'puluhan', 'kali', 'lipat', 'harga', 'kuota', 'internet', 'telkomsel']</t>
  </si>
  <si>
    <t>['kartu', 'cacat', 'tolol', 'bat', 'kartu', 'minggu', 'leletnya', 'ampun', 'gini', 'make', 'tsel', 'ngebct', 'playstore', 'pilihan', 'daerah', 'cuman', 'tsel', 'jaringan', 'tolol', 'semoga', 'developer', 'axis', 'baca', 'komenan', 'masangin', 'axis', 'daerah', 'apk', 'tsel', 'lokasi', 'desa', 'kalimantan']</t>
  </si>
  <si>
    <t>['parah', 'dicurangi', 'telkomsel', 'daily', 'check', 'tinggal', 'pas', 'update', 'aplikasi', 'ngulang', 'batas', 'ngulang', '']</t>
  </si>
  <si>
    <t>['singal', 'stabil', 'habis', 'update', 'even', 'deily', 'check', 'reset']</t>
  </si>
  <si>
    <t>['jaringan', 'telkomsel', 'lemot', 'parah', 'nyesel', 'pakek']</t>
  </si>
  <si>
    <t>['aplikasinya', 'knp', 'eror', 'daily', 'check', 'kog', 'eror', 'udah', 'bagus', 'program']</t>
  </si>
  <si>
    <t>['maunya', 'gimana', 'udah', 'check', 'udah', 'full', 'ulang', 'dituker', 'hadiah', 'rugi', 'programmya', 'ttp', 'berlakunya', 'check', 'udah', 'tuker', 'kuota', 'diulang']</t>
  </si>
  <si>
    <t>['suka', 'blank', 'putih', 'kadang', 'hapus', 'chace', 'hapus', 'data', 'buka', 'repot', 'pas', 'ngaktifin', 'kuota']</t>
  </si>
  <si>
    <t>['apk', 'nga', 'megapa', 'pas', 'masuk', 'check', 'check', 'ulang', 'turu', 'check']</t>
  </si>
  <si>
    <t>['telkomsel', 'enak', 'admin', 'jaringan', 'sinyal', 'ngilang']</t>
  </si>
  <si>
    <t>['kartu', 'maha', 'berubah', 'paket', 'nggak', 'murah', '']</t>
  </si>
  <si>
    <t>['telkomsel', 'ngeleg', 'tokong', 'perbaiki', '']</t>
  </si>
  <si>
    <t>['daily', 'check', 'reset', 'udah', 'seneng', 'dapet', 'kuota', 'internet', 'kayaknya', 'keburu']</t>
  </si>
  <si>
    <t>['jaringan', 'burik', 'apknya', '']</t>
  </si>
  <si>
    <t>['samgat', 'membantu']</t>
  </si>
  <si>
    <t>['', 'pulsa', 'kesedot', 'absen', 'reset', 'udah', 'mahal', 'paketnya', 'lelet', 'kualitas', 'sinyal', 'telkom', '']</t>
  </si>
  <si>
    <t>['daily', 'check', 'gimana', 'login', 'skrg', 'ngulang', 'check', '']</t>
  </si>
  <si>
    <t>['perbaiki', 'sinyal', 'taik', 'serba', 'mahal', 'mending', 'kayak', 'gini']</t>
  </si>
  <si>
    <t>['ngaco', 'daily', 'check', 'udah']</t>
  </si>
  <si>
    <t>['updet', 'lalotx', 'mnta', 'ampun', 'terbuka', 'lalot', 'mending', 'nda', 'perbaharui']</t>
  </si>
  <si>
    <t>['masukkan', 'kode', 'veritifikasi', 'lol']</t>
  </si>
  <si>
    <t>['cek', 'hadiah', 'gb', 'cek', 'ganti', 'berubah', 'cek', 'trouble', 'gmn', 'telkomsel', '']</t>
  </si>
  <si>
    <t>['hbs', 'diperbarui', 'daily', 'checkin']</t>
  </si>
  <si>
    <t>['disaranin', 'daily', 'login', 'mending', 'gausah', 'udah', 'berhari', 'ngumpul', 'ceklis', 'pas', 'klaim', 'hadiah', 'ngak', 'poinnya', 'hilang', 'hadiah', 'kadaluarsanya', 'oktober', 'hadehhh', 'scam', '']</t>
  </si>
  <si>
    <t>['mencoba', 'aplikasi', '']</t>
  </si>
  <si>
    <t>['kasih', 'mantap']</t>
  </si>
  <si>
    <t>['selesai', 'mati', 'lampu', 'login', 'check', 'riset', 'ulang', 'ajg']</t>
  </si>
  <si>
    <t>['check', 'berubah', 'check', 'aneh']</t>
  </si>
  <si>
    <t>['check', 'udah', 'kali', 'aplikasi', 'sampah']</t>
  </si>
  <si>
    <t>['kecewa', 'aplikasi', 'telkomsel', 'daily', 'check', 'pas', 'reward', 'paket', 'data', 'diakses', 'ngasih', 'promo', 'niat', 'admin', 'sekian', 'bales', 'chat', 'via', 'aplikasi', 'telkomsel', 'dibales', 'bales', 'ngiklan', 'kecewa']</t>
  </si>
  <si>
    <t>['undian', 'telkomsel', 'hilang', '']</t>
  </si>
  <si>
    <t>['update', 'bonus', 'blm', 'pakai', 'hilang', 'gitu', 'update', 'kesel', '']</t>
  </si>
  <si>
    <t>['mudah', 'cek', 'pulsa', 'quota', 'penawaran', '']</t>
  </si>
  <si>
    <t>['aplikasi', 'cek', 'pas', 'buka', 'bonus', 'poin', 'clam', 'hadiahnya', '']</t>
  </si>
  <si>
    <t>['isi', 'pulsa', 'klaim', 'voucher', 'rp', 'pulsanya', 'hilang', 'banget', 'minggu', 'isi', 'pulsa', 'via', 'apkliasi', 'mytelkomsel', 'pembayaran', 'via', 'shopee', 'ehh', 'pulsanya', 'masuk', 'saldo', 'shopeepay', 'udah', 'kepotong', 'udah', 'chat', 'customer', 'service', 'sampe', 'kirim', 'bukti', 'screenshoot', 'pembayaran', 'kerja', 'proses', 'masuk', 'pulsanya', 'log', 'harian', 'tinggal', 'klaim', 'voucher', 'kuota', 'ehh', 'log', 'hariannya', '']</t>
  </si>
  <si>
    <t>['error', 'check', 'data', 'udah', 'terulang', 'nol', 'payah', 'capek', 'login', 'data', 'gratis', 'error']</t>
  </si>
  <si>
    <t>['daily', 'cek', 'direset']</t>
  </si>
  <si>
    <t>['tingkatkan', 'fungsi', 'aplikasi', 'content', 'bermanfaat', 'pengguna', 'pelanggan', '']</t>
  </si>
  <si>
    <t>['whyyyy', 'program', 'daily', 'checkin', 'udah', 'selesai', 'pas', 'buka', 'apk', 'ngulang', 'lgi']</t>
  </si>
  <si>
    <t>['dahlah', 'chek', 'ulang', 'dri', 'adain', 'event', 'kek', 'gtu', 'sinyal', 'stabil', 'harga', 'kuota', 'mahal']</t>
  </si>
  <si>
    <t>['sinyal', 'oke', 'paketnya', 'internetnya', 'mahal']</t>
  </si>
  <si>
    <t>['check', 'kenpa', 'ulangi', 'cok']</t>
  </si>
  <si>
    <t>['pulsa', 'berkurang', 'daily', 'check', 'tereset', 'tinggal', 'niat', 'fitur', '']</t>
  </si>
  <si>
    <t>['aplikasinya', 'bagus', 'aplikasi', 'apapun', 'memakan', 'penyimpanan', 'update', 'aplikasi', 'ringan', 'mengkonsumsi', 'memori', 'telkomsel', 'mewujudkannya', '']</t>
  </si>
  <si>
    <t>['provider', 'telkomsel', 'mohon', 'sinyal', 'area', 'solo', 'diperbaiki', 'kualitasnya', 'sinyal', 'jelek', 'dibanyak', 'area', 'solo', 'berjalan', 'pengguna', 'kecewa', 'sinyal', 'jelek', 'paket', 'kuota', 'makim', 'mahal']</t>
  </si>
  <si>
    <t>['sinyal', 'jelek', 'penawaran', 'internet', 'promo', 'saran', 'tambahin', 'keterangan', 'kisaran', 'kecepatan', 'internetnya', 'brp', 'mbps', 'orang', 'zonk', 'gitu', 'pas', 'beli', '']</t>
  </si>
  <si>
    <t>['tinggal', 'cek', 'dpt', 'knp', 'ngulang', 'pdhl', 'msh', 'periode', 'cek']</t>
  </si>
  <si>
    <t>['sllu', 'tingkatkan', 'jaringan', 'promo', 'promo']</t>
  </si>
  <si>
    <t>['daily', 'chek', 'telkomsel', 'berubah', 'tolong', 'penjelasan', 'kpd', 'telkomsel', '']</t>
  </si>
  <si>
    <t>['kelar', 'update', 'daily', 'check', 'raib', 'udah', 'coba', 'event', 'konsisten', '']</t>
  </si>
  <si>
    <t>['kuota', 'sisa', 'gb', 'berlaku', 'mengecewakan', '']</t>
  </si>
  <si>
    <t>['kecewa', 'ama', 'fitur', 'chek', 'gara', 'gara', 'update', 'riset', 'udh', 'perjalanan', 'error', 'pas', 'chek', 'langsung', 'riset']</t>
  </si>
  <si>
    <t>['', 'suka', 'apk', 'mengecewakan', 'hasil', 'check', 'harian', 'sisa', 'pas', 'masuk', 'ngulang', 'harinya', 'periode', 'sisa', 'check', 'rugi', 'reward', 'tinggal', 'quota', 'curaang', 'nipu', 'laaah']</t>
  </si>
  <si>
    <t>['anehh', 'erorr', 'udah', 'ceklis', 'kog', 'ngrestar', '']</t>
  </si>
  <si>
    <t>['bug', 'daily', 'checkin', 'logout', 'gara', 'gara', 'sinyal', 'lemah', 'dailychekin', 'ngulang', 'udah', 'hadiah', 'claim']</t>
  </si>
  <si>
    <t>['wajib', 'pakai', 'telkomsel', 'harga', 'paketan', 'murah', 'banget', 'sinyalnya', 'bagus', 'banget', 'bagus', 'banget', 'pokoknya', 'hahahahaha', 'antonim', 'kebalikannya', '']</t>
  </si>
  <si>
    <t>['jaringan', 'lemot', 'harga', 'paket', 'mahal', 'bosen', 'pakai', 'telkomsel', 'payah', 'ceria', 'berubah', 'derita', 'disappointed', '']</t>
  </si>
  <si>
    <t>['loginnya', 'jelek', 'ngasih', 'bintang', 'perbaikan', 'jelek', 'dikit', 'login', 'barusan', 'jam', 'login', 'ehh', 'mesti', 'login', 'pdhal', 'logout', 'hapus', 'chace', 'ribet', 'priksa', 'sms', 'login', 'yaa', 'nomernya', 'terpasang', 'konek', 'aplikasi', 'pasrah', 'nungguin', 'playstore', 'nyediain', 'rating', 'bintang', 'sepersepuluh', 'bintang', 'udah', 'kalopun', 'rating', 'minus', 'kasih', '']</t>
  </si>
  <si>
    <t>['daily', 'check', 'ulang', 'check']</t>
  </si>
  <si>
    <t>['kecewa', 'ditambah', 'banget', 'berkali', 'kali', 'menghubungi', 'sinyal', 'tetep', 'busuk', 'karna', 'nomer', 'buang', 'kartu', 'sampe', 'tawarin', 'tanah', 'kosong', 'dibikin', 'tower', 'tpi', 'nihil', 'ketahui', 'mempertahankan', 'kartu', 'terpaksa', 'dipaksa', 'paska', 'bayar', 'udah', 'bayar', 'kuota', 'berguna', 'jujur', 'sejujur', 'telkomsel', 'ditempat', 'busuk', 'sebusuk', 'nulis', 'dikamar', 'karna', 'pakai', 'operlaen']</t>
  </si>
  <si>
    <t>['koneksi', 'internetnya', 'kayak', 'sampah', '']</t>
  </si>
  <si>
    <t>['bayar', 'acount', 'virtual', 'bank', 'bri', 'bayar', 'kemarin', 'perjanjian', 'menu', 'bank', 'bri', 'update', 'mohon', 'feedback', 'thanks']</t>
  </si>
  <si>
    <t>['tolong', 'adakan', 'pulsa', 'safe', 'kutambahin', 'terima', 'kasih']</t>
  </si>
  <si>
    <t>['daily', 'login', 'reset', 'login', 'ngulang', 'reset', '']</t>
  </si>
  <si>
    <t>['udah', 'cek', 'trus', 'pengen', 'dpt', 'kuota', 'gratis', 'ngulang', '']</t>
  </si>
  <si>
    <t>['udah', 'rutin', 'daily', 'check', 'uda', 'daily', 'check', 'ngerti']</t>
  </si>
  <si>
    <t>['aplikasi', 'cek', 'udah', 'ngulang', 'tetep', 'nggak', 'ngulang', '']</t>
  </si>
  <si>
    <t>['paketan', 'internetnya', 'maha', 'broooooo', '']</t>
  </si>
  <si>
    <t>['apk', 'bagus', 'banget', 'sagat', 'membatu', 'bermanfaat']</t>
  </si>
  <si>
    <t>['puas', 'pokoknya']</t>
  </si>
  <si>
    <t>['jaringannya', 'pelosok', 'suaranya', 'nggak', 'keputus', 'putus', 'sip', 'deh', 'sayangnya', 'dpt', 'undian', '']</t>
  </si>
  <si>
    <t>['daily', 'cek', 'ngapa', 'ngulang', 'tolong', 'perbaiki', 'buruk', 'kualitas', 'app']</t>
  </si>
  <si>
    <t>['tolong', 'maksudnya', 'apasih', 'pagi', 'check', 'klaim', 'hadaih', 'gb', 'kuota', 'internet', 'rencana', 'sore', 'klaimnya', 'keulang', 'event', 'check', 'sisa', 'diperbaharui', '']</t>
  </si>
  <si>
    <t>['semoga', 'hadiah', 'samsung']</t>
  </si>
  <si>
    <t>['misi', 'check', 'yng', 'buruk', 'belom', 'meng', 'klaim', 'hadiah', 'check', 'hilang', 'periode', 'misinya', 'tersisa', '']</t>
  </si>
  <si>
    <t>['telkomsel', 'rakus', 'pulsa', 'liat', 'pulsa', 'nganggur', 'maen', 'sedot', 'nda', 'rekomendasi', 'telkomsel', 'bangkrut', 'pulsa', 'nda', 'sudi', 'frovedor', '']</t>
  </si>
  <si>
    <t>['update', 'ngulang', 'check', 'parah']</t>
  </si>
  <si>
    <t>['daily', 'chek', 'terreset', 'membutuhkan', 'kuota', 'tolong', 'min']</t>
  </si>
  <si>
    <t>['benerin', 'sinyal', 'katulampa', 'bogor', 'timur', 'koo', 'parah', 'main', 'game', 'susah', 'beli', 'mahal', 'paket', 'sinyal', 'kaya', 'gini', 'mah', 'coba', 'beli', 'asli', 'sinyal', 'parah', 'nyesel', 'beli', 'paket', 'simpati', 'mah', 'mending', 'ganti', 'kartu']</t>
  </si>
  <si>
    <t>['telkomsel', 'kartu', 'telkomsel', 'udah', 'cek', 'udah', 'dapet', 'bonus', 'giga', 'satunya', 'tinggal', 'klaim', 'bonus', 'kuotanya', 'doang', 'diaplikasi', 'ngulang', 'cek', 'tolong', 'telkomsel', 'layananya', 'programnya', 'diperbaiki', 'tolong', 'dukasih', 'pulsa', 'save', 'kayak', 'indosat', 'im', 'paket', 'data', 'pulsa', 'utamanya', 'habis', 'jaringan', 'berubah', 'kehilangan', 'pulsa', 'utama', 'jaringan', 'berubah', '']</t>
  </si>
  <si>
    <t>['bagus', 'promonya']</t>
  </si>
  <si>
    <t>['udah', 'masukin', 'pulsa', 'beli', 'gb', 'harga', 'rb', 'gagal', 'update', 'harga', 'udah', 'aktifkan', 'data', 'sadar', 'quota', 'gagal', 'pulsa', 'bablassssssss', 'suka', 'aplikasi', 'merugikan', '']</t>
  </si>
  <si>
    <t>['kesekian', 'kalinya', 'jaringan', 'telkomsel', 'mengecewakan', 'daerah', 'jalan', 'taqwa', 'mata', 'merah', 'kelurahan', 'karya', 'mulya', 'kecamatan', 'sematang', 'borang', 'kartu', 'simpati', 'kartu', 'orang', 'rumah', 'buka', 'food', 'grabfood', 'gagal', 'aplikasi', 'buka', 'sungguh', 'menyedihkan']</t>
  </si>
  <si>
    <t>['brengsek', 'berkali', 'kali', 'dikadalin', 'belasan', 'puluhan', 'check', 'nol', 'kebangetan', 'telkomsel', 'tipu', 'tipu']</t>
  </si>
  <si>
    <t>['beli', 'paket', 'mahal', 'jaringan', 'lelet', 'ngga', 'stabil', 'mati', 'lampu', 'habis', 'main', 'ngga', 'mending', 'axis', 'mati', 'lampu', 'jaringan', 'stabil', 'jaringan', 'paket', 'murah', '']</t>
  </si>
  <si>
    <t>['jaringan', 'kayak', 'mahal', 'doang', 'babi', 'anjeng', '']</t>
  </si>
  <si>
    <t>['', 'update', 'dayli', 'check', 'ilang', 'gajelas', 'apk']</t>
  </si>
  <si>
    <t>['daily', 'check', 'bobrok', 'amatt', 'gua', 'udahh', 'loginnn', 'turutt', 'hadiah', 'udahhh', 'dapet', 'daily', 'check', 'sudahh', 'smpaii', 'harian', 'noll', 'lagii', 'updatee', 'aplikasi', '']</t>
  </si>
  <si>
    <t>['paket', 'mahal', 'musim', 'pandemi', 'mahalin', 'boros']</t>
  </si>
  <si>
    <t>['check', 'harian', 'ulang', 'check', 'sisa', 'event', 'check', '']</t>
  </si>
  <si>
    <t>['', 'telkomsel', 'nipu', 'beli', 'quota', 'internet', 'malam', 'pembayaran', 'via', 'dana', 'quota', 'masuk', 'masuk', 'saldo', 'dana', 'berkurang', 'sungguh', 'merugikan', 'konsumen', 'gimana', 'penjelasan', 'telkomsel', '']</t>
  </si>
  <si>
    <t>['telkomnyet', 'udh', 'beda', 'secepet', 'pindah', 'operator', 'sebelah', 'stabil', 'telkomnyet', 'intinya', 'jelek']</t>
  </si>
  <si>
    <t>['tolong', 'diperbaiki', 'program', 'check', 'masak', 'dibulan', 'separuh', 'jalan', 'check', 'check', 'cuman', 'klaim', 'hadiahnya', 'terbuka', 'gemboknya', 'tinggal', 'salah', 'dinamakan', 'sakit', 'berdarah', 'adil', 'hadiahnya', 'diklaim', 'check', 'diposisi', 'check', 'nyesek', '']</t>
  </si>
  <si>
    <t>['kesel', 'udah', 'cek', 'mytsel', 'tinggal', 'buka', 'ngulang', 'gimana', 'admin', '']</t>
  </si>
  <si>
    <t>['daily', 'check', 'reset', 'udah', 'kak', 'twitter']</t>
  </si>
  <si>
    <t>['daily', 'login', 'restart', 'alasan', 'reward', 'diambil', 'kecewa', 'ditipu', 'daily', 'login', 'didalam', 'telkomsel', 'hapus', 'daily', 'login', 'telkomsel', '']</t>
  </si>
  <si>
    <t>['cek', 'taunya', 'ngulang', 'priode', 'tolong', 'dibenahi', '']</t>
  </si>
  <si>
    <t>['pelayanan', 'lambat', 'berbelit', 'hati', 'membeli', 'pulsa', 'aplikasi', 'telkomsel', 'beli', 'minimarket', 'toko', 'pengisian', 'pulsa', 'pembelian', 'pulsa', 'gagal', 'dpt', 'respon']</t>
  </si>
  <si>
    <t>['mytelkomsel', 'aflikasi', 'tolol', 'aneh', 'gua', 'udah', 'chekin', 'kuota', 'gratis', 'pas', 'gua', 'ambil', 'kuota', 'gb', 'gratis', 'lumayan', 'chekin', 'gua', 'udah', 'bela', 'in', 'chekin', 'dasar', 'aflikasi', 'tolol', 'telkomsel', 'harga', 'kuota', 'mahal', 'sinyal', 'jaringan', 'gangguan', 'sanagat', 'sarankan', 'bagus', 'aneh', 'kecewa']</t>
  </si>
  <si>
    <t>['knp', 'jaringan', 'internet', 'sebagus', 'harga', 'paket', 'internet', 'mahal', '']</t>
  </si>
  <si>
    <t>['sukses', 'update', 'sukses', 'kosong', 'daily', 'check', 'terkumpul', 'klaim', 'terimakasih', 'mytelkomsel', 'aps']</t>
  </si>
  <si>
    <t>['program', 'dayli', 'cek', 'buruk', 'cek', 'diulang', 'dirugikan']</t>
  </si>
  <si>
    <t>['daily', 'check', '']</t>
  </si>
  <si>
    <t>['udah', 'check', 'daily', 'check', 'lenyap', 'batas', 'curang', '']</t>
  </si>
  <si>
    <t>['telkomsel', 'harga', 'paket', 'berubah', 'drastis', 'mahal', 'jaringan', 'suka', 'lelet', 'hadeh', '']</t>
  </si>
  <si>
    <t>['telkomsel', 'lelet', 'koneksi', 'jaringan', 'internet', 'sebanding', 'harga', 'kualitas', 'kartu', 'harga', 'murah', 'koneksi', 'internet', 'bagus', 'stabil', 'tolong', 'jngn', 'nyesek', 'kek', 'gini']</t>
  </si>
  <si>
    <t>['updet', 'bunyinya', 'pas', 'masuk', 'hadeeeeh', 'kadang', 'kaget', 'headset']</t>
  </si>
  <si>
    <t>['telkomsel', 'menbatu', 'banget', 'aplikasi', 'menyenangkan', 'manfaatnya', 'pengguna', 'telkomsel', 'kesanyangan', 'semoga', 'depanya', 'promo', '']</t>
  </si>
  <si>
    <t>['plis', 'banyaknya', 'kpd', 'aplikasi', 'telkomsel', 'tolong', 'update', 'terbaru', 'harap', 'update', 'pemberhentian', 'penggunaan', 'data', 'kuota', 'habis', 'plis', 'banget', 'udh', 'berlangganan', 'aplikasi', 'telkomsel', 'beli', 'kuota', 'pulsa', 'enak', 'banget', 'mudah', 'suka', 'kuota', 'habis', 'pulsa', 'kesedot', 'plis', 'bngt', 'tolong', 'pemberhentian', 'penggunaan', 'data', 'otomatis', 'apapun', 'pulsa', 'tersedot', 'kuota', 'habis']</t>
  </si>
  <si>
    <t>['telkomsel', 'mengecewakan', 'beli', 'paket', 'mahal', 'leletnya', 'ampun', 'mending', 'kartu', 'murah', 'bagus', 'jaringannya', 'kehilangan', 'pelanggan', 'terbaik', 'mohon', 'diperbaiki', 'suka', 'orang', 'darah', 'maen', 'mobil', 'legend', 'lag']</t>
  </si>
  <si>
    <t>['parah', 'telkomsel', 'combo', 'sakti', 'tewas', 'minggu', 'main', 'game', 'buka', 'buka', 'youtube', 'paket', 'combo', 'habisin', 'bersisa', 'sebulan', 'parah', 'mending', 'pindah', 'kartu', 'klaw', '']</t>
  </si>
  <si>
    <t>['bayakin', 'pakek', 'cekim', 'kek', 'tolong', 'kerja', '']</t>
  </si>
  <si>
    <t>['pengaduan', 'chat', 'veronica', 'email', 'solusi', 'chat', 'with', 'veronica', 'chat', 'sistim', 'bkn', 'personal', 'admin', 'chat', 'solusi', 'skrg', 'daily', 'checkin', 'reset', 'mengulang', 'checkin', '']</t>
  </si>
  <si>
    <t>['kemarin', 'udah', 'check', 'check', 'udah', 'check', 'kemarin', 'sia', 'sedihh', 'banget', 'bangsattt', '']</t>
  </si>
  <si>
    <t>['maaf', 'wajib', 'komplain', 'udah', 'rutin', 'chek', 'udah', 'update', 'aplikasi', 'hadiah', 'hilang', 'klaim', 'event', 'udah', 'sisa', 'posting', 'namanya', 'merusak']</t>
  </si>
  <si>
    <t>['napa', 'telkom', 'leg', 'muluuuuu', 'gue', 'beli', 'kuota', 'gue', 'rugi', 'ngen']</t>
  </si>
  <si>
    <t>['kesekian', 'kalinya', 'isi', 'pulsa', 'rb', 'pakai', 'udah', 'nol', 'kemaren', 'isi', 'rb', 'pakai', 'habis', 'pakai', 'apasih', 'langganan', '']</t>
  </si>
  <si>
    <t>['mohon', 'maaf', 'sinyal', 'blangkejeren', 'lamban', 'buruk', 'udah', 'bagus', 'untung', 'sinyal', 'ganti', 'kartu', 'tolong', 'perbaiki', 'mohon', 'maaf', 'lapor', 'kemana']</t>
  </si>
  <si>
    <t>['praktis', 'tinggal', 'klik', 'aplikasi', 'telkomsel', 'udah', 'keliatan', 'smua', 'kouta', 'tlpn', 'internet', 'pulsa', 'ribet', '']</t>
  </si>
  <si>
    <t>['kecewa', 'banget', 'apk', 'cek', 'ulang', 'mengklaim', 'hadiah', 'tolong', 'perbaiki', 'apk', 'sumua', 'orang', 'kecewa', 'jaringan', 'super', 'lemot', 'pusing', 'apk', 'telkomsel', 'bagus', 'apk', 'update', '']</t>
  </si>
  <si>
    <t>['mantap', 'mantap', 'mantaaap', '']</t>
  </si>
  <si>
    <t>['menyesal', 'update', 'update', 'daily', 'cekin', 'terrest', 'diluang', 'tukar', 'hadiah', 'kuota', 'sungguh', 'mengesalkan']</t>
  </si>
  <si>
    <t>['paket', 'mahal', 'sinyal', 'burik']</t>
  </si>
  <si>
    <t>['chek', 'ngulang', 'paket', 'klau', 'mohon', 'perbaiki']</t>
  </si>
  <si>
    <t>['aplikasi', 'peningkatan', 'kemajuan', 'kemunduran', 'jelek', 'daily', 'check', 'full', 'klaim', 'kosong', '']</t>
  </si>
  <si>
    <t>['tolong', 'diperbaiki', 'harga', 'paketnya', 'berubah', 'ubah', 'kadang', 'turun', '']</t>
  </si>
  <si>
    <t>['penguna', 'telkomsel', 'tpi', 'jarang', 'paket', 'internet', 'murah', '']</t>
  </si>
  <si>
    <t>['knpa', 'daily', 'check', 'tdi', 'udh', 'reset', 'gmau', 'adain', 'daily', 'check', 'kaya', 'gini', 'jujur', 'kecewa', '']</t>
  </si>
  <si>
    <t>['malesin', 'update', 'update', 'daily', 'checkin', 'dpet', 'ilang', 'bela', 'in', 'nomer', 'cakep', 'telkomsel', 'pas', 'jogja', 'sinyal', 'lemot', 'banget']</t>
  </si>
  <si>
    <t>['nonton', 'youtube', 'mozila', 'chrome', 'bagus', 'mata', 'fokus', 'layar', 'kayak', 'disuruh', 'doang', 'coba', 'gunain', 'youtube', 'mozila', 'kerja', 'nugas', 'youtuban']</t>
  </si>
  <si>
    <t>['aplikasi', 'mudah', 'eror', 'mudah', 'trouble', 'aplikasi', 'tolong', 'perbaiki', 'pengguna', 'suka', 'aplikasi', 'superr', 'gilaa', 'trouble', 'terosss']</t>
  </si>
  <si>
    <t>['sinyal', 'lancar', 'kuota', 'promo', 'emang', 'telkomsel', 'the', 'best', '']</t>
  </si>
  <si>
    <t>['udah', 'mahal', 'sinyal', 'gangguan', 'kayaknya', 'pindah', 'simcard']</t>
  </si>
  <si>
    <t>['paket', 'games', 'kuota', 'utama', 'habis', 'kepakai', 'mobile', 'legend', 'alhasil', 'kredit', 'score', 'ilang']</t>
  </si>
  <si>
    <t>['nyesel', 'beli', 'paket', 'combo', 'sakti', 'jaringannya', 'kebangetan', 'leletnya', 'main', 'game', 'susah', 'please', 'developer', 'perbaiki', 'jaringannya', 'sinyal', '']</t>
  </si>
  <si>
    <t>['walah', 'selesai', 'check', 'dri', 'misi', 'direset', 'dri', 'parah', 'tinggal', 'kali', 'check', 'licik', 'bener']</t>
  </si>
  <si>
    <t>['jaringan', 'jelek', 'perkembangan']</t>
  </si>
  <si>
    <t>['aneh', 'migrasi', 'kartu', 'telkomsel', 'prabayar', 'kartu', 'hallo', 'nggak', 'logis']</t>
  </si>
  <si>
    <t>['pelayanan', 'ditingkatakan']</t>
  </si>
  <si>
    <t>['check', 'harian', 'udah', 'full', 'restart', 'ulang', 'niat', 'event']</t>
  </si>
  <si>
    <t>['udh', 'check', 'ulangi', 'aktif', 'check']</t>
  </si>
  <si>
    <t>['kualitas', 'jaringan', 'lumayan', 'bagus', 'ditingkatkan', 'kekuatan', 'jaringannya', 'didaerah', 'daerah']</t>
  </si>
  <si>
    <t>['kemarin', 'membaik', 'check', 'hariannya', 'ulang', 'kali', 'selesai', 'claim', 'tolong', 'perbaikan']</t>
  </si>
  <si>
    <t>['gimana', 'gue', 'udah', 'check', 'suruh', 'check', 'ulang', 'hadiah', 'udah', 'lewati', 'klaim', 'trus', 'nanya', 'aplikasinya', 'robot', 'kecewa']</t>
  </si>
  <si>
    <t>['daily', 'check', 'mengulang', 'check', '']</t>
  </si>
  <si>
    <t>['bug', 'ngambil', 'hadiah', 'daily', 'check', 'restart', 'pas', 'udah', 'udah', 'restart', 'otomatis', 'hadiah', 'kuota', 'ambil', 'nunggu', 'kesal', 'tolong', 'perbaiki', 'bugnya', '']</t>
  </si>
  <si>
    <t>['aplikasi', 'blok', 'chekin', 'ulang', 'aplikasi', 'bagus', 'sumpah', '']</t>
  </si>
  <si>
    <t>['bermanfaat', 'alhamdulillah', 'aplikasi', 'telkomsel', 'pertahankan', 'sistemnya', 'kepuasan', 'pelanggan', 'hadiah', 'undian', 'tolong', 'donk', 'dikasih', 'kesempatan', 'hadiah', 'undian', '']</t>
  </si>
  <si>
    <t>['daily', 'chek', 'ulang', 'udah', 'nomor', 'kemaren', 'capek', 'ngumpulin', 'tolong', 'fix', 'ganti', 'operator']</t>
  </si>
  <si>
    <t>['masuk', 'poin', 'trakir', 'dpt', 'gratis', 'gb', 'fitur', 'hilang', 'kayak', 'siluman', 'haahahahha', '']</t>
  </si>
  <si>
    <t>['min', 'knp', 'ulang', 'check', 'mytlkomsel', 'tolong', 'min', 'jaringan', 'serasa', 'edge', 'khusus', 'wilayah', 'palembang']</t>
  </si>
  <si>
    <t>['telkomsel', 'perubahan', 'udah', 'bln', 'parah', 'bat', 'kasih', 'kasar', 'gunanya', 'uda', 'sabar', 'ttp', 'perubahan', 'mending', 'ganti', 'kartu', 'trus', 'kartu', 'tumbuk', 'sampe', 'halus', 'dasar', 'kartu', 'mines', 'bintang', 'kasih', 'mines', 'bintang', 'beribu', 'telkomsel']</t>
  </si>
  <si>
    <t>['sinyal', 'internet', 'jelek', 'harga', 'paket', 'mahal', 'mending', 'kartu', 'laen', 'sinyalnya', 'kenceng', 'harga', 'paket', 'nggak', 'mahal']</t>
  </si>
  <si>
    <t>['gimana', 'telkom', 'isi', 'pulsa', 'menit', 'pulsa', 'hilang', 'data', 'mati']</t>
  </si>
  <si>
    <t>['', 'kasi', 'bintang', 'sinyal', 'telkomsel', 'sekar', 'ancur']</t>
  </si>
  <si>
    <t>['logout', 'malesin', 'bngt']</t>
  </si>
  <si>
    <t>['semoga', 'dengar', 'paket', 'data', 'bersamaa', 'contoh', 'paket', 'data', 'pemerintah', 'sekolah', 'paket', 'data', 'pribadi', 'main', 'game', 'naah', 'kelas', 'online', 'paket', 'terpakai', 'paket', 'pribadi', 'paket', 'pemerintah', 'terpakai', 'paketan', 'cepat', 'habis', 'mohon', 'tambahkan', 'fitur', 'nonaktif', 'aktif', 'paket', 'tercampur', 'penggunaannya', 'terima', 'kasih']</t>
  </si>
  <si>
    <t>['gamemax', 'unlimited', 'game', 'pubg', 'mobile', 'payah']</t>
  </si>
  <si>
    <t>['ngisi', 'pulsa', 'baca', 'webtoon', 'pas', 'beli', 'pulsa', 'knp', 'balikin', 'ganti', 'rugi', 'kek', 'duit', 'tinggal', 'metik']</t>
  </si>
  <si>
    <t>['warga', 'indonesia', 'beli', 'kartu', 'telkomsel', 'jaringan', 'susah', 'beli', 'telkomsel', 'anjg']</t>
  </si>
  <si>
    <t>['sumpah', 'apapun', 'kuota', 'signal', 'simpati', 'bangsaaat', 'gabisa', 'maen', 'game', 'dasar', 'babiii', 'annnjinnnng', 'hampasss', 'sampahhh', '']</t>
  </si>
  <si>
    <t>['jujur', 'yaa', 'keganggu', 'sms', 'telkomsel', 'sehari', '']</t>
  </si>
  <si>
    <t>['pelayananya', 'memuaskan']</t>
  </si>
  <si>
    <t>['knp', 'suka', 'plz', 'darurat', 'kali', 'isi', 'plz', 'plz', 'potong', 'pdhl', 'blm', 'ngambil', 'plz', 'darurat', 'kesel', 'tolong', 'matiin', 'plz', 'darurat', 'terima', 'kasih']</t>
  </si>
  <si>
    <t>['harga', 'promo', 'harga', 'normal', 'masuk', 'akal', 'murah', 'harga', 'normal', 'kirain', 'berubah', '']</t>
  </si>
  <si>
    <t>['woy', 'telkom', 'plis', 'orang', 'marah', 'jelek', 'banget', 'sinyal', 'berubah', 'berubah', 'gimana', 'orang', 'ulangan', 'online', 'sekolah', 'online', 'jaringan', 'hilang', 'mikir', 'enak', 'hilang', 'jaringan', 'sebentar', 'banget', 'berjam', 'jam', 'mikir', 'bangkrut', 'deh']</t>
  </si>
  <si>
    <t>['mengaktifkan', 'paket', 'ceria', 'pulsa', 'promonya', 'aktifkan', 'mohon', 'bantu', 'kak', '']</t>
  </si>
  <si>
    <t>['mengecewakan', 'payah', 'mahal', 'iya', 'signal', 'lemot', 'payah', '']</t>
  </si>
  <si>
    <t>['ngisi', 'pulsa', 'habis', 'tinggal', 'perak', 'hmm', 'kacau', 'banget', 'telkomsel']</t>
  </si>
  <si>
    <t>['knp', 'ngga', 'buka', 'aplikasi', 'download', 'berulang', 'ulang', 'ndak', 'akses', 'cetho', 'mengecewakan', 'wes', 'kabeh', 'bukak', 'abot', 'aplikasi', 'aneh']</t>
  </si>
  <si>
    <t>['pelanggan', 'setia', 'telkomsel', 'sinyal', 'telkomsel', 'mengecewakan', 'kebakkramat', 'karanganyar', '']</t>
  </si>
  <si>
    <t>['kasi', 'bintang', 'karna', 'pemula']</t>
  </si>
  <si>
    <t>['terimakasih', 'tingkatkan']</t>
  </si>
  <si>
    <t>['aplikasi', 'membantu', 'trouble', 'dibuka', 'jelek', 'provider', '']</t>
  </si>
  <si>
    <t>['', 'mendukung', 'sinyal', 'full', 'bar', 'menujukak', 'lelet', 'mohon', 'tigkatkan', 'kualitas', 'sinyal', 'kusus', 'desa', 'sukarendah', 'kelurahan', 'kelurahan', 'sumber', 'bandung', 'kecamatan', 'pagelaran', 'utara', 'kabupaten', 'pringsewu', 'provinsi', 'lampung']</t>
  </si>
  <si>
    <t>['aplikasinya', 'buka']</t>
  </si>
  <si>
    <t>['sesuai', 'promo', 'adakan', 'smoga', 'kedepannya']</t>
  </si>
  <si>
    <t>['membantu', 'membeli', 'pulsa', 'mytelkomsel']</t>
  </si>
  <si>
    <t>['membantu', 'sibuk', 'isi', 'plsa', 'trus', 'hujan', 'buset']</t>
  </si>
  <si>
    <t>['harga', 'kuota', 'mahal', 'jarang', 'promo', 'jaringan', 'lambat', 'sesuai', 'keluarkan', '']</t>
  </si>
  <si>
    <t>['aplikasi', 'payah', 'buka']</t>
  </si>
  <si>
    <t>['telkomsel', 'sinyal', 'lemot', 'lelet', 'banget', 'beli', 'udah', 'mahal', 'sinyal', 'kaya', 'gini', '']</t>
  </si>
  <si>
    <t>['harganya', 'drastis', 'fitur', 'bagus', '']</t>
  </si>
  <si>
    <t>['pemberitahuan', 'paket', 'tpi', 'murahkan', 'paket', 'internet', '']</t>
  </si>
  <si>
    <t>['bagus', 'ditingkatkan', 'sukses', '']</t>
  </si>
  <si>
    <t>['lelet', 'aplikasinya']</t>
  </si>
  <si>
    <t>['membantu', 'pusing', 'nukerin', 'point', 'keteter', 'kuota', 'semoga', 'poin', 'dapet', 'mobil', 'sesuai', 'aplikasi', 'dapet', 'goliran', '']</t>
  </si>
  <si>
    <t>['', 'event', 'gratis', 'saldo', 'link']</t>
  </si>
  <si>
    <t>['jaringan', 'kntol', 'kek', 'babi', 'masak', 'ngeleg', 'orang', 'waar', 'jaringan', 'ilang', 'nyesal', 'gua', 'telkom', 'kntol', 'kau', 'anjj', 'bye', 'one', 'orang', 'kntol']</t>
  </si>
  <si>
    <t>['terbantu', 'telkomsel', 'upayakan', 'kemudahan', 'daerah', 'susah', 'tuk', 'jaringan']</t>
  </si>
  <si>
    <t>['performa', 'jaringan', 'telkomsel', 'sangan', 'menurun', 'perkampungan', 'pedesaan', 'penggunaan', 'terganggu', 'mahasiswa', 'sayangkan', 'jaringan', 'telkomsel', 'kunjung', 'stabil']</t>
  </si>
  <si>
    <t>['bagus', 'pengoperasiannya', 'mudah']</t>
  </si>
  <si>
    <t>['penilaian', 'bintang', 'minus', 'udah', 'gua', 'kasih', 'sinyal', 'jelek', 'kuota', 'isi', 'nyesel', 'sumpah', 'mending', 'pindah']</t>
  </si>
  <si>
    <t>['aplikasi', 'telkomsel', 'kuota', 'habis', 'buka', 'aplikasi', 'udah', 'nyerot', 'kuota', 'mb', 'detik', 'tolong', 'emg', 'trik', 'kuota', 'habis', 'trus', 'beli', 'ato', 'gmn', 'blm', 'paham', 'metode', 'ginian', 'iya', 'beli', 'kuota', 'cek', 'pulsa', 'kuota', 'serot', 'udh', 'berasa', 'nonton', 'yutup', 'wkwkwk', 'sungguh', 'kelucuan', 'dunia', 'menghibur', '']</t>
  </si>
  <si>
    <t>['bagus', 'puas', 'pelayanan', 'tolong', 'perbanyak', 'promo', 'kartu', '']</t>
  </si>
  <si>
    <t>['paket', 'mahal', 'murah', 'adil']</t>
  </si>
  <si>
    <t>['aplikasi', 'rekomended']</t>
  </si>
  <si>
    <t>['aplikasi', 'mudah', 'transaksi', 'ditunggu', 'bonusnya']</t>
  </si>
  <si>
    <t>['mahal', 'ampas', 'sinyal', 'ilang', 'angin', 'ujan', 'kaya']</t>
  </si>
  <si>
    <t>['lemot', 'banget', 'sakarang']</t>
  </si>
  <si>
    <t>['mohon', 'maaf', 'gimana', 'admin', 'membeli', 'pulsa', 'data', '']</t>
  </si>
  <si>
    <t>['puas', 'pakai', 'telkomsel', 'berfikir', 'harga', 'paket', 'mahal', 'sinyalnya', 'kadang', 'buruk', 'provider', 'area', 'terbatas', 'main', 'sosmed', 'kadang', 'lemot', 'kuota', 'sinyal', 'bagus', 'semoga', 'kedepanya', 'diperbaiki', 'tertinggal', 'provider']</t>
  </si>
  <si>
    <t>['kecewa', 'telkom', 'udah', 'make', 'tetep', 'pulsa', 'kesedot', 'beribu', 'rupiah', 'ngk', 'pemberitahuan', 'tolong', 'telkomsel', 'kasih', 'kesedot', 'pulsanya', 'sekolah', 'bingung', 'beli', 'paketnya', 'ngk', 'buka', 'materi', '']</t>
  </si>
  <si>
    <t>['paket', 'udah', 'mahal', 'sinyal', 'lemot', 'ngadu', 'ama', 'twitter', 'suruh', 'isi', 'formulir', 'ujung', 'ujungnya', 'suruh', 'nunggu', 'jam', 'gitu', 'nggak', 'perubahan', '']</t>
  </si>
  <si>
    <t>['bagus', 'rekemondasi', 'orang']</t>
  </si>
  <si>
    <t>['jaringan', 'telkomsel', 'jelek', 'semoga', 'diberbaiki', 'jaringannya', 'terimakasih', 'semoga', 'telkomsel', 'jaya', '']</t>
  </si>
  <si>
    <t>['semoga', 'aman', 'aman', 'telkomsel']</t>
  </si>
  <si>
    <t>['aplikasi', 'lelet', 'menjengkelkan', 'kali', 'buka', 'udah', 'kali', 'buka', 'dihapus', 'data', 'hilang', 'tersimpan', 'telkomsel', '']</t>
  </si>
  <si>
    <t>['lebihh', 'baikk']</t>
  </si>
  <si>
    <t>['memudahkan', 'memilih', 'paket', 'internet', 'murah', 'banyal', 'promo', 'menarik']</t>
  </si>
  <si>
    <t>['bintang', 'dafat', 'undian', 'pulsa', 'jt', 'bintang', '']</t>
  </si>
  <si>
    <t>['peduli', 'mantab']</t>
  </si>
  <si>
    <t>['', 'telkomsel', 'lumayan', 'bagus', 'promo', 'mntep', 'signalnya', 'kadang', 'suka', 'lelet', 'sya', 'pakai', 'paketan', 'pakai', 'provider', 'sebelah', 'los', 'sebelah', 'tolong', 'perbaiki', '']</t>
  </si>
  <si>
    <t>['susah', 'beli', 'paket', 'pulsanya', 'ngk', 'melulu', 'pulsa', 'terpotong']</t>
  </si>
  <si>
    <t>['tengang', 'kartu', 'buruk', 'diwajibkan', 'mengisi', 'pulsa', 'kartu', 'normal']</t>
  </si>
  <si>
    <t>['paket', 'mahal', 'jaringan', 'merah', 'tolong', 'perbaikin', '']</t>
  </si>
  <si>
    <t>['heran', 'sma', 'telkomsel', 'paket', 'data', 'orang', 'tpi', 'pulsa', 'org', 'jgk', 'embat', 'parah', 'pemakaian', 'data', 'kb', 'pulsa', 'ambil', 'padahaal', 'paket', 'internet', 'banyaaak', 'sehat', '']</t>
  </si>
  <si>
    <t>['harga', 'pakek', 'sesuai', 'sinyal', 'cari', 'untung', 'sesuai', 'warna', 'kartu', 'merah', 'sinyal', 'merah', 'babi']</t>
  </si>
  <si>
    <t>['kuota', 'kemendikbud', 'dateng', 'ngga', 'dipake', 'kuota', 'astagaa', 'udah', 'laaah', 'capek', 'banget', 'ngeluh', 'telkomsel', 'ngga', 'perubahannyaaa', '']</t>
  </si>
  <si>
    <t>['terimakasih', 'telkomsel', 'terbaik', 'pelanggan', 'ganti', 'kartu', 'telkomsel', 'sinyal', 'aplikasi', 'telkomsel', 'membantu', 'mengetahuai', 'kuota', 'data', 'promo', 'menariknya', '']</t>
  </si>
  <si>
    <t>['pulsa', 'berkurang', 'kuota', 'utama', 'nelfon', 'aktif', 'penyebabx', 'pulsa', 'berkurang', '']</t>
  </si>
  <si>
    <t>['buka', 'aplikasi', 'niat', 'beli', 'paket', 'internet', 'ehh', 'pulsa', 'gue', 'langsung', 'habis', 'kesedot']</t>
  </si>
  <si>
    <t>['amburadul', 'voucer', 'internet', 'aktif', '']</t>
  </si>
  <si>
    <t>['telkomsel', 'mengalami', 'kemunduran']</t>
  </si>
  <si>
    <t>['gampang', 'aktifin', 'paketnya', 'mudah', 'promo', 'internet', 'pkoknya', 'sngat', 'membantu', 'mode', 'gelap', 'lbih', 'bgus']</t>
  </si>
  <si>
    <t>['smga', 'sllu', 'mnjdi', 'trbaik', '']</t>
  </si>
  <si>
    <t>['tolong', 'telkomsel', 'login', 'aplikasi', 'dipersulit', 'coba', 'dipermudah', 'masuk', 'aplikasi', 'login', 'link', 'langsung', 'masuk', 'gitu', 'link', 'linknya', 'stabil', 'terima', 'kasih', '']</t>
  </si>
  <si>
    <t>['telkomsel', 'sip', '']</t>
  </si>
  <si>
    <t>['app', 'mengecek', 'pulsa']</t>
  </si>
  <si>
    <t>['beli', 'paketan', 'pulsa', 'rb', 'beli', 'combo', 'sakti', 'unlimited', 'rb', 'notifnya', 'pulsa', 'nada', 'brp', 'pulsanya', '']</t>
  </si>
  <si>
    <t>['tolong', 'donk', 'ngasih', 'paket', 'beritahu', 'promo', 'udh', 'dilema', 'org', 'menunggu', 'paket', 'murah', 'skrg', 'sya', 'paket', 'kartu', 'telkomsel', 'udh', 'ngisi', 'paket', 'nongol', 'paket', 'murah', 'disimpati', 'sya', 'udah', 'bertahan', 'ditelkomsel', 'tolong', 'ngasih', 'paket', 'sesuai', 'ekonomi', 'skrg', 'terima', 'kasih', 'sya', 'kasih', 'bintang', '']</t>
  </si>
  <si>
    <t>['sinyaaaal', 'daerah', 'busuuk', 'sekaliii', 'pakai', 'kartu', 'telkomsel', 'hallo', 'jaringan', 'pelosok', 'lancar', 'payaah', 'buka', 'aplikasi', 'susah', 'tolong', 'perbaiki', 'jaringan', 'sesuai', 'simbol', 'digembar', 'gemborkan']</t>
  </si>
  <si>
    <t>['suka', 'program', 'dpt', 'klaim', 'kuota', 'klaim', 'kuota', 'quotanya', 'udah', 'terklaim', 'masuk', 'beli', 'quota', 'setelahnya', 'oke', 'ajah', 'berjalan', 'normal', 'blm', 'dapet', 'hadiah', 'redeem', 'point', 'bismillah', 'ntar', 'dapet', 'min', 'aamiin', 'yaa', 'robb', 'maju', 'banyakin', 'konten', 'free', 'free', 'telkomsel', 'jaya', 'maju', 'telkomsel', '']</t>
  </si>
  <si>
    <t>['sya', 'dapet', 'notif', 'paket', 'promo', 'tpi', 'beli']</t>
  </si>
  <si>
    <t>['lumayan', 'pakai', 'aplikasi', 'mytelkomsel', 'membantu', 'lapangan', 'kadang', 'kadang', 'tugaskan', 'kota', 'pusat', 'perbelanjaan', 'counter', 'permintaan', 'telkomsel', 'aplikasi', 'mytelkomsel', 'pakai', 'simcard', 'telkomsel', 'lumayan', 'pakai', 'applikasi', 'kali', 'hadiah', 'telkomsel', 'applikasi', 'telkomsel', '']</t>
  </si>
  <si>
    <t>['memilih', 'telkomsel', 'fei']</t>
  </si>
  <si>
    <t>['parah', 'telkomsel', 'kuota', 'ketengan', 'unlimited', 'youtube', 'nonton', 'youtube', 'kuota', 'utama', 'terpakai', 'kucoba', 'off', 'data', 'alhasil', 'habis', 'kuota', 'utama', 'gimana', 'sistemmya', 'ngelawak', 'kesel', 'males', 'gini', 'langganan', 'unlimited', 'youtube', 'seminggu', 'pelayanan', 'sistemnya', 'kaya', 'gini', 'kecewa', '']</t>
  </si>
  <si>
    <t>['telkomsel', 'hadiah', 'pengguna', 'kartu', 'telkomsel', 'susah', 'gtu', 'ngasih', 'syarat', 'hadiah', 'pengguna', 'min', 'belom', 'hadiah', 'hiks']</t>
  </si>
  <si>
    <t>['parah', 'sinyal', 'telkomsel', 'sengaja', 'pakai', 'telkomsel', 'jaringan', 'stabil', 'sinyal', 'hilang', 'mlm', 'pemberutahuan', 'tgl', 'pkl', 'chatting', 'apk', 'telkomsel', 'balasnya', 'nama', 'chating', 'area', 'sayapun', 'aktif', 'kenyatasnya', 'sinyal', 'tersedia', 'nyesel', 'pke', 'kartu', 'hallo', 'pke', 'thn']</t>
  </si>
  <si>
    <t>['memakai', 'nomer', 'telkomsel', 'ganti', 'sekolah', 'sma', 'sampe', 'jaringan', 'internet', 'lancar', 'beserta', 'promo', 'terima', 'kasih', 'telkomsel', 'terbaik', 'komunikasi', 'teman', 'keluarga', '']</t>
  </si>
  <si>
    <t>['tolong', 'tingkatkan', 'kecepatan', 'mbps', 'telkomsel', 'daerah', 'hujan', 'malam', 'bnyk', 'pengguna', 'didekat', 'suka', 'ngelag']</t>
  </si>
  <si>
    <t>['min', 'kenpa', 'pas', 'beli', 'paket', 'pulsa', 'pemberitahuan', 'maaf', 'gangguan', 'sistem', 'mulu', 'tolong', 'perbaikin', 'min', '']</t>
  </si>
  <si>
    <t>['beli', 'paket', 'kuota', 'lokal', 'gabisa', 'kepake', 'lokasi', 'pengisian', 'ditempat', 'gantiin', 'min', 'kecewa', '']</t>
  </si>
  <si>
    <t>['trimakasih', 'merespon', 'ulasan', 'perihal', 'paket', 'malam', 'sekalilagi', 'salut', 'telkomsel']</t>
  </si>
  <si>
    <t>['dapet', 'sms', 'telkomsel', 'promo', 'kuota', 'buka', 'promo', 'diakses', 'aneh']</t>
  </si>
  <si>
    <t>['kecewa', 'telkomsel', 'berlangganan', 'promo', 'pulsa', 'darurat', 'mendapatlan', 'promo', 'paket', 'omg', 'dipakai', 'whatsapp', 'rekomendasikan', 'telfon', 'sms', 'gratis', 'promo', 'paket', 'terjangkau', 'maaf', 'selamat', 'tinggal', 'telkomnyet']</t>
  </si>
  <si>
    <t>['utang', 'pulsa', '']</t>
  </si>
  <si>
    <t>['jaringan', 'pedesaan', 'jelek', 'mengalami', 'gangguan', 'bermain', 'game', 'mengganggu']</t>
  </si>
  <si>
    <t>['jaringan', 'ajg', 'hilang', 'kotak', 'langsung', 'lag', 'tiru', 'cuman', 'stabil', 'paket', 'habis', 'nyedot', 'pulsa', 'kasih', 'bintang', '']</t>
  </si>
  <si>
    <t>['update', 'kali', 'error', 'tampilan', 'kuota', 'kuota', 'terpakai', 'kuota', 'app', 'berkurang', 'cek', 'dial', 'pad', 'berubah', 'kuota', 'app', 'check', 'tolong', 'fix', 'lumayan', 'ganggu', '']</t>
  </si>
  <si>
    <t>['sinyal', 'stabil', 'mudah', 'bonus', 'paket']</t>
  </si>
  <si>
    <t>['aplikasi', 'respon', 'lemot', 'berat', 'banget', 'handphone', 'samsung', 'galaxy', 'edge', '']</t>
  </si>
  <si>
    <t>['gajelaass', 'telkomsel', 'isiin', 'kuota', 'gangguan', 'aneh', 'parah', 'aplikasi', 'bagus', 'aplikasi', 'pelanggan', 'kecewa', 'rattting', 'pengen', 'aplikasi', 'jelek', 'parah', 'wkwkwkwkw', 'jaringan', 'luas', 'sinyal', 'bagus', 'tipuan', 'giliran', 'dibutuhin', 'parah', 'jaringan', 'sempit', 'namanya', 'wkwkkwkwk', 'haahahaha']</t>
  </si>
  <si>
    <t>['simpati', 'udh', 'mahal', 'paketny', 'lemot', 'pisan', 'euyy', 'kya', 'memprioritaskan', 'kepuasan', 'pelanggan', 'mahal', 'papa', 'sinyal', 'kuat', 'mengecewakan', 'kesini', 'kalah', 'saing']</t>
  </si>
  <si>
    <t>['beli', 'vocer', 'telkomsel', 'dipake', 'jaringan', 'sibuk', 'sampe', 'udah', 'cek', 'sampe', 'beli', 'data', 'ngisi', 'pulsa', 'tolong', 'perbaiki', 'admin']</t>
  </si>
  <si>
    <t>['lala', 'jelek', 'paket', 'berubah', 'sesuai', 'lokasi', 'lokasi', 'pindah', 'nyaman']</t>
  </si>
  <si>
    <t>['tolong', 'jaringan', 'perkuat', 'buka']</t>
  </si>
  <si>
    <t>['dusta']</t>
  </si>
  <si>
    <t>['telkomsel', 'pas', 'kerja', 'signal', 'lancar', 'pas', 'kontrakan', 'signal', 'tolong', 'perbaiki', '']</t>
  </si>
  <si>
    <t>['', 'banget', 'mudahn', 'telkomsel', 'wasilah', 'berkah', 'rezki', 'aamiin', '']</t>
  </si>
  <si>
    <t>['kartu', 'telkomsel', 'promo', 'harga', 'paket', 'beda', 'promo', '']</t>
  </si>
  <si>
    <t>['simpati', 'mohon', 'harga', 'kuotanya', 'mahal', 'jakarta', 'sinyal', 'parah', 'banget', 'perbaikan', 'kalah', 'ama', 'murah', 'daerah', 'bagus']</t>
  </si>
  <si>
    <t>['jaringan', 'lemot', 'banget', 'kuota', 'kota', 'bekasi', 'seharus', 'internetnya', 'stabil', 'kesini', 'jaringan', 'error', 'mulu', 'hadeh']</t>
  </si>
  <si>
    <t>['bagus', 'kasih', 'bintang', 'cocok', 'kmi', 'daerah', 'pedalaman', 'membantu', 'promo', 'hadiah', 'lainya', 'telkomsel', 'via', 'sms', 'mengaku', 'ngaku', 'mengtas', 'namakan', 'telkomsel']</t>
  </si>
  <si>
    <t>['kebanyakan', 'kuota', 'lokal', 'korban', 'org', 'perbatasan', 'corporate', 'komplain', 'gada', 'hasil', 'awas', 'jebakan', 'kuota', 'lokal', 'provider']</t>
  </si>
  <si>
    <t>['bantu', 'buka', 'aplikasi', 'tiktok', 'ngelag', 'buka', 'aplikasi', 'youtube', 'lancar', 'tolong', 'perbaiki', 'jaringan', 'internet']</t>
  </si>
  <si>
    <t>['bagus', 'sinyal', 'akses', 'internet', 'tingkatkan', 'promo', 'internet']</t>
  </si>
  <si>
    <t>['jaringan', 'kacau', 'buka', 'kadang', 'suka', 'delay', 'jls', 'game', 'moba', 'hadehh', 'sinyal', 'parah', 'ping', 'ms', 'kdang', 'ms', 'nyaman', 'mainnya', 'tolong', 'diperbaiki', 'kadang', 'diwaktu', 'sinyal', 'suka', 'ngedown', 'jls', 'semenjak', 'ganti', 'pakai', 'kartu', 'kuning', 'jaringannya', 'stabil']</t>
  </si>
  <si>
    <t>['paket', 'combo', 'bonus']</t>
  </si>
  <si>
    <t>['terima', 'apk', 'pulsa', 'tdi', 'ribu', 'pas', 'download', 'apk', 'pulsa', 'tinggal', 'ribu', 'pokok', 'dowload', 'apk', 'inipenipuan']</t>
  </si>
  <si>
    <t>['berkelas', 'jaringannya']</t>
  </si>
  <si>
    <t>['kali', 'beli', 'paket', 'game', 'voucher', 'game', 'nyesel', 'banget', 'gua', 'beli']</t>
  </si>
  <si>
    <t>['kenapatelkomsel', 'mahal', 'murah', 'smartfren']</t>
  </si>
  <si>
    <t>['transfer', 'pulsa', 'nomor', 'gagal', 'maaf', 'system', 'sibuk', '']</t>
  </si>
  <si>
    <t>['simpati', 'loop', 'paket', 'omg', 'gb', 'simpati', 'serasa', 'diskriminasi', 'deh', 'tolong', 'thanks']</t>
  </si>
  <si>
    <t>['menggantung']</t>
  </si>
  <si>
    <t>['bagus', 'kadang', 'hilang', 'jaringan']</t>
  </si>
  <si>
    <t>['aplikasi', 'gua', 'abis', 'update', 'dibuka', 'ttp', 'buka', 'gua', 'beli', 'paket', 'mahal', 'mahal', 'ngelag', 'kenyamanan', 'prioritaskan', 'telkomsel', '']</t>
  </si>
  <si>
    <t>['telkomsel', 'kaya', 'gini', 'sinyalnya', 'nonton', 'film', 'lemotnya', 'pas', 'dirumah', 'oke', 'wifi', 'tpi', 'pas', 'rumah', 'jaringannya', 'kecewa', 'udh', 'kaya', 'gini', 'jaringannya', '']</t>
  </si>
  <si>
    <t>['telkomsel', 'jaringanya', 'busuk', 'kota', 'hutan', 'jaringan', 'mahal', 'doang', 'sesuai', 'kualitas']</t>
  </si>
  <si>
    <t>['apl', 'buruk', 'masak', 'isi', 'ulang', 'poin', 'gimana']</t>
  </si>
  <si>
    <t>['telkomnyet', 'bab', 'jaringan', 'kyk', 'murahan', 'ajg', 'nyesel', 'beli', 'pulsa', 'mulu', 'telkomnyet', 'udh', 'mending', 'bangkrut', 'mah', 'bagusan', 'smartfren', 'jaringan', 'mahal', 'doank', 'jaringan', 'kyk', 'kampungan']</t>
  </si>
  <si>
    <t>['fungsi', 'kuota', 'multimedia', 'udah', 'main', 'sosmed', 'chat', 'dsb', 'terpotong', 'kuota', 'internet', 'kuota', 'multimedianya', 'gimana', 'siih', 'untung', 'rugi', '']</t>
  </si>
  <si>
    <t>['', 'mulu', 'kota', 'mahal', 'jaringan', 'receh', 'kecewa']</t>
  </si>
  <si>
    <t>['bagus', 'untum', 'pembelian', 'paket', 'data', 'lumayan', 'lengkap', 'lumayan', 'cashback']</t>
  </si>
  <si>
    <t>['aplikasih', 'ngak', 'buka', 'donlod', 'kali', 'masuk', '']</t>
  </si>
  <si>
    <t>['kuota', 'belajar', 'pakek', 'ilangin', 'fungsi', 'banget', 'kayak', 'keluhan', 'gua', 'kuota', 'pemakaian', 'udah', 'abiss', 'kuota', 'mingguan', 'maketin', 'seminggu', 'tpi', 'cuman', 'pakek', 'becanda', 'kah', 'telkomsel']</t>
  </si>
  <si>
    <t>['buruk', 'jaringan', 'telkomsel', 'khusus', 'daerah', 'sukabumi', 'kuota', 'mahal', 'kualitas', 'jaringan', 'ripuh', 'tolong', 'perbaiki', 'persatu', 'pindah', 'operator', 'perbaiki', 'mending', 'ganti', 'operator', 'laen', 'tower']</t>
  </si>
  <si>
    <t>['koneksi', 'telkomsel', 'serin', 'error', 'telkomsel', 'mending', 'pindah', 'propaider', 'koneksinya', 'lancar', 'jaya', '']</t>
  </si>
  <si>
    <t>['paket', 'cerianya', 'jarang', '']</t>
  </si>
  <si>
    <t>['perbaiki', 'sinyalnya', 'jelek', 'udah', 'taun', 'telkomsel', 'kecewa']</t>
  </si>
  <si>
    <t>['ngerti', 'pembelian', 'paket', 'telkomsel', 'bulanan', 'unlimited', 'multimedia', 'kuota', 'irit', 'boros', 'pemakaian']</t>
  </si>
  <si>
    <t>['beli', 'paket', 'gema', 'ngeleg', 'ngeleg', 'gamenya', 'beda', 'pakai', 'kuota', 'aslinya']</t>
  </si>
  <si>
    <t>['kasih', 'paket', 'murah']</t>
  </si>
  <si>
    <t>['pulsa', 'berkurang', 'paket', 'data', 'tolong', 'diperbaiki', 'pulsa', 'pengguna', 'telkomsel', 'berkurang', 'habis', 'pengguna', '']</t>
  </si>
  <si>
    <t>['kadang', 'jaringan', 'lemot', 'daerah', 'mangga']</t>
  </si>
  <si>
    <t>['cok', 'sinya', 'elek']</t>
  </si>
  <si>
    <t>['', 'bakka', 'inu', 'knp', 'kali', 'beli', 'paket', 'apk', 'kgk', 'mulu', 'udh', 'coba', 'brp', 'kalipun', 'ttp', 'kgk', 'ribet', 'ngetik', 'tolong', 'atasi', 'kendala', 'hentai', '']</t>
  </si>
  <si>
    <t>['app', 'pembelian', 'kirim', 'hadiah', 'pulsa', 'sulit', 'pembayaran', 'app', 'linkaja', 'telkomsel', 'versi', 'lancar', 'veronika', 'via', 'email', 'solusi', 'pilih', 'bayar', 'metode', 'linkaja', 'pilih', 'lanjutkan', 'trus', 'masuk', 'otomatis', 'linkaja', 'tinggal', 'masukkan', 'pin', 'transaksi', 'diproses', 'beres']</t>
  </si>
  <si>
    <t>['jaringan', 'burik', 'buruk', 'sesuai', 'harga', 'quota', 'pindah', 'kartu', 'udah', 'bertahun', 'telkomsel', 'kesini', 'buruk', '']</t>
  </si>
  <si>
    <t>['min', 'poin', 'telkomsel', 'tukar', 'saldo', 'dana', 'gopay', 'gitu', 'poin', 'telkomsel', 'poin', 'numpuk', 'ngga', 'apain', 'poin', 'udah', 'ribu', 'poin']</t>
  </si>
  <si>
    <t>['jaringan', 'jelek', 'nonton', 'youtobe', 'buffering', 'lemot', 'banget', 'turunin', 'resolusinya', 'ngelag', 'gimana', 'main', 'game', '']</t>
  </si>
  <si>
    <t>['mudah', 'gampang', 'mantap', '']</t>
  </si>
  <si>
    <t>['tolong', 'min', 'jaringanya', 'percepat', 'perkencang', 'paketan', 'lambat', 'maen', 'game', 'beginig', 'pelanggan', 'kecewa', 'min']</t>
  </si>
  <si>
    <t>['paket', 'data', 'pulsa', 'dipotong', 'isi', 'ludes', 'trik', 'alasan', 'internet', 'sinyal', 'turun', 'pulsa', 'kepotong', 'udh', 'paket', 'udah', 'ngapain', 'dipotong', 'pulsa', 'orang', 'dasar', 'menipu', 'klen', '']</t>
  </si>
  <si>
    <t>['telkomsel', 'tanggung', 'jawabmu', 'dimana', 'sinyal', 'hilang', 'quota', 'terkuras', 'habis', 'internet', 'memuaskan', 'tolong', 'kondisikan', 'murah', 'harga', 'paketan', 'telkomsel']</t>
  </si>
  <si>
    <t>['telkomsel', 'nggak', 'isi', 'kuota', '']</t>
  </si>
  <si>
    <t>['bumn', 'dibiayai', 'hasil', 'pajak', 'rakyat', 'kuota', 'mahal', 'jaringanterluas', 'apanya', 'sinyal', 'udah', 'kayak', 'ingus', 'sendlap', 'sendlup', 'bentar', 'pindah', 'probider', 'kecewa', 'berat', 'jam', 'sinyal', 'ilang', '']</t>
  </si>
  <si>
    <t>['telkomsel', 'blok', 'knp', 'pulsa', 'tersedot', 'kasih', 'rating', '']</t>
  </si>
  <si>
    <t>['ditingkatkan', 'kualitas', 'jaringannya', 'sesuai', 'motto', 'slogan', 'telkomsel']</t>
  </si>
  <si>
    <t>['keren', 'promonya']</t>
  </si>
  <si>
    <t>['signal', 'bertingkah']</t>
  </si>
  <si>
    <t>['paket', 'darurat', 'kpan', 'aktifin', 'paket', 'darurat', 'sdangkan', 'kuota', 'msh', 'bener', 'telkomsel', 'nyusahin', 'orang', 'sinyal', 'jelek', '']</t>
  </si>
  <si>
    <t>['daerah', 'kab', 'tangerang', 'rajeg', 'jaringan', 'inet', 'akses']</t>
  </si>
  <si>
    <t>['telkomsel', 'memburuk', 'aneh', 'sistemnya', 'pulsa', 'kehilangan', 'daftar', 'paket', 'telkomsel', 'mengambil', 'pulsa', 'notifikasi', 'pendaftaran', 'paket', 'berhasil', 'mengambil', 'biaya', 'paket', 'kesalahan', 'sistem', 'solusi', 'kejam']</t>
  </si>
  <si>
    <t>['telkomsel', 'kota', 'bandung', 'kecamatan', 'kiaracondong', 'kelurahan', 'kebunjayanti', 'koneksinya', 'jelek', 'banget']</t>
  </si>
  <si>
    <t>['sinyalnya', 'kaya', 'kontolll', 'ngapain', 'lihat', 'emang', 'tlkm', 'bangkrut', 'beli', 'rugi', 'kayak']</t>
  </si>
  <si>
    <t>['', 'ksh', 'bintang', 'dlu', 'knpa', 'pulsa', 'sllu', 'ambil', 'rbu', 'daftar', 'ap', 'telkomsel', 'jjur', 'kcewa', 'telkomsel', 'beli', 'kouta', 'bsar', 'mhal', 'cpat', 'bnggat', 'hbis']</t>
  </si>
  <si>
    <t>['aplikasi', 'kesel', 'telkomsel', 'jaringan', 'jelek', 'tugas', 'sekolah', 'tertunda', 'dll', 'tolong', 'benerin', '']</t>
  </si>
  <si>
    <t>['', 'telkomsel', '']</t>
  </si>
  <si>
    <t>['adakah', 'pegawai', 'wanita', 'telkomsel', 'jomblo', '']</t>
  </si>
  <si>
    <t>['parah', 'jaringan', 'mulu', 'kek', 'harga', 'paket', 'mahal', 'jaringan', 'nggak', 'perbaikan', 'halah', 'kartu', 'busuk']</t>
  </si>
  <si>
    <t>['buruan', 'download', 'mytelkomsel', 'play', 'store', 'menangkan', 'jutaan', 'hadia', 'ayoo', 'buruan', 'tunggu', 'apalgi', 'kesempatan', 'kali', 'menangkan', 'hadia', 'mobil', 'sepedah', 'motor', 'hadia', 'menarik', 'lainya']</t>
  </si>
  <si>
    <t>['membantu', 'terimakasih', 'team', 'telkomsel', '']</t>
  </si>
  <si>
    <t>['aplikasi', 'idiot', 'ngefreeze', 'jaringan', 'susah', 'sinyal', 'full', 'nyesel', 'gue', 'telkomsel', 'beli', 'paket', 'mah', 'mahal', 'ngelag']</t>
  </si>
  <si>
    <t>['harga', 'paket', 'quota', 'bukanya', 'turun', 'harga', 'pelayanan', 'menurun', 'payah', '']</t>
  </si>
  <si>
    <t>['aplikasi', 'mytelkomsel', 'mempermudahkan', 'mengecek', 'peulsa', 'kouta', 'beli', 'paket', 'internet', 'memiliki', 'fitur', 'menarik', 'bingung', 'pakai', 'pulsa', 'multimedia', '']</t>
  </si>
  <si>
    <t>['maaf', 'sinyal', '']</t>
  </si>
  <si>
    <t>['beli', 'pulsa', 'pencet', 'beli', 'berkali', 'kali', 'bermasalah']</t>
  </si>
  <si>
    <t>['bonus', 'pulsa']</t>
  </si>
  <si>
    <t>['telkomsel', 'kartu', 'mahal', 'kuota', 'mahal', 'sinyal', 'lemot', 'emosi', 'telkomsel', '']</t>
  </si>
  <si>
    <t>['udah', 'bertahun', 'telkomsel', 'dapet', 'diskon', 'paketnya', 'aneh', 'unlimited', 'klu', 'udah', 'habis', 'kuota', 'buka', 'pdhal', 'rajin', 'bngt', 'check', 'skrg', 'pindah', 'kartu', 'pdhal', 'uda', 'setia', 'bngt', 'kartu', 'sampe', 'nomor', 'gua', 'smua', 'akun', 'media', 'sosial', 'krna', 'uda', 'mikir', 'ganti', 'kartu', 'klu', 'kayak', 'gini', 'trus', 'mending', 'ganti', 'kartu', 'pdhal', 'tongkrongan', 'puja', 'saking', 'bagusnya', 'skrg', 'udah', 'bagus', 'jelek', 'asix', 'tsel', '']</t>
  </si>
  <si>
    <t>['jaringan', 'down', 'lemot', 'buruk', 'pelayanan', 'sinyal', 'sunggu', 'mengecewakan', 'jaringan', 'indonesia']</t>
  </si>
  <si>
    <t>['th', 'membantu', 'tugas', 'rekan', 'dilapangan', 'penanganan', 'darurat', 'bencana', 'bnpb', 'tanah', 'air']</t>
  </si>
  <si>
    <t>['telkomsel', 'parah', 'kartu', 'hallo', 'prioritas', 'skrg', 'harganya', 'mahal', 'migrasi', 'kekartu', 'hallo', 'prabayar', 'kepasca', 'bayar', 'penawarannya', 'migrasi', 'kekartu', 'hallo', 'harga', 'paketnya', 'mahal', 'bonusnya', 'sedikitpun', 'paraaah', 'dimatikan', 'sayang', 'kartu', 'bnyk', 'contact', 'pertemanan', 'hilang', 'ganti', 'kartu', '']</t>
  </si>
  <si>
    <t>['kasi', 'bintang', 'karna', 'puas', 'promonya']</t>
  </si>
  <si>
    <t>['sinyal', 'internetmu', 'kedepan', 'rusak', 'jual', 'kuota', 'kau', 'mahal', 'sepadan', 'jaringanmu']</t>
  </si>
  <si>
    <t>['telkomsel', 'sinyal', 'daerah', 'lancar', 'banget', 'bayar', 'mahal', 'jaringan', 'kek', 'siput', '']</t>
  </si>
  <si>
    <t>['jaringan', 'down', 'gilak', 'kurasa', 'bangkrut', 'kau', 'hah', '']</t>
  </si>
  <si>
    <t>['', 'sel', 'knpa', 'sim', 'sim', 'aktifkan', 'kuota', 'kartu', 'sim', 'tsel', 'kuota', 'pulsa', 'browsing', 'kuota', 'sim', 'tsel', 'sms', 'keterangan', 'udah', 'rb', 'akses', 'internet', 'non', 'kuota', 'udah', 'banget', 'males', 'isi', 'pulsa', 'rugikan', 'tsel', 'untk', 'tlp', 'keluarga', 'doang', 'karna', 'parah', 'kartu', 'menghisap', '']</t>
  </si>
  <si>
    <t>['bacot', 'babi', 'kuota', 'gb', 'isi', 'pulsa', 'rb', 'claim', 'kuota', 'gb', 'pulsa', 'ilang', 'kuota', 'gb', 'haduah', 'harian', 'masuk', 'babi']</t>
  </si>
  <si>
    <t>['puas', 'jaringan', 'mendadak', 'hilang', 'main', 'game', 'siang', 'malam', 'kurangi', 'dlu', 'bintang']</t>
  </si>
  <si>
    <t>['buka', 'free', 'motong', 'pulsa', 'beli', 'paket', 'data', 'pulsanya', 'akses', 'menu', 'lambat']</t>
  </si>
  <si>
    <t>['', 'lihat', 'komentar', 'gue', 'tolong', 'pindah', 'kartu', 'telkomsel', 'ngelek', 'udah', 'korupsi', 'tolong', 'pindah', 'secepatnya', 'dikabarkan', 'korupsi', 'uang', 'telkomsel', 'jaringan', 'ngelek', 'diperbaiki', 'uang', 'diambil', 'perbaikan', 'mengambil', 'uang', 'haram']</t>
  </si>
  <si>
    <t>['jaringan', 'jelek', 'gimana', 'menghentikan', 'paket', 'darurat', 'karna', 'membutuhkannya', 'program', 'paket', 'bagus', '']</t>
  </si>
  <si>
    <t>['berhasil', 'buka', 'appnya', 'memperbarui', 'aplikasi', 'buka', 'clear', 'cache', 'mulu']</t>
  </si>
  <si>
    <t>['', 'uninstall', 'inet', 'telkomsel', 'istighfar', 'internet', 'gprs', 'mahal', 'doang', 'kecepatan', 'kyak', 'keong', '']</t>
  </si>
  <si>
    <t>['kasih', 'bintang', 'mesti', 'perkembangan', 'kedepanya', 'tolong', 'benahi', 'aplikasinya', 'lemot', '']</t>
  </si>
  <si>
    <t>['responnya', 'cepat', 'baguuuuuussssssss', 'aplikasi', '']</t>
  </si>
  <si>
    <t>['wow', 'apk', 'paket', 'murah']</t>
  </si>
  <si>
    <t>['mantep', 'promo', 'min']</t>
  </si>
  <si>
    <t>['tolong', 'tolong', 'perhatikan', 'jaringan', 'telkomsel', 'bayar', 'mahal', 'menikmati', 'jaringan', 'lancar', 'nambah', 'dosa', 'jaringan', 'leletnya', 'ampun', 'kasih', 'bintang', 'jelek', 'jaringannnya', 'perbaiki', '']</t>
  </si>
  <si>
    <t>['update', 'beli', 'keterangan', 'ganguan']</t>
  </si>
  <si>
    <t>['hallo', 'kak', 'gmn', 'apk', 'mytelkomsel', 'udh', 'download', 'pas', 'mao', 'ngecek', 'kuota', 'pulsa', 'tulisan', 'memuat', 'halaman']</t>
  </si>
  <si>
    <t>['telkomsel', 'the', 'best', 'kebaikan', 'pelanggannya', 'menunggu', 'kebaikan', 'telkomsel', 'hadiah', 'undian', 'mobil']</t>
  </si>
  <si>
    <t>['pulsa', 'disikat', 'aktifin', 'kuota', 'nonpaket', 'pulsa', 'dipake', 'beli', 'paket', 'kuota', 'pulsa', 'beli', 'paket', 'sinyal', 'kadang', 'suka', 'jelek', 'main', 'game', 'beli', 'mahal', 'mahal', 'sinyal', 'malab', 'jelek', 'sepadan']</t>
  </si>
  <si>
    <t>['jaringan', 'telkomsel', 'susah', 'turun', 'macem', 'kera', 'unlimited', 'susahnya', 'ampun', 'min', 'solusinya', 'donk']</t>
  </si>
  <si>
    <t>['appnya', 'bagus', 'mempermudah', 'pakai', 'kartu', 'telkomsel', 'sistem', 'check', 'hadiahnya', 'lumayan', 'rekomendasikan', 'didownload', '']</t>
  </si>
  <si>
    <t>['min', 'promo', 'pas', 'dibeli', 'aplikasi', 'via', 'nihil', 'keterangannya', 'proses', 'ditunggu', 'muncul', 'pulsa', 'jaringan', 'aman', 'ngasih', 'keluhan', 'apk', 'mempan', '']</t>
  </si>
  <si>
    <t>['tolong', 'jaringan', 'diperbaiki', 'kendala', 'dibiarkan', 'buruk', 'berkelanjutan']</t>
  </si>
  <si>
    <t>['', 'perumnas', 'tunjung', 'naroan', 'signal', 'pergunakan', 'rugi', 'berlangganan', 'mohon', 'perbaiki']</t>
  </si>
  <si>
    <t>['jaringan', 'telkomsel', 'buruk', 'sesuai', 'harga', 'tarif', '']</t>
  </si>
  <si>
    <t>['telkomsel', 'sinyal', 'bapukkkkkk']</t>
  </si>
  <si>
    <t>['sinyal', 'telkomsel', 'jelek', 'pas', 'main', 'game', 'mobile', 'legend', 'jelekparah', 'sumpah', 'kayak', 'kartu', 'murah', '']</t>
  </si>
  <si>
    <t>['jaringannya', 'bermasalah', 'beli', 'paket', 'internet', 'mahal', 'mahal', 'internetan', '']</t>
  </si>
  <si>
    <t>['membeli', 'pulsa', 'kuota', 'harga', 'thank', 'you', 'very', 'much', 'telkomsel', '']</t>
  </si>
  <si>
    <t>['telkom', 'mah', 'mahal', 'doang', 'sesuai', 'jaringannya', 'jaringan', 'jelek', 'gangguan', 'mulu', 'nyesel', 'gua', 'beli', 'gua', 'saranin', 'temen', 'temen', 'beli', 'kartu', 'telkom', 'buka', 'internet', 'mending', 'kartu', 'kayak', 'aplikasi', 'ancor', '']</t>
  </si>
  <si>
    <t>['tolong', 'perbaiki', 'aplikasi', 'memakan', 'kuota', 'internet', 'menerus', 'aplikasi', 'ditutup', 'kuota', 'terkuras', 'pulsa', 'terpotong', 'pulsa', 'habis', 'ribuan', 'tolong', 'perhatian', 'penggunaan', 'aplikasi', 'terimakasih']</t>
  </si>
  <si>
    <t>['kasih', 'bintang', 'yaa', 'lelet', 'cpet', 'tpi', 'pertma', 'buka', 'aplikasinya', 'sangan', 'lelet']</t>
  </si>
  <si>
    <t>['promosinya', 'kirim', 'sms', 'stlh', 'byr', 'sms', 'tetep', 'ribuan', 'pulsa', 'raib', 'pdhal', 'sms', 'nggak', 'pakai', 'nelpon', '']</t>
  </si>
  <si>
    <t>['kecepatan', 'internet']</t>
  </si>
  <si>
    <t>['sumpah', 'min', 'beli', 'pulsa', 'kesedot', 'mulu', 'pdahal', 'gue', 'udh', 'paketan', 'gausah', 'nyedot', 'pulsa', 'kali', 'rb', 'kali', 'disedot', 'capek', 'gue', 'beli', 'pulsa', 'duit', 'gue', 'sndiri', 'sekolah', 'nge', 'reply', 'mimin', 'ikutan', 'sedih', 'blablablaa', 'gue', 'sedih', 'ngerep', 'gitu', 'ngebantu', 'ditanggepin', '']</t>
  </si>
  <si>
    <t>['parah', 'sinyal', 'bagus', 'langsung', 'down', 'gmn', 'solusinya', 'boro', 'ngegame', 'instal', 'ampun', 'kecepatan', '']</t>
  </si>
  <si>
    <t>['pls', 'tambahin', 'fitur', 'non', 'aktif', 'kuota', 'kemendikbud', 'pagi', 'pagi', 'kuota', 'kemendikbud', 'gabisa', 'main', 'ama', 'pubg', 'ngelag', 'bet', 'bintang', 'sorry']</t>
  </si>
  <si>
    <t>['paketan', 'mahal', 'sinyal', 'stabil', 'kerja', 'bener', 'bos']</t>
  </si>
  <si>
    <t>['dear', 'mimin', 'situkang', 'sedih', 'mati', 'langsung', 'solusi', 'mengarahkan', 'orang', 'membuka', 'aplikasi', 'dasar', 'serakah', '']</t>
  </si>
  <si>
    <t>['bagus', 'mudah', 'penggunaanya', 'promonya', 'guys', 'telkomsel', 'terbaik', '']</t>
  </si>
  <si>
    <t>['sinyal', 'buruk', 'pketan', 'pling', 'mhal', 'fix', 'ganti', 'indosat', 'bener', 'busuk', 'provider', 'belibpaket', 'mahalbtp', 'lelet', 'cuihhh']</t>
  </si>
  <si>
    <t>['sinyalnya', 'buruk', 'kalah', 'three', 'pindah', 'three', '']</t>
  </si>
  <si>
    <t>['buruk', 'jaringan', 'down', 'jaringan', 'hilang', 'pakai', 'telkomsel', 'rugii', 'udh', 'mahal', 'pelayanan', 'buruk', 'tipu', 'tipuu']</t>
  </si>
  <si>
    <t>['telkomsel', 'bnggsat', 'gua', 'beli', 'kuota', 'game', 'ngelag', 'ngelag', 'anjjingg', 'tolong', 'uabg', 'berguna', 'makan', 'anjjing', 'gua', 'maen', 'game', 'jring', 'kadang', 'ijo', 'kadang', 'merah', 'bnggst', 'gua', 'afk', 'trusss', 'knntol', 'emosi', 'telkomseeel', 'bnggsat']</t>
  </si>
  <si>
    <t>['pembayaran', 'via', 'shopeepay', 'dana', 'susah', 'loading', 'kadang', 'sistem', 'bermasalah']</t>
  </si>
  <si>
    <t>['isi', 'pulsa', 'masuk', 'masuk', 'yaa', 'operator', 'masuk', 'masuk']</t>
  </si>
  <si>
    <t>['pas', 'main', 'game', 'mobile', 'legend', 'jaringan', 'lemot', 'banget', 'parah', 'kuota', 'lancar', 'nambah', 'lemot']</t>
  </si>
  <si>
    <t>['aplikasinya', 'bagus', 'cuman', 'jaringannya', 'jelek', 'lelet', 'beli', 'paketnya', 'mahal', 'beli', 'minggu', 'kecewa', 'bangat', 'karna', 'jaringanya', 'jelek', 'lelet', '']</t>
  </si>
  <si>
    <t>['fitur', 'tinggal', 'fitur', 'copy', 'phone', 'number', 'fiturnya', 'bintang', 'naikkan', '']</t>
  </si>
  <si>
    <t>['kesini', 'maling', 'pulsa', 'pulsaku', 'dimalingin', 'sampek', 'pdhl', 'kouta', 'pernh', 'tlp', 'kendalanya', 'maling', 'pulsa', 'tetat', 'mewakili', 'orang', 'dluar', 'senasip', 'bener', 'merugikan', '']</t>
  </si>
  <si>
    <t>['berguna', 'fitur', 'beli', 'paket', 'aplikasi', 'nomor', 'saran', 'dikit', 'fitur', 'data', 'rollever', 'pengaman', 'pulsa', 'donk', 'plagiat', 'fitur', 'operator', '']</t>
  </si>
  <si>
    <t>['kecewa', 'telkomsel', 'udah', 'jaringan', 'tsel', 'putus', 'putus', 'main', 'game', 'ngelag', 'kali', 'tolong', 'cepat', 'perbaiki']</t>
  </si>
  <si>
    <t>['suka', 'internet', 'telkomsel', 'jelek', 'tolong', 'perbaiki', '']</t>
  </si>
  <si>
    <t>['bermain', 'game', 'lag', 'sinyal', 'tolong', 'diperbaiki', 'telkomsel', 'perbaiki', 'kasih', 'bintang', '']</t>
  </si>
  <si>
    <t>['dibuka', 'aplikasinya', 'lelet', 'aplikasinya', 'ditutup', 'membali']</t>
  </si>
  <si>
    <t>['kah', 'jaringan', 'telkomsel', 'jelek', 'harga', 'ngga', 'permasalahkan', 'kualitas', 'jaringan', 'sesuai', 'telkomsel', 'mohon', 'perbaikannya', 'terimakasih', '']</t>
  </si>
  <si>
    <t>['telkomsel', 'ditinggalkan', 'pelanggannya', 'sinyal', 'susah', 'harga', 'bersaing']</t>
  </si>
  <si>
    <t>['terima', 'kasih', 'telkomsel', 'hutang', 'telkomsel', 'maap', 'kak', 'telkomsel', 'terbaik', 'pokoknya', 'sinyal', 'optimal', 'kadang', 'bagus', 'kadang', 'jelek', 'tolong', 'diperbaiki', 'kak']</t>
  </si>
  <si>
    <t>['jaringan', 'internet', 'area', 'alam', 'sutera', 'tangerang', 'selatan', 'bca', 'alam', 'sutera', '']</t>
  </si>
  <si>
    <t>['gila', 'gua', 'beli', 'paketan', 'mahal', 'sinyalnya', 'malu', 'in', 'mendung', 'ujan', 'make', 'telkomsel', 'udah', 'lumayan', 'komplen', 'chat', 'pribadi', 'suruh', 'menghubungi', 'via', 'twitter', 'line', 'apalahh', 'jawabanya', 'suruh', 'restart', 'settings', 'vpn', 'tindakan', 'memuaskan', 'gua', 'tinggal', 'ditengah', 'kota', 'daerah', 'ancurr', 'sinyalnya', 'saran', 'provider', 'bagus', '']</t>
  </si>
  <si>
    <t>['telkomsel', 'bobrok', 'siknyal', 'hilang', '']</t>
  </si>
  <si>
    <t>['apk', 'bsa', 'membantu', 'isi', 'pulsa']</t>
  </si>
  <si>
    <t>['', 'telkomsel', 'pokok', 'aplikasi', 'recommended', 'bngget', 'aplikasi', 'serba', 'fleksibel', 'promo', 'menarik', 'berkesempatan', 'program', 'undian']</t>
  </si>
  <si>
    <t>['gimana', 'telkomsel', 'lag', 'beli', 'combo', 'sakti', 'kuota', 'utama', 'bayar', 'mahal', 'kualitasnya', 'buruk', 'telkomsel', 'udh', 'kaya', 'dlu', 'kecewa', 'telkomsel', '']</t>
  </si>
  <si>
    <t>['apl', 'bagus', 'memdukung', 'dlm', 'promo']</t>
  </si>
  <si>
    <t>['beli', 'paket', 'combo', 'sakti', 'bayar', 'gopay', 'kuota', 'masuk']</t>
  </si>
  <si>
    <t>['pulsa', 'dimakan', 'provider', 'paket', 'aktif', 'tersisa', 'paket', 'gb', 'pulsa', 'diembat', 'sinyalnya', 'lelet', 'mending', 'pindah', 'provider', '']</t>
  </si>
  <si>
    <t>['jelek', 'banget', 'sinyal', 'telkomsel', 'kecewa', 'deh', 'udah', 'tlpn', 'ngak', 'perbaikan', 'hedehhh', '']</t>
  </si>
  <si>
    <t>['semalem', 'jaringn', 'gini', 'lancar', 'ngegame', 'kek', 'kntol', 'kalah', 'ama', 'indosat', 'ngegame', 'lancar', 'bet', 'hadehh', 'gini', 'mahal', 'ajaa', 'kualitas', 'buruk', '']</t>
  </si>
  <si>
    <t>['saran', 'gagasan', 'gmn', 'klw', 'telkomsel', 'ide', 'klw', 'pelanggan', 'pulsanya', 'jadikan', 'uang', 'linkaja', 'karna', 'pulsa', 'paket', 'jadikan', 'uang', 'tarik', 'linkaja', 'mohon', 'donk', 'klw', 'pulsa', 'jadikan', 'uang', 'linkaja', 'terwujud', 'minimal', 'pulsa', 'uangnya', 'hehehe', 'sekedar', 'saran', 'mantab', 'klw']</t>
  </si>
  <si>
    <t>['tolong', 'perbaiki', 'jaringan', 'mengganggu', 'aktivitas', 'bermain', 'game', 'online', 'pengguna', 'setia', 'tsel', 'merasakan', 'kecewa', 'paketan', 'data', 'mahal', 'jaringan', 'sesuai', 'harga', 'kualitas', 'terimakasih', '']</t>
  </si>
  <si>
    <t>['suka', 'cepat', 'mudah', 'orang', 'senang']</t>
  </si>
  <si>
    <t>['kenapasih', 'masuk', 'sms', 'nawarin', 'pinjaman', 'sms', 'penipuan', 'data', 'pelanggan', 'bocorr', 'tolong', 'diperhatikan', 'pelanggan', 'enegg', 'kesall', '']</t>
  </si>
  <si>
    <t>['pakek', 'telkomsel', 'nggak', 'untung', 'rugi', 'kuota', 'murah', 'kekuatan', 'sinyal', 'terbatas', 'strategi', 'marketing', '']</t>
  </si>
  <si>
    <t>['', 'telkomnya', 'update', 'mulu', 'risi', 'keseringan', 'buka', 'aplikasinya', 'update', '']</t>
  </si>
  <si>
    <t>['telkomsel', 'parah', 'pulsa', 'berkurang', 'dikit', 'sdikit', 'sinyal', 'turun', 'lngsg', 'makan', 'pulsa', 'habis', 'smua', 'pulsa', 'tersisa', 'tolong', 'paket', 'kuota', 'kuota', 'ambil', 'saldo', 'pulsa', 'sinyal', 'turun', 'parah']</t>
  </si>
  <si>
    <t>['aplikasi', 'membatu', 'proses', 'mudah']</t>
  </si>
  <si>
    <t>['udah', 'bener', 'combo', 'sakti', 'rb', 'nomor', 'temenku', 'combo', 'saktinya', 'murah']</t>
  </si>
  <si>
    <t>['komentar']</t>
  </si>
  <si>
    <t>['tolong', 'telkomsel', 'ngelag', 'harii', 'main', 'game', 'zoom', 'pas', 'belajar', 'nonton', 'youtube', 'siang', 'siang', 'sinyal', 'parah', 'banget', 'jaringan', 'udah', 'hadeuh']</t>
  </si>
  <si>
    <t>['kartu', 'kartu', 'kartu', 'paket', 'internet', 'tawarkan', 'telkomsel', 'murah', 'meriah', 'update', 'paket', 'tersedia', 'mahal', 'ampun', '']</t>
  </si>
  <si>
    <t>['telkomsel', 'diam', 'munafik', 'beli', 'paket', 'gigagames', 'jaringan', 'sungguh', 'lalot', 'coba', 'beli', 'paket', 'internetan', 'ratusan', 'lancar', 'coi', 'aisss', 'tahiklah']</t>
  </si>
  <si>
    <t>['', 'give', 'packet', 'unlimited', 'but', 'limited', 'kuota', 'sesuai', 'unlimited', 'batasan', 'kuota', 'kasi', 'rating', 'diperbaiki', 'kuota', 'unlimited', '']</t>
  </si>
  <si>
    <t>['sinyal', 'internet', 'lambat', 'paket', 'bulanan', 'disney', 'hostar', 'pindah', 'paket', 'internet', 'milik', 'ato', 'indosat', 'cepat', 'menjanjikan', '']</t>
  </si>
  <si>
    <t>['harga', 'stabil', 'provider', 'lahir', 'kemarin']</t>
  </si>
  <si>
    <t>['terimakasih', 'telkomsel', 'semoga', 'maju', '']</t>
  </si>
  <si>
    <t>['aplikasi', 'lambat', 'mesti', 'jaringannya', 'bagus', 'telkomsel', 'dilerbaiki', 'ringan', 'lemottt', '']</t>
  </si>
  <si>
    <t>['telkomsel', 'babi', 'lemot', 'trus', 'trading', 'rugi', 'layak', 'dipakai']</t>
  </si>
  <si>
    <t>['semoga', 'org', 'beruntung', 'hadiah', 'telkomsel', 'aplikasi', 'bagus', '']</t>
  </si>
  <si>
    <t>['pelanggan', 'setia', 'telkomsel', 'kartu', 'promo', 'combo', 'sakti', 'ultimate']</t>
  </si>
  <si>
    <t>['kuota', 'pulsa', 'disedot', 'kecewa', '']</t>
  </si>
  <si>
    <t>['', 'telomsel', 'ajar', 'coba', 'beroperasi', 'kartu', 'ngak', 'perna', 'isi', 'pulsa', 'pulsa', 'langsung', 'ambil', 'perna', 'aktifkan', 'paket', 'darurat', 'merugikan', 'jiji', 'gua', 'liat']</t>
  </si>
  <si>
    <t>['kuotaultimedia', 'youtube', 'kuota', 'utama', 'kuras', 'aneh', 'mendingan', 'nggak', 'kuota', 'nggak']</t>
  </si>
  <si>
    <t>['halo', 'telkomsel', 'semoga', 'membantu', 'melaporkan', 'pulsa', 'tersedot', 'paket', 'kouta', 'masi', 'gb', 'paket', 'ceria', 'beli', 'total', 'gb', 'nominal', 'pulsa', 'sisa', 'sekitara', 'pengen', 'beli', 'kouta', 'internet', 'sms', 'telfon', 'masi', 'kaya', 'gini', 'pengguna', 'telkomsel', 'kecewa']</t>
  </si>
  <si>
    <t>['telkomsel', 'bener', 'kecewa', 'nomer', 'orang', 'lantas', 'data', 'registrasi', 'kartu', 'kelacak', 'orang', '']</t>
  </si>
  <si>
    <t>['terimakasih', 'semoga', 'kebaikan', 'kemudahan', 'konsumen', 'puas']</t>
  </si>
  <si>
    <t>['mahalll', 'hnya', 'beli', 'mobil', 'koleksi', 'pamer', 'barang', 'mewah', 'pegawai', 'supervisior', 'tinggalkan', 'sel', 'berlih', 'indosat', '']</t>
  </si>
  <si>
    <t>['semoga', 'lancar', 'sinyalnya']</t>
  </si>
  <si>
    <t>['tolong', 'diperbaiki', 'jaringannya', 'suka', 'gangguan']</t>
  </si>
  <si>
    <t>['aplikasinya', 'bagus', 'layanannya', 'mudah', 'bangettt', '']</t>
  </si>
  <si>
    <t>['cepet', 'mantappp']</t>
  </si>
  <si>
    <t>['beli', 'kuota', 'muncul', 'tulisan', 'tolong', 'cek', 'koneksi', 'sinyal', 'gimna', '']</t>
  </si>
  <si>
    <t>['minusnya', 'update', 'memo', 'bengkak', 'ppa', 'deh', 'btw', 'telkomsel', 'diperbaiki', 'jaringannya', 'error', 'galetnya', 'ampun']</t>
  </si>
  <si>
    <t>['pengguna', 'telkomsel', 'jaringan', 'data', 'lemot', 'semenjak', 'upgrade', 'halo', '']</t>
  </si>
  <si>
    <t>['parah', 'aplikasi', 'force', 'close', 'trus']</t>
  </si>
  <si>
    <t>['telkomsel', 'layak', 'pakai', 'buruk', 'jaringan', 'berbaikin']</t>
  </si>
  <si>
    <t>['berlaku']</t>
  </si>
  <si>
    <t>['aplikasinya', 'dibuka', 'buka', 'instal']</t>
  </si>
  <si>
    <t>['berguna', 'konsumen', 'memilih', 'paket', 'kesempatan', 'mengikuti', 'undian', 'berhadiah', 'diadakan', 'telkomsel', 'terpenting', 'mempermudah', 'pengguna', 'mengecek', 'pembayaran', 'berlaku', 'paket', 'msh', 'aktif', 'berguna', 'pengguna', 'terhindar', 'penipuan', 'bertanggung', '']</t>
  </si>
  <si>
    <t>['pulsaku', 'dipotong', 'pemberitahuan', '']</t>
  </si>
  <si>
    <t>['kecewa', 'banget', 'telkomsel', 'jaringan', 'ngeleg', 'pass', 'download', 'kuota', 'beli', 'gitu', 'jaringan', 'pliss', 'bantu', '']</t>
  </si>
  <si>
    <t>['aplikasi', 'surveillance', 'penyadapan', 'data', 'pribadi', 'instal', 'langsung', 'upload', 'data', 'mb', 'copot', 'uninstall', 'berhenti', 'data', 'upload', 'maksud', 'ngaktifin', 'paket', 'ketengan', 'otomatis', 'dipaketin', 'penipuan', 'pencurian', 'namanya', 'celakanya', 'menu', 'nonaktif', 'paket', 'otomatis', 'uninstall', 'cari', 'paket', 'otomatis', 'aktif', 'otomatis', 'paket', 'persetujuan', 'pelanggan', 'allah', 'udah', 'kaya', 'msh', 'mencuri']</t>
  </si>
  <si>
    <t>['susah', 'memuat', 'konten', 'menu', 'aplikasi', 'perangkat', 'pakai']</t>
  </si>
  <si>
    <t>['gembus', 'login', 'susah', 'banget', '']</t>
  </si>
  <si>
    <t>['paketan', 'data', 'murahin']</t>
  </si>
  <si>
    <t>['masuk', 'nomor', 'udah', 'teliti', 'sms', 'masuk']</t>
  </si>
  <si>
    <t>['membantu', 'sambungan', 'internet', 'bagus']</t>
  </si>
  <si>
    <t>['kuwalitas', 'internetnya', 'tingkat', 'masak', 'kalah', 'kuning', '']</t>
  </si>
  <si>
    <t>['', 'min', 'terpaksa', 'mengurangi', 'bintangnya', 'skrg', 'telkomsel', 'skrg', 'kebanyakan', 'kouta', 'harusya', 'banyakin', 'internetnya', 'org', 'beli', 'paket', 'data', 'butuhkan', 'internetnya', 'terima', 'kasih', 'mimin', '']</t>
  </si>
  <si>
    <t>['kualitas', 'signal', 'telkomsel', 'buruk', 'setabil', 'kolom', 'laporan', 'gangguan', 'terimakasih']</t>
  </si>
  <si>
    <t>['keren', 'cepat', 'memilih', 'kuota', 'telpon', 'internet', '']</t>
  </si>
  <si>
    <t>['lemot', 'lemot', 'lemot', 'muahal', 'combo', 'sakti', 'rb', 'sebulan', 'signal', 'bar', 'full', 'buka', 'tiktok', 'buffering', 'mulu', '']</t>
  </si>
  <si>
    <t>['bintang', 'masak', 'masuk', 'telkomsel', 'menyedot', 'pulsa', 'regular', 'sistem', 'tolol']</t>
  </si>
  <si>
    <t>['uda', 'perpanjang', 'aktif', 'kuota', 'pulsa', 'berkurang', 'ttp', 'aktof', 'kuota', 'diperpanjang', 'pdahal', 'uda', 'dpet', 'sms', 'dri', 'aktif', 'perpanjang', 'pas', 'cek', 'ttp', 'nipu', 'gimana', 'duit', 'carinya', 'gampang']</t>
  </si>
  <si>
    <t>['maaf', 'kasih', 'bintang', 'kali', 'karna', 'bingung', 'pakai', 'aplikasi', 'enak', 'makenya', 'pas', 'transfer', 'ribu', 'telkomsel', 'kemaren', 'riwayat', 'dana', 'berhasil', 'transaksi', 'saldo', 'telkomsel', 'nol', 'urusan', 'mendesak', 'aplikasinya', 'berulah', 'nggak', 'masuk', 'telkomsel', 'pulsanya', 'kirain', 'karna', 'jaringan', 'emang', 'ngak', 'msuk']</t>
  </si>
  <si>
    <t>['paket', 'murah', 'hadianya', 'nelpon', 'kwatir', 'tancap', 'gasssss']</t>
  </si>
  <si>
    <t>['telkomsel', 'udah', 'merugikan', 'pengguna', 'paket', 'pulsa', 'ambil', 'rugi', 'udah', 'palet', 'mahal', 'udah', 'beli', 'paket', 'pulsa', 'ambil', 'jelek', 'pelayanan', 'telkomsel', 'jaringan', 'internet', 'udah', 'lelet']</t>
  </si>
  <si>
    <t>['aplikasi', 'membantu', 'memuaskan']</t>
  </si>
  <si>
    <t>['', 'telkomsel', 'bermanfaat']</t>
  </si>
  <si>
    <t>['telkomsel', 'pilihanku', 'pilihan', 'keluargaku', 'pilihan', 'orang', 'terimakasih', 'telkomsel']</t>
  </si>
  <si>
    <t>['bagus', 'sekaliiiiiiiiiiiiiiiiiiiiiiiiiiiiiiiiiiiiiiiiiiiiiiiiiiiiiiiiiiiiiiiiiiiiiiiiiiii', 'iiiiiiiiiiiiiiiii', 'iiiiiiiiiiiiiiiiiiiiiiiiiiiiii', 'iiiiiiiiiiiiiiiiiiiiiiiiiiiiiiiiiiiiiiiiiiiiiiiiiioiiiiiiiiiiiiiiiiiiiiiiiiiiiiiiiiiiiiiiiiiiiiiiiiiiiiiiiiiiiiiiiiiiiiiiiiiiiiiiiiiiiiiiiiiiiiiiiiiiiiiiiiiiiiiiiiiiiiiiiiiiiiiiiiiiiiiiiii', 'iii', 'iiiiiiiiiiiiiiiiiiiiiiiiiiiiiiiiiiiiiiiiiiiiiiioiiiiiiiiiiiiiiiiiiiiiiii', 'iiiiiiiiiiiiiiiiiiiii', 'iiiiiiiiiiiiuuuuuuuiiiiiiiiiiiiiiiiiiiiiiiiiiiiii', 'iiiiiuuiiiiiiiiiiiiiiiii']</t>
  </si>
  <si>
    <t>['jangkauan', 'luas']</t>
  </si>
  <si>
    <t>['', 'kaya', 'sinyal', 'jaringan', 'internet', 'normal', 'dipedesaan', 'sinyal', 'penuh', 'koneksi', 'internet', 'lemot', 'bhkan', 'maen', 'game', 'online', 'lag', 'rekomend', '']</t>
  </si>
  <si>
    <t>['aplikasi', 'error', 'gabisa', 'beli', 'pulsa', 'paket']</t>
  </si>
  <si>
    <t>['disable', 'suara', 'notifikasi', 'suara', 'membuka', 'aplikasi', 'aplikasi', 'telkomsel', 'masuk', 'aplikasi', 'suaranya', 'muncul', 'kesini', 'aplikasi', '']</t>
  </si>
  <si>
    <t>['sinyal', 'ilang', 'parah', 'kaya', 'gini', 'mending', 'kartu', 'tri', 'telkomsel', 'kintiiil']</t>
  </si>
  <si>
    <t>['kenpa', 'telkomsel', 'stabil', 'sinyal', 'main', 'game', 'turun', 'lokasi', 'pedalaman', 'bandung', 'timur', '']</t>
  </si>
  <si>
    <t>['woy', 'beli', 'kuota', 'mahal', 'ratusan', 'ribu', 'cuman', 'maen', 'game', 'mobile', 'legend', 'ngelag', 'ampun', 'merah', 'pakai', 'paket', 'hotspot', 'pakai', 'pakai', 'telkomsel', 'udah', 'juta', 'bayar', 'kuota', 'mondar', 'mandir', 'merah', 'capek', 'kentang', 'najis', '']</t>
  </si>
  <si>
    <t>['arti', 'bintang', 'ditail', '']</t>
  </si>
  <si>
    <t>['telkomsel', 'mengecewakan', 'pulsa', 'paket', 'mahal', 'kualitas', 'jelek', 'gangguan', 'sinyal', 'bagus', 'mengecawakan']</t>
  </si>
  <si>
    <t>['kecewa', 'layanan', 'menanggapi', 'keluhan', 'pelanggan', 'cari', 'alasan', 'menyalahkan', 'penggunanya']</t>
  </si>
  <si>
    <t>['telkomsel', 'ancur', 'jaringannya', 'udah', 'paketan', 'mahal', 'sinyal', 'lemah', 'pulsa', 'habis', 'kuota', 'telkomsel', '']</t>
  </si>
  <si>
    <t>['sinyal', 'woii', 'sinyal', 'perbaiki', 'aneh', 'kartu', 'ngurus', 'kartu', 'hilang', 'ribetin', 'ktp', 'uda', 'pas', 'data', 'ttp', 'ngurus', 'aneh', 'masak', 'orang', 'nelpon', 'giman', 'orang', 'nelpon', 'hpnya', 'hilanh', 'oalah']</t>
  </si>
  <si>
    <t>['penggunaan', 'apk', 'simple', 'fitur', 'mudah', 'dimengerti', 'ditambah', 'penawaran', 'promo', 'menariikkk', 'like', 'big', 'love', 'mytelkomsel', '']</t>
  </si>
  <si>
    <t>['download', 'file', 'ukuran', 'gb', 'nggak', 'kuota', 'gb', 'kemana', 'nggak', 'buka', 'buka', 'telkomsel', '']</t>
  </si>
  <si>
    <t>['lemot', 'karna', 'permainan', 'signal', 'otomatis', 'kurangin', 'kestabilan', 'asli', 'rasain']</t>
  </si>
  <si>
    <t>['gua', 'kasih', 'nol', 'bintang', 'gua', 'banget', 'kasih', 'udah', 'mahal', 'server', 'down', 'pelayanan', 'buruk', 'terbaik', 'deh', 'provider', 'semangat', 'semoga', 'terbaik', 'mahalnya', '']</t>
  </si>
  <si>
    <t>['tolong', 'jaringan', 'telkomsel', 'eror', 'titik', 'full', 'jaringan', 'nge', 'lag', 'parah', 'mohon', 'pengertiannya']</t>
  </si>
  <si>
    <t>['', 'poin', 'tukar', 'tukar', 'sibuk', 'trus', 'tolong', 'bantu', 'bintang']</t>
  </si>
  <si>
    <t>['gmn', 'min', 'pulsa', 'pas', 'download', 'aplikasi', 'haduh', 'parah', 'mimin', 'aplikasi', 'telkom', 'dapa', 'gb', 'nyata', 'pulsa', 'sedot', 'kuota', 'rugi', '']</t>
  </si>
  <si>
    <t>['tolong', 'perbaiki', 'jaringan', 'stabil', 'gausah', 'nyuruh', 'komplen', 'aplikasi', 'liat', 'diulasan', 'dikeluhkan', 'males', 'telkomsel', 'nyet']</t>
  </si>
  <si>
    <t>['aplikasi', 'optimal', 'tinggal', 'jaringanya', 'suka', 'kabur', 'tolong', 'telkomsel', 'perbaiki', 'jaringan', 'trimakasih']</t>
  </si>
  <si>
    <t>['lemot', 'fak', 'tsel', 'nyediain', 'paket', 'kuota', 'lemot', 'sinyalnya', 'nyesel', 'beli', 'kuota', 'gb', 'sekian', 'diketerangan', 'paket', 'multimedia', 'chat', 'sosmed', 'games', 'sosmed', 'oke', 'ujung', 'lemot', 'main', 'game', 'ama', 'chat', 'gillllaaaa', 'responnya', 'anjjing', 'pas', 'ganti', 'jaringan', 'wifi', 'normal', 'apk', 'gamenya', 'ngebug', 'dlm', 'perbaikan', 'emg', 'kesini', 'buruk', 'terpuruk', 'jelek', 'jaringan', 'tsel']</t>
  </si>
  <si>
    <t>['telkomsel', 'buka', 'aplikasi', 'notif', 'nyuruh', 'mode', 'gratis', 'kuota', '']</t>
  </si>
  <si>
    <t>['kirim', 'email', 'dibales', 'dikasih', 'balesannya', 'balasan', 'ulasan', 'orang', 'menyuruh', 'hubungi', 'twitter', '']</t>
  </si>
  <si>
    <t>['sinyal', 'giliran', 'maen', 'mobil', 'legend', 'leg', 'sinyal', 'kuning', 'toling', 'jlaskan']</t>
  </si>
  <si>
    <t>['gangguan', 'jaringan', 'telkomsel', 'parah', 'sinyal', 'kunjung', 'membaik', 'buruk', 'harga', 'kuota', 'saudagar', 'kaya', 'rakyat', 'sengsara', 'membutuhkan', 'jaringan', 'akses', 'beajar', 'online', 'susah', '']</t>
  </si>
  <si>
    <t>['uda', 'telkom', 'hilang', 'gerai', 'telkom', 'make', 'nomor', 'telkom', 'kecewa', 'karna', 'jaringan', 'telkom', 'mengecewakan', 'paket', 'mahal', 'sesuai', 'optimal', 'jaringan', 'mahal', 'memuaskan', 'optimal', 'harga', 'paket', 'bertambah', 'kepikiran', 'mengganti', 'nomor', 'seluler', 'murah', 'kencang']</t>
  </si>
  <si>
    <t>['terlkomsel', 'jaringan', 'terbaik']</t>
  </si>
  <si>
    <t>['beli', 'isi', 'gb', 'lancar', 'pas', 'isi', 'ulang', 'gb', 'idr', 'jaringan', 'parah', 'kaya', 'plosok', 'jakarta', 'kartunya', 'emang', 'jaringan', 'jelek']</t>
  </si>
  <si>
    <t>['susah', 'buka', 'telkomsel', 'cek', 'paket', 'belajar', 'ndk', 'data', 'paket', 'sekolah', 'ndk', 'masuk']</t>
  </si>
  <si>
    <t>['udh', 'bertahun', 'pakai', 'telkomsel', 'kali', 'bener', 'kecewa', 'iya', 'nge', 'lag', 'bermain', 'game', 'henti', 'notif', 'koneksi', 'terputus', 'jaringan', 'stabil', 'menerus', 'hadehhh', 'parah', 'game', 'bermasalah', 'posisi', 'bermain', 'teman', 'jaringan', 'terkakhir', 'kali', 'pakai', 'telkomsel', 'bertahun', 'setia', 'besok', 'trua', 'nge', 'lag']</t>
  </si>
  <si>
    <t>['telkomsel', 'skrang', 'parah', 'jaringannya', 'parah', 'lgi', 'pas', 'lgi', 'maen', 'game', 'mlh', 'ngelag', 'pokoknya', 'super', 'super', 'parah', 'sinyal', 'tlong', 'perbaiki', 'asli', 'parahh', 'skrang', 'haduh']</t>
  </si>
  <si>
    <t>['jaringan', 'hilang', 'buruk', 'provider', 'lainya', 'buruk', 'tinggal', 'jakarta', 'jaringan', 'full', 'jaringan', 'buruk', 'game', 'aangat', 'buruk', 'berani', 'menawarkan', 'paket', 'game', 'jaringan', 'stabil', 'mohon', 'telkom', 'pengalaman', 'pengguna', 'layaknya', 'data', 'bayar', '']</t>
  </si>
  <si>
    <t>['besok', 'pindah', 'kesana', 'bukanya', 'dibagusin', 'ancur', 'sinyal', 'paketan', 'sinyal', 'udah', 'dibayar', 'tolong', 'kerja', 'maksimal', '']</t>
  </si>
  <si>
    <t>['tolong', 'fitur', 'ngidupin', 'data', 'pulsa', 'kesedot', 'kemaren', 'beli', 'pulsa', 'buka', 'data', 'disedot', 'ngentod']</t>
  </si>
  <si>
    <t>['udah', 'mahal', 'jelek', 'sinyalnya', 'main', 'game', 'sinyal', 'merah', 'trs', 'bukanya', 'bagus', 'jelek']</t>
  </si>
  <si>
    <t>['', 'dipercaya', 'beli', 'mengaktifkan', 'kuota', 'paket', 'aktif']</t>
  </si>
  <si>
    <t>['menang', 'harga', 'doang', 'mahal', 'kualitas', 'internet', 'memuaskan', '']</t>
  </si>
  <si>
    <t>['kualitas', 'promo', 'combo', 'sakti', 'jelek', 'kuota', 'utama', 'habis', 'sisa', 'kuota', 'multimedia', 'sebyk', 'dipake', 'nonton', 'disneyhotstar', 'buffering', 'beli', 'paket', 'kuota', 'disney', 'hotstar', 'hadeuh', '']</t>
  </si>
  <si>
    <t>['aplikasiiii', 'makiiin', 'jelasss', 'signal', 'beres', 'internet', 'kadang', 'dipakai', 'kadang', 'kota', 'signal', 'wkwkwkwk']</t>
  </si>
  <si>
    <t>['komplain', 'tpi', 'perubahan', 'mlah', 'parah', 'jaringanya', 'terbaiklah', 'telkomsel', 'tolong', 'peka', 'konsumen', '']</t>
  </si>
  <si>
    <t>['heran', 'bayar', 'mahal', 'sinyal', 'suka', 'stabil', 'paket', 'telfon', 'menit', 'gratis', 'kepake', 'masuk', 'tagihan', 'gimana', 'kecewa', 'banget', 'telkomsel']</t>
  </si>
  <si>
    <t>['putus', 'putus', 'sinyalnya', 'ngga', 'ngerti', 'provider', 'migrasi', 'kartu', 'halo', 'jumping', 'jumping', 'sinyalnya', 'bingung']</t>
  </si>
  <si>
    <t>['bagus', 'internet', 'cepat', 'kecewa', 'pakai', 'bermain', 'game']</t>
  </si>
  <si>
    <t>['sinyal', 'eror', 'mulu', 'main', 'game', 'nge', 'lag', 'mulu', 'sinyalnya', 'perbaikan', 'dikasih', 'pemberitahuan', 'napa', '']</t>
  </si>
  <si>
    <t>['harga', 'paket', 'abis', 'pulsa', 'isi', 'udh', 'potong', 'gemana', 'beli', 'paketan']</t>
  </si>
  <si>
    <t>['telkomsel', 'sialan', 'harga', 'paket', 'mahal', 'kualitas', 'buruk', '']</t>
  </si>
  <si>
    <t>['gimana', 'harga', 'mahal', 'jaringan', 'bagus', 'lelet', '']</t>
  </si>
  <si>
    <t>['telkomsel', 'rekomendet', 'main', 'game', 'login', 'susah', 'youtube', 'bagus', 'tpi', 'main', 'game', 'bagus', '']</t>
  </si>
  <si>
    <t>['jaringan', 'telkomsel', 'parahnya', 'ngk', 'ketolong', 'sayangnya', 'didesa', 'cuman', 'jaringan', 'bantulah', 'diperbaiki', 'jaringannya', 'kesal', 'bangat', 'enak', 'main', 'game', 'jaringan', 'telkomsel', 'afk', 'bantu', 'diperbaiki', 'jaringannya', 'mahal', 'tpi', 'jaringan', 'lelet', 'parah', '']</t>
  </si>
  <si>
    <t>['info', 'jaringan', 'beres', 'diem', 'tindakan']</t>
  </si>
  <si>
    <t>['jaringan', 'jelek', 'tolong', 'perbaiki', 'main', 'game', 'jaringan', 'stabil', 'mendadak', 'lucu', 'becanda', 'ganti', 'haluan', 'deh', 'bintang', 'gur', 'kasih', 'buruk', '']</t>
  </si>
  <si>
    <t>['belih', 'paket', 'mahal', 'paket', 'internet', 'mud', 'belihh', '']</t>
  </si>
  <si>
    <t>['parah', 'telkomsel', 'isi', 'pulsa', 'rbu', 'blm', 'beli', 'paket', 'teraktif', 'pket', 'harian', 'gb', 'dlam', 'gila', 'rugi', 'promo', 'pelayanannya', 'buruk']</t>
  </si>
  <si>
    <t>['kecewa', 'telkomsel', 'malam', 'ngeleg', 'maen', 'gems', 'harga', 'doank', 'mahal', 'kualitas', 'jaga', 'mahal', 'kualitas', 'buruk']</t>
  </si>
  <si>
    <t>['telkomsel', 'provider', 'terburuk', 'kesini', 'berbenah', 'faktanya', 'pulsa', 'kesedot', 'kuota', 'provider', 'scam', 'pencuri', 'uang', 'pelanggan', 'coba', 'adain', 'fitur', 'lock', 'unlock', 'pulsa', 'pelanggan', 'was', 'nyimpen', 'pulsa', 'sinyal', 'kesini', 'buruk', 'harga', 'kuota', 'mahal', 'sebanding', 'pelayanan', 'sinyal', 'buruk', 'babi', 'gua', 'saranin', 'provider', 'deh', 'gamau', 'nyesal', '']</t>
  </si>
  <si>
    <t>['mengikuti', 'konten', 'apapun', 'pulsa', 'potong', 'pemberitahuan', 'apapun', 'maling', 'bumn']</t>
  </si>
  <si>
    <t>['mayoritas', 'kasih', 'star', 'kerena', 'emang', 'harapan', 'miris', 'klarifikasi', 'bla', 'bla', '']</t>
  </si>
  <si>
    <t>['undian', 'point', 'undian', 'tolong', 'perbaiki', 'sistem', 'undiannya', 'pdhl', 'slalu', 'suka', 'pkai', 'kartu', 'sempati']</t>
  </si>
  <si>
    <t>['tolong', 'kualitas', 'telkomsel', 'diturunkan', 'udah', 'cepat', 'nyedot', 'kuota', 'mahal', 'harga', 'gangguan', 'jaringan', 'lelet', '']</t>
  </si>
  <si>
    <t>['jaringan', 'kyk', 'skrg']</t>
  </si>
  <si>
    <t>['babi', 'sinyal', 'jelek', 'melulu', 'gimana', 'coeg', 'push', 'rank', 'merah', 'melulu', 'perbaikan', 'emang', 'perbaikan', 'yaa', 'kasih', 'kabar', 'masak', 'tulisan', 'gsinyal', 'busuk']</t>
  </si>
  <si>
    <t>['telkomsel', 'skerang', 'memuaskan', 'jaringan', 'lelet', 'telkomsel', 'pakai', 'saran', 'pakai', 'kartu', 'telkomsel', 'kerana', 'lelet', 'jaringan', 'hilang', 'terima', 'kasih']</t>
  </si>
  <si>
    <t>['', 'pelayanan', 'memuaskan', '']</t>
  </si>
  <si>
    <t>['ngelag', 'banget', 'tuhan', 'telkomsel', '']</t>
  </si>
  <si>
    <t>['knp', 'sinyal', 'jelek', 'bnget', 'skrg', 'males', 'simpati', 'pdhl', 'kenceng', 'buffering', 'mulu', 'brp', 'kali', 'restart', 'tetep', 'lemot', 'bnerin', 'knp', 'pengguna', 'udh', 'belasan', 'kecewa']</t>
  </si>
  <si>
    <t>['paket', 'omg', 'mahal', 'paket', 'ceria', 'bunkk', 'paket', 'mahal', '']</t>
  </si>
  <si>
    <t>['kuota', 'multimedia', 'pakai', 'rugi', 'beli', 'kuota', 'gmna', 'multimedia', 'kecewa', 'telkomsel']</t>
  </si>
  <si>
    <t>['kartu', 'najis', 'jelek', 'banget', 'gua', 'udh', 'langganan', 'bangwt', 'bagus', 'tlkomsel']</t>
  </si>
  <si>
    <t>['gara', 'perbarui', 'sel', 'paket', 'combo', 'sakti', 'pengen', 'ganti', 'kartu', 'sim', 'pdahal', 'langganan', 'aga', 'kecewa', '']</t>
  </si>
  <si>
    <t>['knp', 'paket', 'combo', 'blom']</t>
  </si>
  <si>
    <t>['sinyal', 'perbaiki', 'harga', 'paket', 'mahal', 'sinyal', 'jelek', 'sesuai', 'harga', 'kualitas', 'sinyal', 'jelek', 'harga', 'mahal', '']</t>
  </si>
  <si>
    <t>['lumayan', 'memuaskan', '']</t>
  </si>
  <si>
    <t>['notifikasi', 'paket', 'habis']</t>
  </si>
  <si>
    <t>['jaringan', 'tinggal', 'dijakarta', 'kaya', 'hutan', 'jaringannya', 'ganti', 'kartu', 'abal', 'simpati', 'skrng', '']</t>
  </si>
  <si>
    <t>['kirain', 'bagus', 'jaringannya', 'ehh', 'jelek', 'banget', 'jaringan', 'telkomsel', 'gangguan', 'jamnya', 'ngelag', 'main', 'game', 'online', 'jaringan', 'nggk', 'support', 'ngegame', 'pokonya', 'buruklah', 'jaringannya', 'ngelag', 'dikarawang', 'merakyat', 'download', 'banget', 'gada', 'perbaikan', 'gitu', 'dikarawang', 'percumalah', 'loe', 'iklan', 'jaringan', 'lelet', 'mah', 'perbaikan', 'nggk', 'buktinya', 'banget', 'ngelag', 'gakaruan', '']</t>
  </si>
  <si>
    <t>['telkomsel', 'telkomsel', '']</t>
  </si>
  <si>
    <t>['murah', 'paket', 'datanya', 'the', 'best', '']</t>
  </si>
  <si>
    <t>['mendung', 'dikit', 'jaringan', 'down', '']</t>
  </si>
  <si>
    <t>['sinyal', 'jelek', 'banget', 'maen', 'game', 'bagus', 'gangguan', 'mode', 'pesawat', 'dlu', 'lancar']</t>
  </si>
  <si>
    <t>['cepet', 'mudah']</t>
  </si>
  <si>
    <t>['kartu', 'sinyal', 'internet', 'jelek', 'kartu', 'paket', 'dibeli', '']</t>
  </si>
  <si>
    <t>['perbaiki', 'jaringannya', 'kampung', 'jaringannya', 'jelek']</t>
  </si>
  <si>
    <t>['kartu', 'layak', 'pakai', 'mestinya', 'mengalami', 'namanya', 'gangguan', 'harga', 'paket', 'melebihi', 'kartu', '']</t>
  </si>
  <si>
    <t>['paket', 'combo', 'sakti', 'unlimited', 'batasin', 'gini', 'deh', 'suka', 'banget', 'beli', 'paket', 'combo', 'sakti', 'pas', 'unlimited', 'enak', 'skrng', 'gini', 'nyaman', 'semoga', 'telkomsel', 'ubah', 'paket', 'combo', 'sakti', 'unlimited', 'sosmed', 'paket', 'combo', 'sakti', 'gunain', 'cumn', 'loading', 'bosen', 'game', 'unlimited', 'chat', 'paket', 'combo', 'sakti', 'gunain', 'pas', 'liat', 'status', 'udh', 'telkomsel', '']</t>
  </si>
  <si>
    <t>['sementang', 'pengguna', 'suka', 'suka', 'sinyal', 'jaringan', 'indonesia', 'suka', 'suka', 'lemot', 'kemari', 'buruk', 'servicenya', 'tutup', 'ajalah', 'udh']</t>
  </si>
  <si>
    <t>['tolong', 'koneksi', 'internet', 'perbagus', 'daerah', 'susah', 'sinyal', 'sekolah', 'sinyal', 'telkomsel', 'buruk', 'megalaminya', 'pengguna', 'telkomsel', 'kelas', 'mengalami', 'menggangu', 'pelajaran', 'pandemi', 'siswa', 'wajibkan', 'ponsel', 'tolong', 'kedepannya', 'harap', 'telkomsel', 'menyelesaikan', 'jaringan', 'terimakasih']</t>
  </si>
  <si>
    <t>['pakai', 'simpati', 'thn', 'nmr', 'ganti', 'simpati', 'jitu', 'skrg', 'bawa', 'kemana', 'nggak', 'khawatir', 'sinyal', 'skrg', 'simpati', 'kayaknya', 'nggak', 'andalkan', 'sepenuhnya', 'skrg', 'supeeeeeerrr', 'lelet', 'mlm', 'abis', 'hujan', 'masak', 'tim', 'nggak', 'lihat', 'tower', 'over', 'load', 'telkomselnya', 'kalah', '']</t>
  </si>
  <si>
    <t>['pulsa', 'isi', 'beli', 'paket', 'combo', 'pulsa', 'mencukupi', 'masi', 'utuh', 'pulsanya', '']</t>
  </si>
  <si>
    <t>['khilangan', 'pelanggan', 'jaringan', 'lelet', 'menguras', 'kuota', 'parah']</t>
  </si>
  <si>
    <t>['sakit', 'jaringan', 'telkomsel', 'bah', 'udh', 'mahal', 'lelet', 'parah', 'kecewa', 'krna', 'udh', 'pelanggan', 'telkomsel']</t>
  </si>
  <si>
    <t>['kecewa', 'banget', 'telkomsel', 'ngelag', 'banget', 'kalah', 'kartu', 'gini', 'trs', 'ganti', 'kartu']</t>
  </si>
  <si>
    <t>['maketin', 'proses', 'kyak', 'gitu', 'berkali', 'dicoba', 'kuota', 'habis', 'gimana', 'dooong']</t>
  </si>
  <si>
    <t>['tolong', 'jaringan', 'telkomsel', 'batam', 'kota', 'perbaiki', 'udah', 'kelewat', 'jaringan', 'rusak', 'keseringan']</t>
  </si>
  <si>
    <t>['paket', 'combo', 'berubah', 'beli', 'sudh', '']</t>
  </si>
  <si>
    <t>['jaringan', 'telkomsel', 'jelek', 'harga', 'paket', 'mahal', 'sesuai', 'jaringan', '']</t>
  </si>
  <si>
    <t>['kecewa', 'kesini', 'jangringan', 'busuk', 'paket', 'internet', 'doang', 'mahal', 'sesuai', 'biyaya', 'keluarkan', '']</t>
  </si>
  <si>
    <t>['sinyalnya', 'kesini', 'jelek', 'pas', 'nge', 'game', 'parahh', 'mah', 'bagus', 'skrang', 'parah', 'nyesel', 'telkom']</t>
  </si>
  <si>
    <t>['parah', 'lag', 'paket', 'harga', 'selangit', 'kualitas', 'jaringannya', 'jelek', 'kecewa', 'banget', 'kayak', 'axis', '']</t>
  </si>
  <si>
    <t>['maslaah', 'mulu', 'jaringan']</t>
  </si>
  <si>
    <t>['telkomsel', 'sarankan', 'dipakai', 'gaming', 'game', 'online', 'bagus', 'aplikasi', 'mytelkomsel', 'pokoknya', 'recommended', 'menghamburkan', 'uang', 'kartu', 'internet', 'telkomsel']</t>
  </si>
  <si>
    <t>['sinyal', 'daerah', 'jaksel', 'cilandak', 'bapuk', 'emosi', 'main', 'game', 'ngelag', 'parahhhh', '']</t>
  </si>
  <si>
    <t>['suka', 'karna', 'poin', 'telkomsel', 'berlaku', 'kalimantan', 'barat', 'kota', 'sintang', 'berlaku', 'kecewa']</t>
  </si>
  <si>
    <t>['prioritas', 'lanannya', 'berkwalitas', 'paket', 'mahal', 'jaringan', 'abal', 'abal', 'knapa', 'stiap', 'perusahaan', 'klola', 'bumn', 'smuanya', 'mentah', 'ngacangin', 'rakyat', 'pedesaan', 'menambah', 'penderitaan', 'orang', 'tua', 'berpenghasilan', 'pas', 'pasan', '']</t>
  </si>
  <si>
    <t>['telkomsel', 'dipakai', 'main', 'game', 'jelek', 'parah', 'barusan', 'jam', 'jaringan', 'jelek', 'teman', 'jelek']</t>
  </si>
  <si>
    <t>['pulsa', 'berkurang', 'beli', 'paket', 'internet', 'aplikasinya', 'transaksi', 'paket', 'bermasalah']</t>
  </si>
  <si>
    <t>['telkom', 'gangguan', 'gimana', 'min', 'main', 'game', 'gabisa', 'tolong', 'perbaiki', 'min', 'jualan', 'akun', 'game', 'online', 'gara', 'masuk', 'terganggu', 'merugikan']</t>
  </si>
  <si>
    <t>['telkomsel', 'sinyal', 'busuk', 'leg', 'maen', 'game', 'sinyal', 'telkomsel', 'buktinya', 'jelek', 'dimapaun', 'tetep', 'ping', 'turun', 'kadang', 'macet', '']</t>
  </si>
  <si>
    <t>['perbaiki', 'kualitas', 'sinyal', 'donk', 'sinyalny', 'ngleg', 'restart', 'normal', 'sinyalny', 'kaya', 'gitu', 'trus', 'rusak', 'tukar', 'point', 'prnah', 'menang', '']</t>
  </si>
  <si>
    <t>['aplikasi', 'jelek', 'susah', 'kebuka', '']</t>
  </si>
  <si>
    <t>['tolong', 'main', 'game', 'jam', 'mahgrib', 'sampe', 'jam', 'malem', 'jaringan', 'jelek', 'banget', 'telkomsel', 'perasaan', 'pancar', 'game']</t>
  </si>
  <si>
    <t>['dapet', 'daily', 'cek', 'nyedot', 'pulsa', 'alasan', 'non', 'paket', 'sueee', 'kena', 'jebakan', 'kecewa', 'banget', 'anjiiirr', '']</t>
  </si>
  <si>
    <t>['lelet', 'jaringan', 'bisnis', 'terhambat', '']</t>
  </si>
  <si>
    <t>['telkomsel', 'babi', 'sinyal', 'jelek', 'banget', 'berkualitas', 'banget', 'pakai', 'jasa', 'operator', 'sialan', 'merugikan', 'pelanggan', 'asli', 'telkomsel', 'binatang']</t>
  </si>
  <si>
    <t>['', 'pulsa', 'hilang', 'jejak', 'penjelasan', 'aplikasi', 'maling', '']</t>
  </si>
  <si>
    <t>['lemot', 'jaringannya', 'kayak', 'udah', 'beli', 'paket', 'kayak', 'paketnya', 'perbaiki', '']</t>
  </si>
  <si>
    <t>['mahal', 'doang', 'jaringan', 'kayak', 'puki']</t>
  </si>
  <si>
    <t>['bosen', 'gangguan']</t>
  </si>
  <si>
    <t>['tolong', 'telkomsel', 'usulan', 'provider', 'seluler', 'terbesar', 'indonesia', 'kuota', 'tersisa', 'diakumulasikan', 'kuota', 'tolong', 'diperhatikan', 'dipertimbangkan', 'terima', 'kasih', '']</t>
  </si>
  <si>
    <t>['parahh', 'udah', 'kirim', 'data', 'koneksi', 'ngga', 'baca', 'udah', 'dikirim', 'sampe', 'kali', 'baca', 'ngga', 'bot']</t>
  </si>
  <si>
    <t>['gangguan', 'signal', 'itupun', 'cuaca', 'mendung', 'buruk', 'promo', 'hadiahnya', 'hadiahnya', '']</t>
  </si>
  <si>
    <t>['telkomsel', 'mudah', 'beli', 'paket', 'data', 'saran', 'pilihan', '']</t>
  </si>
  <si>
    <t>['jaringan', 'rusak', 'parah', 'ganti', 'paket', 'ditambah', 'delay', 'abis', 'kena', 'maki', 'kerjaan', 'tolong', 'perbaiki', 'sampe', 'pindah', 'operator']</t>
  </si>
  <si>
    <t>['kasih', 'bintang', 'karna', 'kecewa', 'down', 'dipakai', 'bermain', 'game', 'onlen', 'lagnya', 'kunjung', 'berhenti', 'udh', 'dimatikan', 'datanya', 'mode', 'pesawat', 'berkali', 'kali', 'tetep', 'lag', 'merugikan', 'karna', 'nyaman', '']</t>
  </si>
  <si>
    <t>['ditawarin', 'mutasi', 'kartu', 'pascabayar', 'iming', 'jaringan', 'diprioritaskan', 'mah', 'kayak', 'prabayar', 'jelek', 'sinyalnya', 'mahal', 'pascabayar', 'tagihan', 'ditagih', '']</t>
  </si>
  <si>
    <t>['rugi', 'pakai', 'telkomsel', 'jaringan', 'parah', 'banget']</t>
  </si>
  <si>
    <t>['menurutku', 'telkom', 'enak', 'males', 'langganan', 'paket', 'diskon', 'ehh', 'naikin', 'harga', 'monopoly', 'harga', 'namanya', 'naiknya', 'pelanggan', 'setia', 'langganan', 'paket', 'kaya', 'minimal', 'kasih', 'penurunan', 'harga', 'naikin', 'harga']</t>
  </si>
  <si>
    <t>['paket', 'doang', 'mahal', 'kualitas', 'jaringannya', 'buruk', '']</t>
  </si>
  <si>
    <t>['jaringan', 'perbaiki', 'online', 'kirim', 'chat', 'susah', 'lambang', 'doang', 'jaringan', 'emosi', 'kartu', 'busuk', '']</t>
  </si>
  <si>
    <t>['gue', 'pindah', 'kartu', 'udh', 'beli', 'kuota', 'mahal', 'sinyal', 'jelek', '']</t>
  </si>
  <si>
    <t>['mengecewakan', 'kualitas', 'koneksi', 'internet', 'sbg', 'pengguna', 'kecewa', 'kesini', 'stabil', '']</t>
  </si>
  <si>
    <t>['penipu', 'pulsa', 'berkurang', 'habis', 'kuota', 'ngurang', 'pas', 'buka', 'youtube', 'app', 'dasar', 'penipu', 'ilang', 'pusla', 'gue', 'gegara', 'promo', 'penipuan', 'mudah', 'mudahan', 'azab']</t>
  </si>
  <si>
    <t>['ribet']</t>
  </si>
  <si>
    <t>['assalamualaikum', 'kak', 'jaringan', 'telkomsel', 'jelek', 'banget', 'beneran', 'jelek', 'banget', 'sinyal', 'penuh', 'jaringan', 'jelek', 'engga', 'stabil', 'daerah', 'daerah', 'kab', 'sukabumi', 'mohon', 'bantuannya', 'kak', 'jaringan', '']</t>
  </si>
  <si>
    <t>['tolong', 'jaringan', 'telkomsel', 'susah', 'mati', 'lampu', 'mati', 'signal', 'tolong', 'diperbaikin', 'bos']</t>
  </si>
  <si>
    <t>['bagus', 'app', 'pelayanan', 'memuaskan', '']</t>
  </si>
  <si>
    <t>['telkomsel', 'gila', 'harga', 'paket', 'data', 'telpon', 'mahal', 'telkomsel', 'pelanggannya', 'hilang', 'penggunaan', 'kartunya', 'mahal', 'paket', 'tawarkan', 'wajar', 'telkomsel', 'tertinggal', 'pesaingnya', 'tolong', 'paket', 'telpon', 'datanya', 'mahal', 'harganya', 'wajar', 'normal']</t>
  </si>
  <si>
    <t>['ramah', 'kantong', 'pelajar', 'udh', 'unlimited', 'paket', 'berzona', 'kek', 'daftar', 'sekolah', '']</t>
  </si>
  <si>
    <t>['udah', 'update', 'ttp', 'update', 'trs', 'pas', 'buka', 'app', 'update', '']</t>
  </si>
  <si>
    <t>['jaringan', 'knapa', 'sihk', 'kek', 'ntool']</t>
  </si>
  <si>
    <t>['mantab', 'tpi', 'kemot']</t>
  </si>
  <si>
    <t>['bagus', 'versi', 'versi', 'isi', 'pulsa', 'daftar', 'paket', 'harinya', 'berkurang', '']</t>
  </si>
  <si>
    <t>['maling', 'pulsa', 'pencuri', 'pulsa', 'bagusan', 'sebelah', '']</t>
  </si>
  <si>
    <t>['banget', 'ilang', 'jaringan', 'kuota', 'ngebut', 'bener', 'kesedot', 'paket', 'mahal']</t>
  </si>
  <si>
    <t>['istimewa', 'bagus', 'gaul', 'biasah', 'membangun']</t>
  </si>
  <si>
    <t>['plis', 'telkomsel', 'pulsa', 'keambil', 'ribu', 'kepake', 'waspada']</t>
  </si>
  <si>
    <t>['daerah', 'rangkas', 'sinyal', 'bagus']</t>
  </si>
  <si>
    <t>['parah', 'paraaaaaaaahhhhhhhhhhhhh', 'jaringan', 'lelet', 'kenyamanan', 'main', 'game', 'sinyal', 'merah', 'teru', 'pagi', 'siang', 'malam', 'parah', 'tolong', 'perbaiki']</t>
  </si>
  <si>
    <t>['telkomsel', 'kartu', 'najis', 'beli', 'kuota', 'downlod', 'aplikasi', 'lahh', 'maksudnya', 'dipake', 'main', 'game', 'lag', 'aduh', 'telkomsel', '']</t>
  </si>
  <si>
    <t>['telkomsel', 'menjengkel', 'nyesal', 'udah', 'beli', 'paket', 'mahal', 'jaringan', 'buruk', 'telkomsel']</t>
  </si>
  <si>
    <t>['paket', 'mahal', 'jaringan', 'kecewa', 'woyyyyy', 'sinyal', 'woyyyyy', 'ahhh', 'sempak']</t>
  </si>
  <si>
    <t>['mudah', 'dimana']</t>
  </si>
  <si>
    <t>['loginnya', 'ribet', 'gpp', 'msih', 'masuk', 'heran', 'mahal', 'kuota', 'telkomsel', 'beli', 'kuota', 'gb', 'harga', 'rb', 'skrg', 'jdi', 'rb', '']</t>
  </si>
  <si>
    <t>['aplikasi', 'the', 'best', 'banget', 'pokoknya']</t>
  </si>
  <si>
    <t>['telkomnyet', 'sinyal', 'penuh', 'bagus', 'telkomnyet', 'kek', 'ajg', 'buka', 'buka', 'buka', 'game', 'liat', 'snap', 'orang', 'ngirim', 'nerima', 'gambar', 'video', 'kapok', 'telkomnyet']</t>
  </si>
  <si>
    <t>['perbaiki', 'kualitas', 'jaringan']</t>
  </si>
  <si>
    <t>['poin', 'bayak', 'poin', 'nga', 'ditukar', 'sistem', 'sibuk', 'keadialanya', 'dimana', 'bos', 'kekginima', 'mending', 'hapus', 'aplikasinya', 'bayak', 'bayakin', 'memory', 'tolong', 'sistem', 'sibuk', 'mulu', 'telkom']</t>
  </si>
  <si>
    <t>['keluarkan', 'susah', 'ketik', 'nomor']</t>
  </si>
  <si>
    <t>['', 'bintang', 'pakai', 'aplikasi', 'mytelkomsel']</t>
  </si>
  <si>
    <t>['bagaimna', 'bli', 'pulsa', 'pulsanya', 'udah', 'pdahal', 'simpan', 'bli', 'paket', 'rugi', '']</t>
  </si>
  <si>
    <t>['gimana', 'aplikasi', 'susah', 'buka', 'aplikasi', 'penguna', 'kesulitan', 'cek', 'kuota', 'pulsa', 'beli', 'paket', 'aplikasi', 'mohom', 'penjelasannya', '']</t>
  </si>
  <si>
    <t>['customer', 'service', 'telkomsel', 'kartu', 'halo', 'prioritas', 'lelet', 'parah', 'recommended']</t>
  </si>
  <si>
    <t>['login', 'dimanapun']</t>
  </si>
  <si>
    <t>['pelayanan', 'slogan', 'migrasi', 'telkomsel', 'bohong', 'berguna', '']</t>
  </si>
  <si>
    <t>['keren', 'mempermudah', 'pengguna']</t>
  </si>
  <si>
    <t>['mudah', 'transaksi', 'pembelian', 'pulsa', 'paket', 'internet']</t>
  </si>
  <si>
    <t>['tukar', 'poin', 'paket', 'udh', 'coba', 'tolong', 'perbaiki', 'hemat', 'uang', 'covid', '']</t>
  </si>
  <si>
    <t>['promo', 'pakai', 'hilang', 'pemberitahuan', '']</t>
  </si>
  <si>
    <t>['aneh', 'sebenernya', 'udah', 'curiga', 'aplikasi', 'bawaan', 'penghitung', 'kuota', 'harian', 'panel', 'gb', 'telk', 'habis', '']</t>
  </si>
  <si>
    <t>['', 'telkomsel', 'layanan', 'provider', 'terbaik', 'the', 'best', 'pokoknya', 'membantu', 'terima', 'kasih', 'telkomsel']</t>
  </si>
  <si>
    <t>['tolong', 'adain', 'fitur', 'jaga', 'saldo', 'operator', 'sebelah', 'udah', 'nerapin', 'aplikasinya', 'telkomsel', 'ngerasa', 'kecuri', 'pulsanya', 'pas', 'abis', 'kuota', 'kesedot', 'pulsa', 'gara', 'pemakaian', 'kuota', 'tarif', 'dasar', 'pulsa', 'sms', 'berlangganan', 'telkomsel', 'jujur', 'operator', 'pesaing', 'jujur', 'pulsa', 'pelanggan', 'dirugikan', 'semoga', 'didengar']</t>
  </si>
  <si>
    <t>['bagus', 'lebiuh', 'mudah', '']</t>
  </si>
  <si>
    <t>['uindian']</t>
  </si>
  <si>
    <t>['sumpah', 'sinyal', 'jelek', 'bangettt', 'ngelag', 'mulu', '']</t>
  </si>
  <si>
    <t>['pakai', 'kartu', 'hallo', 'open', 'aplikasi', 'daily', 'check', 'bonus', 'quota', 'dipakai', 'claimed', '']</t>
  </si>
  <si>
    <t>['tulisan', 'paket', 'spesial', 'ilang', 'beli', 'paket', 'murah', 'kagak', 'tolong', 'diperbaiki', '']</t>
  </si>
  <si>
    <t>['paket', 'pulsa', 'potong', 'tambahkan', 'fiturnya']</t>
  </si>
  <si>
    <t>['syarat', 'menonaktifkan', 'kartu', 'hallo', 'rekomendasi', '']</t>
  </si>
  <si>
    <t>['heh', 'kesini', 'bagus', 'sinyalnya', 'ilang', 'harga', 'paketan', 'doang', 'melambung', 'kbijakan', 'perbaikan', 'sinyal', 'terluar', 'kota', 'manado', 'tepatnya', 'sinyal', 'telkomsel', 'kek', 'setan', 'lancar', 'jaya', 'telkomsel', 'anjlok', 'emang', 'telkomsel', 'parah', 'nyesel', 'ngisi', 'beli', 'paketan', 'mahal', 'ujungnya', 'krna', 'sinyal', 'kek', 'gini', 'sadar', 'lahhh', 'dikit', 'jngan', 'paketan', 'mahal', 'setan', '']</t>
  </si>
  <si>
    <t>['sinyal', 'kek', 'babi']</t>
  </si>
  <si>
    <t>['jaringannya', 'jelek', 'bnget', 'giliran', 'nagih', 'smangat', 'nympek', 'kontak', 'tlponin', 'smua', 'trus', 'terang', 'nyesel', 'ambil', 'paket', 'pasca', 'bayar', 'telkomsel', '']</t>
  </si>
  <si>
    <t>['simpati', 'lelet', 'paket', 'unlimitednya', 'bergunan']</t>
  </si>
  <si>
    <t>['mohon', 'rubah', 'ikutin', 'progam', 'mengakses', 'lokasi', 'membayar', 'biaya', 'pembayaran', 'data', 'gratis', 'bayar']</t>
  </si>
  <si>
    <t>['telkomsel', 'kartu', 'halo', 'knp', 'signal', 'bagus', 'skrg', 'tlg', 'diperbaiki', 'limit', 'dikartu', 'rb', 'semwntara', 'pemakaian', 'rb', 'knp', 'pas', 'tagihan', 'msk', 'rb', 'dmana', 'tlp', 'sisa', 'limitnya', 'hadeh', 'telkomsel', 'skrg', 'hrs', 'berpindah', 'provider', 'sedih', 'akutuh', 'sbg', 'pengguna', 'setiamu', '']</t>
  </si>
  <si>
    <t>['alhamdulillah', 'info', 'info', 'terbaru', 'trimakasih']</t>
  </si>
  <si>
    <t>['pelayanannya', 'mantap', 'transaksi', 'pembelian', 'paket', 'mengulang', 'berhasil', 'sehari', 'tunggu', 'pemberitahuan', 'pulsa', 'utuh', 'dikasih', 'info', 'nunggu', 'mulu', '']</t>
  </si>
  <si>
    <t>['pulsa', 'gua', 'cok', 'tersedot', 'mulu', 'kesel', 'gua', 'kuota', '']</t>
  </si>
  <si>
    <t>['sinyal', 'bagus', 'lelet', 'kuota', 'mahal']</t>
  </si>
  <si>
    <t>['bagus', 'mudah', 'mengerti', '']</t>
  </si>
  <si>
    <t>['sinyalnya', 'udah', 'kuat', 'buka', 'game', 'mmorpg', 'susah', 'buka', 'sosmed', 'lancar', 'isi', 'pulsa', 'tinggal', 'udah', 'maling', 'enaknya', 'makan', 'gaji', 'uang', 'haram']</t>
  </si>
  <si>
    <t>['kecewa', 'telkomsel', 'nomor', 'mati', 'urus', 'hangus', 'aktifkan', 'diberbagai', 'aplikasi', 'anehnya', 'diaktifkan', 'pengguna', 'gimana', 'aplikasi', 'login', 'data', 'sata', 'pengguna', 'dunk', '']</t>
  </si>
  <si>
    <t>['banyakin', 'paket', 'internet', 'murahnya', '']</t>
  </si>
  <si>
    <t>['tolong', 'buka', 'aplikasi', 'telkomsel', 'gratis', 'kuota', 'mb', 'pulsa', 'terpotong', 'beli', 'paket', 'data', 'telkomsel']</t>
  </si>
  <si>
    <t>['mboh', 'akses', 'aplikasi', 'dikenakan', 'biaya', 'isi', 'pulsa', 'rb', 'ngaktifin', 'paket', 'aplikasi', 'hangus', 'gara', 'dikenakan', 'biaya', 'reguler', 'parahh', '']</t>
  </si>
  <si>
    <t>['kesini', 'mengecewakan', 'mahal', 'jaringan', 'hilang', 'pindah', 'operator', 'nomornya', 'dipakai', 'daerah', 'perbatasan', 'telkomsel', 'diandalkan', 'kebalap', 'operator', 'sebelah', 'harganya', 'murah', 'tolonglah', 'telkomsel', 'ditingkatkan', 'mencoba', 'setia', 'berlarut', 'larut', 'jaringan', 'suka', 'hilang']</t>
  </si>
  <si>
    <t>['pengguna', 'setia', 'telkomsel', 'sinyal', 'top', 'oke', 'yuk', 'beralih', 'telkomsel', 'mudah', 'mudahan', 'menangkan', 'undian', 'point', 'telkomsel', 'thx']</t>
  </si>
  <si>
    <t>['good', 'tingkatkan', 'bagus', 'nambah', 'promonya']</t>
  </si>
  <si>
    <t>['transaksi', 'top', 'aplikasi', 'bayarnya', 'pakai', 'gopay', 'cashback', 'rb', 'udah', 'transaksi', 'berhasil', 'cashbacknya', '']</t>
  </si>
  <si>
    <t>['pulsa', 'kalua', 'matikan', 'data', 'langsung', 'lenyap', 'pulsanya', 'jaringan', 'lelet', 'karna', 'tempatku', 'tower', 'telkomsel', 'paksa', 'telkomsel', 'lemot', 'habis', 'coba', 'tingkatkan']</t>
  </si>
  <si>
    <t>['telkomsel', 'murah', 'pilih', 'paket', 'internet', 'mahal', 'banget', 'mending', 'sebelah', 'murah']</t>
  </si>
  <si>
    <t>['kasih', 'segini', 'kadang', 'suka', 'bermasalah']</t>
  </si>
  <si>
    <t>['', 'memuaskan', 'telkomsel', 'sinyal', 'jelek']</t>
  </si>
  <si>
    <t>['alhamdulillah', 'pelanggan', 'kecewakan']</t>
  </si>
  <si>
    <t>['jujur', 'gabutuh', 'gua', 'buang', 'telkomsel', 'pulsa', 'bener', 'bener', 'ambil', 'habis', 'habisan', 'ngisi', 'pulsa', 'sisanya', 'habis', 'karna', 'kartu', 'telkomsel', 'smartfren', 'smartfren', 'gapernah', 'namanya', 'nguras', 'pulsa', 'besaran', 'telkomsel', 'nguras', 'pulsa', 'puluhan', 'ribu', 'mah', 'perampokan', 'berharap', 'semoga', 'kedepannya', 'bangkrut', '']</t>
  </si>
  <si>
    <t>['tolong', 'perjelas', 'paket']</t>
  </si>
  <si>
    <t>['gua', 'kasih', 'bintang', 'kayak', 'genshin', 'hadiah', 'gratis', 'ayo', 'kawan', 'kasih', 'bintang', 'dikasih', 'kuota', 'gratis']</t>
  </si>
  <si>
    <t>['login', 'susah', 'masuk', 'gimana', 'telkomsel', 'apk', '']</t>
  </si>
  <si>
    <t>['koq', 'bermasalah', 'login', 'verifikasi', 'sms', 'berulang', 'sms', 'dikirim', '']</t>
  </si>
  <si>
    <t>['beli', 'paket', 'data', 'dipake']</t>
  </si>
  <si>
    <t>['aplikasinya', 'bagus', 'tpi', 'bagus', 'aplikasinya']</t>
  </si>
  <si>
    <t>['memuaskan', 'mohon', 'kuota', 'internet', 'permurahkan', 'kuota', 'internet', 'sebanding', 'harga', 'semoga', 'salam', 'talang', 'ubi', '']</t>
  </si>
  <si>
    <t>['lmot', 'bertele', 'tele', 'dibuka', 'paket', 'pelanggan', 'mengunakan', 'langsung', 'the', 'point', 'menekan', 'alternatif', 'paket', 'harian', 'kesimpulannya', 'dial', 'telkomsel', '']</t>
  </si>
  <si>
    <t>['aplikasi', 'koplaakk', 'skrng', 'erorr', 'nyusahin', 'pengguna']</t>
  </si>
  <si>
    <t>['telkomsel', 'parah', 'jaringan', 'internet', 'jelek', 'kesini', 'buruk', 'semoga', 'masukan']</t>
  </si>
  <si>
    <t>['sesuai', 'fungsi']</t>
  </si>
  <si>
    <t>['payah', 'pulsa', 'embat', 'hilang', 'pemberi', 'tahuan', 'kemana', 'hilangnya', 'pelanggan', 'kecewa', 'kejadian', 'provider', 'kualitas', 'sinyal', 'burik', 'lagii', '']</t>
  </si>
  <si>
    <t>['layanannya', 'makasih', 'telkomsel', '']</t>
  </si>
  <si>
    <t>['telkomsel', 'lemot', 'buka', 'aplikasi', 'sinyal', 'parah', 'paket', 'internet', 'mahal']</t>
  </si>
  <si>
    <t>['kemarin', 'dapet', 'sms', 'telkomsel', 'pesannya', 'beli', 'pulsa', 'dapet', 'cashback', 'pulsa', 'batas', 'oktober', 'isi', 'pulsa', 'dapet', 'cashback', 'pulsanya', 'kecewa', 'banget', 'telkomsel', 'php', 'udah', 'terlanjur', 'beli', 'dapet', 'cashback', '']</t>
  </si>
  <si>
    <t>['beli', 'pulsa', 'rb', 'sepuluh', 'ribu', 'habis', 'jarang', 'dipakai', 'nelpon', 'sms', 'paketan', 'udah', 'dialihkan', 'nomor', 'tolonglah', 'telkomsel', 'maen', 'potong', 'pulsa', 'gitu', 'ulasan', 'isinya', 'mengeluhkan', 'borosnya', 'pulsa', 'telkomsel', '']</t>
  </si>
  <si>
    <t>['aplikasi', 'bermanfaat', 'download']</t>
  </si>
  <si>
    <t>['membantu', 'senang', 'aplikasi', 'terimakasih', 'mytelkomsel']</t>
  </si>
  <si>
    <t>['kehabisan', 'kuota', 'pulsa', 'telkomsel', 'menolongnya', 'beli', 'paket', 'hutang', '']</t>
  </si>
  <si>
    <t>['kesal', 'dpat', 'sms', 'gratis', 'bagaimna', 'solusinya', '']</t>
  </si>
  <si>
    <t>['kesini', 'telkomsel', 'bermasalah', 'lgi', 'penguna', 'dri', 'desa', 'dri', 'desa', 'teman', 'deket', 'ganguan', '']</t>
  </si>
  <si>
    <t>['aplikasi', 'berguna']</t>
  </si>
  <si>
    <t>['', 'mahal', 'ngelag', 'emang', '']</t>
  </si>
  <si>
    <t>['parah', 'banget', 'yok', 'mending', 'pakai', 'telkomsel', 'biaya', 'mahal', 'harga', 'paket', 'mahal', 'kualitas', 'buruk', 'indonesia', '']</t>
  </si>
  <si>
    <t>['kerreennn', 'murahnya']</t>
  </si>
  <si>
    <t>['aplikasi', 'masuk', 'susah', 'kali', 'hapus', 'aplikasimu', 'menghabiskan', 'paket', 'orang', '']</t>
  </si>
  <si>
    <t>['berguna', 'bermanfaat', 'pelanggan', 'telkomsel', 'bonusnya', '']</t>
  </si>
  <si>
    <t>['', 'paket', 'youtube', 'menjalankan', 'aplikasi', 'youtube', 'paket', 'game', 'mobile', 'legends', 'bermasalah', 'loading', 'pertandingan', 'listrik', 'padam', 'signal', 'hilang', 'daerah', 'sumut', 'batang', 'angkola', 'telkomsel', '']</t>
  </si>
  <si>
    <t>['telkomsel', 'terbaiiiikkkkkk', 'terloooovvv', 'pokoknyaa', 'tercintaaaa', '']</t>
  </si>
  <si>
    <t>['gausah', 'telkom', 'nyesel', 'telkom', 'maen', 'game', 'nge', 'lag', 'parah', 'nonton', 'boros', 'kuota', 'lokasinya', 'kota', 'semarang']</t>
  </si>
  <si>
    <t>['memudahkan', 'pelanggan', 'telkomsel', 'informasinya', 'lengkap']</t>
  </si>
  <si>
    <t>['bismilah', 'yallah', 'udah', 'make', 'telkom', 'membeli', 'paket', 'alfa', 'mahal', 'sinyal', 'tiada', 'tara', 'orang', 'kerja', 'hutan', 'plosok', 'desa', 'sinyal', 'lancar', 'beda', 'kartu', 'daerah', 'kadang', 'sinyal', 'telkomsel', 'lancar', 'manapun', 'daerahnya', 'semahal', 'mahalnya', 'kuota', 'telkom', 'orang', 'bisnis', 'online', 'pedesaan']</t>
  </si>
  <si>
    <t>['jaringan', 'jelek', 'suka', 'hilang', 'sinyal', 'perbaikan', 'pemberitahuan', 'mengecewakan']</t>
  </si>
  <si>
    <t>['udah', 'kaya', 'gini', 'namanya', 'bisnis', 'udah', 'niat', 'jaringan', 'hapus', 'ngecewain', 'pelanggan', 'setia', 'tanggerang', 'kota', 'sinyal', 'game', 'lainya', 'kadang', 'kadang', 'stabil', 'paket', 'data', 'beli', 'sinyal', 'erorr', 'trus', 'hadeh', 'parah', 'telkomsel', 'paket', 'data', 'gb', 'notif', 'pesan', 'paket', 'habis', 'borr']</t>
  </si>
  <si>
    <t>['buruk', 'bener', 'pelayanannya', 'telpon', 'disuruh', 'nunggu', 'besok', 'besok', 'pulsa', 'hilang', 'nggak', 'layanan', 'apapun', 'isi', 'dikorupsi', 'diambil', '']</t>
  </si>
  <si>
    <t>['ganti', 'paket', 'hallo', 'bayar', 'tagihan', 'sebulan', 'kedepan', 'pdhal', 'ribet', 'nyesel', 'ganti', 'hallo', '']</t>
  </si>
  <si>
    <t>['jaringan', 'telkomsel', 'parah', 'banget', 'serius', 'paket', 'koneksi', 'bener', 'bener', 'kacau', 'ngapa', 'ngapain', 'udah', 'lapor', 'sampe', 'skrg', 'kecewa', 'banget', 'provider', 'mending', 'pindah', 'provider', 'tetangga', 'sumpah', 'kecewa', 'banget', 'telkomsel', '']</t>
  </si>
  <si>
    <t>['parah', 'telkomsel', 'kuotanya', 'lumayan', 'mahal', 'sinyalnya', 'jelek', 'udah', 'pulsa', 'kesedot', 'cepat', 'perbaiki', 'min', 'kerusakannya', 'perbagus', 'jangkauan', 'sinyalnya', 'cocok', 'harga', 'kuotanya', '']</t>
  </si>
  <si>
    <t>['jaringan', 'telkomsel', 'pusat', 'kecamatan', 'tetep', 'lambat', 'paket', 'perbaiki']</t>
  </si>
  <si>
    <t>['sumpah', 'ngaco', 'isi', 'pulsa', 'kali', 'dana', 'nggk', 'masuk', 'aneh', 'cok', 'ktrngn', 'dana', 'udh', 'sukses', 'cek', 'nggk', 'masuk', 'taiiii', 'dpt', 'sms', 'selamat', 'mndapatkan', 'paket', 'pulsa', 'aktif', 'gua', 'cek', 'ap', 'rugi', 'cok', 'gua']</t>
  </si>
  <si>
    <t>['mempermudah', 'layanan', 'konsumen']</t>
  </si>
  <si>
    <t>['benerin', 'sinyal', 'woy', 'kacau', 'bener', 'daerah', 'doang', 'ngeluh', 'indo', 'keknya', 'ngeclaim', 'jaringan', 'terbaik', 'tpi', 'mcm', 'siput', 'mending', 'siput', 'stabil', 'lemot', 'lemot', 'lag', 'malu', 'nyumput', 'blkg', 'bot', 'tutup', 'niat', 'benerin', 'jaringan', 'rugi', 'org', 'untung', 'tpi', 'benerin', 'jaringannya', 'dsr', 'provider', 'eek', 'lincung', 'kau', 'fucekkk', '']</t>
  </si>
  <si>
    <t>['kirain', 'pulsa', 'habis', 'pemakaian', 'internet', 'nyala', 'pulsa', 'habis', 'parah', 'tsel', 'udh', 'byk', 'keluhan', 'bgni', 'tkut', 'ngisi', 'pulsa', 'bln', 'udh', 'lmyn', 'srg', 'plsa', 'ilang', 'gtw', 'kmn', 'pdhl', 'dpkai', 'pkai', 'krtu', 'pket', 'internet', 'lma', 'smua', 'pelanggan', 'tsel', 'kabur', 'blik', 'klau', 'pelayananny', 'mkain', 'jelek', 'jaringan', 'jelek', 'srg', 'error', 'paraaah']</t>
  </si>
  <si>
    <t>['tanggal', 'oktober', 'jam', 'malam', 'sinyal', 'telkomsel', 'payah', 'loading', 'youtub', 'gerak', 'telkomsel', 'menjual', 'nama', 'kualitas']</t>
  </si>
  <si>
    <t>['ancur', 'telkomsel', 'auto', 'pindah', 'kartu']</t>
  </si>
  <si>
    <t>['kartu', 'bayar', 'nama', 'riba', 'gda', 'pemakaian', 'tetep', 'bayar', 'rubah', 'halo', 'kartu', 'gbs', 'orang', 'kartu', 'hilang', 'lgsung', 'cetak', 'aneh', 'halo', 'bilng', 'kena', 'hukum', 'riba', 'jatuh', 'gda', 'pemakaian', 'dibsurh', 'bayar', 'sebulan', 'pling', 'rb', 'gda', 'pemakaian', 'kali', 'brp', 'kaget', 'denger', 'orang', '']</t>
  </si>
  <si>
    <t>['bagus', 'pinjaman', 'paket', 'darurat', 'donk', 'dlm', 'keada', 'mendesak', 'pinjam', 'pulsa']</t>
  </si>
  <si>
    <t>['gegara', 'download', 'apknya', 'login', 'register', 'jaringan', 'gua', 'ilang', 'keganggu', 'pas', 'apknya', 'gua', 'hapus', 'jaringan', 'gua', 'mendadak', 'min', 'gtu', '']</t>
  </si>
  <si>
    <t>['beli', 'paket', 'promo', 'balasan', 'transaksi', 'sia', 'isi', 'pulsa']</t>
  </si>
  <si>
    <t>['tingkatkan', 'mantap']</t>
  </si>
  <si>
    <t>['jaringan', 'parah', 'pulsa', 'terpotong', 'layanan', 'berguna', 'respon', 'memuaskan', 'telkomsel', 'udah', 'burik', 'anying']</t>
  </si>
  <si>
    <t>['jaringan', 'ngelag', 'burik', 'kuota', 'pulsa', 'ambil', 'kyk', 'pinjol', 'bunga', '']</t>
  </si>
  <si>
    <t>['jaringan', 'sampah', 'dki', 'jaringan', 'turun', 'daerah', 'pelosok', 'rating', 'bintang', 'kasih', 'bintang', 'telkomsel']</t>
  </si>
  <si>
    <t>['parah', 'telkomsel', 'kecewa', 'asli', 'narik', 'pulsa', 'paket', 'jelaa']</t>
  </si>
  <si>
    <t>['kali', 'promo', 'promonya', 'data', 'pribadi', 'blm', 'aman']</t>
  </si>
  <si>
    <t>['sinyal', 'kesini', 'buruk', 'beli', 'mahal', 'telkomsel', 'buruk', 'sinyalnya', 'beli', 'ngechat']</t>
  </si>
  <si>
    <t>['dapatt', 'tagihan', 'pulsa', 'pedahal', 'tagihan', 'nomor', 'nomor', 'apanya', 'telkomsel', 'pas', 'isi', 'pulsa', 'otomatis', 'tesdott', 'tolongg', 'telkomsel', 'mukin', 'orang', 'udah', 'bisaa', 'makan', 'min', 'tolong', 'pataa', 'hati', 'prusahan', 'telkomsel', 'cari', 'utungg', 'gitu', 'caraa']</t>
  </si>
  <si>
    <t>['jaringan', 'sesuai', 'harga', 'lemot', 'beli', 'paket', 'mahal', 'kualiatas', 'null', '']</t>
  </si>
  <si>
    <t>['gua', 'download', 'kasih', 'ulasan', 'sebenernya', 'mah', 'males', 'beli', 'simpati', 'udah', 'kapok', 'banget', 'jaringan', 'lemot', 'banget', 'maen', 'game', 'mending', 'three', 'make', 'udah', 'pengen', 'cepet', 'cepet', 'abis', 'kuotanya', 'ganti', 'indosat']</t>
  </si>
  <si>
    <t>['makasih', 'mantap', 'gan']</t>
  </si>
  <si>
    <t>['kasi', 'bintang', 'saran', 'membuka', 'khusus', 'aplikasi', 'free', 'quota', 'pengguna', 'telkomsel', 'beli', 'pulsa', 'quota', 'sekedar', 'akun', 'telkomsel', 'aplikasi', 'intinya', 'pelit', 'customernya', 'bravo', 'telkomsel', '']</t>
  </si>
  <si>
    <t>['belajar', 'ngerti', 'makenya']</t>
  </si>
  <si>
    <t>['beli', 'paket', 'youtube', 'kepake']</t>
  </si>
  <si>
    <t>['aplikasi', 'yaa', 'mantab']</t>
  </si>
  <si>
    <t>['jaringan', 'burik', 'uda', 'switer', 'jaringan', 'tetep', 'bangat']</t>
  </si>
  <si>
    <t>['maaf', 'jaringan', 'internet', 'telkomsel', 'parah', '']</t>
  </si>
  <si>
    <t>['semenjak', 'beralih', 'telkomsel', 'halo', 'sinyal', 'lambat', 'sinyal', 'beda', 'tolong', 'perbaiki']</t>
  </si>
  <si>
    <t>['perkuat', 'jaringannya', '']</t>
  </si>
  <si>
    <t>['bagus', 'membantu', 'semoga', 'undian', 'telkomsel', 'poin', 'kali', 'dapet', 'aamiin']</t>
  </si>
  <si>
    <t>['sinyalnya', 'amburadul', 'yak', 'pas', 'main', 'sinyalnya', 'ganti', 'hijau', 'kemerah', 'hijau', 'kemerah', 'telkom', 'mohon', 'diperbaiki', 'sinyalnya', 'nyaman', 'memakai', 'kartu']</t>
  </si>
  <si>
    <t>['enak', 'enak', 'buka', 'youtube', 'dapet', 'sms', 'tarif', 'non', 'paket', 'pas', 'cek', 'pulsa', 'tinggal', 'rbu', 'rbu', 'cek', 'kuota', 'data', 'ngerti', 'provider', 'parah']</t>
  </si>
  <si>
    <t>['sinyal', 'jelek', 'sampe', 'menit', 'perbaiki', 'jelek', 'main', 'game', 'merah', 'sinyal', 'masi', 'kekurangan', 'nganya', 'mohon', 'diperbaiki']</t>
  </si>
  <si>
    <t>['aplikasi', 'terburuk', 'aplikasi', 'keberatan', 'cek', 'kuota', 'jengkel', 'keterangan', 'periksa', 'koneksi', 'ngatur', 'jaringan', 'ngasih', 'pelayanan', 'terbaik', 'suruh', 'apalah', 'jaeibgan', 'perbaiki', 'kuota', 'internet', 'mahal', 'pelayanan', 'buruk', '']</t>
  </si>
  <si>
    <t>['tolong', 'pelayanan', 'tingkatkan', 'kalah', 'jariangan', 'selular', 'masik', 'seumur', 'jagung']</t>
  </si>
  <si>
    <t>['kecepatan', 'internet', 'jaringan', 'ilang', 'semenjak', 'kabel', 'putus', 'beli', 'paket', 'kuota', 'dipakai', 'panas', 'batre', 'rusak']</t>
  </si>
  <si>
    <t>['trimakasih', 'aplikasi', 'membantu', 'banget', 'teeeerrrrrrrrbaik', '']</t>
  </si>
  <si>
    <t>['telkomsel', 'jaringan', 'lemot', 'tolong', 'perbaiki', 'kenyamanan', 'pengguna', 'jaringan', 'stabil', 'kebanyakan', 'bafring', 'terima', 'kasih']</t>
  </si>
  <si>
    <t>['ngacir', 'trus', 'sinyalnya']</t>
  </si>
  <si>
    <t>['plat', 'merah', 'pelayanan', 'buruk', '']</t>
  </si>
  <si>
    <t>['update', 'aplikasi', 'beli', 'paket', 'cek', 'jaringan', 'tunggu', 'menit', 'lancar', 'menit', 'kayak', 'gitu', 'nyesel', 'banget', 'update', 'update', 'aplikasi', 'pas', 'aplikasi', 'dibuka', 'kecuali', 'emang', 'aplikasi', 'dibuka', 'update', 'terpaksa', 'download', 'apk', 'versi', '']</t>
  </si>
  <si>
    <t>['kecewa', 'pulsa', 'beli', 'paket', 'combo', 'gb', 'shrsnya', 'pulsa', 'sisa', 'knapa', 'paket', 'telpon', 'gratisan', 'menit', 'giliran', 'dipakai', 'nelpon', 'tsel', 'koq', 'nyedot', 'pulsa', 'gimana', 'tanggungjawab', 'mytelkomsel', 'pengguna', 'kartuas', 'koq', 'gitu', 'kali', 'dlm', 'mencari', 'keuntungan', 'pikir', 'cari', 'duit', 'beli', 'pulsa', 'gampang', 'tolong', 'penanganan', 'frofesional', 'harga', 'sesuai', 'kuota', 'jngn', 'menipu']</t>
  </si>
  <si>
    <t>['update', 'memuaskan', 'loading', 'aplikasi', 'mutakhir', 'terimakasih', 'telkomsel', 'maaf', 'update', 'ulasan', 'tolong', 'pulsa', 'dipotong', '']</t>
  </si>
  <si>
    <t>['perbaiki', 'jaringanmu', 'kyk', 'plz', 'pusing', 'pusing', 'eeeee', 'jaringan', 'telkomsel', '']</t>
  </si>
  <si>
    <t>['mudah', 'mengecek', 'pulsa']</t>
  </si>
  <si>
    <t>['kartu', 'barat', 'dipake', 'dijakarta', 'harga', 'paket', 'rb', 'pas', 'daerah', 'jawa', 'barat', 'normal', 'perubahan', 'temen', 'harganya', 'normal']</t>
  </si>
  <si>
    <t>['pembayaranya', 'skrng', 'cuman', 'pulsa', 'tersedia', 'berbagi', 'jenis', 'pembayaran', 'pas', 'update', 'jelek', 'banget', 'apk', 'berguna', 'banget', 'krna', 'tersedia', 'bbrpa', 'pembayaran', 'skrmg', 'update', 'huknya', 'bagus', 'ancur']</t>
  </si>
  <si>
    <t>['jaringan', 'berkualitas', 'cuman', 'buka', 'telkomsel', 'buka', 'aplikasi', 'jaringgan', 'ngga', 'benarbenar', 'mengecewakan']</t>
  </si>
  <si>
    <t>['telkom', 'indonesia', 'kemarin', 'gangguan', 'signal', 'telkomsel', 'sebabkan', 'kabal', 'putus', 'gigit', 'hiu', 'laut', 'batam', 'kendala', 'eror', 'trus', 'signal', 'telkomsel', 'pagi', 'coba', 'tolong', 'tanggapi', 'ulasan', 'trimakasih', '']</t>
  </si>
  <si>
    <t>['kasih', 'bintang', 'udah', 'kasih', 'bintang', 'semangat', 'telkomsel', 'semoga', '']</t>
  </si>
  <si>
    <t>['aplikasi', 'kentang', 'ever']</t>
  </si>
  <si>
    <t>['tolong', 'sinyal', 'diperbaiki', 'langsung']</t>
  </si>
  <si>
    <t>['tolong', 'jaringan', 'diperbaiki', 'stabil', 'tks', 'telkomsel']</t>
  </si>
  <si>
    <t>['isi', 'pulsa', 'sisa', 'pulsa', 'seribu', 'beli', 'paket', 'ribu', 'pelayanan', 'telkom', 'manyak', 'nga']</t>
  </si>
  <si>
    <t>['maaf', 'aplikasinya', 'eror', 'memuat', 'ulang', 'beli', 'paket', 'data', 'aplikasi', 'eror', 'udah', 'update', 'menganggu', 'mood', 'belajar', 'nggak', 'aktifin', 'paket']</t>
  </si>
  <si>
    <t>['penguna', 'aktif', 'telkomsel', 'sampe', 'jaringan', 'jelek', 'banget', '']</t>
  </si>
  <si>
    <t>['sayang', 'kuota', 'internetku', 'jaringan', 'lelet', 'menyesal', 'pakai', 'telkomsel', '']</t>
  </si>
  <si>
    <t>['kecewa', 'skarang', 'memakai', 'telkomsel', 'mati', 'lampu', 'ujan', 'badai', 'aman', 'jaringan', 'skarang', 'mati', 'lampu', 'hilang', 'tolong', 'perbaiki']</t>
  </si>
  <si>
    <t>['kasih', 'segini', 'karna', 'jaringan', 'kadang', 'lemot', 'tolong', 'perbaiki', 'telkomsel', 'lemot', '']</t>
  </si>
  <si>
    <t>['memiliki', 'pengalaman', 'penggunaan', 'aplikasi', '']</t>
  </si>
  <si>
    <t>['sinyall', 'lancarr', 'kecepatan', 'oke', 'trima', 'kasih', 'telkomsel', 'pelanggan', 'setia', 'lhoooo', 'hehehe']</t>
  </si>
  <si>
    <t>['', 'paham', 'telkomsel', 'pulsa', 'kepotong', 'promo', 'kuota', 'beli', 'udh', 'gada', 'sinyal', 'jelek', 'pdhl', 'pas', 'kirim', 'chat', 'jamkot', 'sebel', 'pemberitahuan', 'muncul', 'pulsa', 'udh', 'abis', 'bersih', 'kuota', 'harga', 'mahal', 'udh', 'cape', 'gue', 'ganti', 'provider', '']</t>
  </si>
  <si>
    <t>['kuota', 'lokal', 'belinya', 'kecamatan', '']</t>
  </si>
  <si>
    <t>['terimakasih', 'telkomsel', 'bagus', 'skli', 'pakai', 'pengguna', 'data', '']</t>
  </si>
  <si>
    <t>['beres', 'jaringan', 'krtu', 'telkomsel', 'lancar', 'jaya', 'why', 'telkomsel', '']</t>
  </si>
  <si>
    <t>['paket', 'sms', 'tertera', 'aplikasi', 'stabil', 'lokasi', 'kartu', 'pindah', 'kartu', 'teman', 'merk', 'tipe', 'paket', 'sms', 'paket', 'telp', 'stabil', 'tiada', 'kadang', 'kadang', 'lucunya', 'tukeran', 'kartu', 'sim', 'paketnya', 'aneh', 'membeli', 'program', 'paket', 'pinjam', 'rekan', '']</t>
  </si>
  <si>
    <t>['telkomsel', 'susah', 'buka', 'update', 'tpi', 'ketengannya', 'suruh', 'update']</t>
  </si>
  <si>
    <t>['suka', 'errors', 'susah', 'install', 'susah', 'verifikasi', 'error', 'pakai', 'android', 'oreo', 'sok', 'mohon', 'dibenahin', 'error', 'atuh', 'telkomsel']</t>
  </si>
  <si>
    <t>['bagus', 'penggunaan', 'pulsa', 'boros', 'pemakaian', '']</t>
  </si>
  <si>
    <t>['sinyal', 'bar', 'ngelek', 'paket', 'beli', 'mahal', 'pulak', 'kecepatan', 'dibawah', 'standar', 'kalah', 'malaysia', 'malaysia']</t>
  </si>
  <si>
    <t>['maaf', 'bintangnya', 'kurangi', 'kualitas', 'jaringan', 'jelek', 'ujan', 'kemaren', 'aman', 'minn', 'post', 'reply', 'please', '']</t>
  </si>
  <si>
    <t>['mahal', 'sekaliii', 'mahall', 'sekaliii']</t>
  </si>
  <si>
    <t>['bodoh', 'gini', 'aplikasi', 'gagal', 'memuat', 'beli', 'paket', 'gagal', 'pulsa']</t>
  </si>
  <si>
    <t>['mantep', 'gua', 'isi', 'pulsa', 'sampe', 'paket', 'internet', 'pulsanya', 'kesedot', 'gua', 'berlangganan', '']</t>
  </si>
  <si>
    <t>['knpa', 'kuota', 'main', 'game', 'pdhl', 'kuota', 'utama', 'msa', 'scrol', 'tik', 'tok', 'mlu']</t>
  </si>
  <si>
    <t>['mudah', 'penggunaan', 'paket', 'internet', 'murah', 'meriah', 'hahaa']</t>
  </si>
  <si>
    <t>['memudahkan', 'pengguna', 'keren', 'smoga', 'kedepan', 'efisien', 'keren', 'apdet', 'pengguna', 'beralih', 'aplikasi', 'ditunggu', 'terobosan', 'karya', 'terbarunya', '']</t>
  </si>
  <si>
    <t>['buka', 'aplikasi', 'telkomsel', 'cek', 'pulsa', 'kartu', 'telkomsel', 'babi']</t>
  </si>
  <si>
    <t>['perusahaan', 'perusahaan', 'pemerintah', 'bermain', 'jaringan', 'internetnya', 'parah', 'perawatan', 'jaringan', '']</t>
  </si>
  <si>
    <t>['aplikasi', 'buka', 'udh', 'berulang', 'kali', 'mencoba', 'masuk']</t>
  </si>
  <si>
    <t>['aplikasi', 'telkom', 'sel', 'membantu', '']</t>
  </si>
  <si>
    <t>['signal', 'hilang', 'listrik', 'padam', 'jaringan', 'padam', 'proses', 'data', 'kantor', 'buyar', 'gara', 'terputus', 'koneksi', '']</t>
  </si>
  <si>
    <t>['pembelian', 'paket', 'telpon', 'dibeli', 'sinyal', 'koneksi', 'telkomsel', 'buruk', 'berulang', 'kali', 'mencoba', 'gagal', 'pulsa', 'sedot', 'habis', 'kecewa', '']</t>
  </si>
  <si>
    <t>['aplikasi', 'sampah', 'point', 'tuker', 'kuota', 'point', 'coba', 'siang', 'malam', 'jawabannya', 'maaf', 'sistem', 'sesang', 'sibuk', 'babilah', 'unggul', 'signalndoang', 'telkomsel', 'jaringan', 'dimana', 'lemot', 'ajah', 'kartu', 'posisinya', 'ajah', 'beda']</t>
  </si>
  <si>
    <t>['download', 'apk', 'telkomsel', 'bagus', 'banget', 'paket', 'internet', 'kasih', 'bintang', 'mantap', '']</t>
  </si>
  <si>
    <t>['menu', 'bagus', 'paket', 'tpi', 'menu', 'pinjaman']</t>
  </si>
  <si>
    <t>['kuota', 'darurat', 'bayar', 'kuotanya', 'mah', 'nipu', '']</t>
  </si>
  <si>
    <t>['jaringan', 'telkomsel', 'hilang', 'minggu', 'koneksi', 'live', 'kali', 'terputus']</t>
  </si>
  <si>
    <t>['', 'telkomsel', 'mudah']</t>
  </si>
  <si>
    <t>['parah', 'beli', 'paket', 'malam', 'pembayaran', 'gopay', 'gopay', 'terpotong', 'paketnya', 'masuk', 'ama', 'veronika', 'mangkin', 'ribet', 'uda', 'sertakan', 'buktinya']</t>
  </si>
  <si>
    <t>['yaa', 'beli', 'paket', 'combo', 'sakti', 'paket', 'tlfn', 'download', 'aplikasinya', 'beli', 'paketnya', 'memakai', 'apk', 'mlh', 'beli', 'lgi', '']</t>
  </si>
  <si>
    <t>['kadang', 'telkomsel', 'suka', 'ambil', 'pulsa', 'paket', 'data', 'nelfon', 'jarang', 'pulsa', 'banget', 'potong', 'pulsa', 'sisanya', 'klaim', 'reward', 'bonus', 'telkomsel', '']</t>
  </si>
  <si>
    <t>['aplikasi', 'logout']</t>
  </si>
  <si>
    <t>['nanya', 'paket', 'tlp', 'all', 'operator', 'menit', 'sebulan', 'seharus', 'tlp', 'telkomsel', 'donk', 'knp', 'tetep', 'kesedot', 'pulsa', 'aneh', '']</t>
  </si>
  <si>
    <t>['beli', 'paket', 'unlimited', 'youtube', 'diakses', 'coba', 'check', 'kouta', 'batas', 'kouta', 'udah', 'kebeli', 'dipake', 'males', '']</t>
  </si>
  <si>
    <t>['telkomsel', 'susah', 'akses', 'maaf', 'kesalahan', 'sistem', 'auruh', 'coba', 'hemmmm', '']</t>
  </si>
  <si>
    <t>['harga', 'paket', 'doang', 'naikin', 'kualitas', 'banget', 'jaringan', 'ilang', 'kadang', 'nongol', 'trus', 'ilang', 'dirumah', 'kantor', 'dimana', 'gitu', 'anjirr', 'gua', 'beli', 'paket', 'perbulan', 'murah', 'boss', 'ngerjain', 'tugas', 'keperluan', 'kantor', 'macem', 'kualitas', 'amburadul', 'harga', 'paket', 'kualitas', 'naikin']</t>
  </si>
  <si>
    <t>['akh', 'dibuka', 'langsung', 'jleg', 'dibuka', 'udah', 'instal', 'ulang', 'bbrp', 'kali', 'jleg', 'mengesalkan', '']</t>
  </si>
  <si>
    <t>['telkomsel', 'gangguan', 'orang', 'pindah', 'jaringan', 'telkomes', 'gangguan', 'kesel', 'mending', 'pakek', 'jaringan']</t>
  </si>
  <si>
    <t>['suka', 'telkomsel', 'kecewa', 'pakai', 'provider', 'telkomsel', 'jaringan', 'berubah', 'koneksi', 'seringkali', 'melemah', 'tinggal', 'kota', 'dimana', 'sinyal', 'semenjak', 'teknis', 'dialami', 'telkomsel', 'kemarin', 'kesini', 'down', 'kecepatan', 'jaringan', 'mahal', 'doang', 'nge', 'lag']</t>
  </si>
  <si>
    <t>['membantu', 'tingkatin', 'promo', 'promonya', 'pembelian', 'via', 'aplikasi', 'mytelkomsel', '']</t>
  </si>
  <si>
    <t>['aplikasi', 'tsel', 'dipakai', 'beli', 'paket', 'internet', 'gagal', 'disuruh', 'cek', 'koneksi', 'sinyal', 'lancar', 'tinggal', 'kota', 'tolong', 'perbaikin', '']</t>
  </si>
  <si>
    <t>['pembelian', 'extra', 'paket', 'berlangganan', 'gb', 'bc', 'harga', 'paket', 'masuk', 'bertambah', 'pembayaran', 'kartu', 'halo']</t>
  </si>
  <si>
    <t>['jaringan', 'hilang', 'main', 'rank', 'enak', 'cmn', 'hilang', 'update', 'gjelas']</t>
  </si>
  <si>
    <t>['hay', 'telkomsel', 'kecewa', 'karna', 'pulsa', 'ribu', 'beli', 'kuota', 'diulang', 'gagal', 'pulsa', 'ribu', 'angus', 'sisa', 'ribu', 'giliran', 'coba', 'beli', 'bener', 'bener', 'maruk', 'banget']</t>
  </si>
  <si>
    <t>['mempermudah', 'pemakaian', 'operator', 'telkomsel']</t>
  </si>
  <si>
    <t>['', 'jaringan', 'stabil', 'hilang', 'jaringan', 'tower', 'jaringan', 'disebelah', 'lokasi', 'gangguan', 'daya', 'listrik', 'pemotongan', 'pulsa', 'alasannya', 'terima', 'kasih', 'membantu', 'mengganggu', 'pekerjaan', 'ganti', 'kartu', 'sim', '']</t>
  </si>
  <si>
    <t>['beli', 'paket', 'kuota', 'restart', 'lemot', 'buka', 'aplikasi', 'facebook', 'instagram', 'youtube', 'etc', 'buka', 'game', 'masuk', 'game', 'fps', 'drop', 'parah', 'kecewa']</t>
  </si>
  <si>
    <t>['aplikasi', 'bohong', 'downlot', 'langsung', 'beli', 'paket', 'data', 'infonya', 'aplikasi', 'tuk', 'pembelian', 'gb', 'rb', 'beli', 'masuk', 'cuman', 'gb', 'maaf', 'kasih', 'bintang', 'karna', 'bohongi', 'kulo', 'tarip', 'bener', 'min', 'bohong', 'mengecewakan']</t>
  </si>
  <si>
    <t>['tolong', 'sekeluarga', 'coba', 'klen', 'stel', 'jaringan', 'tinggal', 'kota', 'serasa', 'hutan', 'lihat', 'jaringan']</t>
  </si>
  <si>
    <t>['kuota', 'bulanannya', 'mahal', 'pakai', 'kadang', 'jaringannya', 'hilang', 'nggak', 'stabil', 'lokasi', 'kalteng', 'kabupaten', 'pulang', 'pisau', 'cek', 'min']</t>
  </si>
  <si>
    <t>['telkomsel', 'provider', 'udah', 'egk', 'sinyal', 'stabil', 'paket', 'berbayar', 'kuota', 'mahal', 'sebanding']</t>
  </si>
  <si>
    <t>['lokasi', 'matang', 'segantar', 'kalimantan', 'barat', 'don', 'know', 'sinyal', 'tsel', 'mendadak', 'hilang', 'aje', 'kejadiannya', 'pagi', 'daaaaaan', 'siang', 'kabel', 'laut', 'belom', 'kelar', 'udah', 'normal', '']</t>
  </si>
  <si>
    <t>['sinyal', 'kayak', 'nongol', 'mulu', 'nonton', 'youtube', 'loading', 'banget', 'iklan', 'lacar', 'jaya', 'beli', 'duit', 'paketnya', 'daun', 'laporan', 'klu', 'nanya', 'jam', 'make', 'simpati', 'daerah', 'bermasalah', 'sinyal', 'perubahan', 'solusinya', 'pindah', 'merk']</t>
  </si>
  <si>
    <t>['membantu', 'fitur', 'pinjaman', 'semoga', 'succes', 'telkomsel', '']</t>
  </si>
  <si>
    <t>['', 'komplain', 'gimanapun', 'signal', 'gitu', 'kabel', 'putuskah', 'tower', 'patah', 'satelit', 'meledakkah', 'peduli', 'peduli', 'mudah', 'mudahan', 'jaringan', 'bangkrut', 'musnah', 'peradaban', 'meresahkan', 'konsumen', 'rugikan', 'susahlah', 'ngikutin', 'suport', 'jaringan', 'ganti', 'sesuai', 'suport', 'jaringan', 'orang', 'gitu', 'bangke', 'komplain', 'susah', 'menghubungi', 'fitur', 'chat', '']</t>
  </si>
  <si>
    <t>['beli', 'paket', 'internet', 'mytelkomsel', 'saldo', 'kepotong', 'kuota', 'sampe', 'seminggu', 'masuk', 'udqh', 'komplain', 'berkali', 'kali', 'penyelesaiannya', 'dijanjikan', 'jujur', 'kuota', 'masuk', 'nggak', '']</t>
  </si>
  <si>
    <t>['transaksi', 'linkaja', 'aplikasi', 'mytelkomsel', '']</t>
  </si>
  <si>
    <t>['aplikasi', 'menghabiskan', 'kuota', 'buka', 'aplikasi', 'akses', 'data', '']</t>
  </si>
  <si>
    <t>['mudah', 'hemat', 'pakai', 'telkomsel']</t>
  </si>
  <si>
    <t>['kuotanya', 'mahal', 'mahal']</t>
  </si>
  <si>
    <t>['hapus', 'apk', 'jdi', 'sampah', 'pulsa', 'dipotong', 'rb', 'ulasan', 'pulsa', 'dipotong', 'dihapus', 'mudah', 'mudahan', 'bangkrut', 'telkomsel', 'axis', 'murah', 'potong', 'pulsa', 'jaringan', 'bagus']</t>
  </si>
  <si>
    <t>['jaringan', 'suka', 'stabil', 'saran', 'fitur', 'pulsa', 'save', 'kuota', 'habis', 'dirugikan', 'disadari', 'kuota', 'habis', 'pulsa', 'kesedot', 'tolong', 'perbaiki']</t>
  </si>
  <si>
    <t>['keren', 'membantu', '']</t>
  </si>
  <si>
    <t>['susah', 'login', 'logonya', 'doank', 'metode', 'loginnya', 'metode', 'zaman', 'bahula', 'link', 'sms', 'ribet', 'bin', 'susah', 'npa', 'link', 'sms', 'kadaluarsa', 'mulu', 'kayak', 'sambel', 'cepat', 'basi']</t>
  </si>
  <si>
    <t>['top', 'pulsa', 'nominal', 'sihh', 'bayar', 'gopay', 'ehh', 'gopaynya', 'ngurang', 'pulsanya', 'masuk', 'hadehhh', 'mohon', 'perbaiki', 'takutnya', 'korban']</t>
  </si>
  <si>
    <t>['payah', 'masuknya']</t>
  </si>
  <si>
    <t>['tolong', 'telkomsel', 'udah', 'cek', 'kuota', 'pesannya', 'kuota', 'chat', 'musik', 'games', 'main', 'game', 'tolong', 'perbaiki', 'permasalahannya', 'udah', 'beli', 'mahal', 'mahal', 'kuota', 'berfungsi', '']</t>
  </si>
  <si>
    <t>['udah', 'minggu', 'jam', 'jam', 'sinyal', 'jeleknya', 'internet', 'kaga', 'nelfon', 'kaga', 'gue', 'beli', 'kuota', 'mending', 'ganti', 'provider', 'gini', '']</t>
  </si>
  <si>
    <t>['metode', 'pembayaran', 'telkomsel', 'muncul', 'penyelesaiannya', 'gmn', 'pulsa', 'app']</t>
  </si>
  <si>
    <t>['udah', 'jrg', 'jelek', 'paketnya', 'mahal']</t>
  </si>
  <si>
    <t>['pemotongan', 'pulsa', 'membeli', 'langganan', 'paket', 'pulsa', 'potong', 'otomatis', 'telpon', 'alasan', 'pembelian', 'play', 'store', 'history', 'gimana', 'tanggung', '']</t>
  </si>
  <si>
    <t>['penipu', 'beli', 'kuota', 'ribu', 'pulsa', 'tepakai', 'becuss', 'jdi', 'planggan', 'setia', 'bertahun']</t>
  </si>
  <si>
    <t>['telkomsel', 'jaringannya', 'perbaiki', 'orang', 'emosi', 'nyaman', 'pdhl', 'gua', 'kota', 'nich', 'duhh', 'parah', 'nich']</t>
  </si>
  <si>
    <t>['pengaman', 'pulsa', 'layanan', 'kartu', 'kunci', 'pulsa', 'pulsa', 'terkuras', 'menghidupkan', 'data', 'mohon', 'ditingkatkan']</t>
  </si>
  <si>
    <t>['bagus', 'banget', 'darurat', 'membantu', 'terima', 'kasih', 'telkomsel']</t>
  </si>
  <si>
    <t>['kecewa', 'jaringan', 'main', 'game', 'lag', 'parah', 'jaringan', 'semenjak', 'ganti', 'logo', 'jaringan', 'hilang', 'jaringan', 'telkomsel', 'hilang']</t>
  </si>
  <si>
    <t>['parah', 'jaringan', 'kota', 'kalah', 'laen', 'paketnya', 'mahal', 'imbangi', 'kualitas', 'jaringan', '']</t>
  </si>
  <si>
    <t>['halo', 'min', 'aplikasi', 'gratisan', 'whatsapp', 'facebook', '']</t>
  </si>
  <si>
    <t>['mahal', 'mahal', 'paket', 'internet', 'harga', 'sampe', 'skg', 'trus', 'paket', 'game', 'pubg', 'knp', 'skg', 'nggak', 'uda', 'mahal', 'jaringannya', 'tolong', 'min', 'paket', 'internet', 'harga', 'kembaliin', 'sanggup', 'beli', 'trus', '']</t>
  </si>
  <si>
    <t>['parah', 'banget', 'kuota', 'tb', 'abis', 'semalam', 'paginya', 'woyy', 'gua', 'semalem', 'tdr', 'off', 'data', 'bngun', 'udah', 'kesel', 'kartu', 'kaya', 'udah', 'layak', 'komplain']</t>
  </si>
  <si>
    <t>['lemot', 'susah', 'buka', 'beli', 'paket', 'ajah', 'buka', 'menu', 'shop', 'loading', 'payah', '']</t>
  </si>
  <si>
    <t>['telkomsel', 'loop', 'mantap']</t>
  </si>
  <si>
    <t>['jaringannya', 'buruk']</t>
  </si>
  <si>
    <t>['bintang', 'ajalah', 'klaim', 'hadiah', 'gb', 'batas', 'klaim', 'perhari', 'terpenuhi', 'emang', 'batas', 'klaim', 'poin', 'perhari', 'itupun', 'klaim', 'hadiah', 'pemberitahuan', 'berhasil', 'koq', 'masuk', 'aneh', 'alert', 'realitanya', 'nyambung', 'sistem', 'updat', 'udh', '']</t>
  </si>
  <si>
    <t>['beli', 'paket', 'extra', 'unlimited', 'aktifnyah', 'ngikutin', 'aktif', 'nyah', 'knp', 'pas', 'sya', 'pke', 'paket', 'extra', 'unlimited', 'nyh', 'pda', 'loading', 'doang', 'sma', 'gane', 'situ', 'teks', 'pkai', '']</t>
  </si>
  <si>
    <t>['rugi', 'banget', 'beli', 'kuota', 'depannya', 'kuota', 'sisa', 'aktif', 'kuota', 'hangus', 'kadang', 'sisa', 'nggak', 'diakumulasi', 'beneran', 'merugikan', 'konsumen', '']</t>
  </si>
  <si>
    <t>['berlaku', 'paketnya', 'aktualnya', 'check', 'diawal', 'lancar', 'rutin', 'check', 'langsung', 'macet', 'telkomsel', 'asik', 'dibenahi', 'donk', 'pelayanannya', '']</t>
  </si>
  <si>
    <t>['mudah', 'pakai', 'promo']</t>
  </si>
  <si>
    <t>['error', 'telkomsel', 'telkomsel', 'gabisa', 'dibuka', 'udh', 'diperbaharui']</t>
  </si>
  <si>
    <t>['', 'telkomsel', 'membantu', 'pembelian', 'voucher', 'internet', 'telfon', 'transaksi', 'mudah', 'cepat']</t>
  </si>
  <si>
    <t>['ganti', 'aplikasi', 'log', 'ribet', 'skrg', 'bsa', '']</t>
  </si>
  <si>
    <t>['woy', 'telkomsel', 'gabisa', 'beli', 'paket', 'udah', 'beli', 'pulsa', 'lunsain', 'paket', 'darurat', 'lunas', 'pliss', 'perbaiki', 'beli', 'paket', 'asww']</t>
  </si>
  <si>
    <t>['maaf', 'turunin', 'bintangnya', 'terjebak', 'marketing', 'telkomsel', 'hallo', 'mutasi', 'hallo', 'taunya', 'bayarnya', 'gede', 'banget', 'teruss', 'kartu', 'kaget', 'tetep', 'tagihan', 'dipake', 'tetep', 'kena', 'tagih', 'marketingnya', 'jelasin', 'menonaktifkan', 'kartu', 'halo', 'gimana', '']</t>
  </si>
  <si>
    <t>['blum', 'ulasan', 'pendapat', 'berkembang', 'berwawasan', 'kedepannya', 'generasi', 'anak', 'cucu', 'kenal', 'percaya', 'mytelkomsel', 'thanks']</t>
  </si>
  <si>
    <t>['bejibun', 'notif', 'promo', 'isi', 'sesuai', 'ganggu', 'kesel', 'banget', '']</t>
  </si>
  <si>
    <t>['senang', 'telkomsel', 'jaringan', 'bagus', 'paketnya', 'murah', 'terimakasih', 'telkomsel', 'setia', 'promo', 'paket', 'murah', '']</t>
  </si>
  <si>
    <t>['apknya', 'bagus', 'jaringan', 'data', 'telkomselnya', 'bagus', 'kadang', 'kadang', 'kebuka', 'apknya', 'kebanyakan', 'muter', 'looding', 'oprator', 'jaringan', 'datanya', 'ngebuka', 'apknya', 'lancar']</t>
  </si>
  <si>
    <t>['sinyal', 'jelek', 'telkomsel', 'beli', 'unlimited', 'telkomsel', 'cuman', 'doang', 'tik', 'tok', 'muter', 'mulu', '']</t>
  </si>
  <si>
    <t>['woi', 'pemilik', 'telkomsel', 'ganti', 'nama', 'kartu', 'simpati', 'kartu', 'jahanam', 'nama', 'simpati', 'simpati', 'orang', 'pakai', 'belajar', 'kek', 'gini', 'sinyal', 'jelek']</t>
  </si>
  <si>
    <t>['signal', 'parah']</t>
  </si>
  <si>
    <t>['kemarin', 'kasih', 'bintang', 'tambahin', 'bintang', 'bintang', 'bintang', 'halu', 'telkomsel', '']</t>
  </si>
  <si>
    <t>['jaringan', 'internet', 'telkomsel', 'lelet', 'jam', 'malam', 'pagi', 'kadang', 'koneksi', 'terputus', 'asik', 'nge', 'game', 'kecewa', '']</t>
  </si>
  <si>
    <t>['telkomsel', 'mengupgred', 'jaringan', 'jaringan', 'upgred', 'mengganggu', 'jaringan', 'tolonglah', 'telkomsel', 'jaringan', 'upgred', 'jaringan', 'sampe', 'terganggu']</t>
  </si>
  <si>
    <t>['kecewa', 'telkomsel', 'harga', 'mahal', 'kwalitas', 'jaringan', 'buruk', 'kota', 'signal', 'lemot', 'kecewa', 'telkomsel', 'buruk']</t>
  </si>
  <si>
    <t>['isi', 'pulsa', 'abis', 'kepotong', 'nlpon', 'apapun', 'kesal', '']</t>
  </si>
  <si>
    <t>['membeli', 'paket', 'pitur', 'pembayaran', 'pulsa', 'gag', 'pitur', 'pembayaran', '']</t>
  </si>
  <si>
    <t>['menyesalkan', 'telkomsel', 'memiliki', 'pulsa', 'safe', 'contoh', 'pengalaman', 'kesedot', 'pulsa', 'kalinya', 'kuota', 'apps', 'telkomsel', 'tertera', 'mb', 'paketkan', 'paket', 'habis', 'menggunanakan', 'tarif', 'non', 'paket', 'trus', 'beli', 'pulsa', 'paketkan', 'pas', 'aktifkan', 'data', 'pulsa', 'kesedot', 'kecewa', 'tolong', 'masukan', 'pulsa', 'safe', '']</t>
  </si>
  <si>
    <t>['tolong', 'harga', 'disesuaikan', 'kualitas', 'harga', 'diatas', 'kualitas', 'setara', 'harga', 'murah', '']</t>
  </si>
  <si>
    <t>['jaringan', 'ngelek', 'mulubngst', 'jaringan', 'kartu', 'kampung', 'malas', 'make', 'jaringan', 'telkomsel', '']</t>
  </si>
  <si>
    <t>['provider', 'ampas', 'direspon', 'komen', 'dibatasi', 'ngeluh', 'anjg']</t>
  </si>
  <si>
    <t>['', 'thn', 'tlkomsel', 'skrng', 'bnyak', 'perubhan', 'mantap', 'sekarng', 'harga', 'paket', 'telkomsel', 'terjangkau', 'kantong', 'ivent', 'jga', 'saran', 'paten', 'paket', 'internetnya', 'rubah', '']</t>
  </si>
  <si>
    <t>['mengunakan', 'kartu', 'telkomsel', 'bertahun', 'alhamdulillah', 'jaringannya', 'salu', 'lancar', 'kadang', 'suka', 'gangguan', 'dikit', 'gakpapa', 'terpenting', 'puas', 'kartu', 'telkomsel', 'aplikasi', 'mytelkomsel', 'harap', 'telkomsel', 'slalu', 'terbaik', 'mengecewakan', 'ucapkan', 'bayak', 'terimakasi', 'kru', 'telkomsel', 'bertugas', 'smoga', 'slalu', 'lancarkan', 'usahanya', 'slalu', 'lancarkan', 'rezkinya', 'umur', 'sehat', 'slalu', 'amin', '']</t>
  </si>
  <si>
    <t>['sinyal', 'keroncong', 'buruk', 'kuota', 'mahal', 'sinyal', 'buruk', 'mohon', 'perbaikan', 'aplikasi', 'telkomsel', 'error', 'beli', 'paket', 'kuota', 'susah']</t>
  </si>
  <si>
    <t>['lokasi', 'perum', 'gubah', 'serasi', 'sinyal', 'bagus', 'bermadah', 'terima', 'kasih', '']</t>
  </si>
  <si>
    <t>['kasih', 'bintang', 'karna', 'pembelian', 'paket', 'malam', 'susahnya', 'ampun', 'karna', 'kepepet', 'udah', 'malam', 'rumah', 'beli', 'paket', 'app', 'bsa', 'pembelian', 'paket', 'pas', 'malam', 'ujung', 'konter']</t>
  </si>
  <si>
    <t>['transaksi', 'paket', 'dat', 'internet', 'pilihan', 'pembayaran', '']</t>
  </si>
  <si>
    <t>['hmm', 'udah', 'telkomsel', 'sadar', 'harga', 'kuota', 'beda', 'beda', 'daerah', 'ditambah', 'kesini', 'kecepatan', 'internet', 'stabil', 'signal', 'full', 'download', 'gagal', 'karna', 'berhenti', 'mati', 'lampu', 'signal', 'langsung', 'ilang', 'aman', 'aman', 'aneh', 'telkomsel']</t>
  </si>
  <si>
    <t>['aplikasi', 'eror', 'mulu', 'kacau', 'telkomsel', 'jaringan', 'eror', 'aplikasinya', 'eror', 'beli', 'pulsa', 'gagal', 'mulu', 'keburu', 'kepotong', 'pulsa', 'woyyyyy', '']</t>
  </si>
  <si>
    <t>['aplikasi', 'erorr', 'udah', 'versi', 'terbaru', 'eror', 'tolong', 'bantu', 'bayar', 'nggak', 'bsa', 'beli', 'paket', 'nggak', 'bsa', 'perbaiki', 'kasih', 'bintabg', 'makasih']</t>
  </si>
  <si>
    <t>['apps', 'normal', 'tolong', 'log', 'ulasan', 'beli', 'paket', 'data', 'gimana', '']</t>
  </si>
  <si>
    <t>['susah', 'telkomsel', 'beli', 'paket', 'ajah', 'pembayaran', 'hilangkan', 'kasih', 'bintang', 'ajah', 'kecewa']</t>
  </si>
  <si>
    <t>['log', 'app', 'mytelkomsel', 'disuguhi', 'memuat', 'halam', 'maaf', 'kesalahan', 'sistem', 'masuknya', 'wifi', 'hahaha', 'update', 'keluhan', 'pulsa', 'promo', 'gb', 'max', 'dibeli', 'lawak', 'banget', 'pro', 'feed', '']</t>
  </si>
  <si>
    <t>['pemakaian', 'lancar', 'pembayaran', 'paket', 'internet', 'mudah', 'tpi', 'kesini', 'gangguang', 'pembayaran', 'aplikasi', 'transaksinya', 'error', 'pdhl', 'butuh', 'paket', 'nunggu', '']</t>
  </si>
  <si>
    <t>['pengguna', 'telkomsel', 'aplikasi', 'mytelkomsel', 'membantu', 'mempermudah', 'kebanyakan', 'error', 'isi', 'paket', 'aplikasi', 'error', 'aplikasi', 'force', 'close', 'diupdate', '']</t>
  </si>
  <si>
    <t>['telkomsel', 'lintah', 'darat', 'data', 'makan', 'pulsa', 'langsung', 'telen', 'sisain', 'etis', 'bos', 'jaringan', 'jelek', 'stabil', 'apk', 'jga', 'buruk', 'banget', 'kaya', 'apk', 'jos', 'apk', 'skr', 'data', 'gede', 'kualitas', 'kya', 'devloper', 'ecek', 'ecek']</t>
  </si>
  <si>
    <t>['tolong', 'diperbaikin', 'beli', 'paket', 'suka', 'pembayaran']</t>
  </si>
  <si>
    <t>['beli', 'gangguan', '']</t>
  </si>
  <si>
    <t>['bagus', 'tpi', 'knp', 'min', 'klau', 'udah', 'malem', 'eror', 'beli', 'paketan', 'tolong', 'benerin', 'min']</t>
  </si>
  <si>
    <t>['apk', 'bagus', 'pokoknya', 'cocok', 'banget', 'internetan', 'pandemi', 'beli', 'pulsa', 'pulsanya', 'murah', 'banget']</t>
  </si>
  <si>
    <t>['kesini', 'ribet', 'beli', 'quota', 'midnight', 'suruh', 'ngambil', 'jam', 'batasnya', 'jam', 'telkomsel', 'bertaun', 'kecewa', '']</t>
  </si>
  <si>
    <t>['provider', 'terbesar', 'memuaskan', 'pelanggan', 'malu', '']</t>
  </si>
  <si>
    <t>['isi', 'ulang', 'kuota', 'dijam', 'terimakasih', 'bumn', 'negeri']</t>
  </si>
  <si>
    <t>['isi', 'pulsa', 'pakek', 'telkomsel', 'min', 'main', 'game', 'lag', 'mulu']</t>
  </si>
  <si>
    <t>['kecewa', 'telkomsel', 'kuota', 'pulsa', 'diambil', 'ribu', 'jaringan', 'jelek', 'marah', 'layanan', 'memuaskan', 'pelanggan']</t>
  </si>
  <si>
    <t>['sistem', 'gangguan', 'mulu', 'gua', 'beli', 'pulsa', 'beli', 'paket', 'kuota', 'gangguan', 'mulu', 'kali', 'gua', 'telkomsel', 'kayak', 'gini']</t>
  </si>
  <si>
    <t>['kecewa', 'telkomsel', 'karna', 'beli', 'paket', 'telkomsel', 'instal', 'app']</t>
  </si>
  <si>
    <t>['mengisi', 'internet', 'metode', 'pembayarannya', 'restart', 'update', 'beli', '']</t>
  </si>
  <si>
    <t>['', 'buka', 'telkomsel', 'mala', 'suru', 'update', 'paksa', '']</t>
  </si>
  <si>
    <t>['telkomsel', 'buruk', 'jaringan', 'tangerang', 'aplikasi', 'beli', 'paket', 'beli', 'mahal', 'penjualan', 'pindah', 'kartu', 'kecewa', 'telkomsel', 'nyaman', 'kecewa', 'pandemi', 'promo', 'aneh', 'mahal', '']</t>
  </si>
  <si>
    <t>['', 'telkomsel', 'paket', 'mahal', 'kualitas', 'kayak', 'eek', 'tolonglah', 'min', 'kenyamanan', 'diutamain', 'jaringan', 'jelek', 'mahal', 'mahal', 'rugi', 'udah', 'berlangganan', 'fucek', 'ngejumping', 'terumatama', 'main', 'game', '']</t>
  </si>
  <si>
    <t>['coba', 'paket', 'telkomsel', 'mahal', 'jaringan', 'bagus', 'mending', 'jelek', 'stak', 'sampe', 'ayolah', 'harga', 'kualitas', 'paket', 'mahal', 'jaringan', 'hadehh', '']</t>
  </si>
  <si>
    <t>['masukkan', 'kode', 'voucher', 'nunggu', 'jam', 'malam', 'kesel', 'coba', 'bayangkan', 'disaat', 'urusan', 'kali', 'nunggu', 'jam', 'malam', 'kali', 'gituu']</t>
  </si>
  <si>
    <t>['sya', 'udah', 'tukar', 'poin', 'pulsa', 'juta', 'nipu', 'habisin', 'poin', '']</t>
  </si>
  <si>
    <t>['beli', 'paket', 'kouta', 'internet', 'malam', 'urgensi', 'pakai', 'acara', 'gangguan', 'apalah', 'beli', 'paket', 'apapun', 'yaudah', 'aplikasi', 'downgrade', 'kelama', 'simpel', 'gampang', '']</t>
  </si>
  <si>
    <t>['tolong', 'pengen', 'beli', 'kuota', 'knp', 'lemot', 'bngt', 'buka', 'aplikasinya', 'pas', 'gua', 'pengen', 'bayar', 'mulu', 'koneksi']</t>
  </si>
  <si>
    <t>['sgt', 'membantu']</t>
  </si>
  <si>
    <t>['', 'pengguna', 'tsel', 'aplikasi', 'ngerasa', 'kecewa', 'udah', 'belu', 'kuota', 'gabisa', 'bayar', 'milih', 'metode', 'pembayaran', 'tombol', 'bayarnya', 'kaga', 'dipencet', 'beli', 'gimana', 'woi', 'update', 'aplikasi', 'bener']</t>
  </si>
  <si>
    <t>['bayar', 'mahal', 'sinyal', 'jelek', 'nyesaaal', 'pakai', 'kartu', 'telkomsel', 'simpati', 'bayar', 'mahal', 'pelayanan', 'kayak', 'kaum', 'duaffa', 'nyesell', 'pakai', 'telkomsel']</t>
  </si>
  <si>
    <t>['pulsa', 'hilang', 'dipakai', 'aneh', 'tolong', 'mimin', 'perbaiki', 'pelayanannya', 'makasih', '']</t>
  </si>
  <si>
    <t>['tarif', 'beli', 'kuota', 'beda', 'beda', 'nomor', 'telkomsel', '']</t>
  </si>
  <si>
    <t>['bagus', 'membantu', 'menukar', 'poin', 'binus', 'kota', 'perbanyak', 'minat', '']</t>
  </si>
  <si>
    <t>['', 'instal']</t>
  </si>
  <si>
    <t>['kualitas', 'jaringan', 'terbaik']</t>
  </si>
  <si>
    <t>['sinyal', 'tolong', 'perbaiki', 'harha', 'paket', 'data', 'mahal', 'sms', 'penipuan', 'tolong', 'blokir']</t>
  </si>
  <si>
    <t>['gue', 'bayar', 'mahal', 'nyari', 'kualitas', 'sinyal', 'bagus', 'woyyy', 'sinyal', 'ngegame', 'bagus', 'ngelag', 'turunin', 'harga', 'kuota', 'harga', 'kualitas', 'cuman', 'jual', 'nama', 'telkomsel', 'udah', 'ngelag', 'harga', 'mahal', 'come', 'telkomsel', 'tinggal', 'kota', 'pedalaman', '']</t>
  </si>
  <si>
    <t>['paket', 'habis', 'pulsa', 'utama', 'habis', 'bnyak', 'pulsa', 'ambil', 'canggih', 'exsis', 'kota', 'habis', 'ambil', 'pulsa', 'exsis', 'bagus']</t>
  </si>
  <si>
    <t>['halo', 'kak', 'halo', 'abang', 'nanya', 'siborong', 'borong', 'jaringan', 'telkomsel', 'lelet', 'kalah', 'oprator', 'tolong', 'kak', 'dibagus', 'kak', 'perusahaan', 'jaringan', 'lelet', 'telkomsel', 'nomor', 'menurun', 'tolong', 'iya', 'kak', 'perbaikannya', 'terimakasih']</t>
  </si>
  <si>
    <t>['koneksi', 'internet', 'bermasalah', 'jaringan', 'telkomsel', 'dipakai', 'wifi', 'indihome']</t>
  </si>
  <si>
    <t>['kecewa', 'performa', 'telkomsel', 'beli', 'paket', 'kuota', 'mahal', 'kualitas', 'buruk', 'bermain', 'game', 'nyaman', 'karna', 'jaringan', 'internet', 'telkomsel', 'stabil']</t>
  </si>
  <si>
    <t>['telkomsel', 'kartu', 'mahal', 'sinyal', 'murahan', 'tangerang', 'kota', 'sinyalnya', 'parah', 'kartu']</t>
  </si>
  <si>
    <t>['telkomsel', 'tolong', 'mahal', 'kuota', 'internetnya', 'merugikan']</t>
  </si>
  <si>
    <t>['tema', 'lemot', 'oktober', 'ganti', 'kartu', 'ganti', 'nomor', 'gini', 'lika', 'liku', 'pengguna', 'telkomsel', 'seluas', 'secepat', 'apapun', 'internetnya', 'stabil']</t>
  </si>
  <si>
    <t>['sinyalmu', 'langkah', 'sinyal', 'turun', 'drastis', 'rumah', 'sinyal', 'full', 'masuk', 'rumah', 'turun', 'masuk', 'turun', 'internetan', 'dapan', 'rumah', 'pindah', 'provider', 'deh', '']</t>
  </si>
  <si>
    <t>['parah', 'udah', 'pusat', 'kota', 'sempet', 'sempet', 'jaringan', 'xxxxx', 'pusing', 'gua', 'kesel', 'emng']</t>
  </si>
  <si>
    <t>['telkomsel', 'ngelek', 'benerin', 'min', 'silnyanya', 'mahal', 'beli', 'kuota', 'jaringan', 'lemot', 'kuota', 'mahal', 'jaringan', 'murah', 'gue', 'main', 'lag', 'main', 'sinyanya', 'benerin', 'min', 'cape', 'gue', 'main', 'epic', 'udh', 'sinyal', 'jelek', 'dpt', 'tim', 'jelek', 'lancar', 'sosmed', 'doang', 'game', 'lemot']</t>
  </si>
  <si>
    <t>['lag', 'banget', 'jaringannya', 'ngak', 'stabil', 'dipermainkan', 'suka', 'suka', 'kadang', 'kandang', '']</t>
  </si>
  <si>
    <t>['jaringan', 'telkomsel', 'buruk', 'sinyal', 'full', 'lemot', 'paket', 'mahal', 'sesuai', 'paket', 'mahal', 'kualitas', 'buruk', 'tolong', 'kualitas', 'sesuai', 'harga', 'paket', 'kecewa', 'jaringan', 'buruk']</t>
  </si>
  <si>
    <t>['', 'kabupaten', 'bandung', 'sinyal', 'najis', 'paket', 'mahal', 'jaringan', 'najis', 'banget', 'bagus', 'bobrok']</t>
  </si>
  <si>
    <t>['', 'pengguna', 'telkomsel', 'pemula', 'beli', 'paket', 'giga', 'lanjar', 'jayanya', 'giga', 'sisanya', 'nggak', 'dipake', 'kebanyakan', 'muter', 'mending', 'paket', 'nggak', 'muternya', 'nyesel', 'banget', 'beli', 'paket', 'telkomsel']</t>
  </si>
  <si>
    <t>['plikasi', 'bagus', '']</t>
  </si>
  <si>
    <t>['sinyal', 'bagus', 'paketannya', 'sultan', 'sympati', 'sinyal', 'daerah', 'pelosok', 'udah', 'restar', 'ttp', 'zong', 'sinyalnya', 'parah', 'paketan', 'sultan', 'sinyal', 'jelata']</t>
  </si>
  <si>
    <t>['tolong', 'jaringan', 'kuat', 'pindah', 'kartu', 'halo', 'prabayar', 'lelet', 'sinyalnya']</t>
  </si>
  <si>
    <t>['uda', 'update', 'disuruh', 'update', 'apk', 'gini', 'mutu', 'buka']</t>
  </si>
  <si>
    <t>['puas', 'kadang', 'kadang', 'jaringan', 'hilang', 'marah', 'emosi', 'terimakasih', 'telkomsel', '']</t>
  </si>
  <si>
    <t>['kesal', 'kendala', 'hilangnya', 'jaringan', 'jaringan', 'buruk', 'scamer', 'penipuan', 'sistem', 'telkomsel']</t>
  </si>
  <si>
    <t>['pengguna', 'setia', 'telkomsel', 'kesini', 'hancur', 'signal', 'telkomsel', 'garis', 'itupun', 'jarang', 'garis', 'batang']</t>
  </si>
  <si>
    <t>['apl', 'membatu', 'mencari', 'paket', 'pas', 'promo', 'menariknya', 'tolong', 'diperbanyak', '']</t>
  </si>
  <si>
    <t>['maaf', 'telkomsel', 'ulasan', 'tolong', 'kuat', 'jaringan', 'inter', 'net', 'kabupaten', 'sinyal', 'internet', 'jaringan', 'kuat', 'ping', 'udah', 'keatasa', 'kuat', 'sinyal', 'internet', 'lelet', 'lemot', '']</t>
  </si>
  <si>
    <t>['isi', 'pulsa', 'ribu', 'beliin', 'paketan', 'internet', 'telkomsel', 'cek', 'pembelian', 'pulsa', 'kepotong', 'sisa', 'ribuan', 'parah', 'boss', 'turunin', 'bintang', '']</t>
  </si>
  <si>
    <t>['apk', 'perawatan', 'kagak', 'apk', 'terhenti', 'coba', 'perbaharui', 'kagak', 'buka']</t>
  </si>
  <si>
    <t>['tolong', 'mytelkomsel', 'kecewa', 'udah', 'harganya', 'paket', 'lumayan', 'mahal', 'jaringan', 'ngadat', 'blom', 'pergi', 'pelosok', 'behh', 'tempe', 'tolong', 'perbaiki', 'kualitas', 'jaringan', 'terima', 'uang', 'jaringan', 'tetep', 'bobrok', '']</t>
  </si>
  <si>
    <t>['sinyal', 'telkomsel', 'down', 'normal', 'kyak', 'dlu', 'lgi', '']</t>
  </si>
  <si>
    <t>['telkomsel', 'jaringan', 'down', 'mulu', 'tolong', 'internetan', 'down', 'mulu', 'why', 'main', 'mlbb', 'parah', 'jaringan', 'merah', 'gimana', 'negara', 'indonesia', 'maju', 'layanan', 'kayak', 'paket', 'mahal', '']</t>
  </si>
  <si>
    <t>['udah', 'mahal', 'jaringan', 'kya', 'taik', 'game', 'kga', 'login', 'burik', 'perbaiki', 'pelanggan', 'setia']</t>
  </si>
  <si>
    <t>['makan', 'gaji', 'buta', 'operator', 'telkomsel', 'jaringan', 'hancur', 'paket', 'dtaa', 'mahal', 'najis']</t>
  </si>
  <si>
    <t>['tolong', 'harga', 'kuotanya', 'dipermurah', 'harinya', 'terima', 'kasih', '']</t>
  </si>
  <si>
    <t>['update', 'telkomsel', 'susah', 'beli', 'paket', 'telkomsel', 'jaringan', 'bagus', 'banget', 'tolong', 'telkomsel', 'pehatikan', 'keluahan', 'pengguna', '']</t>
  </si>
  <si>
    <t>['kecewa', 'program', 'telpon', 'gratis', 'menit', 'aplikasi', 'pulsa', 'gratis', 'msh', 'menit', 'aktif', 'nop', 'bgmn', 'mohon', 'penjelasan', 'telkomsel', 'tks', 'konfirmasinya', '']</t>
  </si>
  <si>
    <t>['dapet', 'paket', 'sakti', 'terimakasih', 'keluhan', 'permintaan', 'ditambah', 'fitur', 'lock', 'pulsa', 'pemakaian', 'internet', 'diluar', 'batas', 'kouta', 'pelanggan', 'kerugian', 'penggunaan', 'internet', 'pulsa', 'disengaja', 'komentar', 'bintang', 'minggu', 'bintang', 'full', 'terimakasih', 'maaf', '']</t>
  </si>
  <si>
    <t>['internet', 'sakti', 'puas', '']</t>
  </si>
  <si>
    <t>['kasih', 'bintang', 'pas', 'download', 'file', 'apk', 'kecepatan', 'jaringannya', 'sampe', 'mb', 'jarak', 'rumah', 'tower', 'sinyal', 'mohon', 'telkomsel', 'memperbaikinya', 'suapaya', 'pengguna', 'telkomsel', 'kecewa']</t>
  </si>
  <si>
    <t>['telkomsel', 'aneh', 'bngt', 'sumpah', 'pulsa', 'beli', 'kuota', 'anehh', 'udah', 'kuota', 'mahal', 'jaringan', 'gajelas', 'dipersulit', 'ribet', 'ngapa', 'in', 'trmksh']</t>
  </si>
  <si>
    <t>['telkomsel', 'gagal', 'masuk', 'masuk', 'masukin', 'tolong', 'perbaiki', 'yaa', 'capek', 'masukin', '']</t>
  </si>
  <si>
    <t>['sesuai', 'iklannya', 'sinyal', 'kuat', 'pelosok', 'kota', 'sinyal', 'kartu', 'sinyal', 'lemah', 'kartu', 'hallo', 'lemah', 'dng', 'kuaota', 'harga', 'mahal', 'kartu', 'hallo', 'pemgguna', 'setia', 'wajib', 'beli', 'berganti', 'kartu', 'prioritaskan', 'murah', 'karna', 'butuh', 'pakai', 'kartu', 'hallo', 'pemakai', 'kartu', 'hallo', 'org', 'terpaksa', 'memanfaatkan', 'keseptan', 'dlm', 'kesusah']</t>
  </si>
  <si>
    <t>['kasih', 'bintang', 'jaringan', 'net', 'putus', 'hati', 'jengkel', 'untungnya', 'telkomsel', 'udh', 'bnyk', 'terkait', 'dngn', 'akun', 'udh', 'buang', 'tong', 'sampah', '']</t>
  </si>
  <si>
    <t>['nomor', 'terblokir', 'diperbaiki', 'mbaknya', 'nik', 'dipakai', 'regis', 'nomornya', 'dicoba', 'nik', 'satupun', 'sayang', 'paketnya', 'nomornya', 'terdaftar', 'mytelkomsel', 'mbaknya', 'kecewa']</t>
  </si>
  <si>
    <t>['jaringan', 'tdak', 'stabil', 'daerahku', 'ganti', 'tdak', 'main', 'game', 'trus', 'udah', 'bagus', 'trus', 'down', 'sampe', 'bodo']</t>
  </si>
  <si>
    <t>['jaringan', 'telkomsel', 'bagus', 'normal', 'loading', 'terkadang', 'terputus']</t>
  </si>
  <si>
    <t>['sinyalnya', 'kenpa', 'koneksinya', 'putus', 'game', 'ngelag', 'gimana', 'perbaiki', '']</t>
  </si>
  <si>
    <t>['kasih', 'bintang', 'karna', 'blm', 'aplikasi', 'klu', 'lumayan', 'bagus']</t>
  </si>
  <si>
    <t>['paket', 'data', 'internet', 'gb', 'kemarin', 'bonus', 'daily', 'chek', 'mb', 'bonus', 'mb', 'habis', 'notif', 'paket', 'flash', 'habis', 'browsing', 'notif', 'pulsa', 'darurat', 'kenak', 'klik', 'langsung', 'klik', 'batal', 'jalan', 'muncullah', 'sms', 'paket', 'darurat', 'rp', 'menit', 'tsel', 'sms', 'tsel', 'aktif', 'berlaku', 'tgl', 'pkl', 'wib', 'pembayaran', 'isi', 'ulang', 'pulsa', 'kecewa', 'dipaksa', 'ngutang', 'paket', 'msih']</t>
  </si>
  <si>
    <t>['penipuan', 'merayu', 'sms', 'disuruh', 'download', 'pulsa', 'ribu', 'pas', 'download', 'pulsa', 'terpaksa', 'uninstal', '']</t>
  </si>
  <si>
    <t>['kecewa', 'telkomsel', 'slalu', 'berlangganan', 'kuota', 'telkomsel', 'kartu', 'kuota', 'anlimited', 'orang', 'udah', 'anlimited', 'tolong', 'paketan', 'adain']</t>
  </si>
  <si>
    <t>['telkomsel', 'nga', 'mutu', 'susah', 'banget', 'dapet', 'jaringan', 'tower', 'susah', 'kerja', 'tugas', 'pilih', 'kasih', 'perkotaan', 'bagus', 'desa', 'jelek', 'rumah', 'nga', 'kota', 'tpi', 'sinyal', 'jelek', 'banget', 'nga', 'berguna', 'banget', 'udah', 'gitu', 'mahal', 'udah', 'mahal', 'jaringanya', 'nga', 'memadai', 'jelek', 'parah', 'niat', 'melayani', 'nga', '']</t>
  </si>
  <si>
    <t>['aplikasi', 'laporan', 'jaringan', 'lag', 'maaf', 'sistem', 'ganguan', 'gitu', 'aplikasi', 'org']</t>
  </si>
  <si>
    <t>['telkomsel', 'beli', 'pulsa', 'abis', '']</t>
  </si>
  <si>
    <t>['telkomsel', 'jaringan', 'taikkk', 'tsel', 'dirumahaja', 'jaringan', 'internet', 'fungsikan', 'jaringan', 'fungsinya', 'malam', 'pagi', 'warasss', 'tolol']</t>
  </si>
  <si>
    <t>['nggak', 'mempermasalahkan', 'app', 'pas', 'kuota', 'habis', 'internet', 'jalan', 'kirain', 'data', 'pulsa', 'terpotong', 'buruk', 'sistem', 'tolong', 'klasifikasi', 'data', 'data', 'bicara', 'bicara', 'satukan', 'cerdas', 'puas', '']</t>
  </si>
  <si>
    <t>['bayar', 'mahal', 'jaringan', 'lemot', 'parah', 'sesuai', 'dibayarkan', '']</t>
  </si>
  <si>
    <t>['kembalikan', 'pulsaku', 'pakai', 'pulsa', 'darurat', 'habis', 'isi', 'pulsa', 'potong', 'pulsa', 'darurat', 'nyuri', 'pulsa', 'gitu']</t>
  </si>
  <si>
    <t>['beli', 'kuota', 'gangguan', 'sistem', 'jarigan', 'jaringan', 'setabil', 'mohon', '']</t>
  </si>
  <si>
    <t>['mantap', 'mengecewakan']</t>
  </si>
  <si>
    <t>['mohon', 'cek', 'sinyal', 'dairah', 'gangguan', 'lambat', 'mati', 'karna', 'tower', 'gangguan', 'mohon', 'cek', 'alamat', 'sindangsari', 'desa', 'sindangjaya', 'kecamatan', 'cikalong', 'tasikmalaya', 'terimakasih']</t>
  </si>
  <si>
    <t>['kecewa', 'telkomsel', 'pakai', 'telkomsel', 'langsung', 'intinya', 'daftar', 'pstn', 'selamat', 'paket', 'nelpon', 'rumah', 'jam', 'aktif', 'berlaku', 'tgl', 'pkl', 'wib', 'dapatkan', 'paket', 'mytelkomsel', 'pulsa', 'pas', 'nelpon', 'habis', 'pakai', 'paket', 'terpakai', 'mhon', 'dri', 'telkomsel', 'solusinya', 'makasih']</t>
  </si>
  <si>
    <t>['jaringan', 'lemot', 'pakai', 'kerja', 'udah', 'gua', 'ganti', 'beli', 'paket', 'murah', '']</t>
  </si>
  <si>
    <t>['upgrade', 'upgrade', 'habisin', 'data', 'sinyal', 'suka', 'ngadat', 'kota', 'hujan', 'leled', 'deh']</t>
  </si>
  <si>
    <t>['kasih', 'bintang', 'karna', 'mahal', 'mahal', 'harga', 'kuota', 'orang', 'lgi', 'akti', 'kuotanya', 'sebentar', '']</t>
  </si>
  <si>
    <t>['menajadi', 'pengguna', 'telkomsel', 'bagus', 'jelek', 'banget', 'keluarga', 'gua', 'pengguna', 'telkomsel', 'pindah', 'karna', 'keluhan', 'signal', 'sisa', 'gua', 'bertahan', 'gua', 'perubahan', 'ehh', 'anjlok', 'telkomsel', 'trs', 'signalnya', 'gakan', 'perbagus', 'gitu', 'pengguna', 'telkomsel', 'miris', 'kuota', 'gratis', 'signalnya', 'jelek', 'mah', 'dapet', 'kuota', 'gratis', 'yutub', 'muter', '']</t>
  </si>
  <si>
    <t>['jaringan', 'suka', 'ilang', 'berubah', 'manjadi', '']</t>
  </si>
  <si>
    <t>['sia', 'sia', 'gua', 'beli', 'pulsa', 'masuk', 'telkomsel', 'langsung', 'sedot', 'pulsa', 'gua', 'gua', 'beli', 'kuota', 'kuota', 'gua']</t>
  </si>
  <si>
    <t>['pertahankan']</t>
  </si>
  <si>
    <t>['', 'telkomsel', 'memikirkan', 'penggunanya', 'pokoknya', 'jamin', 'memuaskan', 'tinggal', 'menukarkan', 'poin', 'mobil', 'yaris', 'sulit']</t>
  </si>
  <si>
    <t>['tampilannya', 'jelek', 'kualitas', 'informasi', 'ramai', 'kasih', 'bintang', 'jujurnya', 'bintang', 'ganti', 'tim', 'programer', '']</t>
  </si>
  <si>
    <t>['suka', 'telkomsel', 'lupa', 'detik', 'pulsa', 'langsung', 'kesedot', '']</t>
  </si>
  <si>
    <t>['gangguan', 'tukar', 'poin', 'ayo', 'indonesia', 'ganti', 'operator']</t>
  </si>
  <si>
    <t>['beli', 'paket', 'sesuai', 'promo', 'pulsa', 'pulsa', '']</t>
  </si>
  <si>
    <t>['sinyal', 'jelek', 'provider', 'lbh', 'bagus', 'ganti', 'gpp', 'mahal', '']</t>
  </si>
  <si>
    <t>['', 'telkomsel', 'kah', 'menambah', 'penyebaran', 'kestabilan', 'jaringan', 'telkomsel', 'dusun', 'sulit', 'internet', 'biasakah', 'diadakan', 'perluasan', 'jaringan']</t>
  </si>
  <si>
    <t>['karna', 'udh', 'buang', 'kartu', 'sinyal', '']</t>
  </si>
  <si>
    <t>['ayolah', 'telkomsel', 'perbaiki', 'sinyalnya', 'gamer', 'kecewa', 'kartu', 'telkomsel', 'main', 'game', 'masak', 'iya', 'beli', 'kartu', 'nyaman', 'telkomsel', 'ayolah', 'diperbaiki', 'main', 'game', 'oke', 'oke', 'doang', 'jelek', 'perbaiki', 'min', '']</t>
  </si>
  <si>
    <t>['aplikasi', 'isi', 'kuota', 'unl', 'dpt', 'diproses', 'donlot', 'pilihah', 'unlimited', 'nyeselll', 'barusan', 'isi', 'pulsa', 'mending', 'ganti', 'operator', 'stlah', 'suruh', 'ttap', 'pindah', 'operator', '']</t>
  </si>
  <si>
    <t>['mengecewakan', 'solusi', 'telkomsel', 'sinyal', 'bagus', 'kecepatan', 'kb', 'paketan', 'mahal', 'sinyal', 'internet', 'jelek', '']</t>
  </si>
  <si>
    <t>['telkomsel', 'udah', 'beralih', 'murah']</t>
  </si>
  <si>
    <t>['kasih', 'bintang', 'kualitas', 'jaringan', 'buruk', 'kayak', 'kpipusat', 'kerjaan', 'karyawannya', 'nglewes', '']</t>
  </si>
  <si>
    <t>['mmang', 'telkomsel', 'miskin', 'tukar', 'poin', 'ngambil', 'bonus', 'sediakan', 'pakek', 'pulsa', 'pulak', 'poin', 'capek', 'isi', 'pulsa', 'dpat', 'poin', 'tukar', 'bayar', 'jugak', 'eee', 'odong', '']</t>
  </si>
  <si>
    <t>['kemarin', 'isi', 'pulsa', 'beli', 'paket', 'data', 'puluh', 'kali', 'cba', 'gimana', 'telkomsel', 'mengecewakan', '']</t>
  </si>
  <si>
    <t>['maaf', 'kak', 'kuota', 'gratis', 'ngak', 'klime', 'kak', 'emang', 'ngak', 'klime', 'udah', 'sihh', 'ngak', 'adaain', 'php', 'telkomsel', '']</t>
  </si>
  <si>
    <t>['muda', 'pembelian']</t>
  </si>
  <si>
    <t>['tolong', 'telkomsel', 'daftar', 'paket', 'tpi', 'pulsa', 'ambil', 'udah', 'gmna']</t>
  </si>
  <si>
    <t>['maaf', 'kesini', 'sinyal', 'telkomsel', 'bagus', 'sinyal', 'buka', 'medsos', 'gimana', 'beli', 'paket', 'mahal', '']</t>
  </si>
  <si>
    <t>['update', 'lemot', 'mahal', 'harga', 'paketnya', 'service', 'gitu', 'download', 'main', 'game', 'suka', 'ilang', 'sinyal', 'jumping', 'pingnya', 'kecewa', 'service', 'pricing', 'pelanggan', '']</t>
  </si>
  <si>
    <t>['telkomsel', 'suka', 'nyedot', 'pulsa', 'isi', 'ulang', 'sinyal', 'sumatera', 'padam']</t>
  </si>
  <si>
    <t>['mudah', 'terbantu']</t>
  </si>
  <si>
    <t>['andai', 'desaku', 'sinyal', 'telkomsel', 'ganti', 'operator', 'telkomsel', 'mahal', 'internetnya']</t>
  </si>
  <si>
    <t>['maaf', 'mytelkomsel', 'terpaksa', 'uninstal', 'ngapain', 'repot', 'buka', 'mytelkomsel', 'menu', 'lengkap', 'apk', 'menu', 'lengkap', 'buang', 'kuota', '']</t>
  </si>
  <si>
    <t>['mantap', 'lanjutkan', 'misi', 'mempermudah', 'anak', 'negeri', 'menguasai', 'tehknologi', 'era', 'globalisasi', 'anak', 'negeri', 'mengerti', 'telkomsel', 'share', 'family', 'menguasai', 'berbakti', 'negeri']</t>
  </si>
  <si>
    <t>['oke', 'mantap', 'alhamdulillah', 'jaringan', 'telkomsel', 'stabil', 'doa', 'semoga', 'undian', 'tukar', 'poin', 'telkomsel', 'menang', 'amin', 'robbal', 'alamin', '']</t>
  </si>
  <si>
    <t>['hadiah', 'pdhl', 'sayaa', 'tukar', 'poin', 'menang']</t>
  </si>
  <si>
    <t>['bqgus', 'berguna', 'banget']</t>
  </si>
  <si>
    <t>['warning', 'isi', 'pulsa', 'pagi', 'rp', 'beli', 'paket', 'gb', 'rp', 'diaplikasi', 'mytelkomsel', 'pulsa', 'terpotong', 'habis', 'kuota', 'masuk', 'diperbaiki', 'kuota', 'masuk', 'perbaiki', 'bintang', 'ulasan', 'terimakasih']</t>
  </si>
  <si>
    <t>['lemot', 'paraahhhhh', 'harga', 'mahal']</t>
  </si>
  <si>
    <t>['', 'telkomsel', 'membantu', 'mudah', 'penggunaannya', 'sayang', 'hadiah']</t>
  </si>
  <si>
    <t>['harga', 'kuota', 'ekonomis', 'account', 'beda', 'account', 'orang', 'harga', 'ekonomis']</t>
  </si>
  <si>
    <t>['tolong', 'tsel', 'ngasih', 'paketan', 'unlimited', 'multimedia', 'kecepatan', 'sinyalnya', 'dikurangi', 'beli', 'paket', 'combo', 'sakti', 'kuota', 'reguler', 'habis', 'sisa', 'kuota', 'multimedia', 'sinyal', 'game', 'online', 'pubgm', 'jelek', 'gitu', 'tolonglah', '']</t>
  </si>
  <si>
    <t>['pengguna', 'telkomsel', 'mudah', 'mudahan', 'membantu', 'menjelajahi', 'dunia', 'maya', 'nyata', '']</t>
  </si>
  <si>
    <t>['applikasi', 'tukang', 'ngedot', 'pulsa', 'masuk', 'aplikasi', 'pulsa', 'langsung', 'hilang', 'beli', 'paket', 'internet', 'pulsa', 'langsung', 'hilang', 'mendingan', 'beli', '']</t>
  </si>
  <si>
    <t>['aplikasinya', 'keren']</t>
  </si>
  <si>
    <t>['hai', 'kak', 'diupdate', 'versi', 'loadingnya', 'ngecek', 'kuota', 'sisa', 'pulsa', 'infonya', 'blank', 'gitu', 'kali', 'aplikasi', 'normal', 'krna', 'sinyalku', 'maksimal', 'aplikasi', 'dlm', 'manfaatnya', 'semoga', 'sahabatku', 'bijaklah', 'ulasan', 'bahasa', 'sopan', 'tulisanmu', 'mencerminkan', 'adabmu', '']</t>
  </si>
  <si>
    <t>['', 'temen', 'top', 'hati', 'mnding', 'top', 'alfa', 'indo', 'beli', 'google', 'play', 'saldo', 'pembayaran', 'telkomsel', 'gua', 'rb', 'ilang', 'top', 'transaksi', 'gagal', 'tpi', 'pulsa', 'tetep', 'kepotong', 'udh', 'gitu', 'telkomselnya', 'bantuin', 'pengembalian', 'gimana', 'hati', 'uang', 'hilang', 'nyesek']</t>
  </si>
  <si>
    <t>['ndak', 'karuan', 'aplikasinya', 'pakek', 'aplikasi', 'mudah', 'beli', 'pilihan', 'paketannya', 'susah', 'sampek', 'pulsa', 'disedot', 'berkurang', 'hapus', '']</t>
  </si>
  <si>
    <t>['dapet', 'sms', 'ceria', 'ribu', 'gb', 'gua', 'isi', 'pulsa', 'rbu', 'dapet', 'sms', 'pulsa', 'ckup', 'berkurang', 'rupiah', 'oke', 'beli', 'rbu', 'pulsa', 'total', 'pulsa', 'ribu', 'pas', 'cari', 'promo', 'paketannya', 'udah', 'ngak', 'ceria', '']</t>
  </si>
  <si>
    <t>['aplikasinya', 'membantu', 'kecepatan', 'membuka', 'aplikasi', 'tolong', 'ditingkatkan']</t>
  </si>
  <si>
    <t>['kecewa', 'nggak', 'stabil', 'banget', 'menghubungi', 'keluarga', 'sulit', 'ngobrol', 'sebentar', 'koneksi', 'langsung', 'terputus', 'nyambung', 'terputus', 'kecewa', 'banget', 'deh']</t>
  </si>
  <si>
    <t>['tolong', 'perbaiki', 'lgi', 'jaringan', 'beli', 'pket', 'dlam', 'aplikasi', 'gagal', 'gagal', 'dpet', 'sms', 'pulsa', 'pdahal', 'pulsa', 'dri', 'harga', 'paket', 'haduhh']</t>
  </si>
  <si>
    <t>['assalamualaikum', 'selamat', 'pagi', 'telkomsel', 'tolong', 'aplikasi', 'error', 'perbaiki', 'pelanggan', 'kecewa', '']</t>
  </si>
  <si>
    <t>['paket', 'kuota', 'internet', 'mahal', 'mahal', 'bngt', 'siapah', 'bli', 'udah', 'dlu', 'bagus', 'banget', 'jdi', 'langganan', 'rbu', 'mohon', 'maaf', 'bngt', 'skrng', 'mah', 'sya', 'ngisi', 'ngisi', 'kuota', 'telkomsel', 'sya', 'ngisi', 'pindah', 'tetangga', 'nyaman', 'murah', 'sya', 'ngeven', 'bngt', 'sma', 'telkosel', 'berhubung', 'kuotanya', 'mahal', 'mahal', 'sya', 'isi', 'isi', 'pulsa', 'jjur', 'sya', 'nyaman', 'sma', 'kombo', 'sakti', 'rbu', 'knpah', 'promonya', 'hilangin', 'trima', 'kasih']</t>
  </si>
  <si>
    <t>['kesel', 'banget', 'telkomsel', 'kdang', 'sinyal', 'lancar', 'kaga', 'jdi', 'menit', 'mode', 'pesawat', 'lancar', 'tolong', 'diperbaiki', '']</t>
  </si>
  <si>
    <t>['', 'telkomsel', 'jaringan', 'terluas', 'terbesar', 'emang', '']</t>
  </si>
  <si>
    <t>['bagus', 'membantu', 'pengguna', 'telkomsel']</t>
  </si>
  <si>
    <t>['menarik', 'mudah', 'mengerti']</t>
  </si>
  <si>
    <t>['', 'ndak']</t>
  </si>
  <si>
    <t>['brtahun', 'pakai', 'telkomsel', 'maikin', 'kesini', 'sinyal', 'jaringan', 'dimohon', 'telkomsel', 'dperbaiki', 'secepat', 'karna', 'klw', 'cepat', 'ditindak', 'lanjutin', 'makan', 'pelanggan', 'telkomsel', 'bepindah', 'kelain', 'hati']</t>
  </si>
  <si>
    <t>['pulsa', 'disikat', 'telkomsel', 'rb', 'paket', 'kouta', 'coba', 'tolong', 'pulsa', 'berkurang', 'kaya', 'gini', 'udah', 'berubah', 'kaya', 'gini', 'namanya', 'maling', '']</t>
  </si>
  <si>
    <t>['membantu', 'sisa', 'pulsa', 'kuota', 'jaringan', 'mohon', 'lbh', 'ditingkatkan', 'keren', 'banget', '']</t>
  </si>
  <si>
    <t>['sukses', 'telkomsel', 'jangkauan', 'luas', 'telkomsel', 'tersenyum']</t>
  </si>
  <si>
    <t>['kualitas', 'signal', 'telkomsel', 'lumayan', 'bagus', 'pas', 'mati', 'lampu', 'langsung', 'ilang', 'kayak', 'ditelan', 'bumi', 'indosat', 'langsung', 'ketawa', 'liatnya', 'signal', 'indosat', 'nggk', 'gitu', 'bos', 'asli', 'parahhhhhhhh', '']</t>
  </si>
  <si>
    <t>['halo', 'kak', 'beli', 'paket', 'internet', 'cuman', 'masuk', 'paket', 'internet', 'kirakira', 'kah', '']</t>
  </si>
  <si>
    <t>['lapor', 'min', 'daerah', 'ciamis', 'jawa', 'barat', 'kampung', 'terpencil', 'sinyal', 'susah', 'internetan', 'malam', 'bagus', 'sinyalnya', 'siang', 'sinyal', 'tolong', 'min', 'perbaiki', 'gadang', 'sehat', '']</t>
  </si>
  <si>
    <t>['beli', 'kuota', 'aplikasi', 'seharga', 'tulisannya', 'berhasil', 'masuk', 'pas', 'dicoba', 'pulsa', 'ngurang', 'gatau', 'kemana', 'kartu', 'dipake', 'data']</t>
  </si>
  <si>
    <t>['terimakasih', 'telkomsel', 'aplikasi', 'membantu', 'masyarakat', 'aturannya', 'berlaku', 'berlaku', 'kopun', 'poin', 'telkomsel']</t>
  </si>
  <si>
    <t>['bagus', 'aplikasinya', 'pembaruan', 'cepat', 'lambat', 'pas', 'dibuka', 'aplikasinya', 'jaringan', 'tolong', 'dibaiki', 'min', 'apk', 'lemot', '']</t>
  </si>
  <si>
    <t>['promo', 'beli', 'susah', 'giliran', 'harga', 'normal', 'langsung', 'terbeli', 'mudah', 'hahaha']</t>
  </si>
  <si>
    <t>['beli', 'paket', 'malam', 'matiin', 'paketnya', 'ketiduran', 'pulsanya', 'potong', 'kayak', 'kartu', 'ambil', 'pulsa', 'diem', 'paket', 'langsung', 'matiin', 'ngambil', 'pulsa', 'mengganggu', '']</t>
  </si>
  <si>
    <t>['promo', 'hilang', 'ditentukan', 'promo', 'hilang', 'kecewa', 'telepon', 'promo', 'hilang', 'suruh', 'pindah', 'kartu', 'pascabayar']</t>
  </si>
  <si>
    <t>['mantap', 'tingkatkan']</t>
  </si>
  <si>
    <t>['jaringan', 'telkomsel', 'lelet', 'tolong', 'perbaikin', 'min']</t>
  </si>
  <si>
    <t>['kecepatan', 'jaringan', 'josssss', '']</t>
  </si>
  <si>
    <t>['jaringan', 'ilang', 'mulu', 'ngerjain', 'tugas', 'online', 'kehabisan', 'main', 'game', 'report', 'tim', 'afk', 'udh', 'lancar', 'kayak', 'kasih', 'bintang', '']</t>
  </si>
  <si>
    <t>['pulsa', 'hilang', 'pemberitahuan', 'yng', 'rinci', '']</t>
  </si>
  <si>
    <t>['pelayanan', 'sngt', 'bagus', 'telkomsel', 'ganguan', 'jaringan', 'internet', 'berpengaruh', 'kerjaan', 'diperbaiki']</t>
  </si>
  <si>
    <t>['terimakasih', 'telkomsel', 'pelayanannya', 'rakyat', 'indonesia', 'semoga', 'jaya', 'cepat', 'berjalan', 'lancar', 'penjuru', 'indonesia', '']</t>
  </si>
  <si>
    <t>['game', 'kesini', 'kuat', 'thn', 'setia', 'telkomsel', 'skarang', 'kesel', 'kecewa']</t>
  </si>
  <si>
    <t>['aplikasi', 'update', 'gajelas', 'beli', 'kuota', 'langsung', 'mati', 'menitan', 'ditambah', 'refresh', 'ulang', 'berkali', 'kali', 'jam', 'beli', 'kuota', 'emang', 'aneh', 'update', 'perbaiki', 'bagus', 'bisanya', 'aplikasi', 'refresh', 'ulang', 'pengguna', '']</t>
  </si>
  <si>
    <t>['bagus', 'bermanfaat', 'telkomsel', 'semoga', 'sukses', 'trs', '']</t>
  </si>
  <si>
    <t>['telkomsel', 'jelek', 'kwalitas', 'jaringannya', 'sesuai', 'slogan', 'telkom', '']</t>
  </si>
  <si>
    <t>['woiii', 'telkomsel', 'paketan', 'harga', 'mahal', 'sinyal', 'tolong', 'perbaiki', '']</t>
  </si>
  <si>
    <t>['paket', 'gratisan', 'telpon', 'sepuasnya', 'berlaku', 'bertahun', 'semenjak', 'app', 'upgrade', 'paket', 'langsung', 'ilang']</t>
  </si>
  <si>
    <t>['lapor', 'min', 'sinyal', 'telkomsel', 'dusun', 'sungai', 'arang', 'bungodani', 'bungo', 'jambi', 'mengalami', 'gangguan', 'tanggal', 'oktokber', 'sampe', 'oktokber', 'sumpah', 'leg', 'parah', 'pingin', 'ganti', 'operator', 'mohon', 'cek', 'min', '']</t>
  </si>
  <si>
    <t>['jaringan', 'buruk', 'lemot', 'parah', 'mahal', 'bapukkk', '']</t>
  </si>
  <si>
    <t>['telkomsel', 'bosss', 'kuota', 'mahal', 'jaringan', 'lelet', 'senggol', 'unlimited', 'enak', 'nonton', 'tiktok', 'sepuanya', 'berubah', 'unlimted', 'batas', 'nyari', 'untung', 'gini', 'mending', 'indosat', 'murah', 'kenceng', 'jaringan', 'kek', 'telkomsel', 'ngedrop', 'mulu', 'jaringan', '']</t>
  </si>
  <si>
    <t>['poin', 'ditukarkan', 'pulsa', 'ngk', 'manfaat', 'poin', 'meningkat', 'ditukar', '']</t>
  </si>
  <si>
    <t>['sampah', 'beli', 'kouta', 'mahal', 'jaringan', 'kek', 'keong', '']</t>
  </si>
  <si>
    <t>['jaringan', 'telkomsel', 'aceh', 'mengecewakan', 'upayakan', 'perbaikan', 'tower', 'kek', 'gini', 'mending', 'kta', 'beralih', 'oprator', 'mengecewakan', 'berthun', 'sya', 'pakai', 'telkomsel', 'tpi', 'hancur', 'jaringannya', '']</t>
  </si>
  <si>
    <t>['pelayanan', 'slow', 'respon', 'kehabisan', 'aplikasi', 'menunggu', 'kunjung', 'melayani', 'jaringan', 'tolong', 'developer', 'pelayanan', 'aplikasi', 'tingkatan', '']</t>
  </si>
  <si>
    <t>['apk', 'bagus', 'kecewa', 'harga', 'paketan', 'kuota', 'bln', 'mahal', '']</t>
  </si>
  <si>
    <t>['kesel', 'deh', 'drdlu', 'tsel', 'aplikasinya', 'bsa', 'dibukak', 'suport', 'perangkat', 'kompetibel', 'tpi', 'males', 'mindah', 'tselnya', 'kecewa', '']</t>
  </si>
  <si>
    <t>['daerah', 'telkomsel', 'sinyal', 'sinyalnya', 'tpi', 'pas', 'main', 'signal', 'lancar', 'mohon', 'perbaikan', 'sinyal']</t>
  </si>
  <si>
    <t>['aplikasi', 'bagus', 'sukses']</t>
  </si>
  <si>
    <t>['gua', 'udah', 'pakai', 'telkomsel', 'nyesal', 'banget', 'sinyal', 'telkomsel', 'jelek', 'tower', 'mna', 'sinyal', 'empot', 'tan', 'gua', 'terpaksa', 'pakai', 'kartu', 'kartu', 'indosat', 'lancar', 'bnget', 'sinyalnya']</t>
  </si>
  <si>
    <t>['semoga', 'karna', 'butuh', 'belajar', 'online', 'kuliah', 'online', 'meminjam', 'tetangga', 'dimarahi', 'meminjam', 'hape', 'allah', 'luluhkan', 'hati', 'telkomsel', 'undian', 'sangata', 'susah', 'menabung', 'kedepan', 'membeli', 'hape', 'karna', 'makan', 'susah', 'sibolga', 'jln', 'sibolga', 'barus', 'tapian', 'nauli', '']</t>
  </si>
  <si>
    <t>['kartu', 'telkomsel', 'kartu', 'sinyal', 'bagus', 'digunain', 'mohon', 'telkomsel', 'kartu', 'bener', 'kalok', 'kesalahan', 'langsung', 'benerin', 'biarin', 'telkomsel', 'gunanya', 'kerja', 'becus', 'kartu', 'semoga', 'cepat', 'bangkrut', 'gunanya']</t>
  </si>
  <si>
    <t>['customer', 'servicenya', 'susah', 'dihubungi', 'bot', 'ngajuin', 'kuis', 'hiburan', 'tolol', 'dll', 'disemua', 'platform', 'mytelkomsel', 'bot', 'gblk', '']</t>
  </si>
  <si>
    <t>['sms', 'notifikasi', 'sisa', 'kuotanya', 'sisa', 'kuota', 'omg', 'masuuuukkk', 'sms', 'kasih', 'sisa', 'kuota', 'koq', 'kaya', 'main', 'jebak', 'telkomsel', 'ngarep', 'banget', 'pelanggan', 'nomer', 'ngisi', 'kuota', 'nggak', 'mungkinlah', 'beli', 'kuota', 'minggu', 'habis', 'memaksakan', 'dikirim', 'sms', 'kasih', 'sisa', 'kuota', 'nggak', 'sesuai', 'buru', 'isi', '']</t>
  </si>
  <si>
    <t>['woi', 'telkomsel', 'jaringan', 'eror', 'kecewa', 'kecewa', '']</t>
  </si>
  <si>
    <t>['dikirim']</t>
  </si>
  <si>
    <t>['maaf', 'kenpa', 'jaringan', 'internet', 'kesini', 'lemot', 'semoga', 'telkomsel', 'perbaiki', 'maaf', 'kasih', 'bintang']</t>
  </si>
  <si>
    <t>['udah', 'jaringan', 'jelek', 'ketipu', 'kartu', 'hallo', 'bnyak', 'kuota', 'buang', 'sia', 'prabyar', 'ganti', 'kartu', 'perdana', 'males', 'udah', 'th', 'perbaiki', 'pengguna', 'jengkel', '']</t>
  </si>
  <si>
    <t>['mengakses', 'aplikasinya', 'gratiskan', 'alias', 'nggak', 'paket', 'data']</t>
  </si>
  <si>
    <t>['membantu', 'ditempat', 'baruku', 'sinyal', 'susah', 'bagemana', 'tindakan', 'telkomsel', '']</t>
  </si>
  <si>
    <t>['semoga', 'dibaca', 'developer', 'mengajukan', 'keluhan', 'kuotanya', 'mahal', 'dibanding', 'dapetnya', 'cma', 'dikit', 'kuotanya', 'mewakili', 'pelajar', 'make', 'kuota', 'online', 'tolong', 'murahin', 'harganya', 'pliss', '']</t>
  </si>
  <si>
    <t>['pengalaman', 'beli', 'paket', 'mahal', 'pelanggan', 'cek', 'kartu', '']</t>
  </si>
  <si>
    <t>['semoga', 'hadiah', 'undian', 'tukar', 'point', 'posting', 'ulasan', 'trmksh']</t>
  </si>
  <si>
    <t>['isi', 'paket', 'knapa', 'pakai', 'pulsa', 'kesedot', 'banget', 'sinyal', 'menyebalkan']</t>
  </si>
  <si>
    <t>['bagus', 'semoga', 'kedepannya', 'hadiah', '']</t>
  </si>
  <si>
    <t>['telkomsel', 'berguna', 'internet', 'lag', 'main', 'mobile', 'legend', 'kalah', 'karna', 'leg', 'muluh', 'jaringan', 'telkomsel', 'telkomsel', 'berguna', 'mending', 'pinda', 'operator', 'telkomsel', 'emosi', 'rugi', 'perdana', 'telkomsel', 'rugi', '']</t>
  </si>
  <si>
    <t>['mendownload', 'aplikasi', 'bermain', 'game', 'online', 'buka', 'dll', 'login', 'mohon', 'diperbaiki', 'adek', 'mendownload', 'aplikasi', '']</t>
  </si>
  <si>
    <t>['kaya', 'lengkap', 'pembelian', 'paket', 'combo', 'sakti']</t>
  </si>
  <si>
    <t>['make', 'telkomsel', 'sinyalnya', 'perubahan', 'operator', 'terbesar', 'sinyal', 'urus', 'padahl', 'tower', 'rumah', 'kecewa']</t>
  </si>
  <si>
    <t>['telkomsel', 'buruk', 'jaringan', 'eror', 'trus', '']</t>
  </si>
  <si>
    <t>['memudahkan', 'pembelian', 'paket', 'internet']</t>
  </si>
  <si>
    <t>['bagus', 'suka', '']</t>
  </si>
  <si>
    <t>['min', 'tolong', 'adain', 'lock', 'pulsa', 'isi', 'pulsa', 'menit', 'tolonglah', 'min', 'pengguna', 'telkomsel', 'gini', 'nyaman', 'tolong', 'min', 'respect', '']</t>
  </si>
  <si>
    <t>['kecewa', 'memperpanjang', 'aktif', 'ajah', 'alasannya', 'bicara', 'dng', 'operator', 'telkom', 'pengisian', 'rb', 'perpanjangnya', 'sampe', 'operator', 'bilangnya', 'udah', 'gtu', 'balasannya', 'mohon', 'maaf', 'udah', 'doang', '']</t>
  </si>
  <si>
    <t>['telkomsel', 'memperbaiki', 'jaringan', 'internet', 'ternate', 'main', 'game', 'online']</t>
  </si>
  <si>
    <t>['beli', 'pulsa', 'mati', 'kartu', 'data', 'aktifin', 'paket', 'apapun', 'pulsa', 'berkurang', 'jaringan', 'bagusan', 'udah', 'gitu', 'apanya', 'mahal', 'buruk', 'telkomsel', 'pokoknya', 'apanya', 'udah', 'terlanjur', 'telkomsel', 'nyesel', 'mah', 'auto', 'perlahan', 'tinggalkan', 'telkomsel', 'teros', 'buruk', 'ruuukk', '']</t>
  </si>
  <si>
    <t>['provider', 'sampah', 'harga', 'mahal', 'layanan', 'sesuai', 'ekspektasi', 'buruk', '']</t>
  </si>
  <si>
    <t>['memuaskan', 'senang']</t>
  </si>
  <si>
    <t>['terimah', 'kasih', 'telkomsel', 'nomor', 'tetep', 'layanan', 'terbaik']</t>
  </si>
  <si>
    <t>['tolong', 'tingkatkan', 'kualitas', 'data', 'terimakasih', 'loading', 'aplikasi', 'oppo', 'close', 'uninstall', 'normal', 'download', 'ulang', 'terimakasih']</t>
  </si>
  <si>
    <t>['bermanfaat', 'anak', 'daring', 'sinyal', 'terima', 'kasih', 'telkomsel']</t>
  </si>
  <si>
    <t>['sayang', 'seberuntung', 'promo', 'murah', 'tolong', 'promo', 'apk', 'kren', 'sukses', 'gan']</t>
  </si>
  <si>
    <t>['koutanya', 'mahal', 'jaringannya', 'telkomsel', 'andalan', 'kecewa', 'beli', 'paket', 'mahal', 'jaringan', 'lelet', '']</t>
  </si>
  <si>
    <t>['sinyal', 'sinyal', 'bagus', 'harga', 'paket', 'internet', 'mahal', 'skrng', 'harga', 'paket', 'tetep', 'mahal', 'sinyal', 'kacau', 'kuota', 'pulsa', 'hilang', 'ntah', 'kemana']</t>
  </si>
  <si>
    <t>['sinyal', 'sangaaaaaatttt', 'saanggggaaaaatttt', 'dahsayat', 'lemot', 'paketan', 'mahal', 'tpi', 'jaringan', 'smakin', 'dahsat', 'beda', 'dlu', '']</t>
  </si>
  <si>
    <t>['saran', 'telkomsel', 'jualan', 'gorengan', 'kak', 'sesuai', 'harga', 'gorengan', 'rb', 'udah', 'puas']</t>
  </si>
  <si>
    <t>['nyesal', 'beli', 'paket', 'telkomsel', 'leletnya', 'melebihi', 'hutan', 'belantara', 'udah', 'beli', 'rb', 'paket', 'tingkat', 'emosi', 'uji', 'sekelas', 'bumn', 'kalahkan', 'swasta', 'kwkkwkwkw']</t>
  </si>
  <si>
    <t>['tolong', 'perbaiki', 'jaringannya', 'mengecewakan', 'jaringannya']</t>
  </si>
  <si>
    <t>['telkomsel', 'yaa', 'jaringanya', 'loncat', 'loncat', 'suka', 'motong', 'pulsa', 'sepengetahuan', 'pulsa', 'aktifasi', 'paket', 'susah', 'dll']</t>
  </si>
  <si>
    <t>['penggunaan', 'data', 'telkomsel', 'sulawesi', 'utara', 'berbeda', 'daerah', 'permainan', 'operator', 'telkomsel', 'daerah', 'sulut']</t>
  </si>
  <si>
    <t>['gua', 'pelanggan', 'promo', 'bagus', 'chat', 'veronika', 'berguna', 'nanya', 'nyambung', 'bot', 'delete', 'telkomsel', '']</t>
  </si>
  <si>
    <t>['parah', 'telkomsel', 'pengguna', 'telkomsel', 'pengeluaran', 'rb', 'harga', 'mahal', 'kualitas', 'turun', 'sorry', 'kedepan', 'beralih', 'provider', 'kualitasnya', 'cobalah', 'telkomsel', 'berkaca', 'berbenah', 'disusul', 'provider', 'lahir', 'butuh', 'respon', 'bot', 'trimakasih', '']</t>
  </si>
  <si>
    <t>['semoga', 'pelayanan', 'telekomunikasi', 'indonesia', 'berjalan', 'mendukung', 'ekosistem', 'dunia', 'digital', 'mendukung', 'perangkat', 'telekomunikasi', 'terima', 'kasih', 'erikson', 'tampubolon', '']</t>
  </si>
  <si>
    <t>['semoga', 'bermanfaat', 'musim', 'kaya', 'gini', 'musim', 'covid', 'semoga', 'lekas', 'selesai', 'berganti', 'musim', 'kebahagiaan', 'aamiin', '']</t>
  </si>
  <si>
    <t>['nggx', 'download', 'apapun', 'buka', 'nggx', 'nyampe', 'jam', 'paket', 'habis', 'ntah', 'maksud']</t>
  </si>
  <si>
    <t>['', 'telkomsel', 'ribet', 'masuk', 'ribet', 'sms', 'link', 'tautan', 'klik', 'masuk', 'masuk']</t>
  </si>
  <si>
    <t>['kecewa', 'event', 'top', 'mobile', 'legend', 'tukar', 'point', 'hapus', 'sengaja', 'ngumpulin', 'point']</t>
  </si>
  <si>
    <t>['isi', 'pulsa', 'habis', 'cek', 'pemakaian', 'dipake', 'bayar', 'data', 'paket', 'data', 'ditambah', 'pakai', 'wifi', 'tolong', 'mytelkomsel', 'sedot', 'pulsa', '']</t>
  </si>
  <si>
    <t>['sinyal', 'lambat', 'nonton', 'netflix', 'ehh', 'buffering', 'beli', 'paket', 'tolong', 'tingkatkan', 'min', 'kecepatannya', 'seru', 'nonton', 'muter', 'layarnya', 'hmmm', 'lemottt', 'see', 'kecewaaaa']</t>
  </si>
  <si>
    <t>['jaringan', 'lag', 'harga', 'paket', 'mahal', 'rusak', 'gara', 'internet', 'telkomsel', 'lag', 'bermain', 'menyesal', 'membeli', 'harga', 'mahal', 'mahal', 'lancar']</t>
  </si>
  <si>
    <t>['perbarui', 'apknya', 'dibuka', 'disuruh', 'memperbarui', 'lgi', 'ujung', 'maksud', 'tujuannya', 'paan', '']</t>
  </si>
  <si>
    <t>['jaringan', 'telkomsel', 'lamaan', 'kaya', 'nggak', 'udah', 'paketan', 'udah', 'mahal', 'jaringan', 'down', 'trus', '']</t>
  </si>
  <si>
    <t>['harga', 'paketnya', 'ditulisnya', 'promo', 'mahal', 'paket', 'bbrp', 'minggu', 'beli', 'paket', 'nelpon', 'sebulan', 'rb', 'seminggu', 'ditulisnya', 'keterangan', 'promo', 'harga', 'gitu', 'promo']</t>
  </si>
  <si>
    <t>['penguna', 'menikmati', 'layanan', 'data', 'murah', 'hemat', 'promo', 'harga', 'data', 'murah', '']</t>
  </si>
  <si>
    <t>['kesal', 'penipuan', 'pemotongan', 'pulsa', 'bintang', 'telkomsel', 'semoga', 'memperbaiki', 'peraturannya', 'mengunci', 'data', 'penggunanya', 'perusahaan', 'telkomsel', 'melindungi', 'penggunanya', 'individu', 'telkomsel', 'mengadakan', 'undian', 'membatasi', 'lokasinya', 'anis', 'baswedan', 'penanggung', 'bertangung', 'masuk', 'wilayah', 'hutan', 'jakarta', 'ongkos', '']</t>
  </si>
  <si>
    <t>['layanan', 'konten', 'sms', 'aktif', 'otomatis', 'berhentikan', 'menonaktifkannya', 'mengganggu', 'pengguna', 'telkomsel', 'kirim', 'terima', 'daftar', 'kontak']</t>
  </si>
  <si>
    <t>['mantap', 'aplikasinya', 'tingkatkan', 'pelayanannya', 'telkomsel', 'slalu', 'dihati', 'pelanggannya', 'pindah', 'hati', '']</t>
  </si>
  <si>
    <t>['tingkatkan', 'jaringannya', 'lelet']</t>
  </si>
  <si>
    <t>['telkomsel', 'jaringan', 'sampah', 'kirain', 'perbaiki', 'bagus', 'sebalik', 'sampah']</t>
  </si>
  <si>
    <t>['mytelkomsel', 'memudahkan', 'pembelian', 'paket', 'internet']</t>
  </si>
  <si>
    <t>['aplikasi', 'buruk', 'promo', 'paket', 'internet', 'murah', 'dibeli']</t>
  </si>
  <si>
    <t>['paket', 'mahal', 'sinyal', 'lemot', 'admin', 'tlol', 'nanya', 'sumpah', 'telkomsel', 'otaknya', 'dimna', 'merugikan', 'rakyat', 'mending', 'tuntut', 'ajh', 'ama', 'rakyat']</t>
  </si>
  <si>
    <t>['jaringan', 'telkomsel', 'parah', 'internet', 'beda', 'halo', 'simpati', 'pakai', 'halo', 'internet', 'lancar', 'pakai', 'simpati', 'lelet', 'nauzubillah']</t>
  </si>
  <si>
    <t>['kesempatan', 'meraih', 'hadiah', 'kumpulkan', 'poin', 'redeem', 'sesuai', 'kupon', 'hadiahnya', 'banyakin', 'pengguna', 'kesempatan', 'lbh', 'menang', 'trims', 'telkomsel']</t>
  </si>
  <si>
    <t>['tanggal', 'september', 'oktober', 'beli', 'paket', 'data', 'notif', 'maaf', 'ganguan', 'sistem', 'knp', 'kartu', 'beli', 'paket', 'mytelkomsel', 'rekomended', 'tanggal', 'september', 'beli', 'paket', 'gangguan', 'gangguan']</t>
  </si>
  <si>
    <t>['membantu', 'bagus', 'harga', 'paket', 'data', 'murah', 'daerah', 'jawabarat', 'hrhe']</t>
  </si>
  <si>
    <t>['pulsa', 'ngurang', 'paket', 'telfon', 'kuota', 'tolong', 'telkomsel', 'merugikan', 'pengguna']</t>
  </si>
  <si>
    <t>['ampas', 'beh', 'sinyal', 'sell', 'buka', 'game', 'buka', 'pancing', 'provider', '']</t>
  </si>
  <si>
    <t>['aplikasinya', 'promo', 'menarik', 'mudah', 'mengaksesnya', 'trima', 'kasih', 'mytelkomsel', '']</t>
  </si>
  <si>
    <t>['pulsa', 'telkomsel', 'hilang', 'ngak', 'muter', 'muter', 'kartu', 'buang', 'nomor', '']</t>
  </si>
  <si>
    <t>['aplikasi', 'sukai', 'konsumen', 'mrmberikan', 'iklan', 'nalar', 'spy', 'konsumen', 'tertipu', 'mohon', 'cerna', 'telaah', 'terima', 'kasih', '']</t>
  </si>
  <si>
    <t>['aplikasi', 'memudahkan', 'pengguna', 'telkomsel', 'sisa', 'pulsa', 'sisa', 'kuota', 'fitur', 'fitur', 'didalamnya', 'informatif']</t>
  </si>
  <si>
    <t>['jaeinganya', 'aplikasi', 'tlong', 'tingkatkan', 'masak', 'masuk', 'apk', 'masukan', 'trs']</t>
  </si>
  <si>
    <t>['informasi', 'kemudahan', 'dlm', 'penggunaan', 'tingkatkan', 'kembangkan', 'layanan', 'dll']</t>
  </si>
  <si>
    <t>['bagus', 'hadiahnya', 'bermanfaat']</t>
  </si>
  <si>
    <t>['pemula']</t>
  </si>
  <si>
    <t>['appk', 'bagus', 'teransaksi', 'cepat', 'harga', 'paket', 'murah', 'murah']</t>
  </si>
  <si>
    <t>['jaringan', 'ter', 'lelet', 'indonesia', 'paket', 'termahal', 'sedunia', 'tiada', 'telkomsel']</t>
  </si>
  <si>
    <t>['telkomsel', 'yahuuudd', 'jarngan', 'lelet', 'wifi', 'tiada', 'taraaa', 'kartu', 'nyesel', 'beli', 'produk', 'telkombi', 'perbaikin', 'laa', 'jaringannyaa', 'nama', 'doang', 'isi', 'kosong']</t>
  </si>
  <si>
    <t>['membantu', 'pengontrolan', 'paket', 'data', 'beragam', 'hadiah', 'menarik', '']</t>
  </si>
  <si>
    <t>['jaringan', 'telkomsel', 'kek', 'babi']</t>
  </si>
  <si>
    <t>['woy', 'engga', 'pakai', 'indonesia', 'yaa', 'buang', 'beli', 'pulsa', 'cepat', 'aman', 'aplikasi', 'gangguan', 'beli', 'pulsa', 'aplikasi', '']</t>
  </si>
  <si>
    <t>['kecewa', 'kali', 'check', 'suka', 'muter', 'mulu', 'gajelas', 'buka', 'ulang', 'ttp', 'kadang', 'gamau', 'kebuka', 'paket', 'grtz', 'karna', 'susah', 'checkin', 'harian', 'batal', 'hmmm']</t>
  </si>
  <si>
    <t>['kli', 'daftar', 'telkomsel', 'apk', 'knpa', 'tulisan', 'mohon', 'masukan', 'nomor', 'telkomsel', 'pdhl', 'udh', 'bnr', 'nomor', 'telkomsel']</t>
  </si>
  <si>
    <t>['sinyal', 'telkomsel', 'terburuk', 'dunia']</t>
  </si>
  <si>
    <t>['woi', 'direktur', 'manager', 'telkomsel', 'pulsa', 'hilang', 'tersedot', 'tolong', 'kembalikan', 'mudah', 'beli', 'pulsa', 'paket', 'bayar', 'tagihan', 'cek', 'kuota', 'tukar', 'poin', 'hadiah', 'pulsa', 'mudah', 'hilang', '']</t>
  </si>
  <si>
    <t>['', 'telkomsel', 'oke', 'promonya', 'promopun', 'kuotanya', 'murah', 'menyenangkan', 'kuota', 'darurat', 'bayar', 'seru', 'undian', 'poin', 'berhadiah', 'utama', 'mobil', 'sampe', 'dikasih', 'rezeki', 'telkomsel', '']</t>
  </si>
  <si>
    <t>['aplikasi', 'yng', 'suka', 'karna', 'mempermudah', 'beli', 'kouta', 'dll', 'sukses', '']</t>
  </si>
  <si>
    <t>['tolong', 'telkomsel', 'sedot', 'pulsa', 'ampun', 'niat', 'isi', 'paket', 'malam', 'hr', 'isi', 'paket', 'malam', 'hr', 'tolong', 'janganderas', 'banget', 'sedot']</t>
  </si>
  <si>
    <t>['terimakasih', 'telkomsel', 'tingkatkan', 'puas', 'telkomsel']</t>
  </si>
  <si>
    <t>['bagus', 'pelanggan', 'telkomsel', 'kemarin', 'bertahun', 'langganan', 'apl', 'mengecewakan', 'segan', 'mendownload', 'smg', 'bermanfaat', '']</t>
  </si>
  <si>
    <t>['sinyal', 'telkomsel', 'lelet', 'kalah', 'sinyal', 'bener', 'berenti', 'pakai', 'telkomsel', 'kuat', 'internet', 'gini', 'beli', 'paket', 'telkomsel', 'mending', 'pakai', '']</t>
  </si>
  <si>
    <t>['telkomsel', 'buruk', 'mahal', 'sinyal', 'busuk', 'memalukan', 'diandalkan']</t>
  </si>
  <si>
    <t>['telkomsel', 'jaringan', 'terburuk', 'indonesia']</t>
  </si>
  <si>
    <t>['klaim', 'pulsa', 'ribet', 'email', 'chat', 'kelarin', 'udh', 'saldo', 'nga', 'pulsa', 'nga', 'nambah', 'nunggu', 'ribet', 'kya', 'duit', 'jutaan', 'tinggal', 'nunggu', 'unreg', 'cio', 'bye', 'bye']</t>
  </si>
  <si>
    <t>['buruk', 'daerah', 'timur']</t>
  </si>
  <si>
    <t>['cek', 'jringan', 'jatim', 'mmpg', 'bnyak', 'pkek', 'jringan', 'pelanggan', 'kecewa', 'pindah', 'provider', 'sdikit', 'saran', '']</t>
  </si>
  <si>
    <t>['woy', 'telkomsel', 'kabel', 'putus', 'gua', 'main', 'pubg', 'ngelag', 'mulu', 'sinyalnya', 'baikin', 'buka', 'lelet', 'banget']</t>
  </si>
  <si>
    <t>['bapuk', 'sinyal', 'dri', 'dlu', 'simpati', 'bagus', 'ancur', 'sinyal']</t>
  </si>
  <si>
    <t>['tolong', 'telkomsel', 'jaringan', 'perbaiki', 'pengguna', 'kartu', 'telkomsel', 'lag', 'bermain', 'game', 'emang', 'paket', 'telkom', 'murah', 'cari', 'duit', 'gampang', 'peket', 'beli', 'gratis', 'tolong', 'perbaikan', 'jaringan', 'maksimalkan', 'tolong', 'semoga', 'respon']</t>
  </si>
  <si>
    <t>['sinyal', 'udah', 'bagus', 'langsung', 'buruk', '']</t>
  </si>
  <si>
    <t>['aplikasi', 'mah', 'jaringan', 'nyusahin', 'enak', 'menyusahkan', 'pengguna', 'trima', 'kasih']</t>
  </si>
  <si>
    <t>['aplikasi', 'baguus', 'membantu']</t>
  </si>
  <si>
    <t>['bintang', 'uang', 'bicara']</t>
  </si>
  <si>
    <t>['jaringan', 'jelek', 'kartu', 'mahal', 'sinyal', 'memperihatinkan', 'udah', 'beli', 'mahal', 'kuota', 'sinyal', 'sesuai', 'harga', '']</t>
  </si>
  <si>
    <t>['aplikasi', 'oke', '']</t>
  </si>
  <si>
    <t>['harga', 'kesini', 'mending', 'fokusin', 'sinyalnya', 'kesini', 'lelet', 'harga', 'kualitas', '']</t>
  </si>
  <si>
    <t>['', 'pernh', 'menang', 'undian', 'hepi']</t>
  </si>
  <si>
    <t>['jaringan', 'telkomsel', 'skg', 'andelin', 'kaya', 'dlu', 'main', 'game', 'bayak', 'lag', 'harga', 'paketan', 'mahal', 'sesuai', 'kualitas', 'jaringan', '']</t>
  </si>
  <si>
    <t>['simple', 'aman', 'terpercaya']</t>
  </si>
  <si>
    <t>['sinyal', 'bagus', 'sampe', 'terbelah', 'main', 'game', 'trutama', 'game', 'free', 'fire', 'huh', 'muka', 'pendiri', 'telkom', 'pengen', 'cat', 'merah', 'tolong', 'telkom', 'cepet', 'cepet', 'tutup', 'pabrik', '']</t>
  </si>
  <si>
    <t>['harga', 'kuota', 'mahal', 'jaringan', 'buurruukkk', 'kecewa', 'telkomsel', '']</t>
  </si>
  <si>
    <t>['jaringan', 'telkomsel', 'kesini', 'kacaw', 'pengguna', 'telkomsel', 'menyesal', 'jaringan', 'tolong', 'perbaiki', 'pengguna', 'bngt']</t>
  </si>
  <si>
    <t>['pasang', 'wifi', 'rumah', 'pakai', 'keluarga', 'tetangga', 'ngirit', 'pasang', 'wifi', 'bangkrut', 'membeli', 'produck', 'telkomsel', 'producknya', 'mencekik', 'kaya', 'renternir', 'beli', 'paketan', 'internet', 'mahal', 'beli', 'paketan', 'internet', 'rekan', 'rekan', 'mending', 'pasang', 'wifi', 'ganti', 'kartu', 'simpati', 'murah', 'bangkrut', 'tipu', 'peras', 'telkomsel', '']</t>
  </si>
  <si>
    <t>['aneh', 'apps', 'donload', 'ulang', 'dipake', 'cek', 'habis', 'cek', 'donload']</t>
  </si>
  <si>
    <t>['dikit', 'dikit', 'update', 'update', 'dikit', 'dikit', 'pengembang', 'kerjaan', 'update', '']</t>
  </si>
  <si>
    <t>['', 'banget', 'jaringan', 'nggak', 'lemot']</t>
  </si>
  <si>
    <t>['pindah', 'kartu', 'halo', 'sinyal', 'sedih', '']</t>
  </si>
  <si>
    <t>['telkomsel', 'kerjaan', 'fitur', 'risih', 'cupu', 'cobalah', 'fitur', 'gnggu']</t>
  </si>
  <si>
    <t>['aplikasi', 'sampah', 'beli', 'paket', 'nelpon', 'paket', 'nelpon', 'negeri', 'gimana', 'telkomsel', 'beli', 'sediakan', 'nelpon', 'menit', 'telkomsel', 'gimana', 'operator', 'perbaikilah', 'telkomsel', 'mikir', 'duit', 'trus']</t>
  </si>
  <si>
    <t>['eror', 'klik', 'paket', 'data', 'pemberitahuan', 'paket', 'uda', 'masuk', 'sampe', 'klik', 'lihat', 'kgk', 'kepotong', 'potong', 'sampe', 'nyobain', 'sampe', 'kepotong', 'beli', 'paket', 'langsung', 'potong', 'walo', 'nungguin', 'masuk', 'paketannya', 'ngisi', 'pulsa', 'pemberitahuan', 'kepotong', 'pulsanya', 'asem', 'apes', 'bener', 'hilang', 'uang', 'paketan', '']</t>
  </si>
  <si>
    <t>['sinyal', 'parah', 'transaksi', 'mikir', 'kali', 'telkomsel']</t>
  </si>
  <si>
    <t>['kak', 'beli', 'paket', 'pulsa', 'mencukupi', 'sisa', 'pulsa', 'mencukupi', '']</t>
  </si>
  <si>
    <t>['', 'telkomsel', 'bagus', 'promo', 'klu', 'kuota', 'tersisa', 'aktifnya', 'hangus', 'terbayar', 'pelanggan', 'memperpanjang', 'aktifnya', 'membeli', 'kuota', '']</t>
  </si>
  <si>
    <t>['', 'telkomsel', 'fitur', 'penawaran', 'mempermudah', 'pelanggan', 'semoga', 'slalu', 'ditingkatkan', 'inovasinya', 'slalu', 'selangkah', 'maju', 'provider']</t>
  </si>
  <si>
    <t>['kasih', 'bintang', 'yahh', 'girim', 'ulasan', 'yahh', 'apknya', 'jelek', 'login', 'chat', 'csnya', 'bantu', 'login', 'teman', 'mending', 'aplikasinya', 'download', 'rugi', 'habisin', 'kuota']</t>
  </si>
  <si>
    <t>['haduh', 'sumpah', 'telkomsel', 'jelek', 'banget', 'sinyal', 'pas', 'malam', 'plis', 'perbaiki', 'jaringan', 'internetnya', 'kalah', 'cepet', 'sinyal', 'indosat', 'paketan', 'lumayan', 'mahal', 'rugi', '']</t>
  </si>
  <si>
    <t>['telkomsel', 'daerah', 'lag', 'jaringan', 'bagus', 'gang', 'rasmi', 'deli', 'serdang', 'emosi', 'udah', 'beli', 'mahal', 'paket', 'jaringan', 'bagus']</t>
  </si>
  <si>
    <t>['betah', 'pakai', 'telkomsel', 'paket', 'berubah', 'berubah', 'pemberitahuan', 'limit', 'minim', 'paket', 'berubah', 'perpanjang', 'tolong', 'konskwen', '']</t>
  </si>
  <si>
    <t>['nyedot', 'pulsa', 'paket', 'kuota', 'habis', 'lupa', 'matiin', 'data', 'nyedot', 'pulsa', 'utama', 'dihentikan', 'koneksi', 'internetnya', 'kuota', 'habis', 'dikasih', 'pemberitahuan', 'persetujuan', 'penggunaan', 'pulsa', 'kuota', 'habis', 'disetujui', 'putuskan', 'koneksi', 'internet', 'terhubung', 'pulsa', 'kesedot', 'banget', 'semenit', 'rb', 'hilang', 'cuman', 'facebookan', 'doank', '']</t>
  </si>
  <si>
    <t>['tolong', 'telkomsel', 'kuota', 'belajarnya', 'mending', 'ubah', 'kuota', 'skrg', 'sudh', 'ptm', 'belajar', 'daringnyapun', 'berkurang', 'tolong', 'kuota', 'belajarnya', 'bsa', 'mengakses', 'link', 'link', 'absen', 'kegiatan', 'belajar', 'mengajar', 'semoga', 'direspon', 'telkomsel', 'danjuga', 'maju', 'telkomsel']</t>
  </si>
  <si>
    <t>['pengaturan', 'kunci', 'data', 'telephone', 'sms', 'service', 'isi', 'ulang', 'pulsa', 'mematikan', 'data', 'data', 'pulsa', 'aman', 'hilang', 'pengaturan', 'thanks']</t>
  </si>
  <si>
    <t>['pulsa', 'tersedot']</t>
  </si>
  <si>
    <t>['paketnya', 'turunin', 'dikit', 'telkomsel', '']</t>
  </si>
  <si>
    <t>['paketnya', 'mahal', 'tpi', 'sinyalnya', 'buruk', 'coba', 'pengurus', 'telkomsel', 'tinggal', 'daerah', 'telkomsel', 'kerja', 'haru', 'internet', 'tolong', 'perbaiki', 'sinyalnya', 'bayarr', 'pelayanan', 'sinyal', 'sepadan', 'harga', 'kuotanya']</t>
  </si>
  <si>
    <t>['bagus', 'suka', 'tingkatkan', '']</t>
  </si>
  <si>
    <t>['tolong', 'telkomsel', 'pulsa', 'habis', 'gitu', 'kouta', 'tolong', 'pencerahannya']</t>
  </si>
  <si>
    <t>['jaringan', 'internet', 'sanget', 'lelet', 'beli', 'kuota', 'harga', 'mahal', 'kepuasan', 'lelet', 'sakarang']</t>
  </si>
  <si>
    <t>['harga', 'paket', 'mahal', 'dibanding', 'provider', 'paket', 'game', 'gb', 'main', 'game', 'bolak', 'kepake', 'mlah', 'kuota', 'reguler', 'asli', 'kuota', 'game', 'kecolek', 'sma', 'komplain', 'jawabnnya', 'diproses', 'proses', 'taik', '']</t>
  </si>
  <si>
    <t>['bantuannya', 'sinyal', 'telkomsel', 'teman', 'bagus', 'sinyalnya', 'mumpuni', 'kena', 'report', 'telkomsel', '']</t>
  </si>
  <si>
    <t>['tolong', 'min', 'kasih', 'telkomsel', 'tolong', 'perbaiki', 'sinyal', 'perbatasan', 'gorontalo', 'sulteng', 'beli', 'paketan', 'mahal', 'sinyalnya', 'jelek', 'bngt', 'parah', 'deh', '']</t>
  </si>
  <si>
    <t>['omgt', 'konfirmasi', 'balasan', 'kali', '']</t>
  </si>
  <si>
    <t>['signal', 'telkomsel', 'ancur', 'ancuran', 'daerah', 'kota', 'signal', 'stabil', 'nelfon', 'susah', 'gunain', 'aksea', 'internet', 'telkomsel', 'parah', 'jaringannya']</t>
  </si>
  <si>
    <t>['aplikasi', 'lengkap', 'informasi', 'terkait', 'telkomsel', 'membantu', 'pelanggan', 'telkomsel', 'bagus', 'terimakasih', '']</t>
  </si>
  <si>
    <t>['terbaik', 'aplikasi']</t>
  </si>
  <si>
    <t>['mudah', 'mudahan', 'membantu', 'jaringan', 'inih', 'telkomsel', 'buruk', '']</t>
  </si>
  <si>
    <t>['kartu', 'hallo', 'bayar', 'kuotanya', 'bayar', 'bayar', 'telp', '']</t>
  </si>
  <si>
    <t>['sinyal', 'diperbaiki', 'buruk', 'stabil', 'kecewain', 'pelangan', 'telkomsel', 'dunia', 'pedesaan', 'gedung', 'kuat', 'sinyalnya', 'berjuang', 'telkomsel']</t>
  </si>
  <si>
    <t>['telkomsel', 'upgrade', 'pembayaran', 'via', 'gopay', 'udah', 'pulsa', 'udah', 'shopee', 'pay', 'perhatikan', 'save', 'pulsa', 'kebiasaan', 'kuota', 'abis', 'pulsanya', 'langsung', 'ludes', 'tolong', 'adminya', 'baca', 'komentar']</t>
  </si>
  <si>
    <t>['sinyal', 'jelek', 'thn', 'telkomsel', 'bagus', 'nambah', 'ancur', 'sinyalnya', 'bagus', 'sinyalnya', 'mahal', 'doang', 'sinyal', 'burik']</t>
  </si>
  <si>
    <t>['semoga', 'nomer', 'sms', 'penipuan', 'sms', 'bersifat', 'menganggu', 'pelanggan', 'blokir', 'telkomsel', 'menganggu', 'kenyamanan', '']</t>
  </si>
  <si>
    <t>['pelayanannya', 'tingkatkan', 'lebah', 'bersahabat', 'peduli', 'ekonomis', 'pelanggannya', 'mengurangi', 'qualitas', 'quantytas']</t>
  </si>
  <si>
    <t>['telkomsh', 'brasa', 'ngajakin', 'ngomong', 'kasar', 'jaringannya', 'udeh', 'paketannya', 'mahal', 'kesini', 'kualitas', 'internet', 'buruk', 'jelek', 'update', 'aplikasi', 'mytelkomsel', 'jaringan', 'internet', 'hahaha', 'shame', 'telkomsel', '']</t>
  </si>
  <si>
    <t>['selesai', 'hubungi', 'perbaikan', 'host', 'pemancar', 'sinyal', 'daerah', 'terdampak', 'sungguh', 'mengecewakan', 'layanan', 'telkomsel']</t>
  </si>
  <si>
    <t>['beli', 'kouta', 'giga', 'max', 'silver', 'pembayaran', 'kode', 'redeem', 'masuk', '']</t>
  </si>
  <si>
    <t>['jaringan', 'telkomsel', 'udh', 'rusak', 'membuka', 'aplikasi', 'bermuatan', 'rendah', 'kuota', 'mengurang']</t>
  </si>
  <si>
    <t>['percepat', 'jaringan', 'game', 'enak']</t>
  </si>
  <si>
    <t>['kemudahan', 'dlm', 'pelayanan', 'aplikasi', 'pengisian', 'plz', '']</t>
  </si>
  <si>
    <t>['jaringan', 'telkomsel', 'buruk', 'sinyal', 'hilang', 'jelek', 'kuota', 'mahal', 'jaringan', 'jelek']</t>
  </si>
  <si>
    <t>['', 'apknya', 'susah', 'buka', 'apk', 'tolong', 'diperbaiki', 'pelayanannya', '']</t>
  </si>
  <si>
    <t>['kasi', 'bintang', 'taik', 'telkomsel', 'lelet', 'pengguna', 'telkomsel', 'knpa', 'skrg', 'ksini', 'ancur', 'jaringan', 'babi', 'bangkrut', 'tutup', 'gaya', 'xan', 'udh', 'mahal', 'beli', 'paket', 'minggu', 'jaringan', 'cam', 'pepek', 'pulak', '']</t>
  </si>
  <si>
    <t>['gimana', 'telkomsel', 'udh', 'kali', 'provider', 'kemarin', 'keponakan', 'pakai', 'paket', 'telepon', 'batas', 'pemakaian', 'pulsa', 'tersedot', 'habis', 'peringatan', 'peringatannya', 'telat', 'banget', '']</t>
  </si>
  <si>
    <t>['telkomsel', 'jaringan', 'internet', 'terburuk', 'wilayah', 'makassar', 'paketnya', 'mahal', 'kesel', 'banget', 'makenya']</t>
  </si>
  <si>
    <t>['', 'sinyal', 'simpati', 'partner', 'ilang', 'ilangan', 'buka', 'aplikasi', 'partner', 'muter', 'doang', 'beli', 'udah', 'pindah', 'lokasi', '']</t>
  </si>
  <si>
    <t>['sms', 'pemakaian', 'pulsa', 'terpotong', 'pemakaian', 'internet', 'non', 'paket', 'cek', 'pulsa', 'terpotong', 'pakai', 'wifi', 'jaringan', 'data', 'aktif', 'pakai', 'nomor', 'telkomsel', '']</t>
  </si>
  <si>
    <t>['sakit', 'hati', 'ngeleg', 'trus', 'main', 'games', 'kayak', 'sinyal', 'untung', 'gedek', 'tpi', 'jaga', 'hati', 'pengguna', 'tolong', 'diperbaiki', 'sinyal', '']</t>
  </si>
  <si>
    <t>['telkom', 'paket', 'gb', 'bayar', 'coin', 'pulsa', 'cari', 'duit', 'berusaha', 'scam', 'kaya', 'gini', 'kecewa', 'beli', 'paket', 'darurat', 'ditagih', 'ampe', 'pulsa', 'ilang', 'mending', 'ganti', 'kartu', 'dirumah', 'telkomsel', 'sinyal', 'tetep', 'ganti', 'muak', 'telkomsel']</t>
  </si>
  <si>
    <t>['dituker', 'poinnya']</t>
  </si>
  <si>
    <t>['tambahin', 'min', 'top', 'game', 'atw', 'ngga', 'poin', 'tuker', 'vocer', 'game']</t>
  </si>
  <si>
    <t>['signal', 'selesai', 'diperbaiki', 'min', 'paketan', 'mahal', 'signal', 'lemot']</t>
  </si>
  <si>
    <t>['jaringan', 'telkom', 'daerah', 'malang', 'jelek', 'banget', 'pas', 'main', 'pubg', '']</t>
  </si>
  <si>
    <t>['jaringan', 'merata', 'indonesia', 'aplikasi', 'gampang', 'mudah']</t>
  </si>
  <si>
    <t>['kepake', 'beli', 'pulsa', 'tuker', 'poin', 'ngk', 'dapet', 'hadiahnya', '']</t>
  </si>
  <si>
    <t>['membeli', 'paket', 'darurat', 'pulsa', 'dipotong', 'pelunasan', 'paket', 'darurat', '']</t>
  </si>
  <si>
    <t>['telkomsel', 'lemot', 'aplikasi', 'dibuka', 'loadiiiing', 'jalan', 'tolong', 'donk', 'perbaiki', 'kualitas', 'internetnya', 'udah', 'beli', 'mahal', 'sisa', 'puluhan', 'loading', 'trs', 'udah', 'habis', 'pakainya', 'sinyal', 'suka', 'hilang', '']</t>
  </si>
  <si>
    <t>['metode', 'pembayaran', 'terbatas', 'alternatif', 'pembayaran', 'pulsa', 'debit', 'mandiri', 'instan', 'eror', '']</t>
  </si>
  <si>
    <t>['jaringan', 'telkomsel', 'bagus', 'mohon', 'atasi']</t>
  </si>
  <si>
    <t>['instal', 'udah', 'langsung', 'gangguan', 'sistem', 'aplikasinya']</t>
  </si>
  <si>
    <t>['tolong', 'paket', 'harganya', 'mahal', 'kualitas', 'bagus', 'paket', 'harga', 'mahal', 'sinyal', 'main', 'game', 'hutan', 'sinyal', 'males', 'beli', 'paket', 'telkomsel']</t>
  </si>
  <si>
    <t>['coba', 'dikasih', 'bagus', 'kasih', '']</t>
  </si>
  <si>
    <t>['perusahaan', 'penyedia', 'layanan', 'internet', 'akses', 'kecepatan', 'internet', 'kentang']</t>
  </si>
  <si>
    <t>['pengguna', 'tes', 'aplikasi', 'kasih', 'bintang', 'yaaa']</t>
  </si>
  <si>
    <t>['kyk', 'pulsa', 'rb', 'hilang', 'beli', 'quota', 'apk', 'kuota', 'utama', 'beli', 'kuota', 'doang', 'lgi', 'tolong', 'sistem', 'diperbaiki', '']</t>
  </si>
  <si>
    <t>['woi', 'admin', 'telkom', 'kau', 'kek', 'ajg', 'jaringan', 'telkom', 'gini', 'bngst', 'kemaren', 'beli', 'kuota', 'gb', 'jaringan', 'pas', 'buka', 'aplikasi', 'kek', 'youtube', 'kuota', 'internet', 'anjg']</t>
  </si>
  <si>
    <t>['membantu', 'pengisian', 'pulsa', 'nda', 'promo', 'poin', 'nda', 'nda', 'hadiah', 'nomor']</t>
  </si>
  <si>
    <t>['telkomsel', 'sinyal', 'kenceng', 'parah', 'gini', 'area', 'mojokerto', 'susah', 'main', 'game', 'nonton', 'youtube', 'aneh', 'sinyal', 'full', 'lemot', 'polll', 'cux', 'sllu', 'emosi', 'jaringan', '']</t>
  </si>
  <si>
    <t>['', 'telkomsel', 'pelayanan', 'mudah', 'dlm', 'pemilihan', 'pembeluan', 'kuota', 'promo', 'kuota', 'menarik', 'pengguna', 'aplikasi', 'telkomsel', 'semoga', 'kedepannya', 'telkomsel', 'semakit', 'sukses', 'kedepannya']</t>
  </si>
  <si>
    <t>['suka', 'pakek', 'aplikasi', 'liat', 'tarif', 'data', 'liat', 'sisa', 'pulsa', 'cek', 'data', 'undian', 'berhadiah', 'poin', 'gitu']</t>
  </si>
  <si>
    <t>['semoga', 'berkah']</t>
  </si>
  <si>
    <t>['', 'telkomsel', 'membantu', 'repot', 'beli', 'pulsa', 'kuota', 'cek', 'sisa', 'pulsa', 'kuota']</t>
  </si>
  <si>
    <t>['uda', 'pakai', 'inter', 'indihome', 'masi', 'leg', 'bermain', 'game', 'provider', 'sok', 'sok', 'kasi', 'harga', 'mahal', 'kualitas', 'nol']</t>
  </si>
  <si>
    <t>['telkomsel', 'membantu', 'jaringannya', 'luas', 'kekampung', 'terimah', 'kasih', 'telkomsel', '']</t>
  </si>
  <si>
    <t>['apps', 'berguna', 'kampung', 'line', 'telkomselnya', 'stabil']</t>
  </si>
  <si>
    <t>['apk', 'bagus', 'liat', 'udah', 'bagus']</t>
  </si>
  <si>
    <t>['ribet', 'banget', 'cek', 'kuota', 'internet']</t>
  </si>
  <si>
    <t>['apk', 'bagus', 'mudah', 'kuota', 'masuk', 'berkurang', 'apk', 'berguna', 'liat', 'kebawahapknya', 'emang', 'bagus', 'huhuuuuuu']</t>
  </si>
  <si>
    <t>['', 'ngak', 'kyk', 'skrg', 'force', 'close', 'nougat', '']</t>
  </si>
  <si>
    <t>['pengguna', 'udah', 'telkomsel', 'thn', 'knp', 'mkin', 'kesini', 'sinyal', 'tower', 'dri', 'rmh', 'ditmbah', 'skrg', 'apk', 'dipake', 'smartphone', 'trtentu', 'kompotibel', 'hrs', 'gnti', 'parah', '']</t>
  </si>
  <si>
    <t>['tolonglah', 'beli', 'paket', 'mb', 'pulsa', 'kepotong', 'pas', 'nyalain', 'data', 'pulsa', 'kepotong', 'paketan', 'aktif']</t>
  </si>
  <si>
    <t>['app', 'bagus', 'masukan', 'tolong', 'penggunaan', 'ruang', 'penyimpanannya', 'cek', 'total', 'penyimpanan', 'app', 'gb', 'game', 'sebelah', 'app', 'game', 'terimakasih', 'semoga', 'membantu', '']</t>
  </si>
  <si>
    <t>['byk', 'korupsi', 'pulsa', 'ilang', 'kuota', 'sms', 'melunasi', 'paket', 'darurat', 'aneh', 'tolong', 'donk', 'diperbaiki', 'sistemnya', 'erorr', 'jdi', 'beli', 'pulsa', 'byk', 'ditelkomsel', 'suka', 'abis', 'mulu', 'paketan', 'tpi', 'pulsa', 'kesedot', '']</t>
  </si>
  <si>
    <t>['pket', 'khusus', 'game', 'kog', 'kepakek', 'yaa', 'dapet', 'pket', 'game', 'gb', 'tpi', 'tolong', 'bantuan']</t>
  </si>
  <si>
    <t>['pengguna', 'provider', 'telkomsel', 'pilih', 'telkomsel', 'karna', 'kualitas', 'sinyal', 'bagus', 'minggu', 'oktober', 'jaringan', 'stabil', 'daerah', 'kota', 'bekasi', 'menggangu', 'aktivitas', 'wifi', 'indihome', 'mohon', 'diselesaikan', 'pengembangan', 'perbaikan', 'sistem', 'terimakasih', '']</t>
  </si>
  <si>
    <t>['donlod', 'aplikasinya', 'telkomsel', 'udah', 'persen', 'errorr', 'owaaaaaaalaaaaah', 'sinyal', 'jelek', 'pisaaan', 'udah', 'halo', 'inih', 'pengguna', 'tsel', 'udah', 'bertaun', 'ksini', 'kecewa', 'ajjah', 'sepertinyah', 'berat', 'hati', 'pindah', 'hati', '']</t>
  </si>
  <si>
    <t>['mudah', 'membeli', 'paket', 'hadiah', 'poin', 'reward', '']</t>
  </si>
  <si>
    <t>['beli', 'paket', 'gb', 'gb', 'bonus', 'disney', 'hotstar', 'buktinya', 'makan', 'kuota', '']</t>
  </si>
  <si>
    <t>['oke', 'bagus', 'suka']</t>
  </si>
  <si>
    <t>['sinyal', 'telkom', 'jelek', 'banget', 'daerah', 'lampung', 'udah', 'harga', 'paket', 'mahal', 'sinyal', 'jelek', 'banggakan', 'telkomsel', '']</t>
  </si>
  <si>
    <t>['min', 'make', 'karru', 'telkomsel', 'paket', 'mahal', 'tetanga', 'seblah', 'paketx', 'murah', 'promo', 'supress', 'dieal', 'murah', 'paket', '']</t>
  </si>
  <si>
    <t>['kecewa', 'notif', 'transaksi', 'ketahui', 'transaksi', 'pulsa', 'terpotong', '']</t>
  </si>
  <si>
    <t>['gitu', 'donk', 'notifikasi', 'kirim', 'pelanggan', 'menjelang', 'paket', 'datanya', 'habis', 'pelanggan', 'paket', 'datanya', 'beli', 'bintang', 'bintang', 'moga', 'sukses', '']</t>
  </si>
  <si>
    <t>['mahal', 'kuota', 'kuota', 'slalu', 'beli', 'dihilangkan', '']</t>
  </si>
  <si>
    <t>['pembelian', 'paket', 'data', 'aktivisasi', 'berulang', 'ulang', '']</t>
  </si>
  <si>
    <t>['kekurangannya', 'pembayaran', 'mbanking', 'ato', 'trnasfer', 'bank', 'coba', 'kasi', 'bintang', '']</t>
  </si>
  <si>
    <t>['solusi', 'orang', 'kesulitan', 'mencari', 'akses', 'komunikasi', '']</t>
  </si>
  <si>
    <t>['paket', 'kuotanya', 'mohon', 'mahal', 'kelas', 'menengah', 'paket', 'terjangkau', 'dikisaran', 'gede', '']</t>
  </si>
  <si>
    <t>['maaf', 'alamat', 'didesa', 'padang', 'leban', 'kec', 'tanjung', 'kemuning', 'kab', 'kaur', 'sinyal', 'telkomsel', 'kayak', 'kehalang', 'dirumah', 'sinyal', 'gunain', 'profider', 'mohon', 'dibntu']</t>
  </si>
  <si>
    <t>['update', 'lancar', 'buka', 'aplikasi']</t>
  </si>
  <si>
    <t>['sinyal', 'telkomsel', 'jelek', 'harian', 'terpaksa', 'pakai', 'wifi', 'tri', 'lancar', 'menjengkelkan', 'pdhl', 'harga', 'quotanya', 'murah', '']</t>
  </si>
  <si>
    <t>['tolong', 'menawarkan', 'paket', 'pengguna', 'telkomsel', 'disesuaikan', 'paket', 'ditawarkan', 'contoh', 'pengguna', 'beli', 'paket', 'nelpon', 'menit', 'harga', 'ditawarkan', 'telkomsel', 'pengguna', 'beli', 'harga', 'paketnya', 'berubah', 'mohon', 'dipertimbangkan', 'alasannya', 'terimakasih', '']</t>
  </si>
  <si>
    <t>['saldo', 'aktivasi', 'paket', 'notifikasi', 'pulsa', 'screen', 'shoot', 'simpan', '']</t>
  </si>
  <si>
    <t>['bosq', 'program', 'hadiah', 'tukar', 'poin', 'bertahun', 'tukar', 'poin', 'dapet', 'klau', 'nnti', 'tambahin', 'bintang', 'jdi', '']</t>
  </si>
  <si>
    <t>['parah', 'telkomsel', 'mahal', 'harga', 'paket', 'data', 'internetnya', 'ngandalin', 'beli', 'paket', 'data', 'promoan', 'cepat', 'berlaku', 'promonya', 'cek', 'gratis', 'kuota', 'nyampe', 'udah', 'aktif', 'gratis', 'kuotanya', 'dasar', 'penipu', 'telkomsel', 'paket', 'data', 'habis', 'mencuri', 'pulsa', 'noh', 'kayak', 'melindungi', 'pulsa', 'paket', 'datanya', 'habis', 'mencuri', 'pulsa', 'pengaturan', 'aplikasinya', 'mohon', 'update', 'pengaturan', 'mytelkomselnya']</t>
  </si>
  <si>
    <t>['knp', 'login', 'mytelkomsel', 'pulsa', 'ngurang', 'pulsa', 'knp', 'gtu', 'login', 'mytelkomsel', 'pulsa', 'ngurang', 'knp', 'kek', 'gtu', '']</t>
  </si>
  <si>
    <t>['woy', 'suruh', 'orang', 'konfirmasi', 'media', 'kau', 'perbaiki', 'jaringan', 'mudah', 'akses', 'media', 'konfirmasi', 'keluhan', 'jaringan', 'lelet', 'parah', 'suruh', 'konfirmasi', 'media', 'coment', 'butuh', 'menit', 'masuk', 'coment', '']</t>
  </si>
  <si>
    <t>['mahal', 'lemot']</t>
  </si>
  <si>
    <t>['updatenya', 'ndk', 'gini', 'aplikasinya', 'kode', 'verifikasi', 'via', 'sms', 'linknya', 'kadarluarsa', 'ndk', 'rekomended', 'aplikasi', 'membantu']</t>
  </si>
  <si>
    <t>['maaf', 'upgret', 'aplikasi', 'masuk', 'mhn', 'bantu', '']</t>
  </si>
  <si>
    <t>['signal', 'koneksi', 'internet', 'bagus', 'kadang', 'buruk', 'koneksi', 'internet', 'saran', 'telkomsel', 'fitur', 'lock', 'pulsa', 'karna', 'beli', 'paket', 'internet', 'only', 'jaringan', 'down', 'lupa', 'menseting', 'only', 'device', 'otomatis', 'pulsa', 'terkuras', 'saran', 'sebagi', 'coustumer', '']</t>
  </si>
  <si>
    <t>['syaa', 'nanya', 'kartu', 'hilang', 'kartu', 'mhon', 'bantuan', 'informasi', 'ngomong', 'grapali', 'terdekat']</t>
  </si>
  <si>
    <t>['update', 'aplikasi', 'terbaru', 'telkomsel', 'update', 'membeli', 'kuota', 'menerus', 'muncul', 'tulian', 'sistem', 'gangguan', 'mohon', 'dicoba', 'menit', 'pulsa', 'mencukupi', 'aplikasi', 'ponsel', 'mohon', 'infonya']</t>
  </si>
  <si>
    <t>['top', 'pulsa', 'masuk', 'doang', 'udah', 'konfir', 'ribet', 'taik', '']</t>
  </si>
  <si>
    <t>['overall', 'puas', 'fitur', 'point', 'gamification', 'berguna', 'gitu', 'reward', 'menarik', 'halaman', 'redem', 'bug', 'btw', 'kritik', 'bkn', 'menjatuhkan', 'mobile', 'dev', 'telkom', 'group', 'semoga', 'perbaiki']</t>
  </si>
  <si>
    <t>['kualitas', 'turun', 'daerah', 'kota', 'jelek', 'jaringannya', 'stabil', 'putus', 'udah', 'mahal', 'tmbahh', 'stabil', 'gajelas']</t>
  </si>
  <si>
    <t>['mohon', 'perbaiki', 'sistem', 'kuota', 'malam', 'menunggu', 'jam', 'aktif', 'kuota', 'malamnya', 'jam', 'aktifnya', 'itupun', 'restart', 'menon', 'aktifkan', 'mode', 'pesawat']</t>
  </si>
  <si>
    <t>['hrga', 'paket', 'mahal', 'jaringan', 'kek', 'rongsokan', 'iya', 'main', 'game', 'ngadat', 'maksimalkan', 'dlu', 'jaringan', 'psang', 'harga', 'mahal', 'sebanding', 'sma', 'brand', 'koar', 'mengklaim', 'pling', 'cepat']</t>
  </si>
  <si>
    <t>['sorry', 'hidup', 'kota', 'kuota', 'reguler', 'telkomsel', 'dipakai', 'tetring', 'muter', 'pas', 'daftar', 'paket', 'ngebut', '']</t>
  </si>
  <si>
    <t>['sinyal', 'jaringan', 'internetan', 'hilang', 'muncul', 'hilang', 'muncul']</t>
  </si>
  <si>
    <t>['telkomsel', 'maunya', 'jaringan', 'jelek', 'udah', 'berlangganan', 'drop', 'intensitas', 'jaringanya', 'digantikah', 'jaringan', 'aman', '']</t>
  </si>
  <si>
    <t>['bintang', 'jaringan', 'bagus', 'jaringan', 'lelet', 'kb', 'kb', 'kisaran', 'capek', 'hati', '']</t>
  </si>
  <si>
    <t>['payah', 'mati', 'lampu', 'jaringan', 'langsung', 'ilang', 'telkomsel', '']</t>
  </si>
  <si>
    <t>['chat', 'live', 'veronika', 'dikasih', 'petunjuk', 'cek', 'kuota', 'think', 'smart', 'please', 'robot', 'live', 'chat', 'dikembangkan', 'konsumen', 'gaguna', 'banget', 'kaya', 'dlu', 'chat', 'langsung', 'mending', 'kaya', 'dlu', 'deh', 'gausah', 'pakai', 'robot']</t>
  </si>
  <si>
    <t>['knpa', 'jaringan', 'telkomsel', 'knpa', 'telkomsel', 'pakek', 'data', 'terbuka', 'data', 'bukak']</t>
  </si>
  <si>
    <t>['aplikasi', 'bagus', 'jaringan', 'maksimal']</t>
  </si>
  <si>
    <t>['memakai', 'pulsa', 'rp', 'akses', 'internet', 'non', 'paket', 'maksudnya', 'memiliki', 'kuota', 'internet', 'pulsa', 'terkuras', 'dasar', 'operator']</t>
  </si>
  <si>
    <t>['keren', 'keren', 'harganya', 'murah', 'pemakaian', 'kencang']</t>
  </si>
  <si>
    <t>['mohon', 'telkomsel', 'perbaikin', 'jaringan', 'data', 'and', 'call', 'daerah', 'sumatera', 'utara', 'tepatnya', 'deli', 'serdang', 'komplek', 'rorinata', 'tahap', 'pengembangan', 'asli', 'masyarakat', 'seketiar', 'kecewa', 'beralih', 'operator', 'mohon', 'tindak', 'lanjutin', 'telkomsel', 'daerah', 'terima', 'kasih', '']</t>
  </si>
  <si>
    <t>['paket', 'kuota', 'semoga', 'peminat', '']</t>
  </si>
  <si>
    <t>['main', 'game', 'jaringan', 'jelek', 'parah', 'kebangetan', 'telkomsel', 'bangga', 'banggain', 'karna', 'jaringan', 'bagus', 'kecepatan', 'stabil', 'this', 'bad', 'ngejalanin', 'menggunanakan', 'telkomsel', 'jaringan', 'buruk', 'mengecewakan', 'pengguna', 'telkomsel', 'sorry', 'telkomsel', 'memuaskan', 'kecepatan', 'jaringan', 'jaringan']</t>
  </si>
  <si>
    <t>['jaringan', 'telkomsel', 'jelek', 'gara', 'gara', 'jaringan', 'telkomsel', 'tugas', 'mengirimkan', 'tugas', 'lancar', 'jaringan', 'axis', 'mohon', 'perbaikan', '']</t>
  </si>
  <si>
    <t>['signal', 'jaringan', 'telkomsel', 'buruk', 'tolong', 'perbaiki', 'bosss']</t>
  </si>
  <si>
    <t>['pembelian', 'paket', 'sisa', 'pulsa', 'mencukupi', 'saldo', 'melebihi', 'harga', 'paket', 'beli', '']</t>
  </si>
  <si>
    <t>['tolong', 'jaringan', 'lancarkan', 'beli', 'kuota', 'mahal', 'jaringan', 'jringan', 'udah', 'bagus', 'kasih', 'bntang', 'deh', 'jringan', 'tambahh', 'parahh', 'sumpahh']</t>
  </si>
  <si>
    <t>['telkomsel', 'pulsa', 'makai', 'tersedot', 'astaghfirullah', 'pelanggan', 'jengkel', 'deh', 'permudahkan', 'pengguna', 'telkomsel', 'berlangganan', 'paket', 'dlln', 'penggunaan', 'berucap', 'terjatuh', 'doa', 'orng', 'tersakiti', 'sungguh', 'mujarab']</t>
  </si>
  <si>
    <t>['jaringan', 'telkomsel', 'mengecewakan', '']</t>
  </si>
  <si>
    <t>['puas', 'puas', 'chackin', 'harian', 'hadianya', 'paket', 'data', 'internet', 'suka', 'diskon', 'vocer', 'caskbeak', 'karna', 'berguna', 'tolong', 'mengerti', 'warga', 'indonesia', 'hadia', 'radem', 'chackin', 'berguna', 'peminat', 'login', 'harian', 'berkurang', 'intinya', 'chackin', 'hadia', 'redem', 'ubah', 'paket', 'data', 'internet', 'peminat', 'login', 'harian', 'bertambah', 'terimakasih', '']</t>
  </si>
  <si>
    <t>['tolong', 'jaringannya', 'diperluas', 'drmh', 'sinyal', 'enk', 'skrg', 'ilang', 'timbul', '']</t>
  </si>
  <si>
    <t>['akses', 'cepat', 'kebutuhan', 'pengisian', 'pulsa', 'paket', 'data', '']</t>
  </si>
  <si>
    <t>['tolong', 'telkomsel', 'jaringan', 'telkomsel', 'lemott', 'banget', 'kaya', 'keong', 'lambat', 'loading', 'uda', 'bayar', 'mahal', 'pelayanan', 'memuaskan', 'enak', 'pindah', 'jaringan', 'gangguan', 'tolong', 'telkomsel', 'khusus', 'sumatra', 'selatan']</t>
  </si>
  <si>
    <t>['tolong', 'sesuaikan', 'kualitas', 'harga', 'paketnya', 'harga', 'paketnya', 'mahal', 'jaringannya', 'lemot', 'sesuai', 'banget']</t>
  </si>
  <si>
    <t>['terpaksa', 'kurangi', 'karna', 'layanan', 'memebli', 'paket', 'data', 'memakai', 'pembayaran', 'pulsa', 'sudh', 'mohon', 'perbaiki', 'layanan', 'pembelian', 'paket', 'data', 'aplikasi']</t>
  </si>
  <si>
    <t>['sanget', 'kecewa', 'jaringan', 'telkomsel', 'jaringan', 'terluas', 'tpi', 'jariganx', 'stabil', 'udah', 'harga', 'paketnya', 'mahal', 'jaringnya', 'stabil', 'kasi', 'bintang', 'deh']</t>
  </si>
  <si>
    <t>['aplikasi', 'payah', 'beli', 'kuota', 'mahal', 'sinyal', 'internet', 'lemott', 'kualitasnya', 'kesini', 'payah', 'telkomsel', '']</t>
  </si>
  <si>
    <t>['enek', 'kualitas', 'jaringa', 'telkomsel', 'lumet', 'telkomsel', 'pakai', 'masker', 'kali', 'kerena', 'pakai', 'masker', 'kualitas', 'jaringan', 'sendat', 'akibat', 'maskernya', 'ganti', '']</t>
  </si>
  <si>
    <t>['tolong', 'jaringan', 'wilayah', 'kecmatan', 'kampar', 'kabupaten', 'kampar', 'provinsi', 'riau', 'perbaiki', 'nge', 'lag', 'jaringan', 'stabil']</t>
  </si>
  <si>
    <t>['jozzz', 'paket', 'murah', 'internet', 'wuzzzz']</t>
  </si>
  <si>
    <t>['tolong', 'menukarkan', 'telkomsel', 'poin', 'poin', 'ganda', 'penukaran', 'ngk', 'capa', 'nge', 'klik', 'poin', 'sampe', 'ratusan', '']</t>
  </si>
  <si>
    <t>['alhamdulillah', 'telkomsel', 'lancar', 'jaya']</t>
  </si>
  <si>
    <t>['jaringan', 'stabil', 'ditempat', 'limapuluh', 'kota', 'sumatera', 'barat', 'jaringan', 'hilang', 'timbul', 'mohon', 'diperbaiki', 'udah', 'paket', 'mahal', 'jaringan', 'stabil', 'sampe', 'puluhan', 'dtk', 'telkomsel', 'low', 'respon', 'keluhan', 'parah', 'ganti', 'pengguna', 'setia', 'telkomsel']</t>
  </si>
  <si>
    <t>['harga', 'paket', 'mahal', 'sinyal', 'buruk', 'telkomsel', 'oke', 'ping', 'stabil', 'sinyal', 'fullbar', 'buka', 'snap', 'loading', 'main', 'ms', 'stabil', 'download', 'file', 'dapet', 'kbps', 'dapet', 'kbps', 'udah', 'syukur', 'bagus', 'merah', 'merosot', '']</t>
  </si>
  <si>
    <t>['buruk', 'jaringan', 'mb', 'sec', 'main', 'ngelag', 'recconect', 'buka', 'coc', 'reconnect', 'bulak', 'buka', 'kadang', 'nggk', 'kuat', 'buruk', 'jaringan', 'telkomsel', 'mohon', 'penjelasan', 'terima', 'kasih', '']</t>
  </si>
  <si>
    <t>['', 'sengaja', 'ganti', 'kartu', 'sim', 'telkomsel', 'langsung', 'habis', 'pulsa', 'rb', 'hitungan', 'detik', 'telkomsel', '']</t>
  </si>
  <si>
    <t>['aplikasinya', 'bagus', 'pilihan', 'paket', 'internetnya', 'jelek', 'saran', 'udah', 'satuin', 'kuota', 'utama', 'gitu']</t>
  </si>
  <si>
    <t>['', 'bintang', 'dlu', 'nnt', 'tambahin', 'telkomsel', 'kadang', 'eror', 'lom', 'klaim', 'ehh', 'udh', 'terklaim', 'otomatis', 'hnya', 'teken', 'check', 'dayli', 'ktanya', 'udh', 'trlalu', 'sring', 'hhmmm', 'hangus', 'deh', 'kuota', 'gratis', 'harapan', 'smoga', 'telkomsel', 'lbih', 'depannya', 'perhatikan', 'bsa', 'beli', 'paket', 'harga', 'kondisikan', 'dikit', 'okeyyy', 'good', 'luck', 'telkomsel']</t>
  </si>
  <si>
    <t>['dapet', 'sms', 'kyak', 'gini', 'operator', 'telkomsel', 'melunasi', 'paket', 'darurat', 'mohon', 'pengisian', 'pulsa', 'pembayaran', 'otomatis', 'hallo', 'mas', 'mbak', 'jujur', 'ngga', 'minjam', 'paket', 'darurat', 'disuruh', 'lunasi', 'tolong', 'ngga', 'gini', 'nipu', '']</t>
  </si>
  <si>
    <t>['jaringan', 'wilayah', 'perbaiki', 'telp', 'chat', 'email', '']</t>
  </si>
  <si>
    <t>['isi', 'pulsa', 'buka', 'app', 'kesedot', 'kocak', 'udh', 'gitu', 'gua', 'ngutang', 'paket', 'ngisinya', 'potong', 'sisa', 'utang', 'dikit', 'pas', 'berbulan', 'dipotong', 'udh', 'gitu', 'potong', 'dri', 'sisanya', '']</t>
  </si>
  <si>
    <t>['memakai', 'pulsa', 'akses', 'internet', 'non', 'paket', 'buta', 'mata', 'telkomsel', 'paket', 'pulsa', 'telan', '']</t>
  </si>
  <si>
    <t>['telkomsel', 'terusan', 'mengalami', 'kendala', 'jaringan']</t>
  </si>
  <si>
    <t>['telkomsel', 'lemot', 'banget', 'beli', 'paket', 'internet', 'susah', 'masuk', 'masuk', 'paketnya']</t>
  </si>
  <si>
    <t>['beli', 'kuota', 'tpi', 'habis', 'kuotanya', 'ngapangapain', 'donload', 'jarang', 'nonton', 'jarang', 'sadari', 'rampok', '']</t>
  </si>
  <si>
    <t>['beli', 'paket', 'mencoba', 'kali', 'koneksi', '']</t>
  </si>
  <si>
    <t>['aplikasinya', 'lemot', 'masuk', 'udah', 'gitu', 'beli', 'paketnya', 'susah', 'banget', 'metode', 'pembayaran']</t>
  </si>
  <si>
    <t>['tekkomsel', 'isi', 'pulsa', 'disedot', 'menit', 'isi', 'pulsa', 'beli', 'paket', 'nonton', 'sedot', 'tinggal', 'ribu', 'sekian', 'keterlalauan', 'bemer', 'kartu', 'telkomsel', 'sekalinlagi', 'pulas', 'disedot', 'berhenti', 'berlangganan', 'dapet', 'chat', 'sms', 'ggak', 'kenal']</t>
  </si>
  <si>
    <t>['sengaja', 'kasih', 'bintang', 'nomor', 'login', 'tautan', 'dikirim', 'sms', 'valid', 'telkomsel', 'buruk', 'pelayanannya', 'kecewa']</t>
  </si>
  <si>
    <t>['tolong', 'telkomsel', 'cuman', 'menang', 'mahal', 'doank', 'sinyal', 'seharian', 'jam', 'sore', 'sinyal', 'normal', 'kadang', 'lemot', 'bener', 'woi']</t>
  </si>
  <si>
    <t>['coba', 'murah', 'interet', 'harianya']</t>
  </si>
  <si>
    <t>['koin', 'capek', 'ngurusin', 'koin', 'tukar', 'koin', 'bkn', 'krna', 'jaringan', 'gnti', 'kartu', 'mcm', 'mna', 'lbih', 'mahal', 'ttap', 'pakai', 'telkomsel', 'pny', 'blm', 'prnh', 'gnti', 'kartu', 'karna', 'jaringan', 'bwh', 'kartu', 'lbh', 'mahal', 'telkomsel', 'udh', 'brkali', 'hapus', 'instal', 'mrasa', 'brguna', 'brtahun', 'pakai', 'telkomsel', 'kenal', 'prnah', 'kejutan', 'telkomsel', 'jdi', 'intinya', 'brtahan', 'cma', 'jringan', 'hmmm', '']</t>
  </si>
  <si>
    <t>['jaringanmu', 'baguskan', 'sikett', 'medan', 'tengok', 'jelek', 'kalii', 'gosah', 'mikirin', 'ratakan', 'mikir', 'kek', 'maksa', 'kali', 'keren', 'diterima', 'orang', 'kalok', 'maju', 'teknologi', 'mandang', 'konsumen', 'bayar', 'mahal', 'mahal', 'harga', 'paket', 'dibanding', 'provider', 'kualitas', 'gajelas', 'malu', 'provider', '']</t>
  </si>
  <si>
    <t>['reting', 'bintang', 'turunkan', 'bintang', 'aplikasinya', 'jaringannya', 'lemot', 'jangkauan', 'terluas', 'wilayah', '']</t>
  </si>
  <si>
    <t>['tolong', 'harga', 'paket', 'internet', 'telkomsel', 'turunin', 'mahal', 'terkadang', 'sinyl', 'sush', 'malam']</t>
  </si>
  <si>
    <t>['tolong', 'perbaiki', 'sinyal', 'kota', 'suka', 'bumi', 'sinyal', 'turun', 'kadang', 'edge', 'kadang', 'kadang', 'tolong', 'perbaiki', 'sinyal', 'menggangu', '']</t>
  </si>
  <si>
    <t>['kecewa', 'parah', 'kualitas', 'telkomsel', 'sinyal', 'telkomsel', 'patut', 'acungi', 'jempol', 'koneksi', 'stabil', 'pokonya', 'juara', 'banget', 'skrng', 'kualitas', 'menurun', 'parah', 'kecewa', '']</t>
  </si>
  <si>
    <t>['jaringan', 'telkomsel', 'kesini', 'kacau', 'main', 'game', 'online', 'pingnya', 'merah', 'lte', 'sinyal', 'full', 'streaming', 'youtuban', 'buffering', 'mulu', 'download', 'banget', 'sinyal', 'serasa', '']</t>
  </si>
  <si>
    <t>['mudah', 'mengerti', 'mudah', 'perjalanan', 'aplikasi']</t>
  </si>
  <si>
    <t>['admin', 'bintang', 'kurangi', 'paketan', 'harian', 'mingguan', 'combo', 'sakti', 'harganya', '']</t>
  </si>
  <si>
    <t>['tolong', 'yaaa', 'aplikasinya', 'membeli', 'paket', 'puasanya', 'ilang', 'gitu', 'aplikasinya', 'membantu', '']</t>
  </si>
  <si>
    <t>['puas', '']</t>
  </si>
  <si>
    <t>['mengecewakan', 'signal', 'lemah', 'hilang', 'mna', 'paketannya', 'jga', 'mahal']</t>
  </si>
  <si>
    <t>['sinyal', 'boss', 'tgl', 'oktober', 'berbarengan', 'error', 'telkomsel', 'error', 'smpai', 'komen', 'ttp', 'error', 'paket', 'mahal', 'sinyal', 'sesuai', 'kecewa', 'telkomsel', 'giliran', 'komen', 'bales', 'robot', 'kecewa', 'kecewa']</t>
  </si>
  <si>
    <t>['internet', 'unlimited', 'fup', 'mantap', 'kuota', 'harga', 'relatif', 'terjangkau']</t>
  </si>
  <si>
    <t>['berlangganan', 'telkomsel', 'jaringan', 'kuat']</t>
  </si>
  <si>
    <t>['kecewa', 'poin', 'hilang', 'reedeem', 'poin', 'sinyal', 'telkomsel', 'parah', 'telkomsel', 'jaringan', 'andalkan', 'daerah', '']</t>
  </si>
  <si>
    <t>['sinyal', 'stabil', 'bermain', 'game', 'merah', 'fitur', 'daily', 'chek', 'error', 'chek', 'merugikan', 'telkomsel', 'harga', 'paketan', 'mahal', 'masak', 'kyk', 'pakek', 'kartu', 'murahan']</t>
  </si>
  <si>
    <t>['membantu', 'jaringan', 'telkomsel', 'lemot', 'tolong', 'perbaiki', 'terima', 'kasih', '']</t>
  </si>
  <si>
    <t>['membayar', 'tagihan', 'bayar', 'lampirkan', 'screenshot', 'bukti', 'pembayaran', 'tagihan', 'tekomsel', 'halo']</t>
  </si>
  <si>
    <t>['pelayanan', 'telkomsel']</t>
  </si>
  <si>
    <t>['jaringan', 'telkomsel', 'jaringan', 'indonesia', 'kesini', 'jaringannya', 'diajak', 'kerjasama', 'pandemi', 'serba', 'online', 'daring', 'mohonlah', 'jaringannya', 'bagus', 'lancar', 'ngelag', 'kuotanya', 'mahal']</t>
  </si>
  <si>
    <t>['klen', 'kayak', 'berusaha', 'terbaik', 'menghargai', 'perbuat', 'ratingnya', 'ksih', 'bintang', 'jaringannya', 'bggsd', 'beli', 'data', 'kagak', 'kepake', 'ajg', 'mmng', 'udah', 'mending', 'tutup', 'ajg', '']</t>
  </si>
  <si>
    <t>['tolong', 'kasih', 'harga', 'murah', 'kartu']</t>
  </si>
  <si>
    <t>['teman', 'telkomsel', 'jaringannya', 'udah', 'kacau', 'searching', 'susah', 'main', 'game', 'kesel', 'beli', 'paketnya', 'mahal']</t>
  </si>
  <si>
    <t>['perusahaan', 'terbesar', 'kualitas', 'jaringan', 'buruk', 'ilang', 'ilangan', 'jaringan', 'kadang', 'bolak', 'nelfon', 'operator', 'solusi', 'pas', 'jaringan', 'mengangu', 'pekerjaan', 'ojek', 'online', 'jaringan', 'stabil', 'kecepatan', 'turun', 'dapet', 'orderan']</t>
  </si>
  <si>
    <t>['maaf', 'paham', 'aplikasi', 'deh']</t>
  </si>
  <si>
    <t>['', 'kali', 'tolong', 'bantu', 'berhenti', 'berlanggana', 'geogle', 'musik', 'premium', 'ngk', 'bantu', 'terbebani', 'membayar', '']</t>
  </si>
  <si>
    <t>['bagus', 'senang', 'paket', 'fup', 'mimin', 'tolong', 'paket', 'adain', 'harganya', 'full', 'kuota', 'utama', 'berharap', 'berguna', 'plis', 'telkomsel', '']</t>
  </si>
  <si>
    <t>['telkomsel', 'mengecewakan', 'koneksi', 'internet', 'hancur', 'lebur', 'jam', 'maen', 'game', 'online', 'koneksi', 'lenyap', 'kualitas', 'sepadan', 'harga', 'mahal', 'doang', 'kualitas', 'jaringan', 'jelek', '']</t>
  </si>
  <si>
    <t>['pulsa', 'ilang', 'tgl', 'okt', 'percaya']</t>
  </si>
  <si>
    <t>['mudah', 'saran', 'aplikasi', 'dibuka', 'kuota', 'habis', 'pulsa', 'hilang', 'beli', 'kuota', 'internet', 'diandalkan', 'sinyal', 'kecepatan', 'kb', 'payah']</t>
  </si>
  <si>
    <t>['', 'yes', 'lumayan', 'membantu', 'membantu', 'gitu', 'gitu', 'yak', 'oke']</t>
  </si>
  <si>
    <t>['info', 'terbaik']</t>
  </si>
  <si>
    <t>['promonya', 'keren']</t>
  </si>
  <si>
    <t>['jaringan', 'telkomsel', 'error', 'yaa', 'kacau', 'parah', 'tolong', 'perbaiki', 'kakak', 'abang', 'telkomsel', '']</t>
  </si>
  <si>
    <t>['beli', 'kuota', 'maxtrem', 'giga', 'nonton', 'film', 'suruh', 'beli', 'kuota', 'akses', 'film', 'iklan', 'mudah', 'nonton', 'film', 'ngerti', '']</t>
  </si>
  <si>
    <t>['', 'bias']</t>
  </si>
  <si>
    <t>['paket', 'internet', 'hilang', 'beli', 'paket', 'pulsa', 'habis', 'tersedot', 'tolong', 'kembalikan', 'paket', 'data', '']</t>
  </si>
  <si>
    <t>['jaringan', 'jelek', 'game', 'ms']</t>
  </si>
  <si>
    <t>['luemoooooooooooooot', 'buuuuuuuuaaaaangeeeet', 'siiiiih', 'telkomsel', 'cepat', '']</t>
  </si>
  <si>
    <t>['jaringan', 'telkomsel', 'jelek', 'salah', 'satunya', 'kota', 'palangka', 'raya', 'kalimantan', 'disayangkan', 'banyaknya', 'pengguna', 'layanan', 'ditingkatkan']</t>
  </si>
  <si>
    <t>['kecewa', 'telkomsel', '']</t>
  </si>
  <si>
    <t>['susah', 'membuka', 'aplikasi', 'sinyal', 'bagus', 'pulsa', 'susah', 'dibuka', 'tolong']</t>
  </si>
  <si>
    <t>['min', 'gimana', 'login', 'kemarin', 'login', 'ceklis', 'gb', 'lagih', 'login', 'ulang', 'ceklisnya', 'masuk', 'login', 'gb', 'klm', 'gabisa', 'plz', 'rb', 'telkomsel', 'untung', 'kasih', 'klu', 'lancar', 'teru', 'kasih', '']</t>
  </si>
  <si>
    <t>['sinyal', 'membaik', 'buka', 'google', 'google', 'playstore', 'whatssapp', 'game', 'lonjakan', 'sinyalnya', 'turun', 'error', 'kadang', 'kuota', 'paket', 'gb', 'kecepatan', 'akses', 'download', 'aplikasi', 'kenceng', 'lemot', 'download', 'video', 'youtube', 'selebihnya', 'download', 'app', 'lemot', 'parah', '']</t>
  </si>
  <si>
    <t>['kartu', 'simpati', 'jaringan', 'internet', 'butut', 'beli', 'kuota', 'bayar', 'ngutang']</t>
  </si>
  <si>
    <t>['signal', 'jaringan', 'menerus', 'sulit', 'signal', 'pakai', 'hotspot', 'restart', 'kali', 'mode', 'pesawat', 'jaringan', 'komplain', 'aplikasi', 'telkomsel', 'komplain', 'lokasi', 'cempaka', 'putih', 'raya', '']</t>
  </si>
  <si>
    <t>['aplikasi', 'jelek', 'buka', 'update', 'muter', 'berhari', 'kb', 'buka', 'youtube', 'kenceng']</t>
  </si>
  <si>
    <t>['', 'telkom', 'ntol', 'bener', 'iya', 'sinyal', 'maen', 'game', 'burik', 'doang', 'susah', 'ampun', 'mobile', 'legends', 'waaah', 'auto', 'malu', 'bos', 'kouta', 'harga', 'mahal', 'sinyal', 'kek', 'ribuan', 'awok', 'min', 'pantun', 'nich', 'kesawah', 'beli', 'itik', 'pergi', 'china', 'ketemu', 'biksu', 'hai', 'mimin', 'cnatiik', 'kah', 'abang', 'pap', 'suzu', '']</t>
  </si>
  <si>
    <t>['mantap', 'paket', 'murah', 'semoga', 'masyarakat', 'indonesia', 'pakatn', 'internet', 'murah', 'dicintai', 'pengguna', 'setia', 'telkomsel']</t>
  </si>
  <si>
    <t>['telkomsel', 'pengamanan', 'pulsa', 'kartu', 'kuota', 'habis', 'pulsa', 'tersisa', 'terpotong', 'menyalakan', 'data', 'kartu', 'kuota', 'habis', 'pulsa', 'tersisa', 'habis', 'kecewa', 'banget']</t>
  </si>
  <si>
    <t>['jaringan', 'telkomsel', 'stabil', 'kualitas', 'signal', 'menurun', 'drastis', 'nonton', 'you', 'tube', 'muter', 'daerah', 'pinang', 'kepulauan', 'riau', 'tolong', 'admin', 'perbaiki', 'pindah', 'telkomsel', '']</t>
  </si>
  <si>
    <t>['aplikasi', 'diupdate', 'eror', 'sinyal', 'susah', 'dibuka', 'nggk', 'tolong', 'diperbaiki', '']</t>
  </si>
  <si>
    <t>['parah', 'paketin', 'loading', 'trus', 'harga', 'skrng', 'paketin', 'cma', 'loading', 'trus', '']</t>
  </si>
  <si>
    <t>['pokoknya', 'recommended', 'deh', 'beli', 'pulsa', 'kesana', 'kemari', 'mudah', 'beragam', 'metode', 'pembayaran', 'paket', 'disediakan', 'dekripsi', 'paket', 'kedepannya', 'ditingkatkan', 'terima', 'kasih']</t>
  </si>
  <si>
    <t>['jelek', 'rugi', 'bintang', '']</t>
  </si>
  <si>
    <t>['beli', 'paket', 'internet', 'dapet', 'bonus', 'kuota', 'internet', 'beli', 'bonusnya', 'bklan', 'kepake', 'aneh', 'mustinya', 'dahuluin', 'bonusnya', 'karna', 'paket', 'beli', 'kecewa', 'bngt']</t>
  </si>
  <si>
    <t>['pulsa', 'berkurang']</t>
  </si>
  <si>
    <t>['paket', 'maksain', 'harga', 'kebawah', 'mahal', 'harga', 'normalin', 'jangkau', '']</t>
  </si>
  <si>
    <t>['jaringannya', 'jelek', 'kalah', 'laen', 'rugi', 'kasih', 'bintang', 'beli', 'pulsa', 'abis', 'gara', 'paket', 'data', 'matiin', 'mal', 'pulsa', 'balikin', 'pulsa', '']</t>
  </si>
  <si>
    <t>['telkomsel', 'esia', 'hidayah', 'harga', 'bintang', 'jaringan', 'kaki', 'tolong', 'sesuaikan', 'harga', 'kualitas', 'gerimis', 'ajah', 'lola', 'matok', 'harga', 'semahal', 'deh', '']</t>
  </si>
  <si>
    <t>['kasih', 'jaringan', 'bagus', 'harga', 'mending', 'turunin', 'malu', 'operator', '']</t>
  </si>
  <si>
    <t>['murah', 'terima', 'kasih', 'telkomsel']</t>
  </si>
  <si>
    <t>['sanggup', 'perbaiki', 'infrastruktur', 'jual', 'bumn', 'kasian', 'customer', 'butuh', 'sinyal', 'stabil', 'jakarta']</t>
  </si>
  <si>
    <t>['sinyal', 'kagak', 'nge', 'game', 'pas', 'loby', 'sinyal', 'normal', 'kalok', 'main', 'ketemu', 'musuh', 'sinyal', 'langsung', 'derastis', 'tolonglah', 'perbaiki', 'kayak', 'gini', 'udah', 'pakek', 'telkomsel']</t>
  </si>
  <si>
    <t>['', 'update', 'enak', 'update', 'penjelasan', 'paket', 'pilih', 'kegunannya', 'penjabaran', 'paket', 'pelanggan', 'bingung']</t>
  </si>
  <si>
    <t>['top', 'markotop', 'pokonya', 'murah', 'paketanya', 'jaringan', 'bagus', 'sukses', 'telkomsel']</t>
  </si>
  <si>
    <t>['pulsa', 'beli', 'paket', 'telkom', 'jawabannya', 'pulsa', 'mencukupi', 'gimna', 'tolong', 'diperbaiki']</t>
  </si>
  <si>
    <t>['saldo', 'pulsa', 'berkurang', 'paket', 'telpon', 'all', 'operator', 'berlangganan', 'sms', 'apapun', 'mohon', 'diperbaiki']</t>
  </si>
  <si>
    <t>['kesal', 'telkomsel', 'pulsa', 'berkurang', 'kuota', 'gb', 'aplikasi', 'kali', 'ambil', 'untung', 'perusahaan', 'bermain', 'kotor', 'berbisnis', 'pelanggan', 'pakai', 'gimana', 'rugi', 'tolong', 'dibantu', 'solusinya', '']</t>
  </si>
  <si>
    <t>['jaringan', 'kesini', 'kacau', 'paket', 'data', 'gb', 'dlm', 'terqkin', 'habis', 'karna', 'jaringan', 'ngadat', 'males', 'pegang', 'tolong', 'perbarui', 'diperbaiki', 'pengguna', 'telkomsel', 'nyaman', '']</t>
  </si>
  <si>
    <t>['bsa', 'daftar', 'paket', 'internet', 'error', 'trus', 'diupdagrade', 'jelek', 'aplikasi', 'sistemnya']</t>
  </si>
  <si>
    <t>['', 'telkomsel', 'aplikasi', 'bagus', 'membantu', 'terimakasih', 'indonesia']</t>
  </si>
  <si>
    <t>['permisi', 'tolong', 'penipuan', 'hadiah', 'undian', 'via', 'sms', 'tolong', 'tindak', 'sms', 'sampe', 'kali', 'astagaaa', 'gitu', 'serinng', 'sms', 'menghubungi', 'parah', 'isinya', 'penipuan', 'spam', 'smuanya', '']</t>
  </si>
  <si>
    <t>['aplikasi', 'bagus', 'paket', 'darurat', 'pinjaman', 'kadang', 'promo', 'paketan', 'internet', 'cuman', 'tolong', 'update', 'pengaturan', 'batasan', 'penggunaan', 'pulsa', 'kuota', 'paketan', 'udah', 'habis', 'pulsanya', 'kepakai', 'gtu', 'kadang', 'lupa', 'matiin', 'data', 'kuota', 'habis', 'pulsa', 'pakai', 'habis', '']</t>
  </si>
  <si>
    <t>['simple', 'banget', 'makenya', 'tampilan', 'lumayan', 'bagus', 'promo', 'daily', 'caheck', 'innya', 'bagus', '']</t>
  </si>
  <si>
    <t>['semalam', 'pasang', 'paket', 'combo', 'pembayaran', 'via', 'shopee', 'pay', 'paket', 'masuk', 'duitnya', 'udah', 'berhasil', 'dibayar', 'akses', 'ulang', 'duitnya', 'udh', 'berhasil', 'paket', 'masuk', 'terpaksa', 'isi', 'saldo', 'saldo', 'lenyap', 'paketnya', 'lenyap', 'tadak', 'masuk', 'aman', 'ajanya', 'mintak', 'pengembalian', 'karna', 'udh', 'terbayar']</t>
  </si>
  <si>
    <t>['bagus', 'memudahkan', 'mengecek', 'pulsa', 'sisa', 'kuota', 'program', 'bermanfaat', 'kota', 'multimedia', 'tolong', 'diperjelas', 'milik', 'terpakai', 'bonus', 'checkin', 'diklaim', 'pulsa', 'orang', 'beli', 'pulsa', 'reguler', 'beli', 'paket', 'kuota', 'terimakasih']</t>
  </si>
  <si>
    <t>['kendala', 'pemakaian', 'jaringan', 'internet', 'loading', 'cepat', 'aplikasi', 'informatif', '']</t>
  </si>
  <si>
    <t>['paket', 'telp', 'mahal', 'sementa', 'tenam', 'murah', 'mesti', 'beda', 'beda']</t>
  </si>
  <si>
    <t>['aplikasi', 'aendiri', 'jelek', 'banget', 'masuk', 'ajah', 'susah', 'udah', 'coba', 'pke', 'email', 'gmail', 'link', 'sms', 'kirim', 'masuk', 'jelek', 'banget', 'gimana', 'telkomsel', 'udah', 'harga', 'paket', 'pda', 'mahal', 'mahal', 'klw', 'sinyalmya', 'bagus', 'ogah', 'telkomsel', '']</t>
  </si>
  <si>
    <t>['kesempatan', 'menang', 'karna', 'butuh', 'bertahan', 'hidup', 'disaat', 'pandemi', 'semoga', 'hadiah', 'redeem', 'poin', 'aamiin', '']</t>
  </si>
  <si>
    <t>['disayangkan', 'jaringan', 'lelet', 'mohon', 'perhatian', '']</t>
  </si>
  <si>
    <t>['', 'pulsa', 'kesedot', 'abis', 'trus', 'dipake', 'ngisi', 'paketan', 'sisa', 'pulsa', 'giliran', 'dicek', 'langsung', 'abis', 'kemana']</t>
  </si>
  <si>
    <t>['kali', 'klaim', 'telkomsel', 'solusi', 'senang', 'pelayanan', 'telkomsel']</t>
  </si>
  <si>
    <t>['kendala', 'sinyal', 'lancar', 'jaringan', 'apapun', 'buffer']</t>
  </si>
  <si>
    <t>['alhamdulillah', 'kasih', 'bintang', 'responnya', 'cepet', 'komplenan', 'kemarin', 'terima', 'kasih', 'tingkatkan']</t>
  </si>
  <si>
    <t>['jaringan', 'telkomsel', 'jaringan', 'kek', 'gini', 'ganti', 'operator', 'byebye', 'telkomsel']</t>
  </si>
  <si>
    <t>['', 'multimedia', 'paket', 'hallo', 'kick', '']</t>
  </si>
  <si>
    <t>['paket', 'gamesmax', 'free', 'fire', 'mengecewakan', 'rugi', 'perbaiki', 'kembalikan', 'uang']</t>
  </si>
  <si>
    <t>['nyaman', 'bandingkan']</t>
  </si>
  <si>
    <t>['asik', 'bonusnya']</t>
  </si>
  <si>
    <t>['kecewa', 'gua', 'beli', 'data', 'pemberitahuanya', 'gua', 'ulang', 'pembelian', 'nggk', 'pemberitahuan', 'kalu', 'berhasil', 'membeli', 'kota', 'giliran', 'gua', 'cek', 'pulsa', 'gua', 'omg', 'kepotong', 'kali', 'pembelian', 'parah', 'data', 'beli', 'kali', 'pembelian', 'kali', 'kepotong', 'aneh', 'gua', 'rugi', 'pulsa', 'gua', 'kepotong', 'rp', 'tolong', 'bijak']</t>
  </si>
  <si>
    <t>['aplikasi', 'telkomsel', 'memudahkan', 'bertransaksi', 'terkait', 'data', 'telkomsel', 'informasinya', 'terima', 'kasih', 'telkomsel']</t>
  </si>
  <si>
    <t>['mudah', 'fungsikan', 'disaat', 'kuota', 'habispun', 'aplikasi', 'terhubung', 'kadang', 'lemot', 'internet', 'tolong', 'jaringan', 'telkomsel', 'area', 'coneksi', 'jaringannya', 'tingkatkatkan', 'kualitas', 'salam', 'semangat', 'anak', 'indonesia', '']</t>
  </si>
  <si>
    <t>['min', 'tolong', 'buatkan', 'fitur', 'pemisah', 'kuota', 'pulsa', 'kuota', 'habis', 'menyedot', 'pulsa', 'jujur', 'ngeselin', 'banget', 'aplikasi', 'provider', 'udah', 'fitur', '']</t>
  </si>
  <si>
    <t>['telkomsel', 'indonesia']</t>
  </si>
  <si>
    <t>['lemot', 'bnget', 'telkomsel', 'beli', 'kuota', 'pakai', 'duit', 'min', 'beli', 'nawar', 'hasil', 'bagus', '']</t>
  </si>
  <si>
    <t>['busuk', 'jaringan', 'emosi', 'doang', 'gua', 'kasih', 'bintang', '']</t>
  </si>
  <si>
    <t>['aplikasinya', 'memuaskan']</t>
  </si>
  <si>
    <t>['jaringan', 'jelek', 'beli', 'paketan', 'mahal', 'romendasi', 'telkomsel', 'maaf', 'kali', 'sinyal', 'payah', '']</t>
  </si>
  <si>
    <t>['sumpah', 'udah', 'kemarin', 'tanggal', 'oktober', 'jaringan', 'xiaomi', 'redmi', 'note', 'sinyal', 'kunci', 'jaringan', 'sinyal', 'layanan', 'sinyal', '']</t>
  </si>
  <si>
    <t>['maaf', 'yaw', 'sel', 'skrg', 'lokasi', 'lokasi', 'koordinat', 'signalmu', 'chat', 'buka', 'status', 'susah', 'ampun', 'beli', 'paket', 'mahal', 'kali', 'jujur', 'chat', 'doang', 'perbaiki', '']</t>
  </si>
  <si>
    <t>['kacau', 'provider', 'telkomsel', 'beli', 'kuota', 'gede', 'maen', 'game', 'jaringannya', 'naek', 'turun', 'parah', 'kadang', 'clo', 'panas', 'jaringan', 'langsung', 'kecewa', 'posisi', 'diwilayah', 'jakarta', 'tangerang', 'sumsang', '']</t>
  </si>
  <si>
    <t>['tolong', 'perkuat', 'jaringannya', 'harga', 'perkuat', 'jaringan', 'lemot', 'kagak', 'nyaman']</t>
  </si>
  <si>
    <t>['membantu', 'hadiah', 'kuota', 'gratis', 'cek', 'dpat', 'kuota', 'geratis', 'murah', 'pembelian', 'kuota', '']</t>
  </si>
  <si>
    <t>['pdahal', 'kartu', 'udah', 'pilih', 'sbgai', 'kartu', 'pling', 'bagus', 'jaringannya', 'top', 'eeehh', 'mlah', 'slh', 'jaringanny', 'buruk', 'kacau', 'telkomsel', 'berita', 'pembodohan', 'berhari', 'tertulis', 'brita', 'sudh', 'normal', 'nytany', 'zonk', 'jringan', 'ttep', 'burukk', 'pra', 'pelanggan', 'penikmt', 'kartu', 'telkomsel', 'minggat', 'beralih', 'kartu', 'hddehh', 'kerjaan', 'numpuk', 'ajjhh', 'gara', 'jringn', 'internet', 'telkomsel', 'kunjung', 'stabill', '']</t>
  </si>
  <si>
    <t>['jelek', 'membeli', 'kuota', 'multimedia', 'unlimited', 'sosmed', 'membuka', 'sosmed', 'kuota', 'multimedia', 'berkurang', 'kuota', 'internet', 'berkurang', 'kecewa', '']</t>
  </si>
  <si>
    <t>['paraaah', 'telkomsel', 'internet', 'lemot', 'mah', 'udah', 'aneh', 'telkomsel', 'nyampe', 'udah', 'tlpn', 'sms', 'mah', 'udah', 'banget', '']</t>
  </si>
  <si>
    <t>['pas', 'donload', 'mah', 'suka', 'banget', 'dama', 'aplokasi', 'ngga', 'login', 'najis', 'nyesal', 'gue', 'donload', '']</t>
  </si>
  <si>
    <t>['jaringan', 'mulu', 'smp', 'sampe', 'kerja', 'suka', 'leg', 'parah', 'operator', 'telkomsel', 'memuaskan', '']</t>
  </si>
  <si>
    <t>['knpa', 'jaringannya', 'susah', 'isi', 'paket', 'mahal', 'kualitas', 'ngk', 'bagus', 'kesal', 'telkomsel', 'tolong', 'perbaiki', 'paket', 'doang', 'mahal', 'tlong', 'kualitas', 'stabilkan', 'pembeli', 'paket', 'dri', 'kartu']</t>
  </si>
  <si>
    <t>['telkom', 'poinnya', 'mending', 'kasih', 'tukar', 'tukar', 'pulsa', 'kuota', 'kaya', 'pajangan', 'doang', '']</t>
  </si>
  <si>
    <t>['dibuka', 'aplikasi', 'error', 'koneksi', 'jaringan', 'lancar', 'gagal', 'memuat']</t>
  </si>
  <si>
    <t>['mahal', 'pembayaran', 'kartu', 'halo', 'pakai', 'pakai', 'segitu', 'kartu', 'prabayar', 'kartu', 'sblmnya', 'prabayar', 'ajar', 'marketingnya', 'nawarin', 'via', 'tlp', 'prabayar', 'iming', 'iming', 'bayar', 'stelah', 'normal', 'anak', 'setan', '']</t>
  </si>
  <si>
    <t>['tolong', 'aplikasi', 'sesi', 'kasian', 'osnya', 'rendah', 'kadang', 'suka', 'masuk', 'temannya', 'aplikasi', 'kesini', 'aplikasi', 'mytelkomsel', 'suport', 'sekedar', 'maketkan', 'internet']</t>
  </si>
  <si>
    <t>['masak', 'pulsa', 'berkurang', 'hadeh', 'langganan', 'apapun', 'udah', 'banget', 'pulsa', 'berkurang', 'masak', 'udah', 'perusahaan', 'gede', 'kek', 'gini', 'pelanggan']</t>
  </si>
  <si>
    <t>['lokasi', 'sinyal', 'lemot', 'kecewa', 'main', 'game', 'tenang', 'buka', 'youtube', 'susah', 'senang', 'nonton', 'mohon', 'perbaiki']</t>
  </si>
  <si>
    <t>['beli', 'paket', 'mahal', 'beli', 'paket', 'data', 'perpanjang', 'aktif', 'habis', 'datanya', 'beli', 'tgl', 'okt', 'habis', 'dipake', 'sim', 'data', 'parahhh']</t>
  </si>
  <si>
    <t>['lumayan', 'bagus', 'skrg', 'jelek', 'pembaruan', 'jelek', '']</t>
  </si>
  <si>
    <t>['mahal', 'beli', 'kuota', 'telkomsel', 'nama', 'semoga', 'kedepannya', 'kasi', 'kuota', 'murah', 'unlimited']</t>
  </si>
  <si>
    <t>['', 'jrngn', 'knp', 'telkomsel', 'jaringn', 'lemot', 'mnt', 'ampn', 'blng', 'pkt', 'habis', 'msh', 'belasan', 'giga', 'tolong', 'behani', 'kasian', 'desa', 'snyl', 'sprti', 'terima', 'kasih', 'maaf', 'ksh', 'bintang', '']</t>
  </si>
  <si>
    <t>['telkomsel', 'bagus', 'jaringannya', 'buruk', 'krodit', 'memuaskan', 'pelanggan', 'seandainya', 'pengguna', 'jaringan', 'telkomsel', 'nilai', 'skor', 'nol', '']</t>
  </si>
  <si>
    <t>['aplikasi', 'bagus', 'sayang', 'isi', 'pulsa', 'blm', 'mengaktifkan', 'paket', 'pulsa', 'lngsng', 'kesedot', 'habis', 'pemakaian', 'kuota', 'konsumen', 'blm', 'mengaktifkan', 'paketnya', 'ambil', 'pulsa', 'utama', 'perbaiki', 'sistemnya', 'kebaikan', 'smua', 'transaksi', 'transfer', 'pulsa', 'aplikasi', 'ngrestar', 'trus']</t>
  </si>
  <si>
    <t>['pemakaian', 'halo', 'murah', 'pembelian', 'paket', 'data', 'takut', 'kehabisan', 'phlsa', 'kuota']</t>
  </si>
  <si>
    <t>['signal', 'berkurang', 'bintang', 'perubahan', 'bye', 'telkomsel', 'pelayananmu', 'harga', 'paketmu']</t>
  </si>
  <si>
    <t>['pelanggan', 'setia', 'telkomsel', 'kecewa', 'lokasi', 'kab', 'indra', 'giri', 'hilir', 'riau', 'pulau', 'burung', 'semenjak', 'kejadian', 'kebakaran', 'gedung', 'telkom', 'pekanbaru', 'jaringan', 'memprihatinkan', 'masyarakat', 'kecewa', 'masyarakat', 'beralih', 'kartu', 'mohon', 'ditindaklanjuti', 'serius', '']</t>
  </si>
  <si>
    <t>['gunanya', 'poin', 'isi', 'ulang', 'pulsa', 'menukarkannya', 'kuota', 'tolak', 'cepat', 'binasa', 'bangkrut', 'semangat', 'melayani', 'pelanggan', '']</t>
  </si>
  <si>
    <t>['aplikasi', 'nggak']</t>
  </si>
  <si>
    <t>['kasih', 'ceria', 'harga', 'kasih', 'bintang', 'okeeyyy', '']</t>
  </si>
  <si>
    <t>['kasi', 'promo', 'murah', 'perbulan', 'kasih', 'bintang', 'pul', '']</t>
  </si>
  <si>
    <t>['udh', 'langganan', 'promo', 'jelek', 'menguntungkan', 'kaya', 'kartu', 'paket', 'ribu', 'adil', 'telkomsel']</t>
  </si>
  <si>
    <t>['buka', 'apk', 'bug', 'buka', 'tulisan', 'huruf', 'mohon', 'telkomsel', 'dipermudah', 'masuk', 'apk', 'koneksi', 'jaringan', 'internet', 'bagus']</t>
  </si>
  <si>
    <t>['kecewa', 'telkomsel', 'sya', 'bertahun', 'pengguna', 'telkomsel', 'tlpon', 'ditawarkan', 'perubahan', 'kartu', 'halo', 'bayar', 'perbulan', 'jaringan', 'internet', 'lelet', 'diperbaiki', 'sinyal', 'cepat', 'wooy', 'aktif', 'kartu', 'halo', 'sinyal', 'parah', 'harap', 'bayar', 'gini', 'blokir', 'kartu', 'sya', 'gini', 'mah', 'nyaman', 'jaringan', 'internet', 'telkomsel', '']</t>
  </si>
  <si>
    <t>['jaringan', 'telk', 'msel', 'lem', 'ku', 'ta', 'buka', 'aplikasi', 'lamban', '']</t>
  </si>
  <si>
    <t>['woy', 'telkomsel', 'mohon', 'izin', 'top', 'kecewa', 'banget', 'pulsa', 'udh', 'bener', 'tolak', 'telkomsel', 'pulsa', 'mendadak', 'habis', 'kuota', 'habis', 'ribu', 'rugi', '']</t>
  </si>
  <si>
    <t>['isi', 'pulsa', 'promo', 'pulsa', 'diisi', 'promo', 'dihilangkan', 'maaf', 'ranting', 'turun', 'kecewa']</t>
  </si>
  <si>
    <t>['kalah', 'operator', 'tetangga', 'sebelah', 'telkomsel', 'basement', 'suka', 'sinyal', '']</t>
  </si>
  <si>
    <t>['maaf', 'karna', 'kasi', 'bintang', 'alasan', 'kasi', 'bintang', 'sebeb', 'aplikasinya', 'unutk', 'telkomsel', 'harga', 'paket', 'internetnya', 'mahal', 'kesini', 'harga', 'paket', 'namba', '']</t>
  </si>
  <si>
    <t>['masukan', 'mimin', 'tingkatkan', 'perihal', 'layanan', 'reaktivasi', 'kartu', 'sim', 'lakukan', 'online', 'pelanggan', 'grapari', 'kota', 'mah', 'gampang', 'grapari', 'coba', 'kampung', 'susah', 'min', '']</t>
  </si>
  <si>
    <t>['login', 'link', 'dibuka', 'expired', 'pakai', 'email', 'bingung', 'daftar', 'login', 'pakek', 'hape']</t>
  </si>
  <si>
    <t>['knpa', 'udah', 'berlangganan', 'kartu', 'telkomsel', 'dapet', 'paket', 'internet', 'murah', 'trus', 'beli', 'kartu', 'paketan', 'murah', 'gratis', 'internet', 'murah', '']</t>
  </si>
  <si>
    <t>['chat', 'veronika', 'kaku', 'kirain', 'balas', 'chat', 'langsung', 'orang', 'keluhan', 'masuk', 'dlam', 'telkomsel', 'berat', 'tata', 'desain', 'template', 'apk', 'sulit', 'fitur', 'fiturnya']</t>
  </si>
  <si>
    <t>['sinyalnya', 'ancur', 'parah', 'udah', 'diambil', 'alih', 'pemerintah', 'bagus', 'jaringannya', 'kota', 'hutan', 'mendingan', 'swasta', 'kelola']</t>
  </si>
  <si>
    <t>['pulsa', 'habis', 'sisanya', 'pdhl', 'ndak', 'nelpon', 'pulsa', 'gratis', 'nelp', '']</t>
  </si>
  <si>
    <t>['parah', 'telkomsel', 'upgred', 'susah', 'buka']</t>
  </si>
  <si>
    <t>['jaringan', 'telkomsel', 'kayak', 'taik', 'lelet', 'ampun', 'banget', 'stiap', 'kali', 'war', 'pubg', 'mati', 'medan', 'perang', 'sangking', 'lelet', 'ampun', 'jaringan', 'telkomsel', '']</t>
  </si>
  <si>
    <t>['iklannya', 'ngk', 'sesuai', 'permintaan', 'dpt', 'puluhan', 'paket', 'giga', 'bgtu', 'dibuka', 'ngk', 'buka', 'ngk', 'paket', 'dpt', 'gb', 'tlg', 'diadakan', 'full', 'bintang', '']</t>
  </si>
  <si>
    <t>['astaga', 'jaringanmu', 'gregetan', 'banget', 'ngedown', 'kadang', 'ilang', 'sinyalnya', 'buka', 'apk', 'butuh', 'jaringan', 'langsung', 'anjlok', 'cepet', 'panas', 'pakai', 'telkomsel', 'jaringanya', 'turun', 'jaringan', 'super', 'cepat', 'download', 'tembus', 'mb', 'mb', 'kb', 'udah', 'cepet', 'ayolah', 'provider', 'jaringan', 'why', '']</t>
  </si>
  <si>
    <t>['tambahkan', 'pencarian', 'app', 'mudah', 'pencarian', 'paket', 'internet']</t>
  </si>
  <si>
    <t>['', 'ksi', 'bintang', 'enak', 'klu', 'liat', 'data', 'bonus', 'tlpn', '']</t>
  </si>
  <si>
    <t>['drop', 'pemakaian', 'internetnya', 'briefing', 'internetnya', 'bagus', 'paket', 'daerah', 'perbalan', 'banyumeneng', 'demak']</t>
  </si>
  <si>
    <t>['parah', 'banget', 'jaringan', 'telkomsel', 'harga', 'paket', 'mahal', 'dibayar', 'jaringan', 'super', 'lemot', 'kedepan', 'stop', 'pakai', 'data', 'telkomsel', 'kalah', 'provider', 'lahir']</t>
  </si>
  <si>
    <t>['tolong', 'telkomsel', 'mengerti', 'situasi', 'skarang', 'anak', 'skolah', 'daring', 'harga', 'paket', 'internet', 'naikkan', 'makan', 'skolah', 'anak', 'harga', 'paket', 'perbulan', 'paket', 'tolong', 'pohak', 'oprator', 'ngerti', 'permohonana', 'hibungi', 'oprator', 'daerah', 'kuat', 'sinyal', 'telkomsel', 'jaringan', 'aini', 'bagus', 'mohon', 'pengertian']</t>
  </si>
  <si>
    <t>['update', 'aplikasi', 'sulit', 'menggeser', 'menu', 'kuota', 'halaman']</t>
  </si>
  <si>
    <t>['info', 'belanja', 'pulsa', 'internet', 'kuota', 'sayangnya', 'aplikasinya', 'kadang', 'lalod', 'terbuka', 'error', '']</t>
  </si>
  <si>
    <t>['menginstal', 'aplikasi', '']</t>
  </si>
  <si>
    <t>['harganya', 'mahal', 'sinyalnya', 'ngelag', 'mulu', 'astaga', 'maen', 'game', 'nyaman', 'dahlah', 'kesini', 'males', 'telkomsel']</t>
  </si>
  <si>
    <t>['proveder', 'udah', 'mahal', 'jaringan', 'kacau', 'kapasitas', 'sesuai', 'harga', 'mahal', 'murah', 'indosat', 'tree', 'baget', 'benerin', 'stabil', 'jaringan', 'mahal', 'itelkontolselit', 'itel', 'gawok', 'konthol', 'peli', 'selit', 'anus']</t>
  </si>
  <si>
    <t>['aplikasinya', 'bagus', 'kuasai', 'kode', 'deal', 'daftar', 'paket']</t>
  </si>
  <si>
    <t>['kukira', 'jaringan', 'sultan', 'jaringanyya', 'kaya', 'setan', '']</t>
  </si>
  <si>
    <t>['jaringan', 'hancur', 'puas', 'telkomsel', 'ngk', 'sesuai', 'harga', 'paket', 'mahal', '']</t>
  </si>
  <si>
    <t>['ngisi', 'pulsa', 'pulsa', 'nggak', 'masuk', 'saldo', 'kepotong', 'gimana', 'ceritanya', 'nggak', 'cocok', 'banget', 'keburu', 'buru', 'isi', 'ulang', 'fix', 'bug']</t>
  </si>
  <si>
    <t>['kecewa', 'pulsa', 'terpotong', 'cek', 'biaya', 'akses', 'internet', 'internet', 'off', 'paket', 'data', 'tetep', 'pulsa', 'terpotong', 'menghubungi', 'layanan', 'sarankan', 'menon', 'aktifkan', 'gprs', 'jeng', 'jeng', 'jeng', 'tetep', 'terpotong', 'motongnya', 'disiplin', 'segitu', 'telkomsel', 'emang', 'niat', 'memperbaikinya', 'emang', 'udah', 'nasib', 'konsumen', 'isone', 'mung', 'sambat', 'ganti', 'rugi', '']</t>
  </si>
  <si>
    <t>['tolong', 'diperbaiki', 'iklan', 'dihilangkan', 'tolong', 'diperbaiki', 'sekian', 'terima', 'kasih']</t>
  </si>
  <si>
    <t>['pembelian', 'pulsa', 'aplikasi', 'metode', 'shopeepay', 'dikirim', 'saldo', 'shopeepay', 'terpotong', '']</t>
  </si>
  <si>
    <t>['mengisi', 'pulsa', 'telkomsel', 'paket', 'data', 'isi', 'diisi', 'pulsa', 'berkurang', 'habis']</t>
  </si>
  <si>
    <t>['telkomsel', 'jahat', 'banget', 'nyesel', 'banget', 'beli', 'pulsa', 'diisi', 'promo', 'ilang', 'pas', 'diisi', 'langsung', 'ilang', 'sumpah', 'ikhlas', 'tolong', '']</t>
  </si>
  <si>
    <t>['telkomsel', 'idk', 'seindah', 'harapkan', 'isi', 'bayar', 'tgl', 'paket', 'data', 'ngk', 'pakai', 'pas', 'tgl', 'data', 'brati', 'ngk', 'makai', 'full']</t>
  </si>
  <si>
    <t>['suka', 'pakai', 'telkomsel', 'kecewa', 'beli', 'paket', 'whatsup', 'paket', 'aktif', 'pulsa', 'reguler', 'kesedot', 'habis', 'paket', 'beli', 'aktif', 'kenaoa', 'mengecewakan', '']</t>
  </si>
  <si>
    <t>['berhenti', 'berlangganan', 'gmn', 'aplikasi', 'pencet', 'berhenti', 'internet', 'unlimited', 'combo', 'saktinyanya', 'lemot', '']</t>
  </si>
  <si>
    <t>['nomor', 'kartu', 'silver', 'gold', 'silver', 'gb', 'harga', 'ribu', 'gb', 'harga', 'ribu', 'aplikasi', 'mytelkomsel', '']</t>
  </si>
  <si>
    <t>['beli', 'paket', 'kyak', 'paket', 'telkomsel', 'udh', 'beli', 'paket', 'mahal', 'dipakai', 'mohon', 'solusinya', 'kek', 'udh', 'capek', 'paket', 'youtube', 'ngk', 'ngk', 'baca', 'status', 'ngk', '']</t>
  </si>
  <si>
    <t>['telkomsel', 'bagus', '']</t>
  </si>
  <si>
    <t>['upgrade', 'simpati', 'hallo', 'ditawari', 'via', 'tlpn', 'upgrade', 'halo', 'kick', 'unlimited', 'via', 'tlpn', 'upgrade', 'grapari', 'sim', 'layanan', 'banking', 'kartu', 'simpati', 'enak', 'ganti', 'kartu', 'pesan', 'online', 'jaman', 'nggk', 'jaman', 'grapari', '']</t>
  </si>
  <si>
    <t>['nyaman', 'pakai', 'kartu', 'telkomsel', 'lemot', 'banget', 'kesal', 'perbaikin', 'orang', 'udah', 'beli', 'paket', 'mahal', 'jaringan', 'lelet', 'kayak', 'gini', 'ganti', 'provider']</t>
  </si>
  <si>
    <t>['', 'telfon', 'call', 'center', 'suruh', 'pindah', 'pasca', 'bayar', 'kartu', 'hallo', 'prioritas', 'prioritas', 'jaringan', 'lelet', 'harga', 'kuota', 'mahal', 'pas', 'balikin', 'kartu', 'prabayar', 'harga', 'kuota', 'telkomsel', 'berubah', 'mahal', 'combo', 'saktinya', 'parah', 'provider', 'sampah', '']</t>
  </si>
  <si>
    <t>['jaringan', 'internet', 'hilang', 'muncul', 'ilang', 'kayak', 'setan', 'harga', 'kuota', 'mahal', 'rakyat', 'menengah', 'kebawah', 'pokok', 'sinyalnya', 'kesel', '']</t>
  </si>
  <si>
    <t>['kali', 'buka', 'app', 'telkomsel', 'layar', 'mati', 'tampilan', 'gambar', 'mnunggu', 'bbrp', 'hlmn', 'utama', 'buka', 'app', 'telkomsel', 'berulang', 'meng', 'uninstal', 'instal', 'kmbli', 'masuk', 'kondisi', 'bgitu', 'isi', 'paket', 'sprti', 'harga', 'pakai', 'tersedia', 'harga', 'mhn', 'app', 'diperbaiki', 'min', 'hrga', 'mahal', 'deh', 'combo', 'kmn', '']</t>
  </si>
  <si>
    <t>['telkomsel', 'bosok', 'ngak', 'sinyal', 'udh', 'mahal', 'ngk', 'sinyal', '']</t>
  </si>
  <si>
    <t>['bagus', 'klau', 'promo', 'murah', 'lgi', 'daerah', 'indonesia', 'timur', '']</t>
  </si>
  <si>
    <t>['telkomsel', 'harga', 'kuota', 'harga', 'pejabat', 'mahal', 'banget', 'allah', 'turunin', 'harganya', 'gb', 'kartu', 'harganya', 'kaya', 'gini', 'susah', 'cari', 'uang', 'nyekolahin', 'tolong', 'turunin', 'harganya', 'keberatan', 'kuota', 'sekolah', 'perbulan', 'itung', 'udah', 'mahal']</t>
  </si>
  <si>
    <t>['bener', 'bener', 'parah', 'jaringan', 'telkomsel', 'jaringan', 'penuh', 'sinyal', 'parah', 'boong', 'gimana', 'puas', 'pelanggan', 'kayak', 'gini', 'jaringannya', 'parah', 'tolong', 'perbaiki', 'sinyalnya', 'emang', 'gangguan', 'tolong', 'diatasi', 'beli', 'kuota', 'mahal', 'ngak', 'puas', '']</t>
  </si>
  <si>
    <t>['ngga', 'mutu', 'mending', 'pakek', 'tsel', 'pengguna', 'kartu', 'halo', 'bayar', 'dipakek', 'gimana', 'dipakek', 'orang', 'sinyalnya', 'ngga', 'buka', 'status', 'muter', 'ngga', 'telkomsel', 'paket', 'data', 'sinyalnya', 'hilang', 'timbul', 'tolong', 'perbaiki', '']</t>
  </si>
  <si>
    <t>['logo', 'apk', 'telkomsel', 'serang', 'logo', 'apk', 'menarik', 'lebik', 'kerenan', 'logonya', 'kemaren', 'logo', '']</t>
  </si>
  <si>
    <t>['beli', 'paket', 'data', 'telkomsel', 'metode', 'pembayaran', 'shoope', 'paket', 'data', 'gagal', 'terima', 'pembayaran', 'berhasil', 'gagal', 'uang', 'hilang', 'kembalikan']</t>
  </si>
  <si>
    <t>['telkomsel', 'gmn', 'harga', 'kuota', 'beresin', 'jaringan', 'lelet', 'becus', 'mending', 'mati', 'merugikan', 'org', 'udah', 'berharap', 'jaringan', 'cepat', 'lelet', 'sumpah', 'telkomsel', 'bacot', 'mulu', 'ajnk', '']</t>
  </si>
  <si>
    <t>['dibandingkan', 'vendor', 'kayaknya', 'telkomsel', 'mahal', 'deh', 'data', 'tinjau', 'deh', '']</t>
  </si>
  <si>
    <t>['layanan', 'buruk', 'aplikasi', 'telkomsel', 'perbarui', 'giliran', 'udah', 'install', 'ulang', 'buka', 'kacau']</t>
  </si>
  <si>
    <t>['gua', 'tinggal', 'pusat', 'kota', 'kuota', 'jaringannya', 'lelet', 'banget', 'mati', 'hidup', 'jaringan', 'operator', 'normal', 'kaga', 'udah', 'gitu', 'kuotanya', 'mahal', 'mahal', 'ngambil', 'hadiah', 'check', 'pulsa', 'berdasarkan', 'pengalaman', 'udah', 'telkomsel', 'kecewa', 'banget', 'emak', 'teman', 'teman', 'online', 'nyaranin', 'diharapkan', '']</t>
  </si>
  <si>
    <t>['', 'dki', 'jakarta', 'tepatnya', 'jakarta', 'barat', 'jaringan', 'nge', 'game', 'sinyal', 'ampas', 'internet', 'khusus', 'game', 'regular', 'ampas', 'telkomsel', 'kawan', 'ganguan', 'kabel', 'laut', 'curhat', 'media', 'keluh', 'kesah', 'pengorbanan', 'teknisi', 'kabel', 'laut', 'ngaruh', 'sob', 'sumpah', 'resiko', 'bisnis', 'pekerjaan', 'alibi', 'gangguan', 'informasikan', 'maaf', 'customer', 'thx', '']</t>
  </si>
  <si>
    <t>['signal', 'stabil', 'depannya']</t>
  </si>
  <si>
    <t>['lumayanlah', 'klu', 'paket', 'paket', 'multimedia', 'pamer', 'kreator', 'buah', 'pikir', 'ujung', 'mempersulit', 'persulit', 'tuhan', 'karna', 'perbuatannya', 'hati', 'gkmain', 'buatlah', 'sistem', 'mutasi', 'paket', 'cerdas', 'memahami', 'arti', 'printer', 'logica', 'bodoh', 'sampah', 'manfaatnya', '']</t>
  </si>
  <si>
    <t>['pusat', 'bantuan', 'ngajar', 'emosi']</t>
  </si>
  <si>
    <t>['kali', 'pakai', 'aplikasi', 'jelek', 'login', 'cek', 'kuota', 'sms', 'disuruh', '']</t>
  </si>
  <si>
    <t>['telkomsel', 'udah', 'kaya', 'point', 'ditukarkan', 'pulsa', 'data', 'point', 'pulsa', 'penukaran', 'lumayan', 'bantu', 'ringangin', 'dana', 'kaya']</t>
  </si>
  <si>
    <t>['aplikasi', 'bagus', 'murah', 'bisaa', 'tolong', 'beli', 'pulsa', 'rbu', '']</t>
  </si>
  <si>
    <t>['hahahahahahahahahahahahahahahahahahahahahahahahahahahahahahahahahahahahhahahahahahahahahahahahahahahahhahahahahahahahaahahahahahahahahahhahahahahahahahahahahahahaahahahhahahaahahhahahahahahahahahahahahahahahahahahahahahahahahahahhahahahahahahahahahahahahahahahahahahhahahahahahahahahahhahahahahahahahahahahahahhahahahahahahahahahahahhahahahahahahahahahahahhahahahhahahahahahahahhahahahahahahahahahahahwhwhwhwhwhwhwhwwhwhahhaahahahhaahhahahahahahahahahahahahahahahhahahahahahahahahahahahahahahahahahah']</t>
  </si>
  <si>
    <t>['update', 'udah', 'kali', 'coba', 'ttp', 'knapa', '']</t>
  </si>
  <si>
    <t>['aplikasi', 'sampah', 'ngk', 'kasih', 'bintang', 'karenakan', 'menulis', 'ulasan', 'terpasa', 'kasih', 'bintang', 'aplikasi', 'ngk', 'merugikan', 'orang']</t>
  </si>
  <si>
    <t>['woi', 'telkom', 'gantiin', 'duit', 'gua', 'bintang', 'gua', 'main', 'game', 'online', 'gerak', 'gara', 'gara', 'leg', 'sinyal', 'beli', 'pulsa', 'ribu', 'ubah', 'kuota', 'ngapa', 'legggg', 'astaggaaaa', 'kesellll', 'guaaaaaa', 'sumpah', '']</t>
  </si>
  <si>
    <t>['jaringan', 'telkomsel', 'parah', 'kali', 'kacau', 'kali', 'paket', 'mahal', 'tolong', 'manajemen', 'telkomsel', 'perbaikilah', 'kualitasnya', 'masyarakat', 'percaya', 'berpindah', 'sim', 'card', '']</t>
  </si>
  <si>
    <t>['sinyal', 'telkomsel', 'jakarta', 'bogor', 'cepat', 'coba', '']</t>
  </si>
  <si>
    <t>['pelayanan', 'sistem', 'buruk', 'transaksi', 'pembelian', 'paket', 'telepon', 'komunikasi', 'terhambat', 'berkomunikasi', 'tagihan', 'bengkak', 'hati', 'hati', '']</t>
  </si>
  <si>
    <t>['mudah', 'sisa', 'pulsa', 'beli', 'paket', 'dll', 'sayangnya', 'aplikasinya', 'berat', 'ngabisin', 'quota']</t>
  </si>
  <si>
    <t>['lahhh', 'jaringan', 'kacau', 'browsing', 'ituu', 'lemot', 'kuota', 'kacu', '']</t>
  </si>
  <si>
    <t>['kesinih', 'jelek', 'signal', 'telkomsel', 'bagus', 'lemot', 'jaringan', 'data', 'burik', 'banget', 'jarak', 'rumah', 'tower', 'perbaiki', 'boos', 'pengen', 'laku', 'dagangan', 'penguna', 'meninggalkan', 'prodak', 'ooh', 'temen', 'lelet', 'lemot', 'jaringan', 'telkomsel']</t>
  </si>
  <si>
    <t>['assalammualaikum', 'terhormat', 'penguna', 'telkom', 'nyaman', 'eror', 'pas', 'ulangan', 'tunda', 'guru', 'tolong', 'perbaikin', 'bagus', 'kasian', 'udh', 'ngerjain', 'ulangan', 'ulang', 'gara', 'eror', 'telkom', 'tolong', 'perbaikin', '']</t>
  </si>
  <si>
    <t>['telkomsel', 'sehari', 'mengecewakan', 'sinyal', 'ancur', 'internetnya', 'tolong', 'hargai', 'costumer', 'kartu', 'telkomsel', 'tlong', 'hargai', 'costumer', 'mengecewakan']</t>
  </si>
  <si>
    <t>['tingkatkan', 'kwalitas', 'sinyal', 'menghubungkan', 'telp']</t>
  </si>
  <si>
    <t>['jelek', 'jaringannya', 'data', 'gb', 'lemot', '']</t>
  </si>
  <si>
    <t>['jaringan', 'kesini', 'buruk', 'jaringan', 'tolong', 'jaringan', 'perbaiki', 'udah', 'paketannya', 'jaringannya', 'buruk', 'dirugikan', 'sebagi', 'pengguna', 'telkomsel']</t>
  </si>
  <si>
    <t>['kepedulian', 'customer', 'pelanggan', 'telkomsel', 'berani', 'dlm', 'pandemi', 'covid', 'customer', 'dipedulikan', 'salam', 'sehat']</t>
  </si>
  <si>
    <t>['', 'cepat', 'panas', 'dipsang', 'aplikasi', 'boss', '']</t>
  </si>
  <si>
    <t>['tukar', 'poin', 'tinggal', 'daerah', 'pertukaran', 'poin', 'mengcover', 'fasilitas', 'daerah']</t>
  </si>
  <si>
    <t>['beli', 'kuota', 'mesti', 'buka', 'apalikasi', 'buka', 'aplikasi', 'musti', 'kuota', 'aplikasinya', 'gede', 'banget', '']</t>
  </si>
  <si>
    <t>['internet', 'kenceng', 'banget', 'sampe', 'gb', 'sebulan', 'udah', 'buresss', 'saking', 'kenceng', 'gua', 'suruh', 'beli', 'paket', 'teruss', 'ganti', 'tetangga', 'parah']</t>
  </si>
  <si>
    <t>['deh', 'ngisi', 'pulsa', 'telkomsel', 'kesedot', 'masi', 'hidupin', 'datanya', 'ilang', 'bener', 'ngerugiin', 'orang', 'kuota', 'boros', 'banget']</t>
  </si>
  <si>
    <t>['kecewa', 'banget', 'beli', 'paket', 'combo', 'sakti', 'pas', 'coba', 'pas', 'whats', 'app', 'pulsa', 'kepake', 'kuotanya', 'server', 'mytelkomsel', 'jelex', 'banget', 'gitu']</t>
  </si>
  <si>
    <t>['gimana', 'telkomsel', 'jaringan', 'kaga', 'becus', 'anjeng', 'anjeng', 'kuota', 'main', 'game', 'ngelag', '']</t>
  </si>
  <si>
    <t>['paket', 'darurat', 'jalan', 'terusan', 'pulsa', 'gue', 'diambil', 'trusss', 'minjem', 'pulsa', 'tpi', 'tagihh', 'teruss', 'isi', 'pulsa', 'ambil', 'separuhx', 'auto', 'buang', 'kartu']</t>
  </si>
  <si>
    <t>['kesini', 'harga', 'paket', 'mkin', 'mahal', 'contohnya', 'paket', 'combo', 'murahnya', 'dlu', 'ribu', 'ribu', 'kemaren', 'ribu', 'skrng', 'seribu', 'ngisi', 'pulsa', 'tdak', 'pulsa', 'pulsa', 'duit', 'terbatas', '']</t>
  </si>
  <si>
    <t>['bagus', 'mahal', 'banget', 'tuk', 'harga', 'paket', 'ternetnya', 'alhamdulillah', 'tunggal', 'kota', 'provider', 'bnyak', 'juh', 'hargnnya', 'tuk', 'sms', 'telp', 'gend', 'internet', 'rezeki', 'tetangga', 'sebelah', 'mudikk', '']</t>
  </si>
  <si>
    <t>['terkonek', 'aplikator', 'driver', 'gojek', 'udah', 'telkomsel', 'jaringan', 'lelet', 'geramlah', 'pokoknya']</t>
  </si>
  <si>
    <t>['membantu', 'order', 'pket', 'lwt', 'thanks', 'tsel', 'jaya', '']</t>
  </si>
  <si>
    <t>['', 'telkomsel', 'aplikasi', 'memudahkan', 'pengguna', 'anti', 'ribet', 'konter', 'dgan', 'telkomsel', 'terima', 'kasih']</t>
  </si>
  <si>
    <t>['knp', 'skrg', 'sinyal', 'kuat', 'telkomsel', 'dipegunungan', 'kuat', 'sinyalnya', 'skrg', 'ilang', 'ilangan', 'bgtu', 'sinyalnya']</t>
  </si>
  <si>
    <t>['perkembangan', 'mantap', 'cepat', 'mengaksesnya', 'cepat', 'transaksinya', 'bahasa', 'mudah', 'dipahami', 'mytelkomsel', 'terbaik', '']</t>
  </si>
  <si>
    <t>['kesini', 'parah', 'signal', 'harga', 'kuota', 'mahal', 'jaringan', 'parahhhhh', '']</t>
  </si>
  <si>
    <t>['aplikasi', 'mytelkomsel', 'bagus', 'paket', 'internet', 'habis', 'trus', 'sisa', 'pulsa', 'lgsg', 'disedot', 'sedot', 'sisa', 'pulsa', 'menghentikan', 'sedot', 'sisa', 'pulsa', '']</t>
  </si>
  <si>
    <t>['signalmu', 'buruk', 'telfon', 'whatsapp', 'putus', 'connecting', 'salah', 'paham', 'orang', 'telfon', 'download', 'seringkali', 'signalmu', 'stabil', '']</t>
  </si>
  <si>
    <t>['diakses', 'kuota', 'internet', 'memudahkan', 'pengguna', 'telkomsel', 'mengakses', 'fitur', 'gratis', '']</t>
  </si>
  <si>
    <t>['kambinggggg', 'telkomsel', 'sedot', 'pulsa', 'nagih', 'hutang', 'kuota', 'darurat', 'utang', 'bosssssss', 'ambil', 'paket', 'whhh', 'pulsa', 'habis', 'bayar', 'kuota', 'darurat', '']</t>
  </si>
  <si>
    <t>['sinyalnya', 'lambat']</t>
  </si>
  <si>
    <t>['susah', 'telkomsel', 'sinyal', 'susah', 'lelet', 'mahal']</t>
  </si>
  <si>
    <t>['assmlkm', 'knp', 'telkomsel', 'perumahan', 'puri', 'bojong', 'lestari', 'jln', 'bone', 'rw', 'blok', 'pabuaran', 'bojong', 'gede', 'sinyalnya', 'telkomsel', 'bagusan', 'indosat', 'dll', 'gimana', 'kartu', 'telkomsel', 'tlg', 'perbaiki', 'kesulitan', 'berkomunikasi', 'income']</t>
  </si>
  <si>
    <t>['parah', 'sinyal', 'intrnetnya', 'lelet', 'lemot', 'parah', 'banget', 'konsumen', 'telkomsel', 'kokmakkn', 'lelet', 'sinyal', 'intrnetnya', 'tolong', 'perbaikan', '']</t>
  </si>
  <si>
    <t>['good', 'job', 'telkomselnya', 'maaf', 'mewakili', 'pengguna', 'telkomsel', 'memaafkan', 'maaf', 'telkomsel', 'kereeennya', 'tolong', 'diperhatikan', 'keluhan', 'pelanggan', 'pelayanan', 'terbaik', '']</t>
  </si>
  <si>
    <t>['', 'telkomsel', 'promo', 'promo', 'menarik', 'usul', 'telkomsel', 'maunya', 'pengaturan', 'pilihan', 'paket', 'kuota', 'telkomsel', 'pengguna', 'terkadang', 'kecewa', 'contohnya', 'memiliki', 'paket', 'kuota', 'internet', 'dal', 'kuota', 'memilih', 'kuota', 'kuota', 'gb', 'terkuras', 'internet', 'gb', 'terpakai', 'rugi', 'komentar', 'usul', 'terbaik', 'dtp', 'gift']</t>
  </si>
  <si>
    <t>['penggunaan', 'kartu', 'hallo', 'rumah', 'wifi', 'speedy', 'kuota', 'kartu', 'hallo', 'sisa', 'rumah', 'kartu', 'hallo', 'membantu', 'koneksi', 'jaringan', 'bagus', 'kartu', 'hallo', 'paket', 'ambil', 'bonus', 'telepon', 'telkomsel', 'diluar', 'telkomsel', 'bonus', 'sms', 'jarang', 'dipakai', 'sms', '']</t>
  </si>
  <si>
    <t>['mytelkomsel', 'canggih', 'mantap', '']</t>
  </si>
  <si>
    <t>['pulsa', 'berkurang', 'pdhl', 'sms', 'nelfon', 'disayangkan', 'tsel', 'pulsa', 'pelanggan', 'berkurang', 'pencurian', 'pulsa']</t>
  </si>
  <si>
    <t>['harga', 'paketnya', 'mahal', 'mahal', 'kasihan', 'pengguna', 'menengah', 'kebawah', 'internet', 'sakti', 'combi', 'sakti', 'disediakan', 'pengguna', '']</t>
  </si>
  <si>
    <t>['memiliki', 'kuota', 'internet', 'lokal', 'berlaku', 'pkl', 'kuota', 'internet', 'berlaku', 'pkl', 'kuota', 'nonton', 'lokal', 'berlaku', 'pkl', 'cek', 'kuota', 'paket', 'mytelkomsel', 'tsel', 'info', 'tsel', 'aktif', '']</t>
  </si>
  <si>
    <t>['log', 'masuk', 'udah', 'verifikasi', 'pas', 'udah', 'ditekan', 'tombol', 'verifikasi', 'dibilang', 'maaf', 'invalid', 'maaf', 'kadarluasa', 'gimana', 'beli', 'paket', 'coba', 'pakai', 'aplikasi', '']</t>
  </si>
  <si>
    <t>['daftar', 'paket', 'gopay', 'ovo', 'udah', 'kepotong', 'transaksi', 'gagal', 'paket', 'masuk', 'refund']</t>
  </si>
  <si>
    <t>['data', 'internet', 'sinyalnya', 'hilang', 'tinggal', 'kota', 'tlg', 'perbarui', 'sinyalx', 'terima', 'kasih']</t>
  </si>
  <si>
    <t>['kakeane', 'dasar', 'aplikasi', 'penipu', 'milih', 'promo', 'rb', 'gb', 'dapatnya', 'gb', 'rincian', 'gb', 'gb', 'max', 'stream', 'doakan', 'semoga', 'engkau', 'penipu', 'keluarga', 'bahagia', 'dunia', 'menciun', 'bau', 'surga', 'aaamiin', 'alfatihah']</t>
  </si>
  <si>
    <t>['beli', 'paket', 'shopeepay', 'sampe', 'aktif', 'pemberitahuan', 'sistem', 'sibuk', 'gagal', 'uang', 'balikin', 'mah', 'engga', 'pembayaran', 'sukses', 'paket', 'aktif', 'najis']</t>
  </si>
  <si>
    <t>['telkomsel', 'mahal', 'lelet', 'signal', 'penjualan', 'paket', 'internet', 'lbh', 'mahal', 'operator', '']</t>
  </si>
  <si>
    <t>['mohon', 'krj', 'sma', 'telkomsel', 'skrag', 'sdkit', 'eror', 'jaringan', 'pencinta', 'telkomsel', 'bbrp', 'tidk', 'ketinggalan', 'telkomsel', 'trima', 'ksih']</t>
  </si>
  <si>
    <t>['jaringan', 'telkomsel', 'buruk', 'paket', 'serba', 'mahal', 'operator', 'mending', 'ganti', 'operator']</t>
  </si>
  <si>
    <t>['bro', 'aktivasi', 'paket', 'data', 'sulit', 'bener', 'bolak', 'jaringan', 'sibuk', 'mulu', 'aplikasi', 'sampe', 'coba', 'kode', 'tetep', 'awas', 'ntar', 'pulsa', 'ngurang', 'paket', 'ganti', 'kartu']</t>
  </si>
  <si>
    <t>['pindah', 'kartu', 'telkomsel', 'mahal', 'harga', 'kouta', 'murah', 'murah', 'jaringan', 'murah', 'goodbye', 'telkomsel']</t>
  </si>
  <si>
    <t>['tolong', 'paket', 'kuota', 'internet', 'murah', 'tambahkan', 'aplikasi', 'mytelkomsel', 'kaum', 'menengah', 'ituh', 'ajah', '']</t>
  </si>
  <si>
    <t>['jaringan', 'mentok', 'dibulan', 'oktober', 'kualitas', 'jaringan', 'internet', 'down', 'karuan', 'sinyal', 'kb', 'jangka']</t>
  </si>
  <si>
    <t>['skrng', 'jaringan', 'jam', 'malam', 'lemot', 'ngedownload', 'ampe', 'bacaannya', 'dlu', 'gni']</t>
  </si>
  <si>
    <t>['kuota', 'habis', 'aneh', 'banget', 'telkomsel', 'jelek', 'gini']</t>
  </si>
  <si>
    <t>['radem', 'poin', 'hadiah', 'semoga']</t>
  </si>
  <si>
    <t>['oooo', 'babi', 'mahal', 'belikan', 'kuota', 'internet', 'knapa', 'kualitasmu', 'memburuk', 'beliko', 'uang', 'anjinglah', 'kau', 'telkomsel', 'babilah', 'ambil', 'uang', 'pelanggan', 'ajah', 'kulitas', 'tdak', 'diperbaiki', 'sumpahin', 'sampe', 'tumbuh', 'ekormu', 'dibenciko', 'org', 'anjinggggg', 'telkomsel', '']</t>
  </si>
  <si>
    <t>['pulsa', 'rb', 'beli', 'paket', 'harga', 'rb', 'gabisa', 'pulsa', 'mencukupi', 'gimana', '']</t>
  </si>
  <si>
    <t>['udah', 'kasih', 'sedari', 'dlu', 'kesini', 'ancur', 'jaringan', 'kartu', 'sultan', 'ampas', 'jaringannya', 'kecewa', 'maaf', 'kurangi', '']</t>
  </si>
  <si>
    <t>['puas', 'jangkauan', 'sinyal', 'kuat', 'luas']</t>
  </si>
  <si>
    <t>['ganti', 'kartu', 'udah', 'bagus', 'telkomsel', 'sinyal', 'buruk', '']</t>
  </si>
  <si>
    <t>['kebanyakan', 'korupsi', 'bos', 'utamakan', 'kenyamanan', 'pelanggan', 'uda', 'beli', 'kuota', 'mahal', 'mahal', 'jaringan', 'super', 'lelet', 'nyaman', 'pelanggan', 'terserah', 'korupsi', 'milyar', 'warning', 'uang', 'gelap', 'memuaskan', 'hasrat', 'bos', 'uang', 'setan', 'dimakan', 'setan', '']</t>
  </si>
  <si>
    <t>['apk', 'aneh', 'tolol', 'heran', 'harga', 'kuota', 'paket', 'belajar', 'kelurga', 'ketengan', 'harikah', 'mahal', 'udh', 'gitu', 'kuotanya', 'cepat', 'bangt', 'kemakan', 'kartu', 'telkomsel', 'ambil', 'hadiah', 'bayar', 'pulsa', 'beli', 'kemakan', 'nyesel', 'pakek', 'kartu', 'teljom', 'pokonya', 'nyesallllllll', 'telkom', 'maunya', 'ambil', 'keuntungan', 'pas', 'isi', 'pulsa', 'blom', 'udah', 'kemakan', 'capek', 'pokoknya', '']</t>
  </si>
  <si>
    <t>['udah', 'mahal', 'lelet', 'pulak', 'sampe', 'hpku', 'kubanting', 'gegara', 'jaringan', 'kartu', 'diaktifkan', 'kampung', 'gabakal', 'kupake', 'telkomsel', 'bisanya', 'naikin', 'harga', 'paket', 'tower', 'kampung', 'bintang']</t>
  </si>
  <si>
    <t>['kecewa', 'telkomsel', 'sinyal', 'susah', 'daera', 'uda', 'hmpir', 'jt', 'ngisi', 'pulsa', 'perbulan', 'ngak', 'perna', 'kasi', 'sinyal', 'memadai', 'kuota', 'mahal', 'ngak', 'sinyal', 'bagus']</t>
  </si>
  <si>
    <t>['buka', 'aplikasi', 'daily', 'check', 'kuota', 'gratis', 'dapet', 'kuota', 'taunya', 'jaringannya', 'turun', 'habis', 'pulsa', 'kesedot', 'dahlah', 'kecewa', 'konsumen', 'senang', 'rugi']</t>
  </si>
  <si>
    <t>['kuota', 'habis', 'tanggal', 'oktober', 'habis', 'tanggal', 'oktober', 'rugi', 'susah', 'astagfirullah']</t>
  </si>
  <si>
    <t>['paket', 'internet', 'bagus', 'lumayan', 'jaringannya', 'kaya', 'pingin', 'banting', 'nonton', 'youtube', 'ama', 'tiktok', 'bagus', 'kalu', 'main', 'game', 'main', 'jaringannya', 'banting', 'sakit', 'kepala']</t>
  </si>
  <si>
    <t>['mahal', 'beli', 'paket', 'tsel', 'jaringan', 'kayak', 'bgsat', 'anjeeeng', 'warrr', 'kalah', '']</t>
  </si>
  <si>
    <t>['kecamatan', 'duripoku', 'kabupaten', 'pasangkayu', 'jaringan', 'error', 'terkadang', 'sdah', 'melaporkan', 'akun', 'media', 'sosial', 'telkomsel', 'sulawesi', 'gubris', 'telkomsel', 'ngk', 'pelayanan', 'kepastian', 'dsni', 'berpikir', 'mencari', 'operator', '']</t>
  </si>
  <si>
    <t>['saran', 'tolong', 'diperbarui', 'sistem', 'pemakaian', 'paket', 'internet', 'simpati', 'paketan', 'multimedia', 'chat', 'sosmed', 'game', 'berkurang', 'pas', 'dipake', 'fitur', 'chat', 'sosmed', 'game', 'nunggu', 'kuota', 'utama', 'habis', 'dipake', 'kasih', 'bintang', 'diperbarui', 'sistem', 'kasih', 'bintang', 'pengguna', 'simpati', 'kecewa', 'sistem', '']</t>
  </si>
  <si>
    <t>['knp', 'paket', 'combo', 'cuman', 'combo', 'gb', 'rb', 'skrg', 'gimana', 'min', '']</t>
  </si>
  <si>
    <t>['ngeselin', 'banget', 'jaringan', 'emosi', 'aplikasi', 'lancar', 'main', 'game', 'buruk', 'koneksinya', 'beli', 'mahal', 'jaringan', 'jelek', 'males', 'gink']</t>
  </si>
  <si>
    <t>['jirrrr', 'beli', 'data', 'mahal', 'mahal', 'lelet', 'ajubilaminjalik', 'lelet', 'ngelek', 'syank', 'kampung', 'telkomsel', 'doank', 'coba', 'kartu', 'normal', 'sinyal', 'perdanan', 'syankkan', 'kampung', 'telkomsel', 'doank', 'pingin', 'beralih', 'perdana', 'simpati', 'paket', 'mahal', 'beli', 'paket', 'ngelek', 'maen', 'game', '']</t>
  </si>
  <si>
    <t>['aplikasi', 'stabil', 'login', 'menyedot', 'pulsa', '']</t>
  </si>
  <si>
    <t>['pulsa', 'hilang', 'paket', 'data', 'nelpon', 'sms', 'pulsa', 'tersedot', 'emang', 'logis', 'telkomsel', 'kaya', 'jngn', 'korupsi', 'kek', 'gini', 'bos', '']</t>
  </si>
  <si>
    <t>['dijamin', 'gangguan', 'internet', 'telepon', 'seluler', 'telkomsel', '']</t>
  </si>
  <si>
    <t>['sinyalnya', 'susah', 'banget', 'ngedrop', 'parah', 'lambat', 'banget', '']</t>
  </si>
  <si>
    <t>['', 'telkomsel', 'mrmhon', 'brdoa', 'say', 'mndpatkn', 'unit', 'mobil', 'mngingikn', 'mobil', 'tlkomsel', 'memenang', 'sya', 'allah', 'akn', 'brnjnji', 'akn', 'mnjdi', 'plangan', 'setia', 'tlkomsel', 'aminnn', 'allh', 'smnga', 'mnang', 'mndptkn', 'hadiah']</t>
  </si>
  <si>
    <t>['berdoa', 'semoga', 'telkomsel', 'bangkrut', 'trs', 'diganti', 'telkomsel', 'lelet', 'aamiiinnnn', '']</t>
  </si>
  <si>
    <t>['sedih', 'telkomsel', 'pengguna', 'serba', 'mahal', 'jaringan', 'susah', 'desa', 'desa', 'pedalaman', 'tower', 'towernya', 'bangkai', 'berguna', 'keluarga', 'pengguna', 'setia', 'telkomsel', 'keluhan', 'telkomsel', 'santai', 'kalah', 'berharap', 'telkomsel', 'tanggapan', 'respon', 'telkomsel', 'lambat', '']</t>
  </si>
  <si>
    <t>['selamat', 'malam', 'stelkomsel', 'mintak', 'tolong', 'cepat', 'perbaiki', 'internet', 'time', 'pagawai', 'senang', 'memproses', 'rusakan', 'hack', 'mohon', 'maaf', 'cepat', 'melaksanakan', 'memperbaiki', 'proses', 'mending', 'internet', 'semoga', 'gedong', 'stelkomsel', 'kebakaran', 'aamiin']</t>
  </si>
  <si>
    <t>['lemot', 'beli', 'kuota', 'lemot', 'kecepatan', 'kb', 'beli', 'kuota', 'gb', 'lemot', 'parah', '']</t>
  </si>
  <si>
    <t>['bintang', 'layanan', 'jaringan', 'mengecewakan', 'sinyal', 'zonk', 'harga', 'mahal', 'pakai', 'telkomsel', 'udah', 'kartu', 'kerja', 'brooooo', 'pemakaian', 'sudh', 'ganti', 'mohon', 'sinyal', 'diperbaiki', 'mengecewakan', 'kamprreeeettt']</t>
  </si>
  <si>
    <t>['telkomsel', 'gangguan', 'yaa', 'beli', 'paket', 'beli', 'beli', 'bilangnya', 'mohon', 'maaf', 'pembelian', 'produk', 'download', 'aplikasi', 'mytelkomsel', 'bilangnya', 'maaf', 'gangguan', 'sistem', '']</t>
  </si>
  <si>
    <t>['sinyal', 'secepat', 'pelanggan', 'nambah', 'naikin', 'kualitas', 'layanan', 'pindah', 'operator', '']</t>
  </si>
  <si>
    <t>['sebulan', 'parah', 'koneksi', 'internet', 'sok', 'jaringan', 'jaringan', 'kacau', 'balau', 'mimpi', 'sanggup', 'dipaksakan', 'beresin', '']</t>
  </si>
  <si>
    <t>['harga', 'paket', 'udh', 'harga', 'konsumen', 'sesuai', 'hasil', 'sinyal', 'lelet', 'banget', 'hujan', 'angin', 'sinyal', 'hilang', 'lelet', 'kota', 'leletnya', 'ampun', 'konsumen', 'komplain', 'kecewa']</t>
  </si>
  <si>
    <t>['ampun', 'lihat', 'jaringan', 'telkomsel', 'parah', 'tolong', 'jaga', 'konsumen', 'jaringan', 'super', 'lelet', 'isi', 'paket', 'buka', 'inbox', 'mode', 'pasawat', 'aktifkan', 'masuk', 'inbox', 'kecewa', 'baget', 'pindah', '']</t>
  </si>
  <si>
    <t>['jaringan', 'telkomsel', 'provider', 'murahan', 'mengalami', 'gangguan', 'tolong', 'kembalikan', 'kenyamanan', 'pelanggan', 'setia', 'telkomsel', 'mengakses', 'jaringan', 'internet', 'dimanapun', 'kendala', '']</t>
  </si>
  <si>
    <t>['masuk', 'tdak', 'beli', 'paket', 'dicpot', 'pmsangan', 'download', 'ulang', 'haduh', 'knapa', 'telkomsel', '']</t>
  </si>
  <si>
    <t>['jaringan', 'telkomsel', 'main', 'game', 'buka', 'sosmed', 'hilang', 'jaringan', 'tolong', 'diperbaiki', '']</t>
  </si>
  <si>
    <t>['kemarin', 'beli', 'paket', 'mytelkomsel', 'pemberitahuan', 'gangguan', 'system', 'cobalah', 'menit', 'udah', 'berhari', '']</t>
  </si>
  <si>
    <t>['jaringan', 'telkomsel', 'kadang', 'lelet', 'banget', 'main', 'game', 'mohon', 'telkomsel', 'optimalkan', 'jaringannya', '']</t>
  </si>
  <si>
    <t>['pengguna', 'telkomsel', 'telkomsel', 'bagus', 'banget']</t>
  </si>
  <si>
    <t>['kecewa', 'maketin', 'data', 'udah', 'jam', 'susah', 'ganti', 'kartu', 'pakai', 'kartu', 'produk']</t>
  </si>
  <si>
    <t>['uprade', 'kartu', 'sakti', 'hilang', 'aduuuuh', 'trik', 'indonesia', '']</t>
  </si>
  <si>
    <t>['susah', 'jaringan', 'lemot', 'harga', 'mahal', 'sesuai', 'ekspetasi', 'terima', 'kasih', 'good', 'bye', 'telkomsel', 'berpaling', 'axiisss', 'terima', 'kasih', '']</t>
  </si>
  <si>
    <t>['kyanya', 'aplikasi', 'susah', 'buka', 'bagus', 'performanya', 'alias', 'kentang', 'karna', 'buka', 'aplikasi', 'ngulang', 'kali', 'kebuka', 'paket', 'data', 'mohon', 'kasih', 'promo', 'karna', 'sulit', 'alias', 'pandemi', 'klw', 'isi', 'pulsa', 'slalu', 'kemakan', 'pulsanya', 'alias', 'pulsanya', 'slalu', 'berkurang', 'mohon', 'solusinya', 'telkomsel', 'keluhan', 'pelanggannya', '']</t>
  </si>
  <si>
    <t>['', 'jelek', 'main', 'game', 'ganti', 'leg', 'lose', 'koneksi']</t>
  </si>
  <si>
    <t>['tolonglah', 'sakit', 'kepala', 'orang', 'cerita', 'ngirim', 'cht', 'nga', 'telfon', 'nga', 'ngirim', 'cht', 'kirim', 'sampe', 'minggu', 'jaringan', 'atw']</t>
  </si>
  <si>
    <t>['jaringan', 'stabil', 'paket', 'murah', 'kecepatan', 'jaringan', 'mendukung', 'bermain', 'game', 'nonton', 'youtube', 'streaming', 'pokoknya', 'puas', '']</t>
  </si>
  <si>
    <t>['telkomsel', 'harga', 'paket', 'mahaalll', 'harga', 'masuk', 'akal', 'biaya', 'tambahan', 'beli', 'paket', 'lintah', 'darat', '']</t>
  </si>
  <si>
    <t>['mohon', 'harga', 'paket', 'datanya', 'menyesuaikan', 'harga', 'paket', 'data', 'jaringan', 'seluler', 'terjangkau', 'diwilayah', '']</t>
  </si>
  <si>
    <t>['beli', 'pulsa', 'jadikn', 'kuota', 'pembayaran', 'berhasil', 'cek', 'pulsa', 'sisa', 'masi', 'memiliki', 'kuota', 'internet', 'mb', 'kuota', 'multi', 'media', 'gb', 'rugikan', '']</t>
  </si>
  <si>
    <t>['tukar', 'poin', 'gampang', 'banget', 'tukar', 'point', 'poin', 'poin', 'cobalah', 'ente', 'seribu', 'poin', 'tukar', 'undian', 'poin', 'poin', 'sampe', 'tua', 'selesai', 'tukar', 'swmua', 'poin', 'semoga', 'kedepan', 'telkomsel', 'cerdas', '']</t>
  </si>
  <si>
    <t>['aplikasinya', 'berat', 'lambat', 'jaringannya', 'suka', 'suka', 'pokoknya', 'jeleklah', 'pulsanya', 'habis', 'terpakai', '']</t>
  </si>
  <si>
    <t>['berguna', '']</t>
  </si>
  <si>
    <t>['huuuuu', 'paketan', 'mahal', 'murah', 'hri', 'berubah', 'promo', 'gitu', 'murah', 'atw', 'kuota', 'anti', 'hangus', 'dunk', 'kaya', 'toko', 'sebelah', '']</t>
  </si>
  <si>
    <t>['kali', 'berterima', 'kasih', 'pembayaran', 'kewajiban', 'tanggungan', 'tagihan', 'pra', 'bayar', 'paket', 'kartu', 'halo', 'koneksi', 'internet', 'terhenti', 'sebelumya', '']</t>
  </si>
  <si>
    <t>['updte', 'paket', 'geme', 'silver', 'harga', 'pas', 'bli', 'ngisi', 'geme', 'tolong', 'perbaiki', 'penjualan', 'pls', 'pkt', 'lbh', 'mudah', 'mausk', '']</t>
  </si>
  <si>
    <t>['paket', 'internet', 'paket', 'telpon', 'mahal', 'telkom', 'paket', 'terjangkau', 'mesti', 'membedakan', 'nomor', 'telpon', 'paket', 'kartu', 'cenderung', 'paket', 'murah', 'terjangkau', 'terimkasih', 'mohon', 'perhatiannya', '']</t>
  </si>
  <si>
    <t>['paket', 'internet', 'udah', 'aktif', 'semingguan', 'kepotong', 'pulsanya', 'terpakai', 'data', 'kali', 'anehnya', 'ibuk', 'mengalami', 'kecewa', '']</t>
  </si>
  <si>
    <t>['maaf', 'kasih', 'bintang', 'soalx', 'ndk', 'jaringannya', 'tagihan', 'jalan', 'blm', 'berpa', 'bayar', 'tagihan', 'kuota', 'internet', 'habis', 'butuh', 'internet', 'pengen', 'nangis', 'kartuq', 'aktif', 'krna', 'tolong', 'kasih', 'solusinya', 'donk', 'kasian', 'pengguna', 'kyg', 'gni', '']</t>
  </si>
  <si>
    <t>['kasih', 'bintang', 'mohon', 'telkomsel', 'jaringan', 'perbaiki', 'rumah', 'sinyal', 'lemot', 'banget', 'kenceng', 'doang']</t>
  </si>
  <si>
    <t>['tamak', 'banget', 'nggak', 'provider', 'sebelah', 'pulsa', 'nggak', 'kesedot', 'lupa', 'matikan', 'paket', 'data']</t>
  </si>
  <si>
    <t>['kacau', 'barusan', 'perbarui', 'pas', 'masuk', 'tulisan', 'perbarui', '']</t>
  </si>
  <si>
    <t>['kasih', 'bintang', 'dlu', 'ntar', 'udh', 'tanggapi', 'sya', 'kasih', 'bintang', 'jdi', 'gini', 'min', 'sya', 'belli', 'pulsa', 'unk', 'daftar', 'paket', 'telpon', 'unlimited', 'minggu', 'jdi', 'sisa', 'pulsa', 'sya', 'tpi', 'knp', 'pas', 'abis', 'paket', 'hbis', 'pulsaku', 'paket', 'telpon', 'paket', 'internet', 'paket', 'sms', 'tpi', 'knp', 'habis', 'jdi', 'saran', 'sya', 'gini', 'mending', 'app', 'kasih', 'mode', 'kunci', 'pulsa', 'kayak', 'applikasi', 'axisnet', 'jdi', 'paket', 'habis', 'pulsa', 'aman', 'sedot', 'mudah', 'cptlah', 'perbaiki', '']</t>
  </si>
  <si>
    <t>['jaringan', 'lelet', 'telkomsel', 'tukar', 'poin', 'pengundian', 'sesuai', 'tanggal', '']</t>
  </si>
  <si>
    <t>['kecewa', 'jaringan', 'telkomsel', 'udah', 'mahal', 'lemot', 'lgi', 'stabil', 'banget', 'untung', 'pke', 'lgi', 'bagus', 'ketimbang', 'telkomsel', 'mahal', 'lemot', 'kayak', 'cacing', '']</t>
  </si>
  <si>
    <t>['menang', 'setia', 'undi', 'point', 'setia', 'telkomsel']</t>
  </si>
  <si>
    <t>['mohon', 'tingkatkan', 'jaringan', 'telkomsel', 'daerah', 'khusus', 'karya', 'jitu', 'tuba', 'lampung']</t>
  </si>
  <si>
    <t>['admin', 'tolong', 'lelet', 'buka', 'aplikasi', 'telkomsel', 'buka', 'aplikasi', 'cepat', 'kau', 'telkomsel', '']</t>
  </si>
  <si>
    <t>['login', 'buka', 'lancar', 'slsai', 'buka', 'knp', 'hrus', 'hpus', 'data', 'dlu', 'bru', 'log', 'bru', 'gimana']</t>
  </si>
  <si>
    <t>['telkomsel', 'salam', 'desa', 'tapal', 'batas', 'belu', 'ntt', '']</t>
  </si>
  <si>
    <t>['susah', 'masuk', 'aplikasi', 'verivikasi', 'ulang', 'semudah', 'menurun', 'kwalitas', 'pelayanannya', '']</t>
  </si>
  <si>
    <t>['gmn', 'jaringannya', 'lelet', 'nonton', 'lelet', 'main', 'game', 'minus', 'alias', 'tolong', 'telkomsel', 'perbaiki', 'jaringannya', 'tingkatkan', 'jaringannya', 'kasih', 'bintang', 'ntar', 'udh', 'bagus', 'kasih', '']</t>
  </si>
  <si>
    <t>['lumayan', 'kecewa', 'telkomsel', 'kesini', 'down', 'banget', 'mohon', 'bersangkutan', 'harap', 'memperbaiki', 'jaringan', 'perwakilan', 'lampung', 'selatan']</t>
  </si>
  <si>
    <t>['unlimited', 'sosmed', 'game', 'music', 'giliran', 'cobain', 'ngga', 'tetep', 'beli', 'kuota', 'tambahan', 'rese', 'udah', 'mahal', 'jaringan', 'lemot', 'rugi', 'bandar']</t>
  </si>
  <si>
    <t>['', 'biarin', 'ngelunjak', 'telkomsel', 'harga', 'paket', 'data', 'internet', 'udah', 'mahal', 'koneksi', 'internet', 'lancar', 'jaringan', 'mohon', 'kesadarannya', 'telkomsel', 'lokasi', 'pedalaman', 'jaringan', 'jelek', 'hilang', 'wajar', 'lokasi', 'kota', 'jaringan', 'hilang', 'mulu', 'udah', 'kayak', 'cewek', 'kasih', 'harapan', 'menghilang', 'telkomsel', 'mengatasi', 'jaringan', 'cewek', 'kali', '']</t>
  </si>
  <si>
    <t>['login', 'akun', 'media', 'sosial', 'kode', 'verifikasi', 'sms', '']</t>
  </si>
  <si>
    <t>['', 'bgus', 'jaringan', 'internet', 'telkomsel', 'kecamatan', 'pinggir', 'kabupaten', 'bengkalis', 'provinsi', 'riau', 'dipakai', 'klian', 'memperbaiki', 'jaringan', 'klian', 'buruk', 'jaringan', 'klian']</t>
  </si>
  <si>
    <t>['nice', 'sembari', 'menunggu', 'jaringan', 'nice', 'telkomsel', 'undian', 'mingguan', 'bulanannya', 'kasih', 'bintang', '']</t>
  </si>
  <si>
    <t>['gratis', 'hotstar', 'udah', 'log', 'nomer', 'tsel', 'paket', 'gratisnya', 'tetep', 'nonton', 'penipuan']</t>
  </si>
  <si>
    <t>['tengok', 'telkomsel', 'mijak', 'paket', 'naikan', 'harganya', 'paket', 'gb', 'sminggu', 'naikan', 'gb', 'jaringan', 'parah', 'pindah', 'haluan', 'sel', 'inget', 'make', 'telkomsel', 'sempak', 'klen', '']</t>
  </si>
  <si>
    <t>['aplikasinnya', 'ngebag', 'beli', 'kartu', 'september', 'sya', 'beli', 'pulsa', 'internet', 'sms', 'masuk', 'mai', 'telkomsel', 'pulsa', 'internet', 'tetep', 'kosong', 'tolong', 'perbaiki', '']</t>
  </si>
  <si>
    <t>['aplikasi', 'beli', 'paket', 'darurat', 'mb', 'pulsa', 'potong', 'isi', 'ulang', 'sbg', 'bayaran', 'trus', 'pulsa', 'habis', 'beli', 'paket', 'darurat', 'tllllllol']</t>
  </si>
  <si>
    <t>['membeli', 'kuota', 'proses', 'aktisivasi', 'semalam', 'jam', 'jam', 'pembelian', 'kuota', 'kunjung', 'berhasil']</t>
  </si>
  <si>
    <t>['telkomsel', 'bermasalah', 'harga', 'paket', 'mahal', 'jaringan', 'mutu', 'harga', 'dikeluarkan', 'beli', 'paket', 'sesuai', 'kepuasan', 'dapatkan', 'harga', 'paket', 'mahal', 'perbaiki', 'jaringannya', 'jaringan', 'burik', '']</t>
  </si>
  <si>
    <t>['mudah', 'signal', 'gangguan', 'dimanapun', 'beraktifitas', 'sukses', 'mytelkomsel', 'mytelkomsel', 'tangguh', 'mytelkomsel', 'pilihanku', 'salam', 'frekwensi']</t>
  </si>
  <si>
    <t>['kemarin', 'gua', 'kasih', 'bintang', 'skrg', 'sisa', 'bintang', 'jaringan', 'buruk', 'mahal', 'good', 'bye', 'telkomsel', '']</t>
  </si>
  <si>
    <t>['beli', 'paket', 'internet', 'telpon', 'sesuai', 'bulanan', 'mingguan', 'telkomsel', 'pas', 'beli', 'minggu']</t>
  </si>
  <si>
    <t>['sinyalnya', 'buruk', 'udh', 'kartu', 'halo', 'kualitas', 'memburuk', '']</t>
  </si>
  <si>
    <t>['koq', 'telkomsel', 'buka', 'minsay', '']</t>
  </si>
  <si>
    <t>['aplikasi', 'buruk', 'sinyal', 'buruk', 'apl', 'dibuka', 'sinyal', 'telkomsel', 'pulsa', 'habis', 'notifikasi', 'lambat', 'spam']</t>
  </si>
  <si>
    <t>['lepas', 'pakai', 'telkomsel', 'pakai', 'coba', 'bedanya', 'parah', 'hubungi', 'perbaikan', 'parah', 'jaringannya', 'kecewa', 'pakai', 'telkomsel', 'tinggal', 'kota', 'saran', 'beli', 'telkomsel', 'lemot', 'udah', 'hubungi', 'belom', 'selesai', 'mending', 'ganti', 'kartu', '']</t>
  </si>
  <si>
    <t>['isi', 'pulsa', 'belom', 'menit', 'udah', 'habis', 'pakek', 'apk', 'tolong', 'bener', 'apk', 'sedot', 'trs', 'pulsa', 'apk', 'busuk']</t>
  </si>
  <si>
    <t>['upgrade', 'paket', 'kartu', 'halo', 'sinyalnya', 'jelekkkkkk', 'gimana', 'telkomsel', 'kecewa']</t>
  </si>
  <si>
    <t>['', 'ampun', 'telkomsel', 'knapa', 'suka', 'malingin', 'pulsa', 'org', 'udah', 'kebangetan', 'maling', 'pulsanya', 'udah', 'pulsa', 'dpotong', 'pdhal', 'kuota', 'internet', 'wkwkwkwkwkwk', 'telkomsial', 'pulsa', 'ngapain', 'dsedotin', 'pelan', 'gtu', 'connect', 'internet', 'ngga', 'telkomsel', 'provider', 'maling', '']</t>
  </si>
  <si>
    <t>['terkadang', 'susah', 'masuk']</t>
  </si>
  <si>
    <t>['telkomsel', 'sinyalnya', 'udah', 'stabil', 'udah', 'parah', 'mah', 'paket', 'quota', 'udah', 'beli', 'mahal', '']</t>
  </si>
  <si>
    <t>['telkomsel', 'babii', 'pelanggan', 'bos', 'kuota', 'data', 'ngambil', 'pulsa', 'mulu', 'rugi', 'gitu', 'mulu']</t>
  </si>
  <si>
    <t>['telkomsel', 'mahal', 'paket', 'internet', 'nyah', 'kecewa', 'menu', 'stop', 'internet', 'udh', 'abis', 'kuota', 'langsung', 'rakus', 'makan', 'pulsa', 'tolong', 'perhatikan', '']</t>
  </si>
  <si>
    <t>['telkomsel', 'taik', 'jaringan', 'internetan', 'buka', 'playstore', 'game', 'online', 'auto', 'pensi', 'main', 'game', 'online', 'kampung', 'pilih', 'kasih', 'jaringan', 'kota', 'perhatiin', 'pedesaan', 'terlantarkan']</t>
  </si>
  <si>
    <t>['telkomsel', 'parah', 'jaringan', 'lemottt', 'mahal', 'kualitas', 'jelek', 'maaf', 'turunkan', 'bintang', 'mending', 'provaider', 'sebelah', 'dikata', 'provaider', 'kalangan', 'anak', 'abg', 'sma', 'jaringan', 'stabil', 'lancar']</t>
  </si>
  <si>
    <t>['sinyal', 'hilang', 'timbul', 'mulu', 'paket', 'internet', 'khusus', 'sinyal', 'hilang', 'kemakan', 'deh', 'pulsa', 'saran', 'aplikasi', 'kunci', 'paket', 'internet', 'habis', 'sinyal', 'hilang', 'temakan', 'pulsa', 'aplikasi', 'sebelah', 'axis', 'konsumen', 'rugi', '']</t>
  </si>
  <si>
    <t>['telkomsel', 'skrang', 'jaringan', 'kek', 'siput', 'aplagi', 'main', 'game', 'parahhhh', 'bentar', 'lelet', 'bentar', 'lelet', 'coba', 'down', 'telkomsel', 'jaman', 'telkomsel', 'karna', 'jaringan', 'cepet', 'ehh', 'skrang', 'lemot', 'mulu', 'perbaiki', 'jaringan', 'internet', 'mahalny', 'kasih', 'bibtang', 'telkomsel', 'skrang', 'berhenti', 'telkomsel', '']</t>
  </si>
  <si>
    <t>['memiliki', 'kendala', 'pembelian', 'paket', 'internet', 'kendala', 'pelayanannya', 'ramah', 'membantu', 'bintang', '']</t>
  </si>
  <si>
    <t>['tolong', 'kuota', 'gamemax', 'pakai', 'update', 'mobile', 'legend', 'tetep', 'pakai']</t>
  </si>
  <si>
    <t>['paket', 'mahal', 'sinyal', 'pas', 'kuota', 'abisa', 'pulsa', 'sedot', 'tahan', 'kuota', 'udh', 'habis', 'merugikan', 'pelanggan', 'gini', 'ganti', 'kartu', 'pas', 'isi', 'paket', 'combo', 'sakti', 'pas', 'isi', 'udh', 'ilang', 'beli', 'paket', 'susah', 'ngabisin', 'pulsa', 'doang']</t>
  </si>
  <si>
    <t>['gini', 'keluhan', 'gua', 'pulsa', 'gua', 'ngutang', 'gua', 'udah', 'isi', 'data', 'gb', 'trus', 'sisa', 'pas', 'paginya', 'pulsa', 'gua', 'gitu', 'ngambil', 'pulsa', 'data', 'mash', 'tolong', 'atur', 'bang', 'gua', 'udh', 'simpan', 'pulsa', 'gara', 'teruras']</t>
  </si>
  <si>
    <t>['memakai', 'pulsa', 'rp', 'akses', 'internet', 'non', 'paket', 'mksud', 'nyaa', 'data', 'gua', 'gua', 'hidupin', 'tapih', 'pulsa', 'gua', 'kesedot', 'udah', 'maling', 'telkomsel', 'udah', 'bangkrut', 'tutup', 'boss', 'meresahkan', 'masyarakat', '']</t>
  </si>
  <si>
    <t>['parah', 'telkomsel', 'menawarkan', 'migrasi', 'kartu', 'halo', 'prabayar', 'pascabayar', 'memberitahu', 'prabayar', 'migrasi', 'nyesal', 'migrasi', 'ganti', 'kartu', 'nomor', 'tsb', 'karna', 'keluarga', 'nyimpan', 'nomor', 'solusi', 'terbaik', 'telkomsel', 'maunya', 'untung', 'brengsek']</t>
  </si>
  <si>
    <t>['bgtu', 'nge', 'lag', 'ganti', 'kartu', 'kuota', 'mahal', 'doang', 'pale', 'cih']</t>
  </si>
  <si>
    <t>['kuota', 'mahal', 'banget', 'beli', 'kouta', 'mahal', 'skg', 'pny', 'penghasilan', 'masuk', 'kebeli', 'kuota', 'kartu', 'telkomsel', 'terpaksa', 'cari', 'provider', 'jatuh', 'cinta', 'banget', 'telkomsel', 'gmn', '']</t>
  </si>
  <si>
    <t>['gajelas', 'devep', 'jual', 'paket', 'gapernah', 'murah', 'sekalinya', 'murah', 'sengaja', 'ngejump', 'sinyalnya', 'pengguna', 'old', 'milih', 'pindah', 'layanan', '']</t>
  </si>
  <si>
    <t>['aplikasi', 'bangke', 'dibuka', 'gabisa', 'setelelah', 'update']</t>
  </si>
  <si>
    <t>['jaringan', 'telkomsel', 'lambat', 'lemot', 'bintang', 'kurangi', '']</t>
  </si>
  <si>
    <t>['download', 'login', 'eeh', 'udah', 'error', 'duluan', 'nomer', 'sinyal', 'lancar', 'solusi', 'min', '']</t>
  </si>
  <si>
    <t>['halo', 'kaka', 'internet', 'semalam', 'ngga', 'pakee', 'whay', 'erorkah', 'tolong', 'perbaiki', 'secepatnyaaa', '']</t>
  </si>
  <si>
    <t>['pembayaran', 'mytelkomsel', 'linkaja', '']</t>
  </si>
  <si>
    <t>['pulsa', 'hilang', 'menggunakanya', '']</t>
  </si>
  <si>
    <t>['maaf', 'beli', 'paket', 'nelpon', 'gratis', 'harga', 'rb', 'knp', 'beli', 'jam', 'sore', 'jam', 'mlm', 'diblokir', 'kouta', 'nelpon', 'gratis', 'tolong', 'bantuannya', '']</t>
  </si>
  <si>
    <t>['harga', 'mahal', 'pelayanan', 'lambat', 'gangguan', 'segini', 'pekerjaan', 'bermasalah', 'harganya', 'murah', 'gangguan', 'sebulan', 'bodoh', '']</t>
  </si>
  <si>
    <t>['untung', 'isi', 'ulang', 'pulsamu', 'rp', 'rb', 'via', 'mytelkomsel', 'app', 'tsel', 'pulsa', 'dapatkan', 'cashback', 'pulsa', 'tsel', 'rp', 'rb', 'hr', 'promo', 'oct', 'bohong']</t>
  </si>
  <si>
    <t>['', 'ngomong', 'males', 'telkomsel', 'udah', 'beli', 'unlimate', 'lemotnya', 'ampun']</t>
  </si>
  <si>
    <t>['maaf', 'kasih', 'bintang', 'nminggu', 'luas', 'telkomsel', 'coba', 'promo', 'kouta', 'dipakai', 'tolong', 'diperbaharui', 'puasa', 'berkurang', 'pemberitahuan', 'kouta', 'sistem', 'telkomsel', 'jelek', '']</t>
  </si>
  <si>
    <t>['jaringan', 'tersampah', 'dunia', 'ngelag', 'main', 'bos', 'sampah', 'gini', 'make', 'telkomsel']</t>
  </si>
  <si>
    <t>['telkomsel', 'lelet', 'banget', 'males', 'telkomsel', 'kota', 'sinyalnya', 'jelek']</t>
  </si>
  <si>
    <t>['telkomsel', 'josss', 'ttpi', 'jesss', 'lelet', 'kartu', 'pra', 'bayarpun', 'biaya', 'pemakaian', 'bulannya', 'tolong', 'mengambil', 'terselubung', 'penjelasan', 'konsumen', 'pengguna', 'telkomsel', 'thanks']</t>
  </si>
  <si>
    <t>['apk', 'bgus', 'star', 'tpi', 'sayang', 'poin', 'tpi', 'bsa', 'tuker', 'paket', 'data']</t>
  </si>
  <si>
    <t>['', 'update', 'telkomsel', 'uninstall', 'trus', 'install', 'ulang', 'gagal', 'mohon', 'pencerahannya']</t>
  </si>
  <si>
    <t>['beli', 'paketan', 'sukses', 'ngga', 'masuk', 'sampe', 'pulsa', 'kesedot', 'suka', 'banget', 'telkomsel', 'kesini', 'uang', 'dikorupsi', 'atasan', 'distributor', 'lelet', 'ngga']</t>
  </si>
  <si>
    <t>['pas', 'ngisi', 'pulsa', 'banking', 'rb', 'pas', 'cek', 'mytelkomsel', 'pulsa', 'tersedot', 'ribuan', 'kali', 'cek', 'mytelkomsel', 'potongan', 'mytelkomsel', 'beli', 'paket', 'kenyataannya', 'konsisten', '']</t>
  </si>
  <si>
    <t>['tolong', 'jaringan', 'perbaiki', 'andalkan']</t>
  </si>
  <si>
    <t>['harga', 'paket', 'kategori', 'mahal', '']</t>
  </si>
  <si>
    <t>['tolong', 'ditukar', 'poinnya', 'gagal', 'poin', 'gini', 'unnistal', 'udh', 'perbaiki', 'kasih', 'bintang', '']</t>
  </si>
  <si>
    <t>['promo', 'promonya', 'tolong', 'menarik', 'minat', 'pelanggan', '']</t>
  </si>
  <si>
    <t>['', 'coba']</t>
  </si>
  <si>
    <t>['mantap', 'lbh', 'tingkatkan', 'pelayanan']</t>
  </si>
  <si>
    <t>['registrasi', 'kali', 'buka', 'app', 'telkomsel', 'paket', 'unlimited', 'dihapus', 'paketnya', 'jugak', 'mahal', '']</t>
  </si>
  <si>
    <t>['udah', 'mahal', 'sinyal', 'jelek', 'ampun', 'jancog', 'emng', 'emng', 'mao', 'dpt', 'untung', 'gini', 'anjlokin', 'harganya', 'sinyal', 'rendah', 'taik']</t>
  </si>
  <si>
    <t>['bagus', 'banget', 'paketin', 'paketan', '']</t>
  </si>
  <si>
    <t>['tolong', 'kartu', 'nggak', 'beli', 'paket', 'mytelkomsel', 'berpuluh', 'pakainya', 'langganan', 'telkomsel', 'gini', '']</t>
  </si>
  <si>
    <t>['mudah', 'segi', 'bahasa', 'informasi', '']</t>
  </si>
  <si>
    <t>['telkomsel', 'maafkan', 'terpaksa', 'bintang', 'knp', 'mahal', 'paket', 'knp', 'susah', 'buka', 'apl', 'mytelkomsel', 'emosi', 'sinyalnya', 'timbul', 'tenggelam', 'kegiatan', 'tergantung', 'padamu', '']</t>
  </si>
  <si>
    <t>['kemudahan', 'informasi', 'ulasan', 'promo', 'aplikasi', 'memudahkan', 'menjalankan', 'aplikasi', 'telkomsel']</t>
  </si>
  <si>
    <t>['minus', 'membeli', 'paket', 'murah', 'minnn', 'yaa', 'tekor', 'beli', 'mehong', 'mulu', '']</t>
  </si>
  <si>
    <t>['undi', 'happy', 'nyata', 'sbb', 'dgr', 'tmpat', 'daerah', 'dpt']</t>
  </si>
  <si>
    <t>['nga', 'bonus', 'nelfon', 'beli', 'kouta', 'perubahan', 'kaga', 'tolong', 'perbaiki', 'perubahannya', 'menambah', 'lahh', 'jelek']</t>
  </si>
  <si>
    <t>['telkom', 'bantuan', 'buka', 'aplikasi', 'tarif', 'non', 'paket', 'pulsa', 'langsung', 'habis', 'cmn', 'buka', 'app', 'telkom', 'pulsa', 'hangus']</t>
  </si>
  <si>
    <t>['kesel', 'telkomsel', 'sedetik', 'pemberitahuan', 'habis', 'kouta', 'udah', 'ambil', 'pulsa', 'ribu', 'blm', 'smpat', 'matiin', 'data', 'nyaa', 'udah', 'habis', 'gimna', 'telen', '']</t>
  </si>
  <si>
    <t>['pindah', 'sekejap', 'bonus', 'internet', 'akibatnya', 'pulsa', 'tersedot', 'karna', 'jaringan', 'pindah', 'trik', 'cari', 'duit']</t>
  </si>
  <si>
    <t>['telkomsel', 'pokoknya', 'alhamdulillah', 'bertahun', 'telkomsel', 'bagus', 'promonya', 'buruan', 'download', 'gaes', '']</t>
  </si>
  <si>
    <t>['tolong', 'sinyal', 'telkomsel', 'perbaiki', 'main', 'game', 'nge', 'lag', '']</t>
  </si>
  <si>
    <t>['masuk', 'aplikasinya', 'masuk', 'kali', 'udah', 'diperbaharui', 'ehhh', 'disuruh', 'perbaharui', 'jaringannya', 'udah', 'sekencang', 'yaa', '']</t>
  </si>
  <si>
    <t>['kuota', 'internet', 'dipakaikan', 'duluan', 'kuota', 'multi', 'media', 'multi', 'media', 'spy', 'internetan', 'cepat', '']</t>
  </si>
  <si>
    <t>['kartu', 'simpati', 'telkomsel', 'sms', 'mahal', 'paket', 'datanya', 'mahal', 'harga', 'mencekik', 'mahal', 'konektivitasnya', 'bagus', 'seimbang', 'udah', 'mahal', 'koneksi', 'internetnya', 'stabil', 'kecepatan', 'internetnya', 'stabil', 'apknya', 'lumayan', 'poin', 'telfon', 'operator', 'lumayan', 'mahal', 'utamakan', 'kenyamanan', 'kemudahan', 'plus', 'kestabilan', 'internetnya', 'pelanggan', 'dibebani', 'harga']</t>
  </si>
  <si>
    <t>['', 'blok', 'jumat', 'desa', 'ciborelang', 'kecamatan', 'jatiwangi', 'kabupaten', 'majalengka', 'jawa', 'barat', 'sinyal', 'telkomsel', 'buruk', 'sinyal', 'internet', 'muncul', 'logo', 'internet', 'buruk', 'loading', 'lelet', 'banget', 'model', 'jaman', 'terbukti', 'lancar', 'wilayah']</t>
  </si>
  <si>
    <t>['mengecewakan', 'membeli', 'kuota', 'malam', 'pulsa', 'kuota', 'masuk', 'pulsa', 'terpotong', 'tolong', 'apk', 'huh', '']</t>
  </si>
  <si>
    <t>['harga', 'kuota', 'mahal', 'pas', 'beli', 'paket', 'data', 'payment', 'dana', 'saldo', 'terpotong', 'kuota', 'masuk', 'mengecewakan', 'untung', 'pas', 'beli', 'paket', 'gede']</t>
  </si>
  <si>
    <t>['sumpah', 'emosi', 'nyantumkan', 'bukti', 'udah', 'kirimin', 'liat', 'betapa', 'bobrok', 'sistem', 'jual', 'beli', 'telkomsel', 'beli', 'pulsa', 'telkomsel', 'bayar', 'shopee', 'bukti', 'pembayaran', 'berhasil', 'menit', 'notif', 'telkomsel', 'gagal', 'sistem', 'sibuk', 'jahat', 'uang', 'terpotong', 'masuk', 'sistem', 'jelek', 'merugikan', 'orang', 'kecewa']</t>
  </si>
  <si>
    <t>['beli', 'pulsa', 'tsel', 'bayar', 'spay', 'masuk', 'spay', 'udah', 'berkurang', 'saldonya', 'tetep', 'masuk', 'pulsanya']</t>
  </si>
  <si>
    <t>['tolong', 'telkomsel', 'isi', 'ulang', 'pulsa', 'daftar', 'kuota', 'internet', 'jam', 'masuk', 'kuota', 'pulsa', 'ribu', 'tolong', 'solusinya']</t>
  </si>
  <si>
    <t>['tinggal', 'rumah', 'pemilik', 'berbeda', 'harga', 'kuota', 'internet', 'beda', 'berlangganan', 'mahal', 'harganya', 'telkomsel', 'memeras', 'sengaja', '']</t>
  </si>
  <si>
    <t>['kartu', 'gratis', 'berharap', 'mudah', 'komunikasi', 'irit', 'ber', 'internet', 'disayangkan', 'beli', 'kouta', 'mahal', 'banget', 'murah', 'masi', 'pelajar', 'berharap', 'beli', 'paket', 'kouta', 'murah', 'maaf', 'delete', 'terimakasih', '']</t>
  </si>
  <si>
    <t>['', 'sinyal', 'telkomsel', 'payah', 'habis', 'paketan', 'maaf', 'pensiun', 'telkomsel', 'pakai', 'bertahun', '']</t>
  </si>
  <si>
    <t>['aplikasi', 'transaksi', 'ajar', 'telkomsel', 'habis', 'pulsa', 'tersedot', 'gara', 'gara', 'beli', 'kuota', 'ngga']</t>
  </si>
  <si>
    <t>['kacau', 'aplikasi', 'nama', 'telkomsel', 'aplikasi']</t>
  </si>
  <si>
    <t>['suka', 'telkimsel', 'update', 'update', 'performa', 'jelek', 'aplikasi', 'error']</t>
  </si>
  <si>
    <t>['jujur', 'kecewa', 'karna', 'jaringan', 'stabil', 'lemot', 'ganti', 'kartu', 'bosan', 'pakai', 'telkomsel', 'lambat', 'parah', 'nyedot', 'pulsanya', 'ngotak', '']</t>
  </si>
  <si>
    <t>['mudah', 'membeli', 'kuota', 'pulsa', 'cek', 'sisa', 'kuota']</t>
  </si>
  <si>
    <t>['kecewa', 'promo', 'rekomendasi', 'combo', 'sakti', 'spesial', 'harga', 'pembayaran', 'pulsa', 'diisi', 'pulsanya', 'error', 'refresh', 'pulsa', 'hilang', 'kuota', 'patut', 'diduga', 'kecewa', 'kecewa', '']</t>
  </si>
  <si>
    <t>['wahhh', 'kacau', 'telkomsel', 'isi', 'pulsa', 'pakai', 'wifi', 'data', 'pribadi', 'abis', 'pulsa', 'kaga', 'bener', 'perusahaan', 'main', 'ambil', 'jatah', 'orang', 'hak', 'milih', 'perusahaan']</t>
  </si>
  <si>
    <t>['telkomsel', 'burik', 'skrg', 'jaringan', 'paketan', 'mahal', 'sesuai', 'harga', 'burik', 'telkimsel', 'burik', 'saran', 'mnding', 'pindah', 'ttip', 'komen']</t>
  </si>
  <si>
    <t>['aga', 'jelek', 'daerah', 'daerah', 'bagus', '']</t>
  </si>
  <si>
    <t>['ayo', 'rame', 'ganti', 'telkomsel', 'mahal', 'lemot', 'ngelunjak', 'pilih', 'pelanggan']</t>
  </si>
  <si>
    <t>['suka', 'telkomsel', 'mengadakan', 'promosi', 'terjamin', 'transaksinya', '']</t>
  </si>
  <si>
    <t>['telkomsel', 'parah', 'pelayanan', 'harga', 'paket', 'mahal', 'poin', 'ditukar', 'pulsa', 'beda', 'pelayanan', 'telkomsel', 'mohon', 'diperbaiki', 'pelayanan', 'telkomsel', 'merata', 'jaringan']</t>
  </si>
  <si>
    <t>['respon', 'lambat', 'jaringan', 'stabil', 'mahal', 'doang', 'chat', 'veronika', 'bales', 'engga']</t>
  </si>
  <si>
    <t>['sinyal', 'lelet', 'paketan', 'mahal', 'lelet', 'sinyal', 'hilang', '']</t>
  </si>
  <si>
    <t>['jaringan', 'telkomsel', 'engga', 'stabil', 'tolong', 'perbaiki', 'kasih', 'bintang', '']</t>
  </si>
  <si>
    <t>['bagus', 'memudahkan', 'pengguna', 'telkomsel', 'aplikasinya', 'user', 'friendly', 'njelimet', 'sayangnya', 'menang', 'undian', 'telkomselpoin', 'wkwkwkwk', '']</t>
  </si>
  <si>
    <t>['aktifin', 'magic', 'call', 'tetau', 'aktif', 'ilang', 'pulsa', 'aktifin', 'paket', 'darurat', 'tetau', 'aktif', 'paket', 'daruratnya', 'beban', 'utang', 'pulsa', 'ceban', 'besoknya', 'pagimana', 'sel', 'amsyong', 'saban', 'mah', 'buseeeeeh', '']</t>
  </si>
  <si>
    <t>['mohon', 'jaringannya', 'diperbaiki', 'ngak', 'sinyal', 'putus', 'harapkan', 'telkomsel', '']</t>
  </si>
  <si>
    <t>['ribet', 'masuk', 'akal', 'tuker', 'poin', 'persulit', 'poin', 'tukarkan', 'tukar', 'poin', 'harua', 'naikin', 'limit', 'limit', 'sesuai', 'tolong', 'perbaiki', 'sistem', 'dll', 'merugikan', 'pengguna', 'kartu', 'hallo', 'prabayar', 'bayar', 'ontime', 'progam', 'puas', 'sesuai', 'paket', 'sesuai', '']</t>
  </si>
  <si>
    <t>['kasih', 'bintang', 'parah', 'banget', 'kartu', 'halo', 'sinyal', 'loading', 'dimanapun', 'tempatnya', 'sinyal', 'parah', 'jelek', 'banget', 'menyesal', 'migrasi', 'kartu', 'halo', 'pengguna', 'telkomsel', 'kali', 'migrasi', 'kartu', 'halo', 'sinyal', 'segini', 'parah', '']</t>
  </si>
  <si>
    <t>['diskon', 'combo', 'sakti', '']</t>
  </si>
  <si>
    <t>['suka', 'telkomsel', 'undiannya', 'dapet', 'suka', 'ajah', 'gituh', 'dinamakan', 'cinta', 'wawwww', 'romantis', '']</t>
  </si>
  <si>
    <t>['paket', 'terjamin', 'murahnya', 'promo', 'harga', 'kuotanya', 'mantap', 'sakti', '']</t>
  </si>
  <si>
    <t>['mahal', 'harganya', 'kwalias', 'buruk', 'signal', 'kadang', 'terputus', 'responnya', 'mohon', 'perhatian', 'kwalitas', 'signal']</t>
  </si>
  <si>
    <t>['telkomsel', 'bagus', 'jaringanya', 'jelek', 'teman', 'knp', 'coba', 'kartu', 'telkomsel', 'pakai', 'nelpon', 'klau', 'data', 'pakai', 'tree', 'jaringanya', 'bagus', 'telkomsel']</t>
  </si>
  <si>
    <t>['singal', 'kga', 'ngotak', 'ngelagnya', 'sumpah', 'sebulan', 'ampe', 'jt', 'beli', 'paketan', 'singalnya', 'jelek', 'bat', 'tolong', 'telkomsel', 'singalnya', 'diperbaiki']</t>
  </si>
  <si>
    <t>['hallo', 'telkomsel', 'komen', 'jaringan', 'paket', 'karna', 'lelet', 'tukar', 'poin', 'daily', 'cek', 'telkomsel', 'menukarkan', 'berhasil', 'jaringan', 'dataku', 'telkomsel', 'pulsaku', 'pas', 'browsing', 'sms', 'mengakses', 'internet', 'tarif', 'non', 'paket', 'kulihat', 'pas', 'cek', 'pulsanya', 'tinggal', 'menggalami', 'ngak', 'menit', 'hilangnya', 'jaringan', '']</t>
  </si>
  <si>
    <t>['harganya', 'diatas', 'tpi', 'sinyal', 'telkomsel', 'susah', 'lho', 'ngegame', 'disemarang', 'kota', 'sinyal', 'ngeleg', 'dikota', 'pulang', 'kampung', 'dipurwodadi', 'parah', 'tolong', 'berwenang', 'sebenernya', 'gitu', 'masak', 'iya', 'dikota', 'semarang', 'sinyal', 'jelek', 'kantor', 'telkom', 'disana', 'deket', 'undip', 'protes', 'kesana', 'takut', 'diusir', 'nggak', 'protes', 'nggak', 'perubahan', 'bengini', 'makek', 'telkomsel', 'thn', 'msh', 'bgs']</t>
  </si>
  <si>
    <t>['heran', 'isi', 'puksa', 'langsung', 'pulsa', 'terpotong', 'membeli', 'paket', 'berlangganan', 'membeli', 'paket', 'mengalaminya', 'tlg', 'telkomsel', 'curang', 'gitu', 'mgkn', 'kerusakan', 'sistemnya', 'tlg', 'perbaiki', 'merugikan', 'pelanggan']</t>
  </si>
  <si>
    <t>['abis', 'update', 'buka', 'aplikasi', 'suruh', 'update', 'loe', 'kate', 'gua', 'bola', 'pimpong', '']</t>
  </si>
  <si>
    <t>['jaringan', 'telkomsel', 'udah', 'beda', 'kayak', 'lancar', 'jaya', 'sinyal', 'udah', 'lelet', 'kayak', 'siput', 'kartu', 'mahal', 'tolong', 'perbaiki', 'paket', 'ngisi', 'kayak', 'gini', 'enak', 'indosat', 'ooredoo', 'udah', 'murah', 'lancar', '']</t>
  </si>
  <si>
    <t>['puas', 'koneksi', 'jaringan', 'telkomsel', 'rilis', 'koneksi', 'memburuk', 'bermain', 'pubg', 'tahunan', 'memakai', 'telkomsel', 'karna', 'orang', 'memakai', 'telkomsel', 'ganti', 'kartu', 'oprator', 'jawa', 'tolong', 'perluas', 'kualitas', 'jaringan', 'signal', 'koneksi', 'data', 'buruk']</t>
  </si>
  <si>
    <t>['membantu', 'informasi', 'sisa', 'saldo', 'pulsa', 'paket', 'data', 'tersisa', 'membeli', 'vocer', 'internet', 'didalam', 'tenggang', 'kartu', 'repot', 'telfon', 'mencari']</t>
  </si>
  <si>
    <t>['provider', 'busuk', 'kesini', 'burik', 'telkomsel', 'ngerasain', 'buruk', 'performa', 'sialan', 'harga', 'mahal', 'sebanding', 'kecepetan', 'kuota', 'isi', 'kuota', 'recommended']</t>
  </si>
  <si>
    <t>['perbaikan', 'signal', 'tutup', 'mending', 'ngerugiin', 'beli', 'paket', 'signal', 'susah', 'untung', 'trssss', 'kinerja', 'adaaaa', '']</t>
  </si>
  <si>
    <t>['emang', 'bner', 'kabel', 'telkom', 'lautan', 'gigit', 'megalodon']</t>
  </si>
  <si>
    <t>['paket', 'paket', 'unlimited', 'tiktok', 'tiktokan', 'penipuan', 'kah', 'mengganti', 'uang', 'kerugian', 'tanggung']</t>
  </si>
  <si>
    <t>['rugi', 'banget', 'gue', 'telkomsel', 'jaringan', 'ilang', 'mulu', 'sinyal', 'internet', 'ilang', 'mulu', 'gue', 'top', 'pulsa', 'telkomsel', 'pas', 'ilang', 'sinyalnya', 'alhasil', 'pulsa', 'gue', 'habis', 'paket', 'top', 'masuk', 'rugi', 'gue', 'kartu', 'laknat', 'kapok', 'miskin', 'pengguna', '']</t>
  </si>
  <si>
    <t>['menjijikan', 'dowload', 'jngan', 'dowload', 'hpus', 'ajja', 'udah', 'daftar', 'kuota', 'pulsa', 'mencukupi', 'ngisi', 'pulsa', 'apk', 'taik']</t>
  </si>
  <si>
    <t>['semoga', 'merasakan', 'menang', 'undian', 'telkomsel', 'semoga', 'sukses', 'tingkatkan', 'kualitasnya', 'telkomsel']</t>
  </si>
  <si>
    <t>['bingung', 'kasih', 'bintang', 'orang', 'super', 'lelet', 'sumpah', 'nyesal', 'beli', 'telkomsel', 'pindah', 'haluan', 'operator', '']</t>
  </si>
  <si>
    <t>['pembelian', 'paket', 'internet', 'error', 'bentar', 'login', 'payah', 'menyebalkan']</t>
  </si>
  <si>
    <t>['telkomsel', 'alat', 'bantu', 'memperlancar', 'memperbanyak', 'batang', 'sinyal', 'dalem', 'rumah', 'sinyal', 'telkomsel', 'dalem', 'rumah', 'busuk', 'parah', 'ketimbang', 'smartfren', 'tolong', 'bantu', 'min', '']</t>
  </si>
  <si>
    <t>['tolong', 'donggggg', 'berhenti', 'berlangganan', 'gimana', 'yaa', 'kaaaa', 'udh', 'coba', 'cari', 'aplikasi', 'telkomsel', 'informasi', 'tolong', 'banget', '']</t>
  </si>
  <si>
    <t>['burik', 'telkomsel', 'simpati', 'kecewa', 'pelanggan', 'setia', 'telkomsel', 'dapatnya', 'internet', 'burik', 'mengecewakan', 'almt', 'kajoran', 'kec', 'karanggayam', 'kab', 'kebumen', '']</t>
  </si>
  <si>
    <t>['beli', 'paket', 'belajar', 'taunya', 'pakai', 'belajar', 'zoom', 'deskripsi']</t>
  </si>
  <si>
    <t>['telkomsel', 'mahal', 'jaringan', 'putus', 'putus', 'lelet', 'telkomsel', 'skg', 'terburuk', 'kapok', 'telkomsel', 'pindah']</t>
  </si>
  <si>
    <t>['parah', 'telkomsel', 'internet', 'telkomsel', 'parah', 'chat', 'veronika', 'ribet', 'apalg', 'custumer', 'service', 'ribet', 'malu', 'ama', 'provider', 'sebelah', 'simple', 'ribet', 'dibawa', 'main', 'game', 'online', 'parah', 'banget', 'kesel', 'stabil', 'lbh', 'drpd', 'pokok', 'telekkomsel', 'provider', 'burik']</t>
  </si>
  <si>
    <t>['', 'telkomsel', 'sinyalnya', 'kesini', 'langganan', 'bertahun', 'mengecewakan', 'pelanggannya', 'pindah', 'sim', 'card', 'kuning', '']</t>
  </si>
  <si>
    <t>['tolong', 'harga', 'turunin', '']</t>
  </si>
  <si>
    <t>['jaringan', 'kesini', 'lemot', 'banget', 'sesuai', 'harganya', 'tolong', 'telkomsel', 'perbaiki', 'jaringan', 'telkomsel', 'minggu', 'gangguan', 'paket', 'mahal', 'gangguan', 'enak', 'banget', 'pokoknya', 'kalah', 'jaringan', 'axis']</t>
  </si>
  <si>
    <t>['tolong', 'jenis', 'kouta', 'dipakai', 'contohnya', 'kouta', 'game', 'dipake', 'game', '']</t>
  </si>
  <si>
    <t>['bang', 'saran', 'fitur', 'memilih', 'pakai', 'kuota', 'enak', 'tambahin', 'bang', 'fitur', '']</t>
  </si>
  <si>
    <t>['bagus', 'instal', 'spek', 'kentang', 'kayak', 'ngelag', 'kasih', 'bintang']</t>
  </si>
  <si>
    <t>['jaringan', 'telkomsel', 'lelet', 'dibandingkan', 'kartu', 'telkomsel', 'bagus', 'sinyalnya', 'buruk', 'sinyalnya', '']</t>
  </si>
  <si>
    <t>['pakett', 'gamemax', 'nge', 'game', 'tetep', 'jaringan', 'stabill', 'kuota', 'game', 'gb', 'main', 'game', 'setabill', 'gimanaa', 'minn']</t>
  </si>
  <si>
    <t>['aplikasi', 'telkomsel', 'terbuka', 'layar', 'kosong', 'kalaw', 'pas', 'buka', 'downloads', 'lancar', '']</t>
  </si>
  <si>
    <t>['paket', 'telkomsel', 'syaa', 'kecewa', 'isi', 'pulsa', 'potong', 'paket', 'internet', 'jaringan', 'jelekk', 'pokoknya', 'kecewa', 'banget', 'dehhhh']</t>
  </si>
  <si>
    <t>['semoga', 'dapatkan', 'sudar', 'rusak', 'sapa', 'jelek', 'kaya', 'temen']</t>
  </si>
  <si>
    <t>['dear', 'customer', 'care', 'mohon', 'klarifikasi', 'seringkali', 'pulsa', 'terpotong', 'habis', 'saldonya', 'dipakai', 'tlp', 'sms', 'paket', 'internet', '']</t>
  </si>
  <si>
    <t>['kuota', 'msh', 'pulsanya', 'kesedot', 'merugikan', 'ambil', 'bintang', 'semangat', 'merugikan', 'pengguna', '']</t>
  </si>
  <si>
    <t>['ribet', 'mudah', 'diakses', '']</t>
  </si>
  <si>
    <t>['telkomsel', 'update', 'kouta', 'gratis', 'membeli', 'pulsa']</t>
  </si>
  <si>
    <t>['ribet', 'banget', 'aplikasi', 'tinggal', 'buka', 'langsung', 'info', 'sim', 'daftar', 'simpel', 'knp', 'udah', 'login', 'udh', 'kya', 'buka', 'rekening', 'isi', '']</t>
  </si>
  <si>
    <t>['', 'telkomsel', 'mantab', 'jaringanya', 'bagus', 'harga', 'mahal', 'mantab', 'saran', 'telkomsel', 'unlimited', 'boroos', '']</t>
  </si>
  <si>
    <t>['terimakasih', 'responnya', 'semoga', 'telkomsel', 'operator', 'terbaik', '']</t>
  </si>
  <si>
    <t>['semoga', 'semangkin', 'jaya']</t>
  </si>
  <si>
    <t>['terima', 'kasih', 'kartu', 'internet', 'cepat']</t>
  </si>
  <si>
    <t>['istimewa', 'byak', 'bonus', 'yaqa']</t>
  </si>
  <si>
    <t>['bener', 'kecewa', 'jaringan', 'super', 'lelet', 'super', 'mahal', 'super', 'setia', 'telkomsel', 'mengecewakan', 'kuota', 'bnyk', 'kadang', 'nggk', 'ribet', 'promo', 'deh', 'jaringan', 'tuhh', 'diperbaikin', '']</t>
  </si>
  <si>
    <t>['pakai', 'telkomsel', 'jaringan', 'jaringan', 'terburuk', 'jaringan', 'mati', 'paket', 'internet', 'mahal', 'komplen', 'gubris', 'mending', 'pakai', 'provider']</t>
  </si>
  <si>
    <t>['', 'telkomsel', 'jelek', 'bohong', 'telkomsel', 'bagus', 'bangat']</t>
  </si>
  <si>
    <t>['kluar', 'aplikasinya', 'transaksi', 'mohon', 'perbaiki']</t>
  </si>
  <si>
    <t>['telkomsel', 'ngeleggg', 'harga', 'kuotanya', 'ngelunjak', 'udah', 'boros', 'jga', 'daring', 'cepet', 'banget', 'habisnya', 'ngeleggg', '']</t>
  </si>
  <si>
    <t>['nomor', 'miliki', 'paketnya', 'mahal']</t>
  </si>
  <si>
    <t>['wis', 'pokoke', 'muantap', 'tingkatkan', 'tolong', 'kualitas', 'jaringan', 'tingkatkan', '']</t>
  </si>
  <si>
    <t>['aplikasi', 'telkomsel', 'eror', 'klu', 'update']</t>
  </si>
  <si>
    <t>['gag', 'login', 'meresahkan', 'sinyalnya', 'jelek', '']</t>
  </si>
  <si>
    <t>['coba', 'rantingnya']</t>
  </si>
  <si>
    <t>['jaringan', 'buruk', 'ujian', 'online', 'main', 'game', 'tenang']</t>
  </si>
  <si>
    <t>['jaringan', 'lelet', 'banget', 'kak', 'beli', 'paket', 'ado', 'paket', 'game', 'jaringan', 'lelet', 'banget', 'sumpahh', 'nyesal', 'beli', 'paket', 'telkomsel', 'jaringan', 'lelet', 'bangett', 'ygau', 'beli', 'paket', 'telkomsel', 'mending', 'mikir', 'kaya', 'paket', 'ngak', 'pakai', 'tlong', 'admin', 'respon', 'keluhan', 'konsumen', 'mahal', 'doang', 'tpi', 'kualitas', 'kalah', 'operator']</t>
  </si>
  <si>
    <t>['maen', 'game', 'ngelag', 'kartu', 'pagi', 'siang', 'malam', 'jam', 'mlm', 'ngelag', 'parah', 'banget', 'kartu', 'parah', 'kartu', '']</t>
  </si>
  <si>
    <t>['aplikasinya', 'bagus', 'memakai', 'kartu', 'pulsa', 'berkurang', 'tolong', 'diperbaiki', 'terima', 'kasih']</t>
  </si>
  <si>
    <t>['kasih', 'paket', 'jangka', 'peminat', '']</t>
  </si>
  <si>
    <t>['aplikasinya', 'bgssssss', 'bangeeeeetttt']</t>
  </si>
  <si>
    <t>['kouta', 'unlimited', 'rokan', 'hilir', 'blm', 'admin', 'segerakan', 'yaa', 'pakai', 'telkomsel', 'terbaik', '']</t>
  </si>
  <si>
    <t>['isi', 'pulsa', 'rb', 'trs', 'kesedot', 'tgl', 'rb', 'mengaktifkan', 'paket', 'apapun', 'buruk', 'system', 'kerja', 'tolong', 'perhatikan', 'pengembalian', 'pulsa', '']</t>
  </si>
  <si>
    <t>['puas', 'aplikasi', 'telkomsel', 'diakses', 'pulsa', 'data']</t>
  </si>
  <si>
    <t>['rusak', 'jaringan', 'timur', 'jateng', 'ngerasa', 'jaringan', 'trouble', 'parahhh', '']</t>
  </si>
  <si>
    <t>['app', 'jelek', 'banget', 'masuk', 'susah', 'link', 'verifikasi', 'orang', 'tua', 'kartunya', 'link', 'copy', 'detik', 'kirim', 'link', 'email', 'kesel', 'banget']</t>
  </si>
  <si>
    <t>['udah', 'paket', 'mahal', 'jaringan', 'lelet', 'pulsa', 'kagak', 'dftar', 'nominal', 'plsa', 'rekomend', 'bangeett', 'jeleeeeekkkkkkkkk', '']</t>
  </si>
  <si>
    <t>['skrang', 'eror', 'update', 'pas', 'buka', 'tulisan', 'upadate', 'gimna', 'siiii', 'mahal', 'eror', 'pulaa', 'baikin', 'dehh', 'pengguna', 'setia', 'telkomsel', 'gini', 'mending', 'ganti', 'deh', 'kartu', '']</t>
  </si>
  <si>
    <t>['aplikasi', 'beli', 'data', 'periksa', 'koneksi', 'mulu', 'koneksi', 'udah', 'bener', 'buka', 'aplikasi', 'oke', 'jelek', 'mytelkomsel', 'skg', 'ngaco', 'semalem', 'beli', 'kuota', '']</t>
  </si>
  <si>
    <t>['aplikasi', 'rumit', '']</t>
  </si>
  <si>
    <t>['bintang', 'bos', 'klu', 'apknya', 'leg', 'gua', 'hilngain', 'bintangnya']</t>
  </si>
  <si>
    <t>['paket', 'data', 'mahal', 'jaringan', 'jelek', 'perubahan', 'beralih', 'axis', '']</t>
  </si>
  <si>
    <t>['telkomsel', 'kartu', 'sambungan', 'kode', 'mmi', 'valid', 'trus', 'menu', 'layanan', 'costomer', 'respon', 'memble']</t>
  </si>
  <si>
    <t>['kecewa', 'membeli', 'paket', 'keduakali', 'paket', 'internet', 'lokal', 'berubah', 'lokasi', 'padhaal', 'menggunakannya', 'ditempat', 'kali', 'bwli', 'kuota', 'society', 'lancar', 'aman', 'percobaan', 'kecewa', 'lokasi', 'internet', 'lokal', 'berubah']</t>
  </si>
  <si>
    <t>['sinyal', 'telkomsel', 'down', 'yaa', 'pdhl', 'perkotaan', 'putus', 'main', 'game', 'ringan', 'township', 'keputus', 'game', 'cod', 'helloo', 'telkom', 'perbaiki', 'sinyalnya', '']</t>
  </si>
  <si>
    <t>['daftar', 'paket', 'internet', 'mengalami', 'kendala', 'jaringan', 'sinyal', 'bagus', 'udah', 'coba', 'berkali', 'kali', 'tetep', 'gabisa']</t>
  </si>
  <si>
    <t>['bagus', 'aplikasi', 'ringan', 'suka', 'reward', 'chek', 'lumayan', 'bgb', 'tukar', 'stamp', 'fitur', 'mudah', 'paket', 'semenjak', 'combo', 'sakti', 'murah', 'meriah', '']</t>
  </si>
  <si>
    <t>['ngapain', 'tawarkan', 'paket', 'jaringan', 'perbaiki', 'beli', 'paket', 'pakai', 'lag', 'mahal', 'kartu', 'terkait', 'google', 'sudi', 'telkomsel', 'jaringannya', '']</t>
  </si>
  <si>
    <t>['jelek', 'banget', 'penipuan', 'percaya', 'isi', 'pulsa', 'beli', 'paketan', 'gb', 'bayar', 'sms', 'masuk', 'selamat', 'paket', 'pulsa', 'rp', 'aktif', 'cek', 'pulsa', 'tinggal', 'cari', 'kouta', 'murah', 'ndak', 'beli', 'kouta', 'cek', 'pulsa', 'pulsa', 'rp', 'gimana', 'udah', 'ndak', 'uang', 'hilang', 'ganti', 'rugi', 'ndak', 'telkomsel', 'pakai', 'telkomsel', 'uang', 'hilang', '']</t>
  </si>
  <si>
    <t>['kecewa', 'gua', 'aplikasi', 'mytelkomsel', 'beli', 'paket', 'kouta', 'internet', 'muncul', 'pesan', 'maaf', 'gangguan', 'sistem', 'gagal', 'beli', 'ussd', 'kagak', 'kodenya', 'gimana', 'telkomsel', 'tolong', 'aplikasi', 'mytelkomsel', 'update', 'min', 'updatenya', 'alami', 'kegagalan', 'beli', 'paket', 'kouta', 'internet', 'mytelkomsel']</t>
  </si>
  <si>
    <t>['tolong', 'masuk', 'dipersulit', 'kadang', 'kiriman', 'kadang', 'lari', 'kegoogle', 'aplikasi', 'udah']</t>
  </si>
  <si>
    <t>['bagus', 'tolong', 'beritahu', 'knpa', 'jrngannya', 'peket', 'hiburan', 'netflix', 'trimakasih']</t>
  </si>
  <si>
    <t>['bangkee', 'daftar', 'paket', 'omg', 'pilihannya', 'paket', 'sehat', 'doang', 'pilihan', 'paket', 'gb', 'gb', 'gb', 'kemana', 'woii', 'aktifasi', 'paket', '']</t>
  </si>
  <si>
    <t>['app', 'diperbaharui', 'bagus', 'dibuka', 'jaringan', 'lancar', 'lancar', 'telkomsel', 'mah', 'nyesel', 'udh', 'perbaharui', 'app', '']</t>
  </si>
  <si>
    <t>['paket', 'murah', 'semenjak', 'ganti', 'nomor', 'paket', 'ceria', '']</t>
  </si>
  <si>
    <t>['memeras', 'pelanggan', 'jaringan', 'perbaiki', 'belajar', 'online', 'terganggu', 'miris', 'kecewa', 'sbg', 'pelanggan', 'setia', 'menjaga', 'mutu', 'kualitas', 'telpon', 'paket', 'telpon', 'pulsa', 'emang', 'pulsanya', 'habis', 'beli', 'paket', 'nelpon', 'maaf', 'telkomsel', 'sayonara', '']</t>
  </si>
  <si>
    <t>['kasi', 'bintang', 'update', 'ribet', 'masukin', 'bilangnya', 'kesalahan', 'maunya', '']</t>
  </si>
  <si>
    <t>['coba', 'coba', 'bener', 'percaya', 'jaya', 'telkomsel', '']</t>
  </si>
  <si>
    <t>['nomor', 'keluarkan', 'dri', 'aplikasi', 'masuk', 'login', 'pakai', 'email', 'link', 'dikirim', 'sllu', 'valid', 'kadaluarsa', 'kah', 'mengirim', 'linknya', 'tsel', 'masak', 'link', 'dikirim', 'detik', 'valid', 'kadaluarsa', 'aneh', '']</t>
  </si>
  <si>
    <t>['maling', 'pulsa', 'bumn', 'buruk', 'budaya', 'korupsi', 'hilang', 'gua', 'tes', 'isi', 'pulsa', 'ribu', 'gua', 'data', 'wifi', 'simcard', 'telkomsel', 'enak', 'banget', 'maling', 'pulsa', 'orang', 'mulu', 'njing', 'perbulan', 'pelanggan', 'maling', 'sampe', 'bubarkan', 'menajemen', 'produksi', 'telkomsel', 'buang', 'laut', 'direksi', 'lintah', 'telkomsel', 'stop', 'kirim', 'sajen', 'oknum', 'oknum', 'politik', 'bintang', '']</t>
  </si>
  <si>
    <t>['bermanfaat', 'cepat', 'mengecek', 'kuota', 'layanan', 'kuota', 'mudah', 'pilihan', 'sempga', 'kedepannya', 'harganya', 'murah', '']</t>
  </si>
  <si>
    <t>['perbaiki', 'kualitas', 'pelayan', 'jaringan', 'gangguan', 'bsa', 'smp', 'jam', 'terganggu']</t>
  </si>
  <si>
    <t>['udh', 'update', 'masuk', 'sinyal', 'buruk', 'gmn', 'nie', 'kacau', '']</t>
  </si>
  <si>
    <t>['kemudahan', 'pembelian', 'pket']</t>
  </si>
  <si>
    <t>['hai', 'aplikasi', 'blank', 'server', 'down', '']</t>
  </si>
  <si>
    <t>['login', 'susah', 'muncul', 'sesi', 'coba', 'sesi', 'login', 'langsung', 'masuk', '']</t>
  </si>
  <si>
    <t>['parah', 'udah', 'poin', 'cekin', 'lock', 'out', 'sendir', 'ngulang', 'bonus', 'kuota', '']</t>
  </si>
  <si>
    <t>['bintang', 'hapus', 'ganti', 'bintang', 'paham', 'karna', 'merasakan', 'jaringan', 'telkomsel', 'kartu', 'buang', 'kartu', 'sya']</t>
  </si>
  <si>
    <t>['ribet', 'penuh', 'suruh', 'copot', 'trus', 'download', 'lgi', 'aplikasi', 'penuh', 'kaya', 'memori', 'payah']</t>
  </si>
  <si>
    <t>['reinstall', 'restart', 'error', 'kecewa', 'uninstall', 'dipakai', '']</t>
  </si>
  <si>
    <t>['', 'telkomsel', 'kadang', 'mudah', 'masuknya', 'kadang', 'susah', 'knapa', 'simple', 'ngaksesnya', '']</t>
  </si>
  <si>
    <t>['aplikasinya', 'sinyalnya', 'payah', 'maksa', 'update', 'abis', 'login', 'trs', 'sinyal', 'lemot', 'pdhal', 'harga', 'mahal', 'dibanding', 'provider', '']</t>
  </si>
  <si>
    <t>['suka', 'njing', 'login', 'login', 'loginya', 'susah', 'tempekk']</t>
  </si>
  <si>
    <t>['aplikasi', 'telkomsel', 'bagus', 'kemudahan', 'migrasi', 'prabayar', 'pascabayar', 'jaringan', 'prioritas', 'kayak', 'lelet']</t>
  </si>
  <si>
    <t>['sungguh', 'membantu', 'disaat', 'coustumer', 'sisa', 'kuota', 'jaringanya', 'sdah', 'terdaftar', 'disuruh', 'login', 'giliran', 'diklik', 'kesalahan', 'mulu', 'salahnya', 'dimana', 'kasih', 'notif', 'gangguan', 'jaringan']</t>
  </si>
  <si>
    <t>['sinyal', 'parah', 'habis', 'login', 'aplikasi', 'eror', 'melulu', 'sayang', 'telkomsel', 'andalkan', 'sinyal', 'telkomsel', 'buruk', 'banget', 'sinyal', 'login', 'aplikasi', 'ampun', 'errornya', 'tolong', 'perbaiki', 'operator', '']</t>
  </si>
  <si>
    <t>['bagus', 'mudah', 'harga', 'paket', 'memuaskan', 'menjangkau', '']</t>
  </si>
  <si>
    <t>['', 'dibuka', 'aplikasinya', 'buka', 'hapus', 'download', 'ulang', 'wasting', 'time', '']</t>
  </si>
  <si>
    <t>['update', 'telp', 'dll', 'kualitas', 'kesini', 'bagus', 'akses', 'download', 'apk', 'spt', '']</t>
  </si>
  <si>
    <t>['kemarin', 'error', 'login', 'tolong', 'diperbaiki']</t>
  </si>
  <si>
    <t>['selamat', 'pagi', 'telkomsel', 'maaf', 'knp', 'buka', 'aplikasi', 'telkomsel', 'cek', 'data', 'beli', 'kuota', 'aplikasi', 'telkomsel', 'buka']</t>
  </si>
  <si>
    <t>['hadehhh', 'sinyal', 'jelek', 'bet', 'game', 'emangg', 'murah', 'sii', 'sinyal', 'ampunn', 'dahh']</t>
  </si>
  <si>
    <t>['', 'log', 'pdhal', 'udah', 'diupdate', 'udh', 'uninstal', 'instal', 'pdhl', 'butuh', 'cpat', 'beli', 'paket', 'internet', 'kecewa']</t>
  </si>
  <si>
    <t>['chat', 'terkirim', 'koneksi', 'tolong', 'perbaiki']</t>
  </si>
  <si>
    <t>['masuk', 'aplikasi', 'masuk', 'gagal', 'kesalahan', 'ganguan']</t>
  </si>
  <si>
    <t>['lumayan', 'suka', 'app', 'nggak', 'masuk', 'disuruh', 'ganti', 'nomor', 'gimana', 'siih']</t>
  </si>
  <si>
    <t>['sinyal', 'masuk', 'aplikasi', 'kuota', 'tolong', 'telkomsel']</t>
  </si>
  <si>
    <t>['telkomsel', 'knp', 'diakses', 'ribet', 'beli', '']</t>
  </si>
  <si>
    <t>['pembelian', 'quota', 'gampang', 'murah', 'kasih', 'tanggapan', 'merasakan', 'manfaatnya', 'aplikasinya']</t>
  </si>
  <si>
    <t>['pelanggan', 'dihargai', 'disuruh', 'beli', 'paketan', 'mahal', 'migrasi', 'support', 'diiming', 'kuota', 'perubahan', 'kartu', 'sakti', 'paketan', 'eeh', 'berubah', 'dipaksa', 'beli', 'mahal', 'bener', '']</t>
  </si>
  <si>
    <t>['kesini', 'ancur', 'sinyal', 'kaga', 'kalah', 'ama', 'provider', 'sinyal', 'upload', 'doang', 'ngapain', 'buruk', 'pengurusan', 'sinyalnya', 'heran', 'kuoata', 'internet', 'aktif', 'pulsa', 'disedot']</t>
  </si>
  <si>
    <t>['penggunaannya', 'mudah', 'gampang', 'untunk', 'membeli', 'kouta', 'internetan', 'telepon', 'mudah', 'promo', 'promo', 'telkomsel']</t>
  </si>
  <si>
    <t>['ditelepon', 'upgrade', 'kartu', 'halo', 'pikir', 'parah', 'diandalkan', 'wfh', 'pasang', 'wifi', 'provider', 'lokal', 'sia', 'sia', 'deh', 'kartu', 'halo', '']</t>
  </si>
  <si>
    <t>['harga', 'koutanya', 'mahal', 'sinyalnya', 'sesuai', 'harganya', 'sumpah', 'kesel', 'udah', 'berlangganan', 'tolong', 'perbaiki', 'donk', 'sinyalnya', 'min']</t>
  </si>
  <si>
    <t>['loggin', 'susah', 'trus', 'peringatan', 'sesi']</t>
  </si>
  <si>
    <t>['payah']</t>
  </si>
  <si>
    <t>['min', 'login', 'kemarin', 'login', 'nomor']</t>
  </si>
  <si>
    <t>['abis', 'update', 'masuk']</t>
  </si>
  <si>
    <t>['trobel', 'ngapa', 'ngapain', 'kuota', 'pending']</t>
  </si>
  <si>
    <t>['harga', 'paket', 'internet', 'mahal', 'kualitas', 'internet', 'buruk', 'profider', 'indonesia', 'jaringan', 'susah', 'kecewa', 'seimbang', 'harga', 'paket', 'internet', '']</t>
  </si>
  <si>
    <t>['sinyal', 'jaringan', 'kuota', 'utama', 'belasan', 'giga', 'dipakai', 'internetan', 'kesini', 'cek', 'kuota', 'pakai', 'balasan', 'sms', 'internetan', 'gitu', 'diperbaiki', 'abang', 'abang', 'telkomsel', 'lho', 'kabel', 'laut', 'mohon', 'maaf', 'kasih', 'rating', 'kritik']</t>
  </si>
  <si>
    <t>['dikecewakan', 'pembelian', 'kuota', 'pulsa', 'beli', 'kuota', 'internet', 'dibilang', 'pulsa', 'giliran', 'beli', 'kuota', 'ketengan', 'gitu', 'beli', 'kuota', 'dipake', 'dihari', 'kayak', 'kuota', 'kuota', 'masoh', 'dipake', 'aplikasi', 'telkomsel', 'dipake', 'whatsapp', '']</t>
  </si>
  <si>
    <t>['lengkap', 'skr', 'berat', 'perluh', 'program', 'ram', 'kencang']</t>
  </si>
  <si>
    <t>['jaringan', 'kesini', 'kacau', 'saran', 'pakai', 'telkomsel', 'deh', 'nyesellll', 'paketannya', 'mahal', 'jaringannya', 'kacau', 'jarang', 'jalan', 'jam', 'segini', 'dipakai', 'ntah', 'sampe', 'beli', 'paket', 'data', 'sales', 'udah', 'ganti', 'kartu', 'payahhhhhh', '']</t>
  </si>
  <si>
    <t>['maaf', 'kasih', 'bintang', 'udh', 'mah', 'kuotanya', 'mahall', 'lemot', 'aplikasi', 'gabisa', 'dibuka', 'jdi', 'mls', 'lgi', 'telkomsel', 'bye', 'edite', 'telkomsel', 'apasiii', 'sinyal', 'jelek', 'bngt', 'bagus', 'tpi', 'napa', 'bermasalah', 'bngtttt', 'yaallahhhhhhhh', 'telkomsel', 'knpa', 'siiiiii', 'kuota', 'gabisa', 'dipake', 'tagihan', 'ditarik', 'pulsa', 'udh', 'isi', 'pulsa', 'tagihan', 'terkurangi', 'bener', 'gabisa', 'lemot', 'bngt', 'telkomsel', 'asli', 'gini', 'trs', 'ganti', 'kartu', 'besok', 'kapok', 'telkomsel']</t>
  </si>
  <si>
    <t>['ampun', 'emang', 'sinyal', 'internet', 'telkomsel', 'layak', 'paket', 'habis', 'karna', 'habis', 'karna', 'udah', 'kadaluarsa', 'beda', 'banget', 'iklannya']</t>
  </si>
  <si>
    <t>['jaringan', 'aneh', 'whatsapp', 'pending', 'gabisa', 'buka', 'socmed', 'paketan', 'murah', 'tolong', 'benerin', 'jaringan', 'milih', 'tsel', 'karna', 'jaringan', 'kuat', 'cepet', 'lemot', 'gini', '']</t>
  </si>
  <si>
    <t>['jaringan', 'telkomsel', 'eror', 'nonton', 'download', 'game', 'apk', 'chat', 'membuka', 'game', 'online', 'kouta', 'tersisah', 'gb', 'tolong', 'perbaiki', 'eror', 'ganti', 'jaringan']</t>
  </si>
  <si>
    <t>['gangguan', 'sinyalnya', 'vidcol', 'anak', 'cucu', 'telkomsel', 'saran', 'jaringan', 'sinyal', 'perbaiki', 'bagus', 'sekian', 'terima', 'kasih']</t>
  </si>
  <si>
    <t>['', 'pepek', 'jaringan', 'benerin', 'jaringan', 'hampi', 'sebulan', 'selesai', 'prusahaan', 'bego', 'mah', 'negri', 'boro', 'jaringan', 'burik', 'gabisa', 'diperbaiki', 'males', 'make', 'telkomtol']</t>
  </si>
  <si>
    <t>['jaringan', 'bagus', 'cacat', 'mahal', 'beli', 'paket', 'kayak', 'gini', 'jaringan', 'ngegames', 'jaringan', 'telkomsel', 'tei']</t>
  </si>
  <si>
    <t>['kualitas', 'jaringan', 'sngt', 'jelek', 'perbaiki', 'jaringanya', 'putus', '']</t>
  </si>
  <si>
    <t>['jaringan', 'internet', 'lemot', 'wilayah', 'kota', 'pekanbaru', 'khusus', 'kartini', 'mohon', 'tingkatkan', 'pelayanan', 'internet', 'terimakasih']</t>
  </si>
  <si>
    <t>['kecewa', 'pelanggan', 'sinyal', 'jelek', 'harga', 'paket', 'internet', 'mahal', 'kecewa', 'chat', 'ama', 'veronika', 'veronika', 'monoton', 'diajak', 'chat', 'dibahas', 'internet', 'ngebosenin', 'nama', 'harga', 'internet', 'sinyal', 'dikuatkan', 'tolong', 'marketing', 'diperbaiki', '']</t>
  </si>
  <si>
    <t>['memper', 'mudah', 'transaksi', 'hargany', 'hemat']</t>
  </si>
  <si>
    <t>['lag', 'banget', 'beneran', 'abis', 'beli', 'paket', 'gunain', 'pas', 'malem', 'pagi', 'sinyal']</t>
  </si>
  <si>
    <t>['telkomsel', 'gagal', 'membeli', 'paket', 'internet', 'akibat', 'pulsa', 'riwayat', 'pemakaian', 'pulsa', 'terpotong', 'pemakaian', 'internet', 'kb', 'settingan', 'internet', 'memnggunakan', 'sim', '']</t>
  </si>
  <si>
    <t>['kota', 'kirim', 'pending', 'muter', 'daritadi', 'hebat', 'telkomsel', 'ganti', 'provider', 'kekirim', 'telkomsel', 'sinyal', 'bagus', 'apes', '']</t>
  </si>
  <si>
    <t>['udah', 'susah', 'buka', 'aplikasinya', 'eror', 'telkomsel', 'tanggung', 'perbaikan', 'solusi']</t>
  </si>
  <si>
    <t>['paket', 'kuota', 'melonjak', 'paket', 'mahal', 'kualitas', 'sinyal', 'mengecewakan', '']</t>
  </si>
  <si>
    <t>['rating', 'segini', 'mohon', 'tolong', 'sinyalnya', 'susah', 'sinyal', 'koneksi', 'buruk', 'pts', 'tolong', 'operator', 'mahal', 'beli', 'kouta', 'buka', 'nggak', 'lihat', 'grup', 'nggak', 'notifikasi', 'susah', 'mohon', 'cepat', 'diperbaiki']</t>
  </si>
  <si>
    <t>['mohon', 'maaf', 'telkomsel', 'banget', 'gangguan', 'sinyal', 'jelek', 'serang', 'perkotaan', 'perkampungan', 'plosok', 'jelek', 'kecewa', 'banget', '']</t>
  </si>
  <si>
    <t>['tolong', 'telkomsel', 'bot', 'pelanggan', 'kecewa', 'pelayanan', 'harga', 'mahal', 'kualitas', 'murahan', '']</t>
  </si>
  <si>
    <t>['jaringan', 'buruk', 'kali', 'kuota', 'tpi', 'terkoneksi', 'sosial', 'media', 'haduh', 'parah', 'butuh', 'nyesel', 'skrng', 'pilih', 'telkomsel']</t>
  </si>
  <si>
    <t>['beli', 'paketan', 'mahal', 'sinyal', 'lelet', 'tenggang', 'sebentar', 'ngurus', 'nomor', 'tenggang', 'indosat', 'enak', 'murah']</t>
  </si>
  <si>
    <t>['telkomsel', 'jaringan', 'internet', 'bagus', 'parah', 'jelek', 'banget', 'pemakaian', 'borosnya', 'jaringan', 'internet', 'tetangga', 'perubahan', 'pindah', 'uhhhh', '']</t>
  </si>
  <si>
    <t>['gimana', 'perasaan', 'pas', 'login', 'centang', 'masuk', 'aplikasi', 'disuruh', 'login', 'error', 'tolong', 'perbaiki', 'harga', 'paketan', 'super', 'mahal', 'ditambah', 'error', 'aplikasi']</t>
  </si>
  <si>
    <t>['hallooooo', 'niat', 'ngasih', 'promo', 'unlimited', 'sosmed', 'gasihhhhh', 'ngga', 'isa', 'kebukaa', 'aneh', 'banget', 'ganti', 'kartu']</t>
  </si>
  <si>
    <t>['daftar', 'paket', 'internet', 'susahnya', 'gagal', 'gagal']</t>
  </si>
  <si>
    <t>['pengguna', 'telkomsel', 'kecewa', 'kualitas', 'telkomsel', 'buruk', 'jaringan', 'wilayah', 'sunter', 'buruk', 'harinya', 'harga', 'provider', 'simpati', 'telkomsel', 'mahal', 'provider', 'kualitasnya', 'buruk', 'tolong', 'anggap', 'keluhan', 'pelanggan', 'spam', 'kehilangan', 'pelanggan', '']</t>
  </si>
  <si>
    <t>['sinyal', 'lemot', 'parah', 'nyangka', 'telkomsel', 'meras', 'kek', 'gini', 'paket', 'datanya', 'mahal', 'lemot', 'pulak', 'masak', 'kuata', 'bantuan', 'dri', 'kemdikbud', 'fast', 'dri', 'beli', 'data', 'curang', 'telkomsel']</t>
  </si>
  <si>
    <t>['parah', 'anjirrr', 'jaringan', 'beli', 'promo', 'paket', 'gb', 'pakai', 'jaringan', 'lelet', 'rugi', 'kepakai', 'kuota', 'mending', 'ganti', 'kartu', 'skrg', 'bintang', 'kasih', 'bintang', '']</t>
  </si>
  <si>
    <t>['bintang', 'turunin', 'karna', 'skrg', 'pengecekan', 'pulsa', 'kuota', 'login', 'masuk', 'gagal', 'trus', 'pdhl', 'sinyal', 'hilang']</t>
  </si>
  <si>
    <t>['aneh', 'layanan', 'internetnya', 'lokal', 'lokalan', 'males']</t>
  </si>
  <si>
    <t>['daily', 'chek', 'klaim', 'hadiah', 'cept', 'langsung', 'masuk', 'skrng', 'udh', 'klaim', 'waaah', 'balikin', 'duit', 'gua', 'udh', 'beli', 'paketan', 'whatsapp', 'gimana', '']</t>
  </si>
  <si>
    <t>['telkom', 'beli', 'kuota', 'salh', 'jaringan', 'suka', 'ngadet', 'gua', 'beli', 'pket', 'gangguan', 'abis', 'udah', 'kotaa', 'ngadet', 'tolong', 'perhatikan', 'lagii']</t>
  </si>
  <si>
    <t>['suka', 'nge', 'lag', 'isi', 'pulsa', 'masuk', 'mahal', 'doang', 'kualitas', 'payah']</t>
  </si>
  <si>
    <t>['', 'masuk', 'akal', 'browsing', 'main', 'game', 'online', 'ping', 'jumping', 'karuan', 'kek', 'gini', 'kah', 'kualitas', 'paketan', 'digadang', 'cepet', 'sesuai', 'ekspetasi', 'kukira', 'harga', 'kualitas', 'lemas', 'segi', 'jaringan', 'buruk', 'sekian', 'trimakasih']</t>
  </si>
  <si>
    <t>['ngasih', 'bintang', 'min', 'telkomsel', 'kirim', 'pesan', 'muter', 'muter', 'min', 'solusi']</t>
  </si>
  <si>
    <t>['telkomsel', 'jelek', 'login', 'cek', 'manual', 'darah', 'kasar', 'jaringan', 'mati', 'kartu', 'sters', '']</t>
  </si>
  <si>
    <t>['', 'beli', 'kouta', 'internet', 'mini', 'modern', 'store', 'nasional', 'uda', 'menjamur', 'menebak', 'rugi', 'banget', 'berkali', 'lipat', 'beli', 'paket', 'internet', 'rp', 'hny', 'dpt', 'kouta', 'internet', 'omg', 'gb', 'ngk', 'gratis', 'telpon', 'ngk', 'sms', 'gratis', 'ngk', 'pakai', 'guys', 'ngk', 'signalnya', 'hancur', 'turun', 'kadang', 'kadang', 'beli', 'paket', 'kouta', 'beda', 'management', 'pemasarannya', 'bintang']</t>
  </si>
  <si>
    <t>['kendala', 'knpa', 'skrng', 'jaringan', 'lemot', 'perbaikin', 'min', 'lancar', 'lgi', '']</t>
  </si>
  <si>
    <t>['', 'oktober', 'apk', 'eror', 'log', 'menyebalkan', '']</t>
  </si>
  <si>
    <t>['bintangnya', 'enak', 'capek', 'capek', 'ngetik', 'ulasan', 'betapa', 'buruknya', 'sinyal', 'telkomsel']</t>
  </si>
  <si>
    <t>['provider', 'penipu', 'ajg', 'sinyal', 'mkin', 'mkin', 'susah', 'jaringan', 'jelek', 'udh', 'hmpir', 'buln', 'jelek', 'koneksinya', 'hiu', 'gigit', 'kabel', 'jdi', 'pengalihan', 'isu', 'telkomnyet', '']</t>
  </si>
  <si>
    <t>['beli', 'paket', 'telkomsel', 'ngak', 'masuklah', 'masuk', 'ngak', 'belilah', 'paket', 'data', 'sisa', 'payah']</t>
  </si>
  <si>
    <t>['respon', 'telkomsel', 'memuaskan', 'menanggapi', 'serius', 'mengecewakan', 'maaf', 'veronika', 'coba', 'sapa', 'terima', 'kasih', 'sorry', 'about', 'this', 'improving', 'some', 'things', 'and', 'will', 'back', 'soon', 'say', 'again', 'later', 'start', 'over', 'thank', 'you', '']</t>
  </si>
  <si>
    <t>['telkomsel', 'ampas', 'teknisinya', 'ganti', 'bermutu', 'berkualitas', 'integritas', 'dapet', 'untung', 'kualitas', 'provider', 'ampas', 'berkualitas', 'blas', '']</t>
  </si>
  <si>
    <t>['jaringan', 'nguras', 'emosi', 'gua', 'tahan', 'sampe', 'kemajuan', 'sorry', 'say', 'bye', 'bye', 'telkom', '']</t>
  </si>
  <si>
    <t>['telkomsel', 'jaringan', 'trouble', 'telkomsel', 'suka', 'log', 'paketan', 'pengguna', 'telkomsel', 'harga', 'beli', 'paket', 'teman', 'beda', '']</t>
  </si>
  <si>
    <t>['telkomsel', 'parah', 'kayak', 'setan', 'sinyal', 'telkomsel', 'untung', 'kau', 'ambil', 'sinyal', 'kau', 'jual', 'anjenngg']</t>
  </si>
  <si>
    <t>['wih', 'keren', 'kartunya', 'telkomsel', 'sinyal', 'bagus', 'mending', 'pakek', 'deh', 'pakek', 'telkomsel', 'sinyal', 'parah', '']</t>
  </si>
  <si>
    <t>['kualitas', 'jaringan', 'jelek', 'paketan', 'mahal', 'kecepatan', 'internet', 'lambat', 'kaya', 'keong', 'bilangnya', 'tercepat', 'berasa', 'perbaiki', 'cepat', '']</t>
  </si>
  <si>
    <t>['gausah', 'download', 'telkomsel', 'signal', 'jelek', 'buruk', 'paket', 'nge', 'pending', 'buka', 'main', 'game', 'ngelag', 'parah', '']</t>
  </si>
  <si>
    <t>['knapa', 'ngk', 'dibuka', 'telkomselku', 'masukkan', 'udah', 'dimasukkan', 'blsan', 'oops', 'salah', 'maksudnya', 'poin', 'bnyak']</t>
  </si>
  <si>
    <t>['bintang', 'min', 'bagus']</t>
  </si>
  <si>
    <t>['paket', 'nelpon', 'mahal', 'jarang', 'paket', 'telepon']</t>
  </si>
  <si>
    <t>['hmm', 'udh', 'error', 'telkomsel', 'kadang', 'kadang', 'hilang', 'jaringannya', 'tolong', 'perbaiki', 'beli', 'paket', 'tolong', 'diperbaiki', '']</t>
  </si>
  <si>
    <t>['tolong', 'login', 'mytelkomsel', 'kemarin', 'isi', 'ribu', 'nomer', 'aktif', 'disitu', 'tulisan', 'oops', 'kesalahan', 'menerus', 'login']</t>
  </si>
  <si>
    <t>['internet', 'error', 'bnar', 'muak', 'sma', 'telkomsel', 'kecewa', 'bayar', 'mahal', 'puasin', 'pelanggan', 'udh', 'ngadu', 'call', 'center', 'sma', 'hasilnya', 'mlah', 'tmbah', 'parah', 'sma', 'skli', 'bsa', 'digunain', 'bayar', 'mahal', 'lho', 'udh', 'ngadu', 'diperbaiki', 'mlah', 'diperburukkk', 'udh', 'bnar', 'muakkk', 'sayaaa', '']</t>
  </si>
  <si>
    <t>['parah', 'paket', 'langsung', 'baerlakunya', 'sampe', 'oktober', '']</t>
  </si>
  <si>
    <t>['gue', 'heran', 'ame', 'provider', 'simpati', 'gue', 'cek', 'berlaku', 'paket', 'gue', 'minggu', 'tgl', 'mei', 'knpe', 'berubah', 'tgl', 'simpati', 'skg', 'mengecewakan', 'pelanggan', 'komen', 'pelanggan', 'org', 'puas', 'layanan', 'simpati', 'bener', 'bobrok', 'simpati', 'skg', '']</t>
  </si>
  <si>
    <t>['telkomsel', 'signal', 'susah', 'internet', 'parah', 'gangguan', 'trus', 'jaminan', 'tlkmsel', 'skrg', 'kecewa', 'beralih', '']</t>
  </si>
  <si>
    <t>['isi', 'pulsa', 'notif', 'pulsa', 'ngk', 'bertambah', '']</t>
  </si>
  <si>
    <t>['koneksi', 'telkomsel', 'malam', 'terkadang', 'putus', 'alasan', 'buruk', 'terkadang', 'login', 'ulang', 'aplikasi', 'memasukan', 'nomor', 'login', 'tulisan', 'kesalahan', 'tunggu', 'berulang', 'kali', 'dasar', 'pemakan', 'uang', 'pelanggan', '']</t>
  </si>
  <si>
    <t>['jaringan', 'telkomsel', 'jelek', 'jaringan', 'kencang', 'udh', 'download', 'app', 'ttp', 'jelek', 'appnya', 'membantu', '']</t>
  </si>
  <si>
    <t>['beli', 'paket', 'combo', 'akun', 'masukin', 'nomor', 'oops', 'kesalahan', 'berulang', 'ulang', 'mohon', 'telkomsel', 'maksimalkan', 'aplikasinya', 'notifikasinya', 'bentrok', 'aplikasi', 'peduli', 'lindungin', 'ngeblank', 'layar', 'sinyal', 'hilang', '']</t>
  </si>
  <si>
    <t>['sinyal', 'tolong', 'perbaiki', 'jam', 'jaringan', 'lelet', 'telkomsel', 'skrg', '']</t>
  </si>
  <si>
    <t>['telkomsel', 'liat', 'kuota', 'dibuka', 'woiiiii', 'aplikasinya', 'dibuka', 'maaf', 'kesalahan', 'trus', 'hrs', 'gmn', 'zmn', 'jadul', 'smp', 'skrg', 'ttp', 'pke', 'telkomsel', 'skrg', 'spt', 'lelet', 'banget', 'tlng', 'diperbaiki', 'pengguna', 'telkomsel', 'cerewet', 'plissssss']</t>
  </si>
  <si>
    <t>['aplikasi', 'cek', 'pulsa', 'kuota', 'susah', 'login', 'udah', 'dihapus', 'donlot', 'susah', 'login', 'ganti', 'logo', 'bagus', 'nyungsep', '']</t>
  </si>
  <si>
    <t>['aplikasi', 'membantu', 'sayangnya', 'logout', 'loginnya', 'susah', '']</t>
  </si>
  <si>
    <t>['buka', 'aplikasi', 'woi', 'udah', 'update', 'kesedot', 'pulsa']</t>
  </si>
  <si>
    <t>['provider', 'nge', 'lag', 'karuan', 'harga', 'kouta', 'mahal', 'kualitasnya', 'sampah', 'promo', 'doang', 'signal', 'mah', 'sampah', 'dimana', 'harga', 'kualitas', 'harga', 'mahal', 'kualitas', 'sampah', 'ngeleg', 'karuan']</t>
  </si>
  <si>
    <t>['', 'sinyal', 'lemot', 'kecepatan', 'menurun', 'harga', 'dijual', 'mahal', 'telkomsel', 'lancar']</t>
  </si>
  <si>
    <t>['app', 'login', 'salah', 'telkomsel', 'paket', 'gb', 'emang', 'sinyal', 'telkonsel', 'busuk', 'sinyal', 'empty', '']</t>
  </si>
  <si>
    <t>['skrg', 'login', '']</t>
  </si>
  <si>
    <t>['telkomsel', 'maunya', 'jaringan', 'suka', 'ilang', 'ilangan', 'paket', 'beli', 'sumpahin', 'telkomsel', 'bangkrut', 'hancur', 'hancur', 'hancurnya']</t>
  </si>
  <si>
    <t>['aplikasi', 'bagus', 'pas', 'disuruh', 'masukin', 'nomer', 'kagak', 'mulu', 'kecewa', 'pelanggan', 'mulu', 'nyedot', 'pulsa', 'ahli', 'mantap', 'emg', '']</t>
  </si>
  <si>
    <t>['bagus', 'erorrr', 'jaringan', 'telkomsel', 'lelet', 'banget', 'mending', 'jaringanx', 'bagus', 'murah', '']</t>
  </si>
  <si>
    <t>['', 'masuk', 'udah', 'disuruh', 'beli', 'kartu', 'apk', 'ampuunnn']</t>
  </si>
  <si>
    <t>['parah', 'telkomselnya', 'ribuan', 'sekrg', 'jelek', '']</t>
  </si>
  <si>
    <t>['masuk', 'menu', 'telkomsel', 'telkomsel', 'maju', 'mengecewakan', 'pemakai', 'setia', 'telkomsel']</t>
  </si>
  <si>
    <t>['aplikasinya', 'jelek', 'ter', 'log', 'out', 'susah', 'banget', 'bei', 'kuota', 'aplikasi', 'kecewaaa']</t>
  </si>
  <si>
    <t>['bos', 'bos', 'jaringan', 'masuk', 'applikasi', 'mytelkomsel', 'pakai', 'nomor', 'gagal', 'sinyal', 'pulsa', 'ngelak', 'ram', 'gb', 'merk', 'samsung', 'perhatikan', 'oke', 'beli', 'paketan', 'pakai', 'harga', 'recomendasi', 'temen', 'oke', 'beli', 'paketan', 'pulsa', 'persaan', 'ngutang', 'hadehhhh', 'nonton', 'muter', 'kayak', 'paketannya', 'komplaint', 'keras', 'bos', 'gerak', 'cepat', '']</t>
  </si>
  <si>
    <t>['log', 'pas', 'buka', 'telkomsel', 'emang', 'kartunya']</t>
  </si>
  <si>
    <t>['admin', 'tolong', 'ksih', 'solusi', 'yeosu', 'korea', 'selatan', 'log', 'aplikasi', 'udh', 'reset', 'sgala', 'msih', 'ttp', 'oopss', 'something', 'wrong', 'dmna', 'tlong', 'eee', 'beli', 'paket', 'roaming', 'lwat', 'aplikasi', 'muahal', 'bnget', 'min', 'pakai', 'aplikasi', 'cman', 'rb', 'gb', 'bantuin', '']</t>
  </si>
  <si>
    <t>['jelek', 'serius', 'aneh', 'login', 'persulit']</t>
  </si>
  <si>
    <t>['telkomsel', 'dikit', 'sinyal', 'hilang', 'harga', 'pakeetanya', 'mahal', 'pinda', 'perdana', 'bay', 'telkom', '']</t>
  </si>
  <si>
    <t>['', 'update', 'nyampahhhhh', 'buka', 'salutt', 'kinerja', 'telkomsel', 'telkom', 'telkomsel', 'ampun', 'napa', 'nyampah', 'bikinnnn', 'emosi', '']</t>
  </si>
  <si>
    <t>['login', 'buka', 'dibuka', '']</t>
  </si>
  <si>
    <t>['buruk', 'pelanggan', 'bulanan', 'paket', 'ribu', 'sinyal', 'kalah', 'provider', 'harga', 'kuotanya', 'dibawah', 'sinyal', 'tertera', 'buka', 'geser', 'posisi', 'hilang', 'sinyal', 'kah', 'niat', 'telkomsel', 'memperbaiki', 'jaringan', 'buruk', 'tingkat', 'stabilnya', 'kecewa', 'pelosok', 'daerah', 'pinggir', 'kota', 'lokasi', 'banguntapan', 'bantul', '']</t>
  </si>
  <si>
    <t>['udah', 'beli', 'pulsa', 'tinggal', 'paketin', 'buka', 'knpa', 'rb', 'woi', 'belinya', '']</t>
  </si>
  <si>
    <t>['telkomsel', 'kualitas', 'jaringan', 'lemot', 'tolong', 'perbaikin', 'kualitas', 'jaringan', 'yaaaa', 'pelanggan', 'telkomsel', 'kecewa', 'beli', 'paket', 'mahal', 'terimakasih', '']</t>
  </si>
  <si>
    <t>['menjengkelkan', 'jaringannya', 'bersaing', 'baiknya', 'tutup', 'telkomsel', 'ngenes', 'pelanggan', '']</t>
  </si>
  <si>
    <t>['telkomsel', 'jaringannya', 'limited', 'bagus', 'jaringan', 'indosat', 'im', 'indosat', 'im', 'suka', 'hilang', 'hilang', 'kualitas', 'indosat', 'im', 'ketimbang', 'telkomsel', 'telkomsel', 'bali', 'kartu', 'telkomsel', 'kota', 'pulsa', 'penuh', 'telkomsel', 'pengguna', 'persulitkan', 'kota', 'pulsa', 'mahal', 'jaringannya', 'limited', '']</t>
  </si>
  <si>
    <t>['kesini', 'telkomsel', 'jelek', 'jaringannya', 'lalot', 'parah', 'pengin', 'banting', '']</t>
  </si>
  <si>
    <t>['masuk', 'lho', 'kuota', 'masuk', 'internetan', 'oalah', '']</t>
  </si>
  <si>
    <t>['pengguna', 'setia', 'telkomsel', 'puas', 'pelayanannya', 'paketnya', 'mahal', 'provider', 'kualitas', 'jaringanya', 'top', 'tugas', 'dipelosok', 'sinyal', 'dijakartapun', 'sinyal', 'stabil', 'mendekati', 'malam', 'kali', 'aplikasi', 'parahnya', 'login', 'kejelasan', 'provider', 'terbaik', 'seindonesia', '']</t>
  </si>
  <si>
    <t>['telkomsel', 'kesini', 'lemot', 'parah', 'paket', 'data', 'mahal', 'sesuai', 'kecewa', 'lahhh', '']</t>
  </si>
  <si>
    <t>['aplikasinya', 'aplikasinya', 'login', 'mengecewakan']</t>
  </si>
  <si>
    <t>['bgusssssasasssssssssssssssss', 'banggggggggggettttt', 'apk', 'mudah', 'mengakses', 'kuota', 'ribet', '']</t>
  </si>
  <si>
    <t>['nggak', 'stabil', 'buka', 'halaman', 'paket', 'internet', 'koneksinya', '']</t>
  </si>
  <si>
    <t>['heran', 'susah', 'bngt', 'login', 'ooops', 'kesalahan', 'nyebelin', 'emang']</t>
  </si>
  <si>
    <t>['cacat', 'iklan', 'trus', 'pas', 'giliran', 'udh', 'isi', 'pulsa', 'beli', 'logout', 'sndri', 'gaak', 'buka', 'aplikasi', 'nnya', '']</t>
  </si>
  <si>
    <t>['', 'berkaca', 'provider', 'laen', 'berbenah', 'nyusul', 'pelan', 'udh', 'bertahun', 'msh', 'kek', 'gni', 'inget', 'yee', 'slalu', 'jatuh', 'berbenah', 'provider', 'scam', '']</t>
  </si>
  <si>
    <t>['telkomsel', 'yutub', 'bagus', 'malam', 'diatas', 'jam', 'bermain', 'medsos', 'nggk', 'yutub', 'kuota', 'posisi', 'surabaya', 'gerangan', '']</t>
  </si>
  <si>
    <t>['masuk', 'aplikasi', 'keterangan', 'oops', 'kesalahan', 'nomer', '']</t>
  </si>
  <si>
    <t>['susah', 'banget', 'masuk', 'udah', 'hapus', 'cache', 'sampe', 'install', 'ulang', 'tetep', 'nggak', 'masuk']</t>
  </si>
  <si>
    <t>['update', 'logout', 'login', 'susah', 'login', '']</t>
  </si>
  <si>
    <t>['orang', 'orang', 'aplikasi', 'mempermudah', 'telkomsel', 'login', 'gabisa', 'kesalahan', 'melulu', 'sampe', 'sampe', 'blank', 'tampilan', 'lockscreen', 'bingung', 'seberat', 'aplikasi', 'sampe', 'blank', 'ukuran', 'ratusan', 'game', 'ngangkat', 'tolong', 'perusahaan', 'bener', 'malu', 'ama', 'tower', 'tulisan', 'perusahaan', 'terangnya', 'mata', 'buta', 'pelayanannya', 'payah', '']</t>
  </si>
  <si>
    <t>['suruh', 'login', 'tpi', 'kesalahan', 'coba', '']</t>
  </si>
  <si>
    <t>['aplikasi', 'perbaharui', 'berat', 'masuk', 'berlanjut', 'auto', 'unistal']</t>
  </si>
  <si>
    <t>['aplikasi', 'tolol', 'log', 'out', 'susah', 'masuk', 'berguna', 'download', 'download', 'aplikasi']</t>
  </si>
  <si>
    <t>['jaringannya', 'jelek', 'karna', 'diserang', 'hiu', 'koneksi', 'yeee', '']</t>
  </si>
  <si>
    <t>['ajh', 'merekomendasikan', 'telkomsel', 'provider', 'termurah', 'signal', 'bagus', 'ehh', 'malemnya', 'kebuka', 'aplikasi']</t>
  </si>
  <si>
    <t>['aplikasi', 'telkomsel', 'trs', 'masuk', 'opsi', 'gagal', 'melulu', 'min']</t>
  </si>
  <si>
    <t>['telkomsel', 'parah', 'jaringan', 'hancur', 'telkomsel', 'terdepan', 'skrg', 'telkomsel', 'terbelakang', 'banding', 'provider', 'telkomsel', 'tutup', 'pelanggan', 'menjauh', 'pindah', 'provider']</t>
  </si>
  <si>
    <t>['telkomsel', 'paket', 'mahal', 'jaringan', 'buruk', 'sekai', 'sesuai', 'engan', 'harga', 'paketnya', '']</t>
  </si>
  <si>
    <t>['telkomsel', 'sampah', 'update', 'oktober', 'gabisa', 'login', 'akun', 'telkomsel', 'diapknya', 'nomor', 'whatsapp', 'telkomsel', 'kirim', 'pesan', 'login', 'ulang']</t>
  </si>
  <si>
    <t>['update', 'masuk', 'login', 'aneh', 'cek', 'sisa', 'paketan', 'pulsa', 'gagal', 'mulu', 'login', 'aneh', 'kayak', 'niat', 'update', 'kecewa']</t>
  </si>
  <si>
    <t>['beli', 'pulsa', 'rb', 'tuker', 'kuota', 'beli', 'rb', 'cek', 'appnya', 'error']</t>
  </si>
  <si>
    <t>['provider', 'bug', 'aplikasi', 'harap', 'diperbaiki', 'disayangkan', 'provider', 'terbesar', 'indonesia', 'bug', 'pas', 'login', 'kartu', 'bertuliskan', 'kesalahan', 'berulang', 'ampas']</t>
  </si>
  <si>
    <t>['provider', 'korup', 'mah', 'isi', 'pulsa', 'ilang', 'kuota', 'jalan', 'jaringan', 'banget', 'lost', 'harga', 'mahal', 'kontooollll']</t>
  </si>
  <si>
    <t>['woii', 'jaringan', 'benerin', 'harga', 'doang', 'mahal', 'jaringan', 'kek', 'sampah', 'provider', 'kek', 'gini', 'kualitasnya', 'kesini', 'sangatt', 'burukk', 'kepakai', 'nyesel', 'udah', 'pertahanin', 'provider', 'bagus', 'skrng', 'udah', 'kaya', 'dihutan', 'sampah', '']</t>
  </si>
  <si>
    <t>['tolong', 'jaringan', 'pulihkan', 'parah', 'bosan', 'udah', 'niat', 'ganti', 'provider']</t>
  </si>
  <si>
    <t>['ampun', 'daahhh', 'jaringannya', 'sumpah', 'lemot', 'banget', 'nonton', 'story', 'tailah']</t>
  </si>
  <si>
    <t>['paketan', 'kuota', 'internet', 'mahal', 'tagihan', 'telat', 'bayar', 'sinyal', 'busuk', 'peningkatan', 'perbaikan', 'sinyal', 'pindah', 'provider', 'mengecewakan', '']</t>
  </si>
  <si>
    <t>['sinyalnya', 'stabil', 'berubah', 'ndak', 'bagus', 'sinyalnya', 'membaik', 'semoga', 'telkomsel', 'saingan', 'operator', 'sinyalnya', 'mahal', '']</t>
  </si>
  <si>
    <t>['hei', 'telkomsel', 'aplikasimu', 'udah', 'manja', 'sinyal', 'stabil', 'susah', 'buka', 'sinyalmu', 'jelek', 'banget', 'kayak', 'sampah', 'berguna', 'gimana', 'consumen', 'telkomsel', 'sinyal', 'jelek', 'cek', 'aplikasi', 'masuk', 'gara', 'sinyal', 'jelek', 'trus', 'gimana', 'hei', 'telkomsel', '']</t>
  </si>
  <si>
    <t>['udah', 'isi', 'kuota', 'udah', 'update', 'tetep', 'buka', 'app', 'maunya', '']</t>
  </si>
  <si>
    <t>['aplikasi', 'bermasalah', 'menggangu', 'kecewa']</t>
  </si>
  <si>
    <t>['buruk', 'susah', 'login', 'darurat', 'mengecewakan', 'pakai', 'perangkat', 'mumpuni', '']</t>
  </si>
  <si>
    <t>['nomor', 'msk', 'opsi', 'kesalahan', 'bsa', 'dipake']</t>
  </si>
  <si>
    <t>['jaringan', 'burrrik', 'ato', 'sinyal', 'jelek', 'harga', 'termahal', 'heran', 'update', 'mulu', 'gada', 'improvement', 'giliran', 'cek', 'dapet', 'hadiah', 'gabisa', 'masuk', 'apk', 'tsel', 'provider', 'busuk', 'mahal', 'hrusnya', 'layanan', 'bagus', 'brantas', 'sono', 'oknum', 'tikus', 'dasar', 'provider', 'dzolim']</t>
  </si>
  <si>
    <t>['telkomsel', 'sampah', 'paketan', 'sinyal', 'sll', 'lemot', 'dipake', 'internetan', 'habis', 'pulsa', 'utama', 'paketan', 'sll']</t>
  </si>
  <si>
    <t>['aplikasi', 'mempermudah', 'pelanggan', 'mempersulit', 'login', 'susah', 'banget', 'diupdate', 'masi', 'berjalan', 'normal', 'update', 'login', 'sinyal', '']</t>
  </si>
  <si>
    <t>['tolong', 'daritadi', 'log', 'out', 'otomatis', 'udah', 'lumayan', 'banget', 'tolong', 'lahhh', 'kembangkan', '']</t>
  </si>
  <si>
    <t>['keluhan', 'masyarakat', 'pengguna', 'telkomsel', 'tanggapan', 'memperbaiki', 'kualitas', 'jaringanya', 'daerah', 'udah', 'kritik', 'bagus', 'respon']</t>
  </si>
  <si>
    <t>['akun', 'pembelian', 'paket', 'coba', 'masuk', 'berulang', 'kali', 'coba', 'tampil', 'kesalahan', 'tolong', 'kesalahan', 'akun', 'telkomsel']</t>
  </si>
  <si>
    <t>['aplikasi', 'bermutu', 'udah', 'setahun', 'apk', 'login', 'dasar', 'kentang', '']</t>
  </si>
  <si>
    <t>['simpati', 'eror', 'gimana', 'sinyal', 'penuh', 'kouta', 'penuh', 'akses', 'internet', 'buka', 'dll', 'gabisa']</t>
  </si>
  <si>
    <t>['provider', 'mahal', 'kualitas', 'miskin', 'beli', 'mahal', 'kalah', 'kualitas', 'harga', 'murah', 'eror', 'signal', 'lose', 'pindah', 'provider', 'fix', 'gini', 'tutup', 'telkomsel', 'buka', 'rugi', 'orang', 'nipu', 'provider', 'harga', 'mahal', 'kualitas', 'bagus', 'hah', 'nipu', 'terusan']</t>
  </si>
  <si>
    <t>['min', 'tolong', 'jaringan', 'susah', 'jaringan', 'telkomsel', 'min', 'tolong', 'min']</t>
  </si>
  <si>
    <t>['telkomsel', 'merugikan', 'masyarakat', 'kuota', 'internet', 'mahal', 'kuta', 'bergunga', 'kebeli', 'okh', 'maklumi', 'jaringan', 'lelet', 'perbaikan', 'sungguh', 'disayangkan', 'telkomsel', 'dikit', 'mengurah', 'kantong', 'masyarakat', 'beda', 'tetangga', 'sebelah', 'im', 'murah', 'meriah', 'jaringan', 'okh', 'pelanggan', 'sumgguh', 'puas', 'layanan', 'telkomsel', 'dunia', 'akhirat', 'lahir', 'batin', 'sya', 'ikhlas', 'menyesal', '']</t>
  </si>
  <si>
    <t>['telkomsel', 'daerah', 'siborong', 'borong', 'tapanuli', 'utara', 'sumatera', 'utara', 'kog', 'sinyalnya', 'jelek', 'gangguan', 'sinyal', 'beralih', 'operator', 'sebelah', 'tolong', 'diperhatikan']</t>
  </si>
  <si>
    <t>['memperlakukan', 'pelanggan', 'asik', 'kuota', 'login', 'apk', 'suruh', 'login', 'login', 'ulang', 'kesalahan', 'wifi', 'aman', 'lancar', 'login', 'udh', 'kuota', 'trs', 'login', 'ulang', 'maksud', 'woyy', 'tolong', 'lahhh', '']</t>
  </si>
  <si>
    <t>['kacau', 'kuota', 'internet', 'gb', 'hadeuhh', 'provider', 'aneh', 'embel', 'jaringan', 'super', 'sampah', 'rugi', 'konsumen', 'suka', 'kecewa', 'kedepan', 'yahh', 'nyata', 'sampah', 'rugi', 'gini', 'mending', 'pindah', '']</t>
  </si>
  <si>
    <t>['slmat', 'mlm', 'simpati', 'erorr', 'donk', 'internetnya', 'jangn', 'gangguan', 'rakyat', 'komunikasi', 'keluarga', 'masyarakat', 'simpati', 'gangguan', 'sich', 'tolong', 'perbaiki', 'selajuttannya', 'bener', 'klau', 'gangguan', 'pindah', 'perdana', 'simpati', 'bagus', 'napa', 'jelek', 'sich', 'trima', 'kasih', '']</t>
  </si>
  <si>
    <t>['provider', 'sgt', 'setia', 'provider', 'sayangnya', 'telkomsel', 'setia', 'pelanggannya', 'jaringan', 'harga', 'kualutas', 'makiiiin', 'nyungsep', 'kepala', 'gada', 'saingan', 'yaa', 'mdh', 'kedepan', 'provider', 'lbh', '']</t>
  </si>
  <si>
    <t>['app', 'versi', 'terbaru', 'susah', 'banget', 'loginnya', 'log', 'out', 'pas', 'login', 'konfirmasi', 'sms', 'suka', 'eror', '']</t>
  </si>
  <si>
    <t>['jaringan', 'dbwh', 'terkadang', 'dbwh', 'hilng', 'pdhl', 'tgl', 'kota', 'gnti', 'kartu', 'syg', 'orng', 'padah', 'smua', 'tolong', 'perbaiki', 'jaringannya', 'parah', 'anjingggg', '']</t>
  </si>
  <si>
    <t>['kuota', 'doang', 'mahal', 'udah', 'kartu', 'halo', 'jaringan', 'kadang', 'down', 'gimana', 'dananya', 'dikorupsi', 'dikantongi', 'pejabat', 'pejabatnya', 'sesuai', 'harga', 'jdi', 'mikir', 'ganti', 'provider']</t>
  </si>
  <si>
    <t>['buruk', 'delay', 'membeli', 'paket', 'internet', 'terkadang', 'eror', 'log', 'signal', 'hilang']</t>
  </si>
  <si>
    <t>['', 'update', 'aplikasi', 'telkomsel', 'buruk', 'banget', 'mas', 'aplikasi', 'telkomsel', 'engga', 'buka', 'alias', 'engga', 'login', 'kadang', 'telkomsel', 'pdhal', 'engga', 'klik', 'huuuf', 'nilep', 'pulsa', 'kuota', 'telkomsel', 'dasar', 'pencuri']</t>
  </si>
  <si>
    <t>['telkomsel', 'sinyal', 'ancuuuuuur', 'parah']</t>
  </si>
  <si>
    <t>['telkomsel', 'update', 'jaringan', 'jelek', 'hilang', 'pelayanan', 'buruk', 'mikir', 'untung', 'doank', 'udah', 'paket', 'mahal', 'jaringan', 'lelet', 'nyesel', '']</t>
  </si>
  <si>
    <t>['kesini', 'ribet', 'update', 'gabisa', 'install', 'ulang', '']</t>
  </si>
  <si>
    <t>['niat', 'telkomsel', 'pelayanan', 'pengguna', 'telkomsel', 'sinyal', 'gangguan', 'telkomsel']</t>
  </si>
  <si>
    <t>['eror', 'aplikasinya', 'top', 'log', 'out', 'login', 'hmm', 'kemarin', 'jaringan', 'aplikasi', 'bug', 'pindah', 'fitur', 'sms', 'pindah', 'profider', '']</t>
  </si>
  <si>
    <t>['hallo', 'susah', 'login', 'cek', 'tagihan', 'tolong', 'bantu']</t>
  </si>
  <si>
    <t>['telkomsel', 'signalnya', 'tolong', 'diperbaiki', 'errornya', '']</t>
  </si>
  <si>
    <t>['hbs', 'update', 'bookmark', 'paket', 'hilang', 'bookmark', 'paket', 'malam', 'udah', 'harga', 'paket', 'mahal', 'udah', 'kyk', 'lintah', '']</t>
  </si>
  <si>
    <t>['provider', 'ampas', 'ampas', 'sabar', 'era', 'bye']</t>
  </si>
  <si>
    <t>['rubah', 'bintang', 'buka', 'app', 'pakai', 'jaringan', 'wifi', 'rumah', 'kesalahan', 'jaringan', 'pakai', 'jaringan', 'sim', 'telkom', 'app', 'lancar', 'paket', 'habis', 'beli', 'pke', 'app', 'hrs', 'pke', 'jaringan', 'telkom', 'klau', 'pkai', 'jaringan', 'error', 'mulu', 'pindah', 'sblah', 'ribet', '']</t>
  </si>
  <si>
    <t>['perbarui', 'masuk', 'kesalahan', 'trus', 'tulisannya']</t>
  </si>
  <si>
    <t>['maaf', 'bintang', 'kurangin', 'jaringan', 'telkomsel', 'kesel', 'data', 'loading', 'ampun', 'salah', 'user', 'sel', 'suka', 'promo', 'telkomsel', 'telkomsel', 'jaringan', 'menurun', 'ayok', 'yok', 'diperbaiki', 'jaringan', 'rugi', 'beli', 'combo', 'sakti', 'unlimited', 'lemot', 'nnton', 'vidio', 'konon', 'unlimited', 'sayang', 'lemot', '']</t>
  </si>
  <si>
    <t>['telkomsel', 'telkomsel', 'jaringannya', 'buriik', 'perbaiiki', 'blok']</t>
  </si>
  <si>
    <t>['sinyalnya', 'hidup', 'tangsel', 'jaringan', 'telkomsel', 'buruk', 'provider', 'indonesia', 'hadeuuhhhh']</t>
  </si>
  <si>
    <t>['parah', 'knp', 'susah', 'masuknya', 'app', 'mytelkomsel', 'padhal', 'nomor', 'knp', 'lock', 'out', 'masukan', 'nomor', 'susah', 'masuknya', 'parah', 'kau']</t>
  </si>
  <si>
    <t>['pemilik', 'provider', 'telkomsel', 'pegawai', 'telkomsel', 'gulung', 'tikar', 'paketan', 'mahal', 'sinyal', 'trobel', '']</t>
  </si>
  <si>
    <t>['berat', 'bukanya', 'cocok', 'daerah', 'sinyal', 'lemah', '']</t>
  </si>
  <si>
    <t>['kecewa', 'banget', 'udah', 'percaya', 'bertahun', 'trobel', 'banget', 'berhari', 'parah', 'wooooiiiiii']</t>
  </si>
  <si>
    <t>['', 'registrasi', 'muncul', 'tulisan', 'kartu', 'proses', 'cek', 'aktif', 'beli', 'rugi', 'beli', 'telkomsel', '']</t>
  </si>
  <si>
    <t>['sinyal', 'telkomsel', 'buruk', 'dunia', 'pln', 'pln', 'mati', 'sinyal', 'mati', 'kalok', 'sanggup', 'layanan', 'sinyal', 'cabut', 'tower', 'kalin', 'desa', 'besadi', 'cabut', '']</t>
  </si>
  <si>
    <t>['', 'bermutu', 'udah', 'paketanya', 'mahal', 'sinyalnya', 'jelek', 'telkomsel', 'penipu', 'masyarakat', 'nyesel', 'gue', 'pakai', 'telkomsel']</t>
  </si>
  <si>
    <t>['perhatikan', 'noh', 'keluhan', 'pelanggan', 'ngalamin', 'ketidakstabilan', 'internetnya', 'gini', 'telkomnyet', 'jaringan', 'internetan', 'beda', 'kartu', 'bar', 'jaringannya', 'kecepatannya', 'telkomnyet', 'asli', 'jalan', 'laporan', 'jawabannya', 'disuruh', 'refresh', 'hasilnya', 'nol', 'bye', 'bye', 'telkomtol', '']</t>
  </si>
  <si>
    <t>['kecewa', 'layanan', 'telkomsel', 'kali', 'emang', 'teledor', 'aktif', 'nomer', 'lupa', 'betulkan', 'paketan', 'data', 'mahal', 'pakai', 'data', 'lupa', 'tenggang', '']</t>
  </si>
  <si>
    <t>['jaringan', 'gimana', 'ngeleg', 'udah', 'gitu', 'paketnya', 'mahal', 'mending', 'beli', 'kartu']</t>
  </si>
  <si>
    <t>['wkwkwkk', 'penipu', 'paket', 'unlimited', 'mna', 'mna', 'hapir', 'separoh', 'paket', 'normal', 'promo', 'masuk', 'akal', 'bambang', '']</t>
  </si>
  <si>
    <t>['aplikasinya', 'udah', 'bagus', 'cuman', 'kalu', 'buka', 'mytelkomsel', 'internet', 'berjalan', 'aplikasi', 'telkomsel', 'buka', 'loading', 'lgi', 'tpi', 'internet', 'berjalan', 'mytelkonsel', 'kecuali', 'hapus', 'latar', 'berjalan', 'mohon', 'perbaiki', '']</t>
  </si>
  <si>
    <t>['anggota', 'keluarga', 'dirumah', 'telkomsel', 'knp', 'beda', 'kartu', 'beda', 'paket', 'anak', 'sekolah', 'online', 'mahal', 'logikanya', 'zona', 'harga', 'boros', 'sisa', 'pulsa', 'habis', 'kesedot', 'tolong', 'perbaiki', 'kualitasnya', '']</t>
  </si>
  <si>
    <t>['ngeleg', 'tolong', 'perbaiki', 'terkomsel', 'mikir', 'sinyal', 'jlk', 'gini', 'harga', 'paket', 'mahal', 'boros', 'mikir', 'adaan', 'masyarakat', 'sinyal', 'jlk', 'harga', 'turun', '']</t>
  </si>
  <si>
    <t>['kesini', 'lemooooooooootttt', 'tol', 'ng', 'ditingkatkan', '']</t>
  </si>
  <si>
    <t>['jaringan', 'mohon', 'tingkatkan', 'jaringan', 'susah', 'jangkau', 'jaringan', 'troble', 'sekian', 'terima', 'kasih', 'semoga', 'maju', 'salam', 'sukses', 'telkomsel', '']</t>
  </si>
  <si>
    <t>['jaringan', 'telkomsel', 'lemot', 'kayak', 'jaringan', 'lemot', 'banget', 'mending', 'beralih', 'provider', '']</t>
  </si>
  <si>
    <t>['diperbarui', 'dipakai', 'kesalahan', 'sistem', 'mohon', 'diperbaiki']</t>
  </si>
  <si>
    <t>['telkomsel', 'jaringannya', 'lemot', 'main', 'game', 'kalaw', 'malam', 'jaringan', 'internet', 'bis']</t>
  </si>
  <si>
    <t>['upgrade', 'sinyal', 'parah', 'udah', 'extra', 'kouta', 'smp', 'tenggang', 'abis', 'kouta', 'gara', 'sinyal', 'parah', 'kartu', 'skrg', 'parah', 'sinyal', 'bijaksanaan', 'bayar', 'stiap', 'kouta']</t>
  </si>
  <si>
    <t>['membeli', 'kuota', 'darurat', 'pdahal', 'melunasinya', 'teman', 'melunasi', 'meminjam', 'kuota', 'darurat', 'mohon', 'dibantu']</t>
  </si>
  <si>
    <t>['sedot', 'pulsa', 'sampe', 'kering', 'asw', 'layanan', 'safe', 'pulsa', 'paket', 'internet', 'habis', 'bodo', 'bodo', '']</t>
  </si>
  <si>
    <t>['pencuri', 'pulsa', 'pulsa', 'ane', 'habis', 'dicolongin', 'kena', 'azab', 'pas', 'matinya', '']</t>
  </si>
  <si>
    <t>['adh', 'tolong', 'telkom', 'jaringannya', 'diperbaiki', 'mengecewakan', 'pelanggan', 'peanggan', 'puas', 'akibat', 'lag', 'parah', 'merugikan', 'ditambah', 'paket', 'data', 'mahal', 'membeli', 'palet', 'mahal', 'sinyal', 'lemot', 'lag', 'gajelas', 'tolong', 'telkomsel', 'ditindak', 'lanjuti', 'kualitas', 'sinyal', 'nyaman', 'telkomsel']</t>
  </si>
  <si>
    <t>['jaringan', 'telkomsel', 'skrng', 'bermutu', 'cacat', 'lag', 'jaringan', 'turun', 'emng', 'bagus', 'skrng', 'provider', 'keluhan', 'numpang', 'nama', 'tsel', 'skrng', 'msh', 'gitu', 'oke', 'pindah', 'provider', 'udah', 'sebagus', '']</t>
  </si>
  <si>
    <t>['cek', 'pulsa', 'kuota', 'beragam', 'fitur', 'beruntung', 'hadiah', 'bonus']</t>
  </si>
  <si>
    <t>['kwalitas', 'jaringannya', 'tolong', 'perbaiki', 'pengguna', 'setia', 'telkomsel', 'kecewa', 'jaringannya', 'main', 'game', 'terganggu', 'tinggal', 'sekitaran', 'jakarta', 'pusat', 'kantor', 'pusatnya', 'telkomsel', 'semoga', 'kedepannya', 'perbaikan', 'terima', 'kasih']</t>
  </si>
  <si>
    <t>['gua', 'berkaitan', 'bumn', 'sakit', 'hatinya', 'kasih', 'paket', 'murah', 'tampil', 'aktifasi', 'paket', 'aktifasi', 'paket', 'saldo', 'sisa', 'rb', 'bonus', 'paket', 'rp', 'muncul', 'sisa', 'saldo', 'promo', 'paket', 'rp', 'nongol', 'aktifasi', 'paket', 'nelpon', 'dikasih', 'bonus', 'pulsa', 'rb', 'nelpon', 'nelpon', 'dipotong', 'saldo', 'paket', 'belik', 'gua', 'heran', 'koq', 'manusia', 'jenius', '']</t>
  </si>
  <si>
    <t>['woy', 'anjinggg', 'kartu', 'indo', 'leg', 'bangsaddd', 'kuwota', 'beli', 'asw', '']</t>
  </si>
  <si>
    <t>['tranfer', 'pulsa', 'nomor', 'salah', 'mulu', 'ribet', '']</t>
  </si>
  <si>
    <t>['woy', 'telkom', 'beli', 'mahal', 'jaringan', 'ngelg', 'parah', 'tolong', 'betulkan', 'jaringan', 'korupsi', 'mulu', 'banget', 'kayak', 'banteng', 'merah', '']</t>
  </si>
  <si>
    <t>['udah', 'tahap', 'percaya', 'kabel', 'telkomsel', 'udah', 'ilang', 'ketelen', 'megalodon', 'tower', 'dihancurin', 'ultraman', 'sinyal', 'bisanya', 'kb', 'ngupil', 'nggak', 'kuat', 'guru', 'ngasih', 'tugas', 'wajib', 'google', 'kamvret', 'air', 'mata', 'sia', 'sia', 'gara', 'buku', 'nggak', 'lengkap', 'buku', 'pelajaran', 'udah', 'tahap', 'kehilangan', 'manfaat', '']</t>
  </si>
  <si>
    <t>['gmna', 'telkomsel', 'ancur', 'benerin', 'bayar', 'mahal', 'sinyal', 'gada', 'blas', 'ilang', 'aman']</t>
  </si>
  <si>
    <t>['kenyamanan', 'hubungan', 'komunikasi', 'peduli', 'hutan', 'tersambung', 'jaringan', 'telkomsel', 'terima', 'kasih', '']</t>
  </si>
  <si>
    <t>['mantap', 'kuota', 'murah', 'orang', 'sepertin']</t>
  </si>
  <si>
    <t>['mauaaahaaaaaallll', 'banget', 'paket', 'nomer', 'nomer', 'suami', 'murah', 'paketnya', 'telkomsel', 'pilih', 'nihh', 'leleeeett', 'bangeettt', 'giliran', 'promo', 'beli', 'paket', '']</t>
  </si>
  <si>
    <t>['paketan', 'internet', 'mahal', 'bangat', 'populer', 'kalangan', 'sinyal', 'busuk', 'rugi', 'beli', 'paket', 'internet', 'mahal', '']</t>
  </si>
  <si>
    <t>['tingkatkan', 'segi', 'jaringan', 'loost', 'conection', 'didaerah', 'kebanyakan', 'menggunakam', 'jaringan', 'telkomsel', 'terkadang', 'mengeluh', 'lemahnya', 'jaringan', '']</t>
  </si>
  <si>
    <t>['metode', 'pembayaran', 'app', 'telkomsel', 'pulsa', 'metode', 'aplikasi', 'telkomsel', 'teman']</t>
  </si>
  <si>
    <t>['bagus', 'cmn', 'gmn', 'klw', 'tukar', 'poin', 'undian', 'prnh', 'dpt', 'kabar', 'thanks']</t>
  </si>
  <si>
    <t>['terkadang', 'promosi', 'hoax', 'diakses', 'internet', 'lambat']</t>
  </si>
  <si>
    <t>['memudahkan', 'usul', 'aplikasi', 'dibuka', 'terhubung', 'internet']</t>
  </si>
  <si>
    <t>['minggu', 'masuk', 'app', 'telkomsel', 'dpt', 'memuat', 'halaman', 'maaf', 'kesalahan', 'sistem', 'ikutan', 'program', 'check', 'mohon', 'bantuannya']</t>
  </si>
  <si>
    <t>['kasih', 'bintang', 'karna', 'dibuka', 'aplikasi', 'aplikasi', 'buka', 'tulisan', 'something', 'went', 'wrong', 'geblek', 'angel', 'angel', 'angel', 'sinyal', 'setahun', 'sinyal', 'error', 'angel', 'angel', 'susah', '']</t>
  </si>
  <si>
    <t>['update', 'trus', 'tpi', 'fungsi', 'keseringan', 'pemberitaua', 'parah', 'gangguan', 'trus', '']</t>
  </si>
  <si>
    <t>['isi', 'pulsa', 'saldo', 'langsung', 'nentuin', 'paket', 'internetan', 'pulsa', 'langsung', 'ludes']</t>
  </si>
  <si>
    <t>['lemot', 'bar', 'full', 'masuk', 'loby', 'game', 'kuning', 'pas', 'dalem', 'game', 'jalan', 'parah']</t>
  </si>
  <si>
    <t>['sihh', 'bonus', 'tlpn', 'pas', 'telpon', 'pulsa', 'kepotkng', 'tolong', 'diperhatikan', '']</t>
  </si>
  <si>
    <t>['membantu', 'jaringan', 'telkomsel', 'handal', 'jangkauannya', 'pelosok', 'negeri', 'semangat', '']</t>
  </si>
  <si>
    <t>['ter', 'inspirasi', 'aplikasi', 'bertahun', 'pelanggan', 'telkomsel', 'maju', 'telkomsel', 'mengikuti', 'perkembangan', 'teknologi', 'dunia', '']</t>
  </si>
  <si>
    <t>['mampus', 'tinggal', 'kabur', 'pelanggan', 'pindah', 'indosat', 'emang', 'iya', 'telkomsel', 'korupsi', 'pulsa', 'ilang', 'stop', 'pakai', 'telkomsel', '']</t>
  </si>
  <si>
    <t>['jaringan', 'stabil', 'main', 'game', 'udah', 'berlangganan', 'telkomsel', 'kecewa']</t>
  </si>
  <si>
    <t>['klok', 'kukasi', 'bintang', 'pekek', 'telkomse', 'mudh', 'han', 'kecewa', 'gyk', 'jaringan', 'sampah', 'pket', 'internetan', 'mahal', 'ganti', 'kartu', '']</t>
  </si>
  <si>
    <t>['welcome', 'gagal', 'legend', 'gara', 'gara', 'sinyalnya', 'patah', 'patah', 'wooooohhhhhhhh', 'ganbatte', '']</t>
  </si>
  <si>
    <t>['beli', 'kuota', 'ngak', 'dipakai', 'beli', 'mahal', 'mahal', 'ngak', 'telkomsel', 'bagus', 'kecewa']</t>
  </si>
  <si>
    <t>['langganan', 'internet', 'telkomsel', 'liat', 'provider', 'laen', 'harganya', 'lbh', 'murah', 'kualitas', 'langganan', 'internet', 'telkomsel', 'muaaahhaaall', 'byee', '']</t>
  </si>
  <si>
    <t>['download', 'telkomsel', 'baca', 'komplain', 'pelanggan', 'terpaksa', 'uninstall', 'klu', 'atw', 'org', 'kmplain', 'wajar', 'komplain', 'telkomsel', 'kacau', 'deh', 'telkomsel', '']</t>
  </si>
  <si>
    <t>['teman', 'teman', 'beli', 'telkom', 'beli', 'bendingan', 'beli', 'telkom', 'gila', 'jaringannga', 'kecewa', 'telkom', 'anak', 'anak', 'belajar', 'jaringannya', 'mohon', 'teman', 'teman', 'beli', 'telkom', 'bending', 'beli']</t>
  </si>
  <si>
    <t>['woy', 'min', 'benerin', 'sinyal', 'kartu', 'doang', 'mahal', 'benerin', 'sinyal', 'nungguin', 'penggunanya', 'emosi', 'ngapa', 'susah', 'nge', 'game', 'browsing', 'susah', '']</t>
  </si>
  <si>
    <t>['nanya', 'beli', 'kuota', 'unlimited', 'max', 'gb', 'gb', 'kuota', 'utama', 'gb', 'kuota', 'loka', 'gb', 'kuota', 'maxtreem', 'pas', 'pemakaian', 'kuota', 'utama', 'lancar', 'internetnya', 'pemakaian', 'internet', 'loka', 'kaka', 'nggk', 'paket', 'nggk', 'jalan', 'kadang', 'kadang', 'jaln', 'kli', 'signal', 'mohon', 'pencerahannya', 'terima', 'kasih']</t>
  </si>
  <si>
    <t>['ngalamin', 'pulsa', 'ilang', 'kesedot', 'mulu', 'nggak', 'berlangganan', 'paket', 'nsp', 'sejenisnya', 'cek', 'transaksi', 'nggak', 'internet', 'aktif', 'telkomsel', 'kesini', '']</t>
  </si>
  <si>
    <t>['top', 'link', 'beli', 'pulsa', 'app', 'telkom', 'biaya', 'tambahan', 'udah', 'pembayaran', 'lancar', 'saldo', 'linkaja', 'berkurang', 'tapiii', 'pulsanya', 'masuk', 'dapet', 'sms', 'mytelkomsel', 'pembayaran', 'berhasil', 'lancar', 'saldo', 'linkaja', 'kepotong', 'gimana', 'nguras', 'saldonya', 'ngasih', 'pulsanya', 'gitu', '']</t>
  </si>
  <si>
    <t>['sinyal', 'sinyal', 'kau', 'puji', 'puji', 'bawaan', 'pingen', 'ngebanting', 'telkomsel', 'buka']</t>
  </si>
  <si>
    <t>['hebat', 'telkomsel', 'beli', 'paket', 'pulsa', 'kesedot', 'paket', 'dapet', 'tingkatkan', 'sedotan', 'pulsa', 'telkomsel', 'kapok']</t>
  </si>
  <si>
    <t>['tolong', 'telkomsel', 'beli', 'paket', 'pulsa', 'pas', 'pembayaran', 'sms', 'sisap', 'puksabyabg', 'miliki', 'mencukupi', 'silahkan', 'isi', 'ulang', 'pulsa', 'rugikan', 'fitur', 'kunci', 'pulsa', 'otomatis', 'pulsa', 'kesedot', 'terimakasih', 'telkomsel']</t>
  </si>
  <si>
    <t>['sinyal', 'pindah', 'provider', 'sebelah', 'udh', 'bayar', 'mahal', 'sinyal', 'murahan']</t>
  </si>
  <si>
    <t>['sinyal', 'kuat', 'paketan', 'murahnya', 'kartu', 'kartu', 'telkomsel', 'sakti', 'andai', 'sakti', 'bintang']</t>
  </si>
  <si>
    <t>['kode', 'deal', 'kuota', 'murah', 'dipakai', 'udah', 'dipake', 'kasih', 'bintang', '']</t>
  </si>
  <si>
    <t>['jelek', 'jaringan', 'hilang', 'jaringan', 'jelek', 'main', 'game', 'jaringan', 'koneksi', 'terputus', 'paket', 'mahal', 'kualitas', 'tingkatkan', '']</t>
  </si>
  <si>
    <t>['kirim', 'sms', 'ngeganggu', 'orang', 'main', 'games', 'dapet', 'sms', 'main', 'kirim']</t>
  </si>
  <si>
    <t>['turunin', 'bintangnya', 'sich', 'habis', 'update', 'aplikasinya', 'stabil', 'jaringan', 'eror', 'nonton', 'koneksi', 'lancar', '']</t>
  </si>
  <si>
    <t>['', 'sinyalnya', 'gangguan', 'nga', 'besok', 'berlanjut', 'nga', 'jualan', 'online', 'bener', 'terganggu', 'nga', 'kerja', 'gangguan', 'berhari', 'repot', 'orang']</t>
  </si>
  <si>
    <t>['nggx', 'beli', 'paket', 'tertera', 'gangguan', 'sistem', 'mohon', 'infonya']</t>
  </si>
  <si>
    <t>['sinyal', 'hancur', 'nelpon', 'gangguan', 'internet', 'mahal', 'parah', 'jaringannya', 'thun', 'sya', 'pengguna', 'telkomsel', 'kecewa', 'minggu', 'trakhir', 'karna', 'jaringannya', 'sabari', 'minggu', 'kayak', 'gini', 'maaf', 'pindah', 'provider', 'sebelah', 'hancur', 'smua', 'bisnis', '']</t>
  </si>
  <si>
    <t>['jaringannya', 'mengecewakan', 'harga', 'paket', 'beli', 'jenis', 'paket', 'bulannya']</t>
  </si>
  <si>
    <t>['jaringan', 'stabil', 'main', 'game', 'free', 'fire', 'max', 'jaringan', 'jaringan', 'hilang', 'sinyal', 'mohon', 'perbaiki', 'jaringan', 'telkomsel', 'suruh', 'perbaiki', 'komentar', '']</t>
  </si>
  <si>
    <t>['gimana', 'telkomsel', 'beli', 'paket', 'internet', 'combo', 'mahal', 'mahal', 'jaringannya', 'buruk', 'banget', 'worth', 'rumah', 'nggak', 'desa', 'banget', 'area', 'kota', 'jaringan', 'sinyalnya', 'masya', 'allah', 'buruknya', 'kukira', 'telkomsel', 'jaringannya', 'bagus', 'kecewa', 'telkomsel', 'tambahan', 'kesini', 'sinyalnya', 'udah', 'parah', 'area', 'rumah', 'sinyal', 'telkomsel', 'top', 'buruk', 'banget', 'sinyalnya', 'jelek', 'puas', '']</t>
  </si>
  <si>
    <t>['bagus', 'aplikasi', 'murah', 'beli', 'pulsa', 'napa', 'liat', 'liat', 'bagus']</t>
  </si>
  <si>
    <t>['nggak', 'sesuai', 'butuhan', 'mahal', 'paket', 'terlanjur', 'jlk', 'jaringan', 'gimana', 'beli', 'paket', 'murah', 'pas', 'klik', 'mahal', 'main', 'paket']</t>
  </si>
  <si>
    <t>['hebat', 'sinyalnya', 'jarang', 'nyantol', 'pulo', 'kodok', 'kota', 'tegal', '']</t>
  </si>
  <si>
    <t>['yaa', 'logo', 'ganti', 'penyegaran', 'bagus', 'susah', 'akses', 'yaa', 'gimana', 'paketin', 'data', 'aplikasinya']</t>
  </si>
  <si>
    <t>['jaringannya', 'eror', 'kuota', 'mahal', 'sesuai', 'kualitas']</t>
  </si>
  <si>
    <t>['', 'komen', 'dibawah', 'jaringan', 'jelek', 'telkomsel', 'ujan', 'dikit', 'langsung', 'redup', 'sinyal', 'aneh', 'tingkatan', 'lgi', 'perusahaan', 'maju', 'berkembang', 'bangkrut', 'perusahaanya', 'kasian', 'karyawan', '']</t>
  </si>
  <si>
    <t>['telkomsel', 'pulsa', 'berkurang', 'kau', 'sedot', 'kemana', 'internet', 'nelpon', 'sms', 'mms', 'terima', 'telp', 'itupun', 'telkomsel', 'pulsa', 'berkurang', '']</t>
  </si>
  <si>
    <t>['fup', 'turunkan', 'paket', 'unlimited', 'tolong', 'dimengerti', 'kegiatan', 'perkuliahan', 'pertemuan', 'zoom', 'google', 'meet', 'aplikasi', 'video', 'conference', 'tolong', 'komentar', 'baca', 'perubahan', '']</t>
  </si>
  <si>
    <t>['situ', 'operator', 'maling', 'sms', 'pulsa', 'internet', 'non', 'paket', 'cek', 'kuota', 'gb', 'pulsa', 'dikonsumsi', '']</t>
  </si>
  <si>
    <t>['udh', 'makan', 'taik', 'telkomsel', 'ambil', 'paket', 'darurat', 'dibilang', 'melunasi', 'paket', 'darurat', 'tolong', 'telkomsel', 'indonesia', 'perbaiki', 'kontollllllllllllllllllllllllllllllllllllllllll']</t>
  </si>
  <si>
    <t>['kecewa', 'telkomsel', 'beli', 'paket', 'pendidikan', 'kepakai', 'kuota', 'utama', 'kuota', 'utama', 'diisi', 'pakai', 'zoom', 'berkurang', 'paket', 'pendidikan', 'kuota', 'utama', 'klu', 'paket', 'pendidikan', 'beli', 'dicurangi', 'klu', 'beli', 'paket', 'pendidika', 'pakai', 'zoom', 'paket', 'pendidikannya', 'dikurangi', 'tolong', 'telkomsel', 'perhatikan', 'mencurangi', 'konsumen', 'please', '']</t>
  </si>
  <si>
    <t>['aplikasi', 'parah', 'pulsa', 'niat', 'pasang', 'paket', 'sakti', 'harga', 'pulsa', 'mencukupi', 'mengajukan', 'aplikasi', 'pulsa', 'berkurang', 'dirugikan', 'aplikasi', '']</t>
  </si>
  <si>
    <t>['aplikasi', 'mytelkomsel', 'error', 'tulisan', 'memuat', 'halaman', 'solusi', 'nua', '']</t>
  </si>
  <si>
    <t>['parah', 'sinyal', 'beneran', 'mah', 'paket', 'mahal', 'smua', 'paket', 'woyy', 'admin', 'baca', 'keluhan', 'pelanggan', 'jngn', 'pengen', 'untung', 'doang', '']</t>
  </si>
  <si>
    <t>['', 'puas', 'amplikasi', 'perbaharui']</t>
  </si>
  <si>
    <t>['aneh', 'kemarin', 'suruh', 'perbarui', 'selesai', 'pas', 'buka', 'aplikasinya', 'update', 'update', 'playstore', 'playstore', 'pembaruan', 'provider', 'aneh']</t>
  </si>
  <si>
    <t>['aplikasi', 'gajelas', 'beli', 'paket', 'nyalain', 'data', 'refresh', 'ujung', 'ujungnya', 'pulsa', 'kesedot', 'gabisa', 'beli', 'stres']</t>
  </si>
  <si>
    <t>['kecewa', 'telkomsel', 'udh', 'puluhan', 'sinyal', 'lemot', 'parah', 'paket', 'sinyal', 'ilang', 'nge', 'lag', 'tolong', 'perbaiki', 'bgini', 'rugi', 'setia', 'karna', 'cepet', 'lemot', 'internet', 'buka', 'youtube', 'lemot', 'sinyal', 'terkadang', 'kecewa', 'perbaiki', 'tolong']</t>
  </si>
  <si>
    <t>['kuota', 'ditawarkan', 'susah', 'jangkau', 'pandemi', 'mengakses', 'internet', 'makan', 'bingung', 'utamakan', 'merantau', 'tanah', 'orang', 'tolong', 'kuota', 'turunkan', 'harganya']</t>
  </si>
  <si>
    <t>['kesekian', 'kalinya', 'tolong', 'system', 'customer', 'paket', 'internet', 'habis', 'langsung', 'sedot', 'pulsa', 'gila', 'tsel', 'udh', 'kelupaan', 'kuota', 'habis', 'niat', 'pagi', 'beli', 'paket', 'pagi', 'pulsa', 'udh', 'udh', 'beli', 'pulsa', 'rb', 'aktifin', 'paket', 'besoknya', 'gilaa', 'udh', 'salah', 'tolong', 'system', '']</t>
  </si>
  <si>
    <t>['ancur', 'jaringan', 'game', 'nggak', 'alasan', 'jaringan', 'mendadak', 'kintil', 'emang']</t>
  </si>
  <si>
    <t>['parah', 'sinyal', 'harganya', 'trus', 'sya', 'kirim', 'link', 'paket', 'knpa', 'dibuka', 'gunanya', '']</t>
  </si>
  <si>
    <t>['lahir', 'owekowek', 'sampe', 'anak', 'telkomsel', 'tuk', 'slamanya']</t>
  </si>
  <si>
    <t>['tolong', 'diperbaiki', 'sistemnyamm', 'lambat', 'pembaharuan', 'apk', 'membantu', 'emosi', '']</t>
  </si>
  <si>
    <t>['tolong', 'jaringan', 'telkomsel', 'diperbaiki', 'telkomsel', 'ngecek', 'pulsa', 'paketan', 'september', 'sinyal', 'kacau', 'kecewa', 'berat', '']</t>
  </si>
  <si>
    <t>['aplikasi', 'bagus', 'membantu', 'signal', 'area', 'desa', 'bagus']</t>
  </si>
  <si>
    <t>['telkomsel', 'terbaik', 'menyediakan', 'jaringan', 'internet', 'berlaku', 'harga', 'kak']</t>
  </si>
  <si>
    <t>['logout', 'perbarui', 'nyaman']</t>
  </si>
  <si>
    <t>['mudah', 'pilihan', 'tarifnya', 'mohon', 'jangkaukan', 'kalangan', 'menengah', 'terima', 'kasih', '']</t>
  </si>
  <si>
    <t>['', 'kasih', 'bintang', 'bintang', 'cocok', 'bintang', 'kasih', 'karna', 'telkomsel', 'udah', 'kayak', 'lambat', 'koneksinya', 'mahal', 'paketnya', 'ditambah', 'paket', 'unlimited', 'dibatasi', 'mending', 'dikasih', 'nama', 'unlimited', '']</t>
  </si>
  <si>
    <t>['jaringan', 'bagus', 'iya', 'lancar', 'sekalinya', 'jelek', 'hilang', 'ngga', 'telfon', 'seluler', 'jarang', 'menyebalkan']</t>
  </si>
  <si>
    <t>['pelayanan', 'lengkap', 'memudahkam', 'orang', 'mengakses', 'telkonsel', 'pelosok', 'negeri', 'pertahankan', 'tngkatkan', 'pelayanan', 'sampi', 'orang', 'awam', 'memakai', 'telkonsel']</t>
  </si>
  <si>
    <t>['pelanggan', 'setia', 'telkomsel', 'jaringan', 'bagus', 'jaringan', 'ngadat', 'tolong', 'perbaiki', 'kualitas', 'jaringan', 'terimakasih']</t>
  </si>
  <si>
    <t>['harga', 'paketan', 'licik', 'paketan', 'dihilangkan', 'diganti', 'combo', 'sakti', 'murah', 'rb', 'kembalikan', 'paketan', 'combo', 'sakti', 'harga', 'terjangkau']</t>
  </si>
  <si>
    <t>['tolong', 'bilangin', 'telkomsel', 'kouta', 'abis', 'pulsa', 'kesedot', 'udh', 'lgsng', 'dipake', 'jaringannya', 'nyedot', 'pulsa', 'kasian', 'org', 'org', 'beli', 'pulsa', 'trus', 'kesedot', '']</t>
  </si>
  <si>
    <t>['mohon', 'maaf', 'provider', 'telkomsel', 'membeli', 'paket', 'beli', 'dibeli', 'keterangan', 'mohon', 'maaf', 'pembelian', 'produk', 'tolong', 'diatasi', 'pembelian', 'paket']</t>
  </si>
  <si>
    <t>['min', 'kuota', 'multimedia', 'bagusnya', 'gabung', 'kuota', 'utama', '']</t>
  </si>
  <si>
    <t>['kecewa', 'hubungi', 'admin', 'veronica', 'pembicaraannya', 'bilangnya', 'mengerti', 'pulsa', 'berkurang', 'kuota', 'internet', '']</t>
  </si>
  <si>
    <t>['main', 'sedot', 'pulsa', 'kuota', 'tibatiba', 'abis', 'notif', 'persetujuan', 'pengguna', 'tolong', 'diperbaiki']</t>
  </si>
  <si>
    <t>['', 'data', 'habis', 'pulsa', 'sikat', 'beli', 'data', 'bebas', 'video', 'dll', 'harga', 'mahal', 'milik', 'pemerintah', 'berdagang', 'pasal', 'pancasila', 'pendapatan', 'rakyat', 'indonesia', 'aktif', 'kartu', 'pendek']</t>
  </si>
  <si>
    <t>['keseringan', 'update', 'apk', 'pengguna', 'terganggu', 'dipakai', 'update', 'kebuka', 'mesti', 'perbaharui', 'macem', 'update', 'perasaan', 'sinyalnya', 'telkomsel', 'gangguan', 'kesini', 'telkomsel', 'mahal', 'kualitasnya', 'menurun']</t>
  </si>
  <si>
    <t>['paket', 'telkomsel', 'aneh', 'beli', 'ngilang', 'telkomsel', 'maju', 'pengguna', 'telkomsel', 'kecewa', '']</t>
  </si>
  <si>
    <t>['yahh', 'daftar', 'paketan', 'internet', 'telkomsel', 'kali', 'daftar', 'hasilnya', 'jaringan', 'gangguan']</t>
  </si>
  <si>
    <t>['puas', 'telkomsel', 'paket', 'internet', 'tawarkan', 'murah', 'murah', 'keuntungan', 'telkomsel', 'terima', 'kasih', 'telkomsel', '']</t>
  </si>
  <si>
    <t>['sinyal', 'sampe', 'dikorupsi', 'hujan', 'admin', 'alasan']</t>
  </si>
  <si>
    <t>['pengguna', 'telkomsel', 'ayah', 'pakai', 'dri', 'nomor', 'nomor', 'sampe', 'nomor', 'tolong', 'care', 'konsumen', 'lokasi', 'sinyal', 'bar', 'paket', 'mankin', 'mahal', 'sya', 'masuk', 'aplikasi', 'telkomsel', 'udh', 'masukan', 'nomor', 'tombol', 'masuk', 'bsa', 'pencet']</t>
  </si>
  <si>
    <t>['knp', 'paket', 'multimedia', 'dibuka', 'youtube', 'lancar', 'lancar', 'spotify', 'musik', 'dibuka', 'kualitas', 'lelet', 'judulnya', 'multimedia', 'media', 'paket', 'video', 'musik', 'games', 'tilong', 'diperbaiki', 'komen', 'play', 'store', 'nunggu', 'lag', '']</t>
  </si>
  <si>
    <t>['udeh', 'gajelas', 'telkomsel', 'parah', 'sistem', 'pembelian', 'paket', 'ceria', 'kemaren', 'bodoh', 'kali', 'bacaan', 'berhasil', 'paket', 'masuk', 'masuk', 'beli', 'paketan', 'telkomsel', 'udah', 'mahal', 'banget', 'udeh', 'kaya', 'kenceng', 'sinyal', 'sinyal', 'kadang', 'lemot', 'paketan', 'mahal', 'gamalu', 'three', 'three', 'paketan', 'murah', 'jaringan', 'stabil', 'telkomsel', 'hancurrr', 'udh', 'bangkrutttttt', '']</t>
  </si>
  <si>
    <t>['tolong', 'perhatikan', 'min', 'orang', 'make', 'telkomsel', 'udah', 'brpa', 'liat', 'kartu', 'dri', 'make', 'krtu', 'smpe', 'skrng', 'fasilitasnya', 'mlah', 'jaringan', 'jelek', 'ssemngkin', 'mahal', 'jdi', 'nnti', 'orng', 'beralih', 'murah', 'berkualitas', 'dri', 'telkimsel']</t>
  </si>
  <si>
    <t>['aplikasinya', 'aktifkan', 'paket', 'mifi', 'pemberitahuan', 'sistem', 'gangguan', 'mohon', 'telkomsel', 'memperbaiki']</t>
  </si>
  <si>
    <t>['mohon', 'telkom', 'kouta', 'utama', 'beli', 'combo', 'sakti', 'sayang', 'multimedia', 'saran', 'terimakasih', '']</t>
  </si>
  <si>
    <t>['jelekk', 'baget', 'jaringan', 'telkomsel', 'dimna', 'dimna', 'kuota', 'mah', 'mahal', 'jaringan', 'jelek', 'klu', 'medingan', 'ganti', 'indosat']</t>
  </si>
  <si>
    <t>['nyedot', 'pulsa', 'kebangetan', 'sedot', 'paket', 'data', 'all', 'net', 'nyedot', 'parah', 'rugi', 'yaa', 'nyedot', 'provider', 'kuat', 'didaerah', 'gue', 'gue', 'blacklist', 'parah', 'pulsa', 'disedot', 'kenyang', 'ngga', 'makan', 'pulsanya', 'barter', 'pulsanya']</t>
  </si>
  <si>
    <t>['lingkungan', 'rumah', 'kumpul', 'main', 'game', 'bareng', 'gangguan', 'jaringan', 'semangat', 'peningkatannya', '']</t>
  </si>
  <si>
    <t>['kartu', 'sultan', 'jaringan', 'lelet', 'telkomsel', 'nipu', 'masyarakat', 'gini', 'ganti', 'operator']</t>
  </si>
  <si>
    <t>['teman', 'teman', 'mending', 'ganti', 'kartu', 'pakai', 'telkomsel', 'trima', 'telpon', 'internet', 'kartu', 'smartfren', 'kartu', 'im', 'oredo', 'bagus', 'gaes', 'semoga', 'pindah', 'operator']</t>
  </si>
  <si>
    <t>['udah', 'download', 'buka', 'telkomselnya', 'daftar', 'beradanya', 'hilang', 'suruh', 'muat', 'ulang', 'tolong', 'jujur', 'mending', 'telkomsel', '']</t>
  </si>
  <si>
    <t>['telkomsel', 'nyedot', 'pulsa', 'kuota', 'internet', 'pulsa', 'rupiah', 'beli', 'pulsa', 'uang', 'pulsa', 'ribu', 'telkomsel', 'krisis', 'pandemi', '']</t>
  </si>
  <si>
    <t>['bisanya', 'nyedot', 'pulsa', 'trs', 'paketnya', 'ganjil', 'in', 'harga', 'marketing', 'lintah', 'darat', 'telkomsel', 'tar', 'sisa', 'pulsa', 'disedot', 'deh']</t>
  </si>
  <si>
    <t>['aplikasinya', 'sda', 'tinggal', 'jaringan', 'telkomsel', 'eror', 'pakai', 'telkomsel', 'kenpa', 'skarang', 'jaringanya', 'lelet', 'ditingkatkan', 'kekuatan', 'jaringanya', 'dikurang', 'menyesal', 'pakai', 'telkomsel', '']</t>
  </si>
  <si>
    <t>['lemot', 'beli', 'paket', 'kont', 'kau']</t>
  </si>
  <si>
    <t>['bisanya', 'maaf', 'kaka', 'perbaikan', 'provider', 'negri', 'kualitas', 'barang', 'sampah', 'gua', 'beli', 'utang', 'gb', 'paket', 'gua', 'sanggup', 'beli', 'real', 'full', 'speed', 'sinyal', 'lelet', 'kaya', 'produk', 'sampah']</t>
  </si>
  <si>
    <t>['pelanggan', 'telkomsel', 'bukanya', 'murah', 'paket', 'belih', 'bisah', 'dibeli', 'mahal', 'telkomsel', 'parah', '']</t>
  </si>
  <si>
    <t>['telkomsel', 'tiada', 'paket', 'data', 'telpon', 'dll', 'super', 'mahal', 'ampun', 'pokoknya', 'mahal', 'jaringan', 'super', 'lemot', '']</t>
  </si>
  <si>
    <t>['bagus', 'cuman', 'kadang', 'paketnya', 'delay', 'blpas', 'dibeli', 'tolong', 'perbaiki', 'min', 'ribet', 'bat', 'lumayan', 'bagus', 'bintang', 'gpp', '']</t>
  </si>
  <si>
    <t>['jaringan', 'diperbaiki', 'seharus', 'sekelas', 'telkomsel', 'malu', 'bermasalah', 'jaringan', 'telkomsel', 'berpuluh', 'provider', 'konsumen', 'pakai', '']</t>
  </si>
  <si>
    <t>['mahal', 'paketannya', 'signal', 'kadang', 'suka', 'stabil', 'hospot', 'laptop', 'parah', 'banget', 'lemot', 'harga', 'paketan', 'konsisten', 'ganti', 'ganti', 'harga', 'teruss', '']</t>
  </si>
  <si>
    <t>['terbantu', 'harga', 'ditawarkan', 'hadia', 'semangat', 'menukarkan', 'coin', 'tercapai', 'dpt', 'hadianya', 'heheeee']</t>
  </si>
  <si>
    <t>['bintang', 'khan', 'mahal', 'kasih', 'bintang', 'hotel', 'bintang', 'mahal', '']</t>
  </si>
  <si>
    <t>['jaringan', 'internet', 'daerah', 'kacau', 'bepergian', 'daerah', 'pedesaan', 'lumayan', 'ramai', 'jaringan', 'internet', 'telkomsel', 'buruk', '']</t>
  </si>
  <si>
    <t>['telkomsel', 'kontoll', 'update', 'teros', 'jaringan', 'diperbaiki', '']</t>
  </si>
  <si>
    <t>['paketnya', 'mahal', 'bertele', 'tele', 'combo', 'skrg', 'nelpon', 'hapus', 'combo', 'sakti', 'unlimited', 'max', 'loss', 'gb', 'instagram', 'tik', 'tokk', 'dll', '']</t>
  </si>
  <si>
    <t>['main', 'loading', 'jaringan', 'paket', 'mahal', 'tolong', 'diperbaiki', 'jngan', 'makan', 'pnghasilan', 'diatas', 'penderitaan', 'orang']</t>
  </si>
  <si>
    <t>['hahaha', 'beli', 'paket', 'aplikasi', 'telkomsel', 'responnya', 'banget', 'menit', 'transaksi', 'proses', 'paket', 'masuk', 'kalah', 'telak', 'ama', 'provider', 'bumn', 'yaaaaaaaaaaaaaaaaaaaaaaaaaaaaaa']</t>
  </si>
  <si>
    <t>['aplikasinya', 'ngeblank', 'telkomsel', 'jelek', 'jaringan', 'lemot', 'banget', 'aplikasinya', 'diakses', 'kuota', 'mahal', 'harganya', 'sesuai', 'didapet', '']</t>
  </si>
  <si>
    <t>['beli', 'game', 'google', 'play', 'bayar', 'telkomsel', 'pembayaran', 'udah', 'masuk', 'tagihan', 'game', 'nambah', '']</t>
  </si>
  <si>
    <t>['jaringannya', 'jelek', 'beli', 'paket', 'mahal', 'nonton', 'youtube', 'susah', 'main', 'game', 'mending', 'operator', 'nonton', 'youtube', 'media', 'social', 'jaringan', 'stabil', 'paket', 'murah', '']</t>
  </si>
  <si>
    <t>['', 'instal', 'semenjak', 'update', 'mentok', 'kosong']</t>
  </si>
  <si>
    <t>['aplikasi', 'diperbarui', 'download', 'suruh', 'perbarui', 'telkomsel']</t>
  </si>
  <si>
    <t>['jaringan', 'tolong', 'perbaiki', 'kb', 'parah', 'orang', 'hemat', 'downlod', 'file', 'gede', 'mb', 'gagal', 'gara', 'gara', 'sinyal', 'lokasi', 'cikarang']</t>
  </si>
  <si>
    <t>['enak', 'pakai', 'im', 'rb', 'telkomsel', 'rb', 'fullnya', 'cuman', 'gb', '']</t>
  </si>
  <si>
    <t>['xsetiap', 'kali', 'beli', 'kuota', 'tertulis', 'pembelian', 'batas', 'pemakaian', 'kuota', 'internet', 'beli', 'dicek', 'berkurang', 'tolong', 'diperbaiki', 'mengecewakan', 'pelanggan', 'setia', 'telkomsel', '']</t>
  </si>
  <si>
    <t>['jaringannya', 'parah', 'banget', 'ilang', 'jaringan', 'internetnya', 'parah', 'parah', 'parah', 'parah', 'parahh', 'tolong', 'diperbaiki', 'konsumen', 'terganggu', 'mslh', 'sprti']</t>
  </si>
  <si>
    <t>['ngisi', 'pulsa', 'kesedot', 'ngisi', 'pulsa', 'pembayaran', 'dana', 'saldo', 'didana', 'kepotong', 'pulsanya', 'masuk', 'ngisi', 'rb', 'lumayan', 'masuk', 'mengisi', 'pulsa', 'rb', 'pakek', 'rb', 'sisa', 'rb', 'berbentuk', 'pulsa', 'kesedot', 'ngisi', '']</t>
  </si>
  <si>
    <t>['nyedot', 'pulsa', 'astagfirullah', 'disimpen', 'nelpon', 'lelet', 'sinyal', 'internetnya', 'stabil', 'kartu', 'udah', 'migrasi', 'paket', 'internet', 'mahalnya', 'ampun', 'buang', 'kartu']</t>
  </si>
  <si>
    <t>['nyesel', 'beli', 'paket', 'telkomsel', 'lemot', 'banget', 'mahal', 'doang', 'udah', 'telkomsel', 'jelek', 'jaringan', 'turunin', 'kasih', 'bintang', 'kecewa', '']</t>
  </si>
  <si>
    <t>['tolong', 'jaringannya', 'perbaiki', 'hilang', 'jaringan', 'internetnya', 'menit', 'doang', 'langsung', 'turun', 'langsung', 'ilang']</t>
  </si>
  <si>
    <t>['masuk', 'aplikasi', 'susah', 'kali', 'yaa', 'permintaan', 'kelen', 'masuk', 'twitter', 'trakhir', 'muter', 'masuk', 'nomor', 'masuk', 'link', 'sms', 'pening', 'kali', 'liat', 'apk', 'kelen', '']</t>
  </si>
  <si>
    <t>['maaf', 'kasi', 'bintang', 'dlu', 'jaringan', 'telkomsel', 'daerah', 'ngak', 'normal', 'kadang', 'bagus', 'kadang', 'jelek', 'tolong', 'min', 'perbaiki', 'jaringan', 'normal', '']</t>
  </si>
  <si>
    <t>['buka', 'sosmed', 'bagus', 'signalnya', 'download', 'aplikasi', 'low', 'pilihan', 'belanja', 'paket', 'data', 'lumayan', 'kasih', 'diskon', 'niat', 'kasih', 'diskon', 'harganya', 'nambah', 'overall', 'aplikasi', 'bagus']</t>
  </si>
  <si>
    <t>['dikeluhkan', 'kawan', 'jaringan', 'benang', 'kusut', 'sefot', 'pulsa', 'telepon', 'muncul', 'trdaftar', 'dijaringan', 'internet', 'beli', 'kuota', 'kebuang', 'dipake', 'gmn', 'telkom', 'tolong', 'perbaiki', '']</t>
  </si>
  <si>
    <t>['paket', 'internet', 'terserah', 'user', 'bwt', 'maxtream', 'dll']</t>
  </si>
  <si>
    <t>['jaringan', 'lelet', 'kalah', 'provider', 'jaringannya', 'lancar', 'telkomsel']</t>
  </si>
  <si>
    <t>['', 'ngotak', 'paketan', 'gb', 'internet', 'all', 'kesedot', 'pulsa', 'untung', 'notif', 'ngilang', 'makai', 'pulsa', 'internet', 'mending', 'ganti', 'kartu']</t>
  </si>
  <si>
    <t>['beli', 'paket', 'data', 'disney', 'hotstar', 'buka', 'disney', 'hotstar', 'ngurangi', 'kuota', 'terkurangi', 'kuota', 'multimedia', 'nggak', 'kuota', 'utama', 'makan', 'layanan', 'disney', 'hotstar', 'apanya', 'hoax', 'buka', 'aplikasi', 'mytelkomsel', 'lihat', 'data', 'flow', 'aliran', 'datanya', 'kaya', 'download', 'cuman', 'buka', 'aplikasi', 'mytelkomsel', 'data', 'jalan', 'kbp', 'gb', 'boros', 'nggak', 'percaya', 'keterangan', 'paket', 'check']</t>
  </si>
  <si>
    <t>['kecewa', 'ama', 'paket', 'combo', 'sakti', 'harga', 'beda', 'ribu', 'unlimited', 'kuota', 'kecepatan', 'kbps', 'lelet', 'banget', 'dideskripsi', 'kecepatan', 'ama', '']</t>
  </si>
  <si>
    <t>['udah', 'update', 'kga', 'buka', 'abis', 'perubahan', 'hadeh', '']</t>
  </si>
  <si>
    <t>['mantap', 'jaringan', 'rumah', 'udah', 'bagus', 'nmr', 'dpt', 'kuota', 'murah', '']</t>
  </si>
  <si>
    <t>['beli', 'paket', 'gangguan', 'koneksi', 'sistem', 'sibuk', 'jaringannya', 'lancar']</t>
  </si>
  <si>
    <t>['bagus', 'check', 'update', 'kuota', 'detik', 'mawas', 'penggunaan', 'kuota', 'mantabb']</t>
  </si>
  <si>
    <t>['aplikasinya', 'bagus', 'pengaduan', 'dilayani', 'bot', 'bintang']</t>
  </si>
  <si>
    <t>['halooo', 'min', 'kelebihan', 'telkomsel', 'trs', 'paketnya', 'mahal', 'yng', 'rasakan', 'th', 'pakai', 'jaringan', 'down', 'telkom', 'pemakainya', 'selayaknya', 'harga', 'paket', 'bersaing', 'dng', 'yng', 'murah', 'terima', 'kasih']</t>
  </si>
  <si>
    <t>['beli', 'kuota', 'data', 'omg', 'terkirim', 'kuota', 'gita', 'ads', 'tolong', 'perbaiki', 'layanan']</t>
  </si>
  <si>
    <t>['aplikasi', 'bagus', 'booong']</t>
  </si>
  <si>
    <t>['', 'suka', 'aplikasi']</t>
  </si>
  <si>
    <t>['aplikasinya', 'bagus', 'bermanfaat', 'mempermudah', 'transaksi', '']</t>
  </si>
  <si>
    <t>['beli', 'paket', 'combo', 'sakti', 'kouta', 'utama', 'habis', 'buka', 'sosmed', 'buka', 'sosmed', 'sedih', 'sepuasanya', 'buka', 'sosmed', 'sepenuhnya']</t>
  </si>
  <si>
    <t>['paketan', 'min', 'istri', 'beda', 'paketan', 'internet', 'mahal', 'istri']</t>
  </si>
  <si>
    <t>['jaringannya', 'parah', 'buka', 'youtube', 'buffering', 'trus', 'nge', 'game', 'nyaman', 'tolong', 'perbaiki', 'jaringannya', 'lancar', '']</t>
  </si>
  <si>
    <t>['update', 'harga', 'paketnya', 'kecewa', '']</t>
  </si>
  <si>
    <t>['membantu', 'pembelian', 'paket', 'paket', 'internet', 'telpon', 'sms', 'murah', 'meriah', 'recommended', '']</t>
  </si>
  <si>
    <t>['beli', 'paket', 'internet', 'gangguan', 'coba', 'menit', 'coba', 'tetep', 'gitu', 'ujung', 'ujung', 'pulsa', 'lenyap', 'sedot', 'haadeeuh', '']</t>
  </si>
  <si>
    <t>['berat', 'buka', 'aplikasinya', 'error', 'tulisannya', '']</t>
  </si>
  <si>
    <t>['pepatah', 'kenal', 'sayang', 'jrng', 'login', 'mngnal', 'btul', 'aplkasi', 'blm', 'bsa', 'mnilai', 'apkh', 'sgt', 'bgs', 'brmnfaat']</t>
  </si>
  <si>
    <t>['terimakasih', 'kak', 'puas', 'aplikasi', 'telkomsel', 'menyenangkan', 'kuota', 'boros', '']</t>
  </si>
  <si>
    <t>['sinyal', 'buruk', 'daerah', 'lampung', 'mahal', 'doang', 'sinyal', 'memuaskan', 'boros', 'telkomsel', 'mengecewakan', '']</t>
  </si>
  <si>
    <t>['telkomsel', 'jual', 'data', 'real', 'bilangnya', 'dpt', 'gb', 'trnyata', 'gb', 'udh', 'habis', 'sadar', 'karna', 'pakai', 'kartu', 'kartu', 'pindah', 'router', 'router', 'terhitung', 'udah', 'sms', 'telkomsel', 'data', 'habis', 'pakai', 'kadang', '']</t>
  </si>
  <si>
    <t>['pakai', 'kartu', 'simpati', 'promo', 'menarik', 'paket', 'internet', 'lbh', 'mahal', 'banding', 'provider', 'sebelah', 'sinyal', 'kyk', 'benang', 'kusut', '']</t>
  </si>
  <si>
    <t>['woi', 'jaringannya', 'eror', 'merugikan', 'belajar', 'gue', 'sampe', 'kasih', 'absen', 'ama', 'guru', 'gue', 'mending', 'gue', 'pindah', '']</t>
  </si>
  <si>
    <t>['aplikasinya', 'update', 'udh', 'gtu', 'diabaikan', 'aplikasinya', 'dibuka', 'trus', 'tolong', 'sistem', 'diganti', 'kuota', 'habis', 'dicut', 'kuota', 'habis', 'langsung', 'pulsanya', 'sedot', 'trauma', 'dpt', 'bonus', 'internet', 'pas', 'isi', 'pulsa', 'bonus', 'internetnya', 'habis', 'pulsa', 'habis', '']</t>
  </si>
  <si>
    <t>['kuota', 'mahal', 'burikf', 'sintal', 'komtol', 'banget', 'ngelej', 'lahi', 'maen', 'mobil', 'legen', '']</t>
  </si>
  <si>
    <t>['telkomsel', 'jaringan', 'parah', 'paketnya', 'mahal', 'telkomsel', 'udh', 'mahal', 'jaringan', 'bagus', 'jaringannya', 'parah', 'nglagg', 'parahh', 'kadang', 'jaringan', 'penuh', 'chat', 'sosmed', 'kirim', 'perbaiki']</t>
  </si>
  <si>
    <t>['kuota', 'game', 'mimin', 'kmpret', 'udh', 'bli', 'main', 'nglag', 'manfaat', 'ngpain', 'anjjjjj', 'morotin', 'pelanggan', 'doank', 'kaya', '']</t>
  </si>
  <si>
    <t>['telkomsel', 'penyedot', 'pulsa', 'anjjg', 'beli', 'pulsa', 'udah', 'anjjg', 'buka', 'apk', 'telkom', 'udh', 'stres', 'mending', 'smartfren', '']</t>
  </si>
  <si>
    <t>['beli', 'pulsa', 'kesedot', 'trus', 'dipake', 'udah', 'aplikasi', 'berhenti', 'mulu', 'tutup', 'aplikasi', 'kayak', 'teljomsel', 'kouta', 'internet', '']</t>
  </si>
  <si>
    <t>['pelanggan', 'kecewa', 'paket', 'internet', 'kartu', 'mahal', 'pelanggan', 'paket', 'murah']</t>
  </si>
  <si>
    <t>['tolong', 'diperbaiki', 'sistemnya', 'signal', 'rusak', 'paket', 'mahal', '']</t>
  </si>
  <si>
    <t>['', 'telkomsel', 'jelek', 'gini', 'suka', 'kesini', 'pas', 'masuk', 'muncul', 'white', 'screen', 'doang', 'macet', 'beneran', '']</t>
  </si>
  <si>
    <t>['jelek', 'jaringan', 'suka', 'jelek', 'banget', 'jaringan', 'berguna', 'ilang', 'dunia', 'beban', 'negara', 'gaje', 'maen', 'huu', 'mati', '']</t>
  </si>
  <si>
    <t>['kasih', 'bintang', 'tolong', 'aplikasi', 'telkomsel', 'metode', 'pembayaran', 'google', 'pay', 'bdw', 'support', 'emang', 'pilihan', 'pembayaran', 'bnyk', 'tpi', 'lakukan', 'goggle', 'pay', 'metode']</t>
  </si>
  <si>
    <t>['apk', 'bagus', 'harga', 'harga', 'bintang', 'kualitas', 'kualitas', 'kaki']</t>
  </si>
  <si>
    <t>['aplikasi', 'dowld', 'bukanya', 'susah', 'jaringan', '']</t>
  </si>
  <si>
    <t>['parah', 'app', 'promo', 'check', 'bolong', 'app', 'operato', 'sedot', 'pulsa', 'izin', 'kuota', 'habis', 'pulsaa', 'tumbal', 'pemberitahuan', '']</t>
  </si>
  <si>
    <t>['update', 'seburuk', 'sinyal', 'paket', 'mahal', 'sinyal', 'buruk', 'bumn', '']</t>
  </si>
  <si>
    <t>['mohon', 'maaf', 'udah', 'perbarui', 'blm', 'masuk', 'situ', 'tertulis', 'perbarui', 'perbarui']</t>
  </si>
  <si>
    <t>['', 'telkomsel', 'promo', 'promo', 'kintil', 'disuruh', 'isi', 'pulsa', 'bru', 'dapatkan', 'paket', 'gb', 'harga', 'rp', 'sampe', 'beli', 'kintilll', 'promo', 'sampe', 'oktober', 'gmn', 'jang', '']</t>
  </si>
  <si>
    <t>['apps', 'bagus', 'banget', 'kasih', 'bintang', 'liat', 'apps', 'bagus', 'bangat', '']</t>
  </si>
  <si>
    <t>['males', 'ngasih', 'rating', 'sinyal', 'telkomsel', 'jelek', 'ampun', 'nanggung', 'kenal', 'orang', 'mending', 'ganti', 'oprator']</t>
  </si>
  <si>
    <t>['min', 'gila', 'pulsa', 'sedot', 'mulu', 'kaya', 'laen', 'paket', 'internet', 'habis', 'pulsa', 'tarik', 'orang', 'ketarik', 'rb', 'jt', 'orang', 'brapa', 'uang', 'pulsa', 'ketarik', 'juta', 'juta', 'pengguna', 'telkomsel', 'ketarik', 'pulsa', 'udah', 'brpa', 'tuhhh', 'bener', 'pulsa', 'ketarik', 'ridho', '']</t>
  </si>
  <si>
    <t>['pulsa', 'utama', 'tersedot', 'jaringan', 'internet', 'aktif', 'membeli', 'paket', 'internet', 'aplikasi', 'pulsa', 'utama', 'sediakan', 'membeli', 'paket', 'internet', 'transfer', 'bank', 'sejenisnya', '']</t>
  </si>
  <si>
    <t>['gimana', 'app', 'trlkomsel', 'pulsa', 'buka', 'app', 'giliran', 'pulsa', 'beli', 'paket', 'telkomsel', 'buka', 'app', 'udah', 'habis', 'duluan', 'pulsa', 'gratis', 'akses', 'telkomsel', 'paket', 'abis', 'beli', 'telkomsel', 'nyedot', 'pulsa', 'buka', 'apk', 'super', 'kecewa', 'orang', 'beli', 'paket', 'murah', 'pulsa', 'abis', 'duluan', 'kesedot', 'apk', 'telkomsel']</t>
  </si>
  <si>
    <t>['tolong', 'perbaiki', 'sinyalnya', 'lgi', 'asik', 'main', 'game', 'datanya', 'matii', 'mkin', 'mkin', 'jlek', 'bukanya', 'mkin', 'bgus', 'sya', 'pelanggan', 'kecewa', 'udah', 'mahal', 'beli', 'kouta', 'bulanan', 'tpi', 'sinyalnya', 'jlk', 'bngett', 'jelek', 'parah', 'bngett', 'telkomsel', 'ngasih', 'saran', 'klian', 'nyoba', 'krtu', 'telkomsel', 'mnding', 'pikir', 'dlu', 'mna', 'mahal', 'jaringan', 'jlek']</t>
  </si>
  <si>
    <t>['provider', 'pakai', 'fitur', 'pengaturan', 'kuota', 'internet', 'habis', 'nyedot', 'pulsa', 'utama', 'telkomsel', 'asik', 'kuota', 'habis', 'pulsa', 'terpakai', 'habis', '']</t>
  </si>
  <si>
    <t>['telkomsel', 'jagonya', 'kepulauan', 'tanggerang', 'jakarta', 'lemah']</t>
  </si>
  <si>
    <t>['undian', 'telkomsel', 'kah', '']</t>
  </si>
  <si>
    <t>['telkomsel', 'aplikasi', 'bagus', 'memudahkan', 'membeli', 'paket', 'pulsa', 'pergi', 'keconter', 'bagus', '']</t>
  </si>
  <si>
    <t>['mohon', 'maap', 'telkomsel', 'daerah', 'suka', 'lag', 'kek', 'perbaikan', 'gitu', 'tower', 'deket']</t>
  </si>
  <si>
    <t>['halo', 'kasih', 'bintang', 'deh', 'tukar', 'poin', 'kesalahan', 'teknis', 'kayak', 'sistem', 'sibuk', 'menerus']</t>
  </si>
  <si>
    <t>['jaringan', 'terkuat', 'terluas', 'maen', 'game', 'ajah', 'jaringan', 'muter', 'muter', 'sinyalnya', 'tolong', 'perbaiki', 'jaringannya', '']</t>
  </si>
  <si>
    <t>['lag', 'lag', 'kesel', 'sinyal', 'doang', 'anjg', 'rumah', 'pelosok', 'halah', 'provider', 'mahal']</t>
  </si>
  <si>
    <t>['udah', 'jaringannya', 'kampung', 'nyesallll']</t>
  </si>
  <si>
    <t>['eror', 'gara', 'gara', 'pulsa', 'kepotong', 'aktifkan', 'internet', 'jelek', 'kualitas', 'aplikasinya', 'potong', 'pulsa', 'aktifkan', 'paket', 'internet', 'eror', 'pulsa']</t>
  </si>
  <si>
    <t>['telkomsel', 'memuaskan', 'program', 'paketnya', 'murah', 'paket', 'internetnya', 'mahal', 'terjangkau', 'kecewa', 'pelanggan', 'setia', '']</t>
  </si>
  <si>
    <t>['apk', 'eror', 'tulisannya', 'sistem', 'jum', 'lancar', 'kemarin', 'kesalahan', 'sistem', 'beli', 'paket', 'pulsa', 'mytelkomsel', 'iya', 'respon', 'tolong', 'diperbaiki', 'terimakasih']</t>
  </si>
  <si>
    <t>['suka', 'apk', 'alasannya', 'apk', 'produk', 'penjualan', 'handphone', 'beda', 'apk', 'im', 'pokoknya', 'suka', 'apk', 'telkomsel', 'udah', 'gitu', '']</t>
  </si>
  <si>
    <t>['curhat', 'telkomel', 'kerjasama', 'ama', 'yutub', 'beli', 'paket', 'kombo', 'sakti', 'langganan', 'yutub', 'premium', 'kasi', 'ulasan', 'jelek', 'kurangi', 'bintang', 'nomor', 'temani', 'sma', 'banyal', 'kenangan', '']</t>
  </si>
  <si>
    <t>['jaringan', 'gilak', 'udah', 'isi', 'pulsa', 'ngaktifkan', 'paket', 'kali', 'kenak', 'potong', 'jafi', 'aktifkan', 'paket', 'pakek', 'telkomsel', 'lelet', 'berat', 'kali', 'bangkrut', 'tutup', 'mempersulit', 'pelanggan', 'nge', 'cek', 'pulsa', 'sampek', 'pecah', 'gilak', 'gilak']</t>
  </si>
  <si>
    <t>['recommended', 'respect', 'cepat', 'informatif', 'ragu', 'menginstal', 'aplikasi', 'menginstalnya', 'membantu', 'menambah', 'wawasan', 'seputar', 'program', 'telkomsel', '']</t>
  </si>
  <si>
    <t>['coba', 'kesalahan', 'sistem', 'tetussssssssssssssssssssssssssssssssssssssssssssssss']</t>
  </si>
  <si>
    <t>['kali', 'kejadian', 'proses', 'pembelian', 'kuota', 'menyebabkan', 'pulsa', 'berkurang', 'membeli', 'kuota', 'mohon', 'ganti', 'adminnya', 'berkompeten', '']</t>
  </si>
  <si>
    <t>['kecewa', 'jaringan', 'paket', 'media', 'paket', 'buka', 'lemot', 'benaran', 'kecewa', 'sia', 'sia', 'beli', 'paket', 'mahal', 'mahal', 'hasil', 'mengecewakan', 'kecewa', 'layanan', 'jaringan', 'dijanjikan', 'paket', 'beli', 'komplen', 'penggantian', 'pulsa', 'itupun', 'sesuai', 'harapkan']</t>
  </si>
  <si>
    <t>['paket', 'data', 'telkomsel', 'turun', 'sebanding', 'jaringannya', 'menurun', 'telpon', 'sms', '']</t>
  </si>
  <si>
    <t>['paket', 'ketengan', 'kuota', 'apps', 'paket', 'rugi', 'kah', '']</t>
  </si>
  <si>
    <t>['kesini', 'buruk', 'kali', 'buka', 'login', 'susah', 'akses', 'penggunaan', 'parah']</t>
  </si>
  <si>
    <t>['download', 'mytelkomsel', 'muncul', 'white', 'screen', 'nyaa', 'coba', 'masuk', 'app', 'nyaa', 'tetep', 'tolong', 'dongg', 'perbaiki', 'gimana']</t>
  </si>
  <si>
    <t>['hallo', 'mimin', 'hati', 'sombong', 'harga', 'paketan', 'kartu', 'berbeda', 'teman', 'sya', 'memili', 'harga', 'paketan', 'murah', 'sya', 'tpi', 'mahal', 'bngt', 'tolong', 'min', 'penjelasannya', '']</t>
  </si>
  <si>
    <t>['kartu', 'harga', 'paket', 'mahal']</t>
  </si>
  <si>
    <t>['semoga', 'terbaik', 'fitur', 'pelayanan', 'harga', 'merakyat', 'kyk', 'lgi', 'kampanye', '']</t>
  </si>
  <si>
    <t>['paket', 'mb', 'telkomsel', 'sedot', 'pulsa', 'parah', 'asli', 'udah', 'kek', 'calo', 'terminal', 'telkomsel']</t>
  </si>
  <si>
    <t>['', 'telkomsel', 'pakai', 'muncul', 'koneksi', 'pakai', 'youtube', 'konfirmasi']</t>
  </si>
  <si>
    <t>['nyesal', 'telkomsel', 'paket', 'data', 'tersisa', 'mb', 'pulsa', 'ribu', 'tersedot', 'telkomsel', 'diperbaiki', 'sistem', 'pulsa']</t>
  </si>
  <si>
    <t>['bayar', 'pakai', 'shopeepay', 'ovo', 'susah', 'banget', 'pilihannya', 'pakai', 'pulsa', 'hiks', '']</t>
  </si>
  <si>
    <t>['bermanfaat', 'pengguna', 'telkomsel', 'mudah', 'memakainaplikasinya', '']</t>
  </si>
  <si>
    <t>['jaringan', 'cacat', 'kartu', 'daerah', 'gue', 'ngax', 'gue', 'beli', 'telkomsel', 'jaringan', 'cacat', '']</t>
  </si>
  <si>
    <t>['paket', 'habis', 'pulsa', 'curi', 'telkomsel', 'pemakaian', 'data', 'pulsa', 'isi', 'paket', 'tolong', 'rugikan', 'opsi', 'pengaturan', 'pulsa', 'terpotong', 'rating', 'teratasi', 'teman', 'teman', 'ayo', 'serukan', 'telkomsel', 'khusus', 'simpati']</t>
  </si>
  <si>
    <t>['klaim', 'reward', 'dayli', 'checkin', 'tulisan', 'memcapai', 'batas', 'penukaran', 'pulsa', 'ribuan', 'aktif', 'periode', 'event', 'udah', '']</t>
  </si>
  <si>
    <t>['telkomsel', 'promo', 'sinyal', 'kuat', 'jaringan', 'hebat', 'rekomendasi', 'banget', '']</t>
  </si>
  <si>
    <t>['maaf', 'maaf', 'doang', 'nge', 'engga', 'perbaikan', 'mah', 'bintang', 'minus', 'udah', 'kasih', 'minus', 'bintang', 'pelayanan', 'maksimal', 'sesuai', 'harga', 'paket']</t>
  </si>
  <si>
    <t>['aplikasi', 'bagus', 'undian', 'point', 'semoga', 'undian', 'adik', 'daring', 'memenuhi', 'kebutuhan', 'daring', 'pandemic', 'semoga', 'allah', 'terima', 'kasih', 'mytelkomsel']</t>
  </si>
  <si>
    <t>['', 'nomer', 'beda', 'harga', 'paket', 'kuota', 'abis', 'lngsng', 'sedot', 'pulsa', 'reguler', 'hrg', 'paket', 'mahal', 'jaringan', 'lemod', 'knp', 'tutup', 'telkom', 'nuhun', '']</t>
  </si>
  <si>
    <t>['kualitas', 'dunia', 'tpi', 'jaringan', 'rendahan', 'beli', 'combo', 'sakti', 'unlimited', 'kouta', 'utama', 'habis', 'sisa', 'kouta', 'unlimited', 'multimedia', 'games', 'pke', 'main', 'game', 'login', 'pke', 'kouta', 'unlimited', 'multimedia', 'kouta', 'telkomsel', 'mahal', 'jringan', 'lemot', 'jual', 'paket', 'kah', 'kualitas', 'dunia', '']</t>
  </si>
  <si>
    <t>['selamat', 'paket', 'internet', 'omg', 'disney', 'hotstar', 'aktif', 'berlaku', 'tgl', 'pkl', 'wib', 'cek', 'status', 'berhenti', 'berlangganan', 'telkomsel', 'apps', 'hub', 'info', 'keren', 'tgl', 'masuk', 'aktif', 'tgl', 'mahal', 'bingit', 'sayangkan', 'telkomsel', 'pengguna', 'setia', 'aplikasi', 'buka', 'blank', 'tampilan', '']</t>
  </si>
  <si>
    <t>['why', 'telkomsel', 'kesini', 'mengecewakan', 'paketan', 'berubah', 'ubah', 'nyaman', 'harganya', 'berubah', 'paketanya', 'mendahulukan', 'mengunakan', 'kuota', 'aktif', 'habis', '']</t>
  </si>
  <si>
    <t>['memakai', 'mytelkomsel', 'kemudahan', 'membeli', 'paket', 'telpon', 'sms', 'dll', 'terima', 'kasih', 'mytelkomsel']</t>
  </si>
  <si>
    <t>['', 'perbarui', 'eeh', 'udh', 'update', 'dibuka', 'tetep', 'tampil', 'perbaharui', 'memeng', 'gini', 'ast', 'pemerinth']</t>
  </si>
  <si>
    <t>['mkin', 'mkin', 'harga', 'paket', 'mkin', 'mahal', 'kualitas', 'jaringan', 'buruk', 'internet', 'mkin', 'lelettt', 'tlong', 'donk', 'perbaiki', 'kualitas', 'jaringannya', 'pelanggan', 'bnya', 'kabur', 'trmksh', '']</t>
  </si>
  <si>
    <t>['kuota', 'combo', 'sakti', 'unlimited', 'harga', 'ribu', 'unlimited', 'youtube', 'gantikan', 'zoom', 'youtube', 'hilangkan', 'unlimited', 'zoom', 'berguna', 'telomsel', 'aneh', 'kebijakan', 'merugikan', 'orang', '']</t>
  </si>
  <si>
    <t>['dinilai', 'buka', 'aplikasi', 'error', 'restart', 'sampe', 'redownload']</t>
  </si>
  <si>
    <t>['benerin', 'sinyalnya', 'gini', 'kartu', 'paketan', 'mahal', 'setara', 'paketan', 'kartu', 'murahan', 'sinyal', 'rusak', 'fiuh', 'memalukan', 'harga', 'sebanding', 'kualitas']</t>
  </si>
  <si>
    <t>['karti', 'halo', 'dpt', 'prioritas', 'migrasi', 'kartu', 'halo', 'sinyal', 'hilang', 'network', 'stabil', 'putusnya', 'aplikasi', 'telkomsel', 'gagal', 'sistem', 'sdg', 'dlm', 'perbaikan', 'atao', 'gmn', 'pemberitahuan', 'sdg', 'dlm', 'perbaikan', 'pemberitahuan', 'via', 'email', 'sms', 'shg', 'konsumen', 'dpt', 'maklum', 'nertanya', 'lokasi', 'cibinong', 'bogor', '']</t>
  </si>
  <si>
    <t>['rugi', 'bandar', 'beli', 'pulsa', 'sampe', 'rumah', 'menit', 'udah', 'habis', 'sisa', 'terapin', 'sistem', 'kayak', 'provider', 'nyesel', 'telkomsel', 'paketan', 'ketengan', 'hilang', 'kmrin', 'udah', 'tahan', 'telkomsel', 'ganti', 'provider', 'trimakasih', 'im', '']</t>
  </si>
  <si>
    <t>['parah', 'lag', 'mulu', 'stabil', 'jaringannya', 'kerja', 'internet', 'telkomsel', '']</t>
  </si>
  <si>
    <t>['telkomsel', 'paket', 'internet', 'mahal', 'jaringan', 'stabil', '']</t>
  </si>
  <si>
    <t>['ahir', 'ahir', 'puas', 'pelayanan', 'app', 'telkomsel', 'karna', 'melakukannya', 'transaksi', 'proses', 'terkadang', 'menunggu']</t>
  </si>
  <si>
    <t>['maaf', 'internet', 'jaringannya', 'jelek', 'banget', 'heran', 'deh', 'kota', 'semenjak', 'pakai', 'telkomsel', 'berasa', 'tinggal', 'hutan', 'belantara', 'auto', 'orang', 'purba', 'kaya', 'gini', 'banget', 'nyedot', 'pulsa', 'reminder', 'habis', 'pulsanya', 'heran', 'deh', '']</t>
  </si>
  <si>
    <t>['aplikasi', 'membantu', 'keseharian', 'memantau', 'data', 'pembelian', 'bermanfaat', 'membantu', 'orang', 'disekitar', 'pokoknya', 'rekomendasi', 'banget']</t>
  </si>
  <si>
    <t>['edit', 'ulasan', 'pakai', 'telkomsel', 'udah', 'puluhan', 'kualitas', 'jelek', 'beli', 'paketan', 'kartu', 'terkenal', 'mahal', 'temen', 'pdhal', 'telkomselnya', 'beli', 'paketan', 'sebulan', 'habis', 'rb', 'rb', 'promo', 'teman', 'murah', 'promonya', 'mahal', 'beli', 'paketan', 'gb', 'harganya', 'melonjak', 'mahal', 'fine', 'kecewa', 'besuk', 'beli', 'kartu', 'telkomsel', 'cadangan', '']</t>
  </si>
  <si>
    <t>['koneksi', 'internet', 'hilang', 'pulsa', 'hilang', 'data', 'paket', 'internet', 'udah', 'cape']</t>
  </si>
  <si>
    <t>['woy', 'anjiink', 'kaya', 'gini', 'banggsat', 'gue', 'kouta', 'belli', 'kontoll', 'kaggak', 'ngutang', 'padaa', 'simpati', 'jaringan', 'nyesel', 'loe', 'pokoknya', 'udah', 'mahal', 'kagak', 'mendingan', 'kartu']</t>
  </si>
  <si>
    <t>['jaringan', 'buruk', 'kab', 'kampar', 'prov', 'pekanbaru', 'mohon', 'diperhatikan', 'bagus', 'mohon', 'aplikasi', 'telkomselnya', 'ribet', 'memakai', 'data', 'giga', 'nyaman', 'trims', '']</t>
  </si>
  <si>
    <t>['telkomsel', 'beli', 'paket', 'internet', 'gangguan', 'sistem', 'kemarin', 'kesini', 'buruk', 'pelayanan']</t>
  </si>
  <si>
    <t>['jaringan', 'lemah', 'harga', 'paket', 'internet', 'terlampau', 'mahal', 'operator', 'lemoottt', 'app', 'buka', 'alasan', 'perbaikan', 'sistem', 'minggu']</t>
  </si>
  <si>
    <t>['jaman', 'modern', 'jaringan', 'telkomsel', 'parah', 'masak', 'kalah', 'pakek', 'temen', 'kecewe', 'mohon', 'perluas', 'jaringanya', 'tinggal', 'pedesaan', 'merasakan', 'jaringan', 'setabil', '']</t>
  </si>
  <si>
    <t>['jelek', 'telkomsel', 'kyak', 'gni', 'trs', 'mending', 'ganti', 'nomer', 'langganan', 'telkomsel', 'mah', 'jaringan', 'jelek', 'maketin', '']</t>
  </si>
  <si>
    <t>['memperbarui', 'telkomsel', 'siang', 'habis', 'dhuhur', 'jaringan', 'internet', 'telkomnya', 'sulit', 'mutar', 'mutar', 'siang']</t>
  </si>
  <si>
    <t>['pakai', 'kartu', 'simpati', 'telkomsel', 'jaringan', 'internetnya', 'lelet', 'parah', 'posisi', 'kota', '']</t>
  </si>
  <si>
    <t>['jaringannya', 'memuaskan', 'tmpat', 'tinggal', 'lelet', 'paket', 'mahal', 'mahal', 'jaringannya', 'memuaskan', 'udh', 'mahal', 'jaringannya', 'hadeuuuhh', 'blom', 'perubahannya', 'dusun', 'sukawangi', 'desa', 'kutawargi', 'kecamatan', 'rawamerta', 'kabupaten', 'karawang', 'asli', 'skarang', 'parah', 'jaringannya', '']</t>
  </si>
  <si>
    <t>['sinyal', 'hilang', 'pas', 'lgi', 'maen', 'game', 'suka', '']</t>
  </si>
  <si>
    <t>['assalamualaikum', 'warahmatullahi', 'terima', 'kasih', 'telkomtol', 'kuotanya', 'mahal', 'saran', 'kasih', 'promo', 'pengguna', 'kartu', 'salam']</t>
  </si>
  <si>
    <t>['sengaja', 'kasih', 'bintang', 'sinyal', 'internet', 'jelek', 'padehal', 'bagus', 'jelek', 'banget', 'nggak', 'benarin', 'telkomsel', '']</t>
  </si>
  <si>
    <t>['update', 'kali', 'aplikasi', 'ngak', 'bukak', 'tolong', 'admin', 'update', 'kesalahan', 'sekian', 'terima', 'kasih', '']</t>
  </si>
  <si>
    <t>['aneh', 'banget', 'transaksi', 'isi', 'pulsa', 'gopay', 'saldo', 'udah', 'kepotong', 'digopaynya', 'app', 'riwayat', 'transaksi', '']</t>
  </si>
  <si>
    <t>['tolong', 'kembalikan', 'dlu', 'kaya', 'gini', 'sinyal', 'muter', 'muter', 'mulu', 'kaya', 'permainkan', 'bagus', 'kebawah', 'sinyal', 'telkomsel', '']</t>
  </si>
  <si>
    <t>['jaringan', 'terjelek', 'sedunia', 'mahal', 'doang', 'pantes', 'rating', 'star']</t>
  </si>
  <si>
    <t>['sinyal', 'lemot', 'besok', 'pindah', 'provider', 'internet', 'kota', 'bandung', 'lemot', 'telkomsel', 'gmana', 'daerah', 'woi', 'pilihan', 'pembelian', 'paket', 'data', 'skarang', 'info', 'banget', 'aplikasi']</t>
  </si>
  <si>
    <t>['harga', 'paket', 'data', 'mahal', 'jaringan', 'lemot', 'tolong', 'tingkatkan']</t>
  </si>
  <si>
    <t>['data', 'ditempat', 'jaringan', 'lelet', 'nyesel', 'beli', 'data', 'telkomsel', 'pls', 'kartu', 'sebelah', 'habis', 'pls', 'telkomsel', 'orang', 'bayar', 'hutang', 'beli', 'pls', 'telkomsel', '']</t>
  </si>
  <si>
    <t>['pengguna', 'kartu', 'halo', 'tpi', 'knp', 'internetan', 'lemot', 'kyk', 'gini', 'tekor', 'bandar', 'haya', 'mengalami', 'tpi', 'pengguna', 'telkomsel', 'merasakan']</t>
  </si>
  <si>
    <t>['heran', 'update', 'uninstall', 'langsung', 'update', 'menerus', 'update', 'app', 'update', 'udah', 'install', 'cari', 'anak', 'kerjain', 'app', 'next', 'time', 'malu', 'pengguna', 'udah', 'app', 'bug']</t>
  </si>
  <si>
    <t>['kesini', 'susah', 'pulsa', 'isi', 'lenyap', 'gitu', 'buka']</t>
  </si>
  <si>
    <t>['install', 'app', 'uda', 'lag', 'crash', 'samsek', 'dibuka', 'bacaan', 'kesalahan', 'etc', 'sinyalnya', 'hancur', 'iya', 'harga', 'paket', 'kualitas', 'jaringan', 'bobrok', '']</t>
  </si>
  <si>
    <t>['telkomsel', 'sinyal', 'internetnya', 'buruk', 'udah', 'kuotanya', 'mahal', 'pelayanannya', 'memuaskan', 'sinyalnya', 'jelek', 'rugi', 'udah', 'telkomsel', 'kinerja', 'mengecewakan', 'internetnya', 'payah', 'beli', 'kuota', 'internet', 'harga', 'sesuai', 'pajang', 'parah', 'perbaiki', 'kualitas', 'jaringan', 'transmisi', 'relay', 'bro', 'mahalnya', 'doang', '']</t>
  </si>
  <si>
    <t>['hadeh', 'jaringan', 'kek', 'sampah', 'telkomsel', 'jaringan', 'kuat', 'ampas', 'kota', 'doang', 'daerah', 'pikirin', 'provider', 'terbesar', 'indonesia', 'jaringannya', 'lemah', 'banget', 'gila', 'kaya', 'gitu', 'beralih', 'maksimalin', 'boss', 'ngikutin', 'tren', '']</t>
  </si>
  <si>
    <t>['tolkomsel', 'kuota', 'internet', 'doang', 'mahal', 'sinyal', 'lemot', 'najis', 'pas', 'kpentingan', 'susah', 'ampun', '']</t>
  </si>
  <si>
    <t>['terpaksa', 'kasih', 'bintang', 'jaringan', 'telomsel', 'jelek', 'jaringan', 'koneksi', 'malam', 'dahh', 'nge', 'lag', 'parah', 'main', 'barharapkan', 'mohon', 'perbaiki', 'telkomsel', '']</t>
  </si>
  <si>
    <t>['jaringan', 'memburuk', 'internet', 'lemot', 'app', 'mytelkomsel', 'eror', 'harga', 'paket', 'mahal', '']</t>
  </si>
  <si>
    <t>['kali', 'kecewa', 'banget', 'telkomsel', 'beli', 'paket', 'internet', 'mahal', 'kualitas', 'sinyal', 'stabil', 'udh', 'kartu', 'kecewa', 'sumpahhhhhh', '']</t>
  </si>
  <si>
    <t>['min', 'update', 'bkn', 'lancar', 'susah', 'beli', 'paket', 'kuota']</t>
  </si>
  <si>
    <t>['jaringan', 'telkomsel', 'parah', 'lag', 'mahal', 'iya', 'kualitas', 'parah', 'banget', 'jelek']</t>
  </si>
  <si>
    <t>['sinyal', 'jelek', 'kaya', 'gini', 'turunin', 'harganya', 'paket', 'unlimited', 'sebulan', 'kartu', 'telkomsel', 'jelek', 'namanya', 'meme', 'bawa', 'serba', 'online', 'nyesel', 'milih', 'kartu', 'telkomsel', '']</t>
  </si>
  <si>
    <t>['perbaiki', 'sinyal', 'minggu', 'main', 'game', 'mobile', 'legend', 'parah', 'kuota', 'mahal', 'sesuai', 'kenyamanan']</t>
  </si>
  <si>
    <t>['gimana', 'buka', 'app', 'suruh', 'update', 'pas', 'uda', 'update', 'buka', 'app', 'masi', 'suruh', 'update', 'uda', 'gada', 'update', '']</t>
  </si>
  <si>
    <t>['gblk', 'pulsa', 'abis', 'kuota', 'pas', 'isi', 'pulsa', 'kekuras', 'anjg', 'serah', 'bodo', 'males', '']</t>
  </si>
  <si>
    <t>['gimana', 'aplikasi', 'udah', 'update', 'ehh', 'pas', 'buka', 'tulisan', 'perbarui', '']</t>
  </si>
  <si>
    <t>['telkomsel', 'pengguna', 'telkomsel', 'menyesal', 'membeli', 'kuota', 'telkomsel', 'jaringan', 'stabil', 'ms', '']</t>
  </si>
  <si>
    <t>['dpecaya', 'tlkomsel', 'udah', 'jaringan', 'lag', 'kuota', 'kmahalan', 'bnget', 'mending', 'jauhin', 'main', 'game', 'mnding', 'jgan', 'kartu', 'tlkomsel', 'nnti', 'nyesel', 'dipake', 'tukang', 'matre', 'maaf', 'sebasar', 'udah', 'berkomentar', 'jelek', 'terimaksih']</t>
  </si>
  <si>
    <t>['berguna', 'pilihan', 'rentang', 'tanggal', 'peng', 'aktifan', 'paket', 'combo', 'semoga', 'dimengerti', 'rating', '']</t>
  </si>
  <si>
    <t>['app', 'sampah', 'apps', 'bergiga', 'lancar', 'ngelag', 'dibuka', 'menit', 'habis', 'langsung', 'force', 'closed', 'udah', 'diupdate', 'busuk', '']</t>
  </si>
  <si>
    <t>['beli', 'paketan', 'bis', 'maaf', 'sistem', 'gangguan', 'kmaren', 'beli', '']</t>
  </si>
  <si>
    <t>['kugunain', 'sebulan', 'ngecek', 'pulsa', 'tinggal', 'performa', 'lumayan', 'but', 'harga', 'promo', 'gb', 'deket', 'rumahku', 'kalah', 'provider', 'speed', 'stabil', 'provide', 'sepi', 'bagusan', 'tsel']</t>
  </si>
  <si>
    <t>['gue', 'kecewa', 'telkomsel', 'jaringan', 'normal', 'bagus', 'jleeeekkk', 'bngt', 'parah', 'udah', 'paket', 'internet', 'mahal', 'gue', 'beli', 'liat', 'bola', 'eehh', 'mlh', 'sinyal', 'jelek', 'bngst', 'mending', 'gue', 'gnti', 'kartu', 'bagus', 'pkt', 'murah', '']</t>
  </si>
  <si>
    <t>['kyaaaa', 'ahhhh', 'yamate', 'kudnil', 'kartu', 'telkomselchan', 'mahal', 'harganya', 'lelet', 'jaringan', 'watasi', 'kecewa', 'kimochiiiiiiii', '']</t>
  </si>
  <si>
    <t>['knp', 'pulsa', 'abis', 'pakde', 'pulsa', 'dipake', 'berkurang', 'sampe', 'nol', 'isep', 'perusahaan', 'kakap', 'isep', 'pendapatan', 'org', '']</t>
  </si>
  <si>
    <t>['jarigan', 'jelek', 'banget', 'make', 'telkomsel', 'kayak', 'gitu', 'tolong', 'perbaiki', 'bayar', 'paket', 'tidah', 'kepuasan']</t>
  </si>
  <si>
    <t>['buka', 'aplikasi', 'muat', 'ulang', 'trus', 'iki', 'piye', 'mas', 'telkomsel', 'pulsa', 'mahal', 'tolong', 'perbaiki', 'pelayanan', 'trhadap', 'konsumen', 'paket', 'habis', 'pemberitahuannya', '']</t>
  </si>
  <si>
    <t>['minggu', 'signal', 'hilang', 'perbaiki', 'parah', 'cari', 'keuntungan', 'towernya', 'dirawat', 'mencari', 'tugas', 'anak', 'sekolah', 'susah', 'ngak', 'sanggup', 'kasi', 'operator']</t>
  </si>
  <si>
    <t>['sinyal', 'tolong', 'perbaiki', 'lemot', 'bener', 'kecewa', '']</t>
  </si>
  <si>
    <t>['main', 'game', 'lag', 'bangaet', 'males', 'beli', 'paketan', '']</t>
  </si>
  <si>
    <t>['membeli', 'paket', 'telkomsel', 'biyaya', 'berhasil', 'pulsa', 'berkurang', 'pesan', 'pembayaran', 'berhasil', 'pulsa', 'berkurang', 'pelayanan', 'telkomsel', '']</t>
  </si>
  <si>
    <t>['telkomsel', 'kek', 'babi', 'udah', 'daftar', 'kuota', 'langsung', 'habis', 'emang', 'kek', 'babi', 'sumpahin', 'lalian', 'bangkrut', 'dasar', 'penipu', 'tukang', 'sedot', 'pulsa', 'mati', 'mahal', 'penipu']</t>
  </si>
  <si>
    <t>['aplikasi', 'dibuka', 'cek', 'kuota', 'tulisan', 'maaf', 'kesalahan', 'system', 'sinyal', 'bagus', 'buka', 'youtube', 'mohon', 'diperbaiki']</t>
  </si>
  <si>
    <t>['aplikasinya', 'bagus', 'bangat', 'blanja', 'pulsa', 'kuota', 'langsung', 'sukses', 'moga', 'kedepanya', 'telkomsel', 'maju', 'canggi', 'sekaran', 'donload', 'cepat', 'mytelkomsel', 'persi', 'cuman', 'uda', 'aplikasinya', 'kemana', '']</t>
  </si>
  <si>
    <t>['provider', 'terburuk', 'kota', 'internet', 'cengap', 'cengap', 'leg', 'hilang', 'sinyal', 'kuota', 'habis', 'sedot', 'pulsa', '']</t>
  </si>
  <si>
    <t>['walapun', 'memdowload', 'apalikasi', 'telkomsel', 'percaya', 'tel', 'berguna', 'membantu', 'salam', 'sehat', '']</t>
  </si>
  <si>
    <t>['makasih', 'mimin', 'telkomsel', 'responnya', 'cepat', 'keluhan', 'dikit', 'langsung', 'direspon', 'cepat', 'via', '']</t>
  </si>
  <si>
    <t>['hadeh', 'kemarin', 'jaringan', 'melulu', 'kayak', 'kuota']</t>
  </si>
  <si>
    <t>['jaringan', 'buruk', 'login', 'eror', 'verifikasi', 'login', 'bermasalah', 'telkomsel', 'bercandakah', 'auto', 'hapus', 'aplikasi']</t>
  </si>
  <si>
    <t>['', 'wifi', 'data', 'dimatikan', 'pulsa', 'hilang', 'pelan', 'cek', 'transaksi', 'dipakai', 'akses', 'internet', 'dipakai', 'data', 'dimatikan', 'wifi', 'jam', 'dasar', 'pencuri', 'makan', 'noh', 'uang', 'haram', 'pulsa', 'pelanggan', 'sialan']</t>
  </si>
  <si>
    <t>['bonus', 'internet', 'murah', 'sayang', 'sinyal', 'lokasiku', '']</t>
  </si>
  <si>
    <t>['pilihan', 'paket', 'internet', 'mala', 'aneh', 'kek', 'kek', 'kuota', 'bulanan', 'unlimi', 'sosmed', 'dll', 'gada', '']</t>
  </si>
  <si>
    <t>['indonesia', 'daerah', 'padat', 'penduduk', 'sinyalnya', 'internet', 'cmn', 'garis', 'susah', 'orang', 'kerja', 'gmna', 'telkomsel', 'pdhal', 'sllu', 'pke', 'telkomsel', '']</t>
  </si>
  <si>
    <t>['aplikasi', 'telkomsel', 'dibuka', 'paket', 'internet', 'multimedia', 'kebeli', 'utuh', 'tolong', 'diperbaiki', 'pelayanannya', 'terima', 'kasih', '']</t>
  </si>
  <si>
    <t>['knp', 'paket', 'combo', 'sakti', 'aktifkan', 'pakai', 'telkomsel', 'kali']</t>
  </si>
  <si>
    <t>['intinya', 'kecewa', 'provider', 'sinyal', 'ilang', 'pas', 'malam', 'kuotanya', 'mahal', 'pulsa', 'dicuri', 'daerah', 'provider', 'telkomsel', 'pindah', 'karna', 'daerah', 'telkomsel', 'doang', '']</t>
  </si>
  <si>
    <t>['malu', 'kau', 'provider', 'axis', 'lelet', 'mati', 'lampu', 'lelet', 'kali', 'jaringan', 'telkomsel', 'kalok', 'mati', 'lampu', 'udh', 'pengalaman', 'hah', 'sampah', '']</t>
  </si>
  <si>
    <t>['merasuki', 'hatimu', 'komen', 'takut', 'salah', 'kulihat', 'komen', 'paham', 'binggung', 'ending', 'nga', 'perbarui', 'biarin', 'perbarui', 'takut', 'kecewa', 'karna', 'komen', 'ngeluh']</t>
  </si>
  <si>
    <t>['mantap', 'bagus', 'murah', 'membeli', 'paket', 'aplikasi', '']</t>
  </si>
  <si>
    <t>['data', 'telkomsel', 'cepat', 'banget', 'habisnya', 'buka', 'facebook', 'wattpad', 'minggu', 'habis', 'gb']</t>
  </si>
  <si>
    <t>['bagus', 'aplikasinya', 'bangga', 'pengguna', 'telkomsel', 'semangat', 'telkomsel', 'semonga', 'maju', 'kedepannya', '']</t>
  </si>
  <si>
    <t>['susah', 'login', 'bahkanbisa', 'login', 'code', 'dikirim', 'sms', 'lambat', 'disediakan', 'aplikasi', 'cepat', 'expire', 'mohon', 'diperbaiki', '']</t>
  </si>
  <si>
    <t>['jelek', 'sinyal', 'nelpon', 'susah', 'telp', 'masuk', 'cuman', 'keheningan', 'penerima', 'terima', 'telpon', 'beli', 'paket', 'bebas', 'telp', 'gitu', 'thanks', 'sekedar', 'info', 'semoga', 'bermanfaat', 'pembenahan']</t>
  </si>
  <si>
    <t>['paket', 'data', 'paket', 'nelpon', 'pulsa', 'tanggung', 'dasar', '']</t>
  </si>
  <si>
    <t>['telkomsel', 'terhormat', 'tolong', 'donk', 'diperhatikan', 'kalimantan', 'barat', 'telkomsel', 'gangguan', 'beli', 'paket', 'mahal', 'sesuai', 'diharapkan', 'kasian', 'anak', 'sekolah', 'ketinggalan', 'mata', 'pelajaran', 'karna', 'jaringan', 'terganggu', 'kelalaian', 'petugas', 'tolong', 'donk', 'petugasnya', 'cari', 'tolongggggggg', '']</t>
  </si>
  <si>
    <t>['telkom', 'sinyalnye', 'ude', 'baguss', 'beli', 'internet', 'seharga', 'ribu', 'kek', 'gini', 'kemajuan', 'telkom', 'kecewa']</t>
  </si>
  <si>
    <t>['kecewa', 'bangeeeeeeet', 'niih', 'combo', 'sakti', 'hilangin', 'udah', 'pelanggan', 'masak', 'hilangin', 'tolong', 'balikin', 'combo', 'sakti', 'kek', 'mahal', 'sumpah', 'kecewwa', 'banget', 'mentang', 'orang', 'langganan', 'hilangin', 'pembelian', 'paket', 'murah']</t>
  </si>
  <si>
    <t>['telkomsel', 'norma', 'hancur', 'telkomsel', 'ndak', 'stabil', 'jaringan', 'kentang', 'rupqnya']</t>
  </si>
  <si>
    <t>['parah', 'telkomsel', 'hadeuh', 'main', 'game', 'nge', 'lag', 'tolong', 'perbaiki']</t>
  </si>
  <si>
    <t>['ditingkatkan', 'kualitas', 'signal', 'kabupaten', 'didaerah', 'pedalamannya', 'trims']</t>
  </si>
  <si>
    <t>['aplikasi', 'telkomsel', 'eror', 'min', 'perbaiki', 'masuk', 'aplikasi', 'beli', 'paket', 'data', 'tulisan', 'gini', 'memuat', 'halaman', 'maaf', 'kesalahan', 'sistem', 'tolong', 'perbaiki', 'min', 'udah', 'gini', 'tolong', 'min', 'perbaiki', '']</t>
  </si>
  <si>
    <t>['', 'poin', 'bisaa', 'tukar', 'mohon', 'perbaiki', 'mah', 'hapus', 'sempe', 'beso', 'ketukar', 'alasanya', 'sibuk', 'sibuk', 'utuh', 'kah', 'jam', 'tungguin', 'ngab']</t>
  </si>
  <si>
    <t>['sorry', 'kasih', 'bintang', 'diinstall', 'ulang', 'eror', 'coba', 'uninstall', 'install', 'ulang', 'cust', 'care', 'menemukan', 'solusi', 'langkah', 'mundur', 'telkomsel', 'semoga', 'cepat', 'diperbaiki', 'sistemnya', 'layanannya', 'mundur', 'mengaktifkan', 'paket', '']</t>
  </si>
  <si>
    <t>['harga', 'paket', 'internet', 'mahal', 'paket', 'combo', 'sakti', 'unlimited', 'bohongi', 'masyarakat', 'pedesaan']</t>
  </si>
  <si>
    <t>['aplikasinya', 'jelek', 'ngelag', 'macet', 'buka', 'aplikasi', 'mytelkomsel', 'tulisan', 'tutup', 'paksa', 'trus', 'macet', 'ngelag', 'aplikasi', 'aman', 'hpku', 'bintang', 'buruk', 'aplikasi', 'mytelkomsel', '']</t>
  </si>
  <si>
    <t>['aplikasi', 'bagus', 'download', 'gabakal', 'nyesel', '']</t>
  </si>
  <si>
    <t>['kurangi', 'karna', 'sulit', 'masuk', 'telkomsel', 'harga', 'promo', 'kuota', 'datanya', 'meningkat', 'harganya', '']</t>
  </si>
  <si>
    <t>['apk', 'gaje', 'beli', 'pulsa', 'beli', 'combo', 'sakti', 'pembelian', 'gagal', 'kont', 'asli', 'apk', 'mending', 'beli', 'download', 'nyesel']</t>
  </si>
  <si>
    <t>['internetnya', 'lemot', 'lancar', 'jaya', 'internetnya', 'ketawa', 'beralih', 'im', 'cepet', 'jaringan', 'taiiikkkkk']</t>
  </si>
  <si>
    <t>['aplikasi', 'dilakukakan', 'transaksi', 'memilih', 'sesuai', 'selera', 'membantu', 'sinyal', 'tekomsel', 'bermain', 'game', 'hancur', 'banget', '']</t>
  </si>
  <si>
    <t>['harga', 'paket', 'internet', 'mahal', 'dibanding', 'operator', 'gimana', 'combo', 'sakti', 'nompo', 'sakti', 'kombo', 'sakti', 'mahal', 'ditemen', 'mahal', 'kabeh']</t>
  </si>
  <si>
    <t>['terima', 'kasih', 'telkomsel', 'senang', 'jangkauan', 'luas', 'dimana', 'pergi', 'merantau', 'alhamdulillah', 'jaringan', 'telkomsel', 'mendukung', 'dlm', 'bidang', 'apapun', 'thanks', 'you', '']</t>
  </si>
  <si>
    <t>['telkomsel', 'parah', 'korupsi', 'interet', 'kacau', 'kesini', 'jaringan', 'telkomsel', 'mohon', 'perbaikan', 'pelanggan', 'setia', 'telkomsel']</t>
  </si>
  <si>
    <t>['telkomsel', 'aneh', 'sms', 'keluarga', 'pulsa', 'berkali', 'terkirim', 'ngga', 'sms', 'keluarga', 'keluargaku', 'sms', 'brkli', 'knpa', 'ngga', 'dibals', 'kta', 'kelagaku', 'ngga', 'sms', 'masuk', 'heeeeeee', 'telkomsel', 'org', 'jujur', 'pelangganmu', 'lari', 'saran', 'orang', 'rugi', '']</t>
  </si>
  <si>
    <t>['sistem', 'ngutang', 'rb', 'dimana', 'darurat', 'gini', 'sisa', 'kuota', 'mb', 'pulsa', 'mohon', 'diremove']</t>
  </si>
  <si>
    <t>['ampun', 'jaringannya', 'kuota', 'sinyalnya', 'bukak', 'kayak', 'gada', 'kuota', 'samasekali', 'maksudnya', '']</t>
  </si>
  <si>
    <t>['aplikasinya', 'rusak', 'ngapa', 'tolong', 'diperbaiki', 'jaringannya', 'mohon', 'diperluas', 'daerah', 'sinyalnya', 'batang', 'doang', 'kecepatan', 'downloadnya', 'lelet', 'kenceng', 'mbps', 'kecepatan', 'downloadnya', 'mbps', 'jelek', 'sinyalnya', 'ngapa', 'jakarta', 'sampe', 'mbps']</t>
  </si>
  <si>
    <t>['bro', 'jaringan', 'simpati', 'hancur', 'bro', 'beli', 'paket', 'mahal', 'mahal', 'jaringannya', 'jelek', 'bangat', 'niat', 'memperbaikinya', 'pengguna', 'rugi', 'pakai', 'simpati', 'berharap', 'jaringannya', 'faktanya', 'hancur']</t>
  </si>
  <si>
    <t>['awalny', 'update', 'update', 'kebuka', 'maunya', '']</t>
  </si>
  <si>
    <t>['gimana', 'beli', 'paket', 'pakai', 'mytelkomsel', 'pulsa', 'melebihi', 'beli', 'paket', 'alasan', 'sinyal', 'salah', 'gimana', 'cuk']</t>
  </si>
  <si>
    <t>['aplikasi', 'buruk', 'bagus', 'buruk', 'bosan', 'pakai', 'aplikasi']</t>
  </si>
  <si>
    <t>['kecewa', 'pelanggan', 'setia', 'telkomsel', 'kecewa', 'jaringannya', 'stabil', 'akses', 'aplikasi', 'gojek', 'dll', 'kuota', 'penuh', '']</t>
  </si>
  <si>
    <t>['parah', 'kcepatan', 'datanya', 'signal', 'daerah', 'parah', 'parah', 'terpaksa', 'pindah', 'operator', '']</t>
  </si>
  <si>
    <t>['paket', 'data', 'telkomsel', 'termahal', 'didunia', 'sisa', 'pulsa', 'hilang', 'ditelan', 'bumi']</t>
  </si>
  <si>
    <t>['bos', 'pascabayar', 'udah', 'bayar', 'internetan', 'parah', 'telkomsel', 'kali', 'kaya', 'gini', '']</t>
  </si>
  <si>
    <t>['sedot', 'pulsa', 'tagih', 'akhirat', 'apk', 'bbrpr', 'error', 'error']</t>
  </si>
  <si>
    <t>['tolong', 'wilayah', 'kota', 'blitar', 'paket', 'unlimitedmax', 'beli', 'paket']</t>
  </si>
  <si>
    <t>['berterima', 'kasih', 'aplikasi', 'telkomsel', 'aplikasi', 'membeli', 'paket', 'murah']</t>
  </si>
  <si>
    <t>['susah', 'buka', 'please', 'jaringan', 'lelet', 'kak', 'telkomsel', '']</t>
  </si>
  <si>
    <t>['pemakai', 'combo', 'sakti', 'beli', 'paket', 'harga', 'isi', 'pulsa', 'sisanya', 'tabung', 'beli', 'paket', 'sampe', 'pulsanya', 'paket', 'habis', 'lupa', 'matikan', 'jaringan', 'pulsa', 'ditabung', 'beli', 'paket', 'combo', 'disedot', 'nyesek', 'min', '']</t>
  </si>
  <si>
    <t>['registrasi', 'balasan', 'suruh', 'coba', 'besok', 'sesuai', 'nama', 'besarnya']</t>
  </si>
  <si>
    <t>['waduhhh', 'klok', 'pelanggan', 'setia', 'telkomsel', 'pindah', 'kartu', 'karna', 'jaringan', 'down', 'keluhan', 'harga', 'sesuai', 'peforma', 'paket', 'semoga', 'pengguna', 'telkomsel', 'setia', 'ketergangguan', 'skrg', 'minn', '']</t>
  </si>
  <si>
    <t>['upgrade', 'kebuka', 'memuat', 'halaman', 'kesalahan', 'sistem', '']</t>
  </si>
  <si>
    <t>['cocok', 'paket', 'unlimited', 'max', 'berlangganan', 'kali', 'udah', 'gimana', 'telkomsel', 'udah', 'nyaman', 'ditinggalin', 'php', 'wkwkwk']</t>
  </si>
  <si>
    <t>['telkomsel', 'mohon', 'perbaiki', 'isi', 'kuota', 'gangguan', 'mulu', 'sinyal']</t>
  </si>
  <si>
    <t>['telkomsel', 'cintai', 'buruk', 'pakai', 'telkomsel', 'semoga', 'kedepannya', 'terdepan', '']</t>
  </si>
  <si>
    <t>['kemaren', 'sempet', 'bermasalah', 'pembelian', 'kuota', 'aplikasi', 'telkomsel', 'beli', 'kuota', 'bayar', 'shopee', 'pay', 'udah', 'gagal', 'komplain', 'whatsapp', 'telkomsel', 'trus', 'urus', 'paginya', 'saldo', 'shopee', 'pay', 'makasih', 'telkom', 'semoga', 'diperbaiki', 'sistemnya', '']</t>
  </si>
  <si>
    <t>['banget', 'nyedot', 'pulsa', 'ngaknyalain', 'data', 'seluler', 'memakai', 'pulsanya', 'nyesel', 'milih', 'kartu', 'telkom', 'ujung', 'ujungnya', 'boros', 'pulsa', 'uang', 'ngelag', 'menyalakan', 'data', 'seluler', 'boros', 'kuota', 'banget', 'pengen', 'ganti', 'kartu', '']</t>
  </si>
  <si>
    <t>['jaringan', 'bersahabat', 'kedepanya', 'semoga', 'perbanyak', 'promo', 'kuota', 'murahnya', 'undian', 'poin', 'pengguna', 'setianya', '']</t>
  </si>
  <si>
    <t>['maaf', 'layanan', 'mengalami', 'gangguan', 'mohon', 'hubungi', 'admin', 'kayla']</t>
  </si>
  <si>
    <t>['praktis', 'pakai', 'apk', 'telkomsel', 'cek', 'kuota', 'kadang', 'akses', 'jaringan', 'telkomsel']</t>
  </si>
  <si>
    <t>['kecewa', 'pilihan', 'beli', 'extra', 'unlimited', 'uda', 'langganan', 'thn', 'kecewa', 'sekkali']</t>
  </si>
  <si>
    <t>['download', 'cepat', 'akses', 'gagal', 'loading', 'uninstal', 'cepat', 'menghabiskan', 'kuota', 'memori', 'internal', 'aplikasi', 'lambat', '']</t>
  </si>
  <si>
    <t>['aplikasi', 'diandalkan', 'pulsa', 'internet', 'beli', 'paket', 'dibilang', 'internet', 'disuruh', 'coba', 'aplikasi']</t>
  </si>
  <si>
    <t>['nyaman', 'telkomsel', 'telkomsel', 'jaringan', 'stabil', 'telkomsel', 'mengalami', 'gangguan', 'jaringan', 'laut', 'terputus', 'gangguan', 'jaringan', 'internet']</t>
  </si>
  <si>
    <t>['mohon', 'maaf', 'telkomsen', 'konto', 'orang', 'pulsa', 'paket', 'ambil', 'donk', 'pulsa', 'ngentt', 'tdinya', 'kepake', 'udh', 'tinggal', 'tolong', 'gitu', 'nahan', 'fitur', 'aktifkan', 'pulsa', 'paket', 'data', 'pulsa', 'terpakai', 'ngntot']</t>
  </si>
  <si>
    <t>['koq', 'aneh', 'beli', 'paket', 'promo', 'beli', 'pas', 'transaksi', 'pulsa', 'kepotong', 'maling', 'transaksi', 'telkomsel', 'akses', 'telkomsel', 'kena', 'tarif', 'kalah', 'provider', 'laen', 'kasih', 'free', 'akses', 'app', '']</t>
  </si>
  <si>
    <t>['josss', 'semoga', 'aplikasi', 'membantu', 'pelanggan', 'perusahaannya', 'bumn', 'sukses']</t>
  </si>
  <si>
    <t>['memalukan', 'plat', 'merah', 'miskin', 'kuota', 'pejabat', 'bumn', 'gaji', 'selangit', 'nambal', 'nombok', 'bumn', 'hutang', 'utak', 'atik', 'harga', 'kuota', 'telkomsel', 'kaya', 'anak', '']</t>
  </si>
  <si>
    <t>['wey', 'paket', 'ektra', 'unlimited', 'parah', 'suka', 'ilang', 'in', 'paket', 'kecewa']</t>
  </si>
  <si>
    <t>['maaf', 'kasih', 'bintang', 'heran', 'telkomsel', 'pulsa', 'kuota', 'aktifkan', 'data', 'pulsa', 'hilang', 'tolong', 'admin', 'samperti', '']</t>
  </si>
  <si>
    <t>['beli', 'kuota', 'unlimited', 'ngelag', 'parah', 'jaringan', 'beda', 'kuota', 'utama', 'kali', 'perkuat', 'sinyal', 'diperbaiki', 'jaringan', 'kuota', 'unlimited', 'main', 'game', 'ping', 'diatas', 'benerin', 'ganti', 'kartu', 'bagus', 'jaringan', 'iya', 'beli', 'pulsa', 'sedot', 'kontolll']</t>
  </si>
  <si>
    <t>['informaai', 'sediakan', 'telkomsel', 'membantu', 'memilih', 'menentukan', 'paket', 'data', 'cocok', 'kebutuhan', '']</t>
  </si>
  <si>
    <t>['', 'telkomsel', 'hebat', 'pakai', 'memnbatu', 'khusus', 'jalan', 'terimakasih', 'telkomsel']</t>
  </si>
  <si>
    <t>['', 'beli', 'gamemax', 'maen', 'game', 'kaga', 'telkomsel', 'ngeluarin', 'paket', 'internet', 'jaringan', 'kek', 'setan', 'mikir', 'ngkk', 'beli', 'paket', 'daun', 'duit', 'bener', 'bener', 'kecawa', 'telkomyet', 'ngkk', 'becus', 'duit', 'doang', '']</t>
  </si>
  <si>
    <t>['abdet', 'geliran', 'abdet', 'kebuka', 'bagaimn', 'abdet', 'meningkatkan', 'kualitas', 'kebuka', 'aplikasi']</t>
  </si>
  <si>
    <t>['dibayangkan', 'telkomsel', 'mimpi', 'sulit', 'diraih', '']</t>
  </si>
  <si>
    <t>['bagus', 'memudahkan', 'beli', 'cek', 'pulsa', 'kuota', 'internet']</t>
  </si>
  <si>
    <t>['babi', 'telkomsel', 'geliran', 'jaringan', 'unlimited', 'lelet', 'lemot', 'untungnya', 'modal', 'kasih', 'anjeng', '']</t>
  </si>
  <si>
    <t>['setia', 'telkomsel', 'kali', '']</t>
  </si>
  <si>
    <t>['woyyyy', 'perbaiki', 'jaringan', 'tolong', 'udah', 'pkt', 'beli', 'mahal', 'jaringan', 'msih', 'stabil', 'kesini', 'mkin', 'parah', 'jaringan', 'pantekkk', 'tolong', 'tanggapai', '']</t>
  </si>
  <si>
    <t>['', 'udh', 'kenpa', 'internet', 'lemot', 'pdhl', 'sisa', 'kuota', 'gede', 'gb', 'tpi', 'internetan', 'parah', 'lemotnya', 'trus', 'sinyalnya', 'luplep', 'teruuss', 'kacau', 'tolong', 'perbaiki', 'tetep', 'kek', 'gini', 'mending', 'beralih', 'server', 'operator', 'tetangga', '']</t>
  </si>
  <si>
    <t>['jelek', 'beli', 'pulsa', 'masuk', 'smpe', 'jam', 'merugikan', 'customer', '']</t>
  </si>
  <si>
    <t>['sumpah', 'kesini', 'telkomsel', 'nge', 'game', 'ngeleg', 'pengguna', 'telkomsel', 'puas', 'tolong', 'ditingkatkan', 'males', 'telkomsel']</t>
  </si>
  <si>
    <t>['bagus', 'tsel', 'promo', 'paket', 'kuota', 'promo', 'gb', 'day', 'mantap', 'kali', 'kali', 'kali', 'mantap', '']</t>
  </si>
  <si>
    <t>['mahal', 'doang', 'jaringan', 'jelek', 'turun', 'stabil', 'udah', 'kali', 'ngehubungin', 'tetep', 'kaga', 'pergerakan', '']</t>
  </si>
  <si>
    <t>['ribet', 'tuker', 'poin', 'kupon', 'undian', 'ngeklik', 'berkali', 'kali', 'via', 'dituker', 'poin', 'kupon', 'undian', 'semenjak', 'aplikasi', 'ribet', 'pilihan', 'brp', 'poin', 'ditukarkan', 'kupon', 'undian', 'enak', 'kga', 'klik', 'berkali', 'kali', 'hadeh', 'emang', 'sengaja', 'buka', 'aplikasi', 'gitu', '']</t>
  </si>
  <si>
    <t>['sinyal', 'ilang', 'mulu', 'beli', 'kuota', 'mahal', 'kayak', 'gini', 'jaringanya', 'kecewa', 'pengguna']</t>
  </si>
  <si>
    <t>['hati', 'pas', 'isi', 'pulsa', 'promonya', 'hilang', 'strategi', 'marketing', 'telkomsel', 'kejam', 'licik']</t>
  </si>
  <si>
    <t>['paket', 'combo', 'sakti', 'udah', 'nggk', 'kali', 'beli', 'kartunya', 'mahalan', 'gpp', 'kasih', 'bintang', '']</t>
  </si>
  <si>
    <t>['install', 'maketin', 'data', 'stuck', 'loading', 'gimana', 'puas', 'kya', 'gini', 'ceritanya']</t>
  </si>
  <si>
    <t>['pulsa', 'disedot', 'padahl', 'internet', 'wifi', 'beda', 'simcard', 'tetep', 'nyolong', 'pulsa', 'hebat']</t>
  </si>
  <si>
    <t>['promo', 'tulisan', 'belaka', 'mengalami', 'gagal', 'proses', 'pembelian', 'paket', 'data', 'pulsa', 'utama', 'berkurang', 'nunggu', 'proses', 'gagal', 'beli', 'paket', 'sms', 'offline']</t>
  </si>
  <si>
    <t>['jaringan', 'karuan', 'tgl', 'min', 'ttp', 'jaringan', 'temptku', 'muncul', 'kesalahan', 'jaringan', 'maksudnya', 'min']</t>
  </si>
  <si>
    <t>['tukar', 'poin', 'paket', 'internet', 'pakek', 'pulsa', 'nyebelin', 'gunanya', 'coba', 'poin', '']</t>
  </si>
  <si>
    <t>['sekelas', 'bumn', 'gaji', 'karyawannya', 'bagus', 'kualitas', 'pengguna', 'kartu', 'hallo', 'error', 'kuota', 'app', 'telkomsel', 'error', 'bumn', 'aplikasi', 'swasta', 'kah', '']</t>
  </si>
  <si>
    <t>['kecewa', 'telkomsel', 'kecepatan', 'respon', 'udh', 'bagus', 'cuman', 'solusi', 'dikasih', 'telkomsel', 'engga', 'bener', 'terkesan', 'copy', 'paste', 'keluhan']</t>
  </si>
  <si>
    <t>['tolong', 'benerin', 'aplnya', 'masak', 'update', 'versi', 'terbaru', 'buka', 'kali', 'login', 'kesalahan', 'sitem', '']</t>
  </si>
  <si>
    <t>['parah', 'bat', 'jaringan', 'telkomsel', 'dikit', 'dikit', 'twitter', 'mail', 'telkomsel', 'cepat', 'udah', 'jaringan', 'gleg', 'suruh', 'twitter', 'mail', 'telkomsel', 'mikir', 'inggak', 'udah', 'jaringan', 'pless', 'buka', '']</t>
  </si>
  <si>
    <t>['jaringannya', 'jelek', 'beli', 'paketnya', 'mahal', 'beli', 'pemerintah', 'sinyalnya', 'jelek']</t>
  </si>
  <si>
    <t>['', 'dimakan', 'kouta', 'utama', 'giliran', 'kouta', 'multimedi', 'gb', 'nyesel', 'telkomsel', '']</t>
  </si>
  <si>
    <t>['udah', 'langganan', 'ehhh', 'main', 'jelek', 'rekomen', 'ending', 'ganti', 'kesebalh', 'lebil', 'stabil', 'jaringan', 'telkom', '']</t>
  </si>
  <si>
    <t>['maaf', 'kecewa', 'telkomsel', 'paketanya', 'mahal', 'sinyal', 'kuat', 'full', 'internetnya', 'lambat', 'kayak', 'tolong', 'telkomsel', 'bagus', 'kalah', 'operator', '']</t>
  </si>
  <si>
    <t>['telkomsel', 'npa', 'internetnya', 'bsa', 'tlng', 'kasih', 'penjelasan', 'sampe', 'pindah', 'jaringan']</t>
  </si>
  <si>
    <t>['sinyal', 'telkomsel', 'jelek', 'lemot', 'banget', 'pingin', 'ganti', 'provider', '']</t>
  </si>
  <si>
    <t>['hati', 'kuota', 'internet', 'habis', 'langsung', 'menyedot', 'pulsa', 'lokal', 'terkuras', 'habis', 'merugikan', '']</t>
  </si>
  <si>
    <t>['tolong', 'perbaiki', 'sinyal', 'padang', 'didaerah', 'lubuk', 'minturun', 'sungguh', 'mengecewakan', 'sinyal', 'jelek', 'sinyal', 'maaf', 'kasih', 'bintang', '']</t>
  </si>
  <si>
    <t>['jaringan', 'telkomsel', 'sungguh', 'mengecewakan', 'jaringanya', 'stabil', 'pakai', 'kartu', 'telkomsel', 'lho', 'bagus', 'koneksi', 'lambatt', '']</t>
  </si>
  <si>
    <t>['aneh', 'daily', 'login', 'reset', 'blom', 'seminggu', 'kadang', 'suka', 'nge', 'bug', 'klik', 'daily', 'login', 'tulisan', 'blom', 'check', 'notif', 'sms', 'udah', 'check', '']</t>
  </si>
  <si>
    <t>['dear', 'telkomsel', 'mohon', 'membangun', 'aplikasi', 'friendly', 'handphone', 'spesifikasi', 'dasar', 'berat', 'dijalankan', 'pengguna', 'telkomsel', 'level', 'level', 'orang', 'membeli', 'smartphone', 'kelas', 'flagship', 'terima', 'kasih', '']</t>
  </si>
  <si>
    <t>['aplikasi', 'telkomsel', 'membantu', 'informasi', 'kuota', 'pulsa', 'miliki', 'membantu', 'sinyalnya', 'simpati', 'oke', 'sinyalnya', 'daerah', 'pegunungan', 'perkotaan', 'ampunnya', 'ketulungan', 'sinyalnya', 'simpati', 'sayang', 'kepalang', 'pakai', 'nomor', 'simpati', 'komunikasi', 'orang', 'pakai', 'perlahan', 'pindah', 'provider', 'simpati', 'sinyalnya', 'oke', '']</t>
  </si>
  <si>
    <t>['kartu', 'coba', 'beli', 'diskon', 'paket', 'nelpon', 'pas', 'abis', 'isi', 'pulsa', 'hilang', 'diskon', 'kartu', 'sampah', '']</t>
  </si>
  <si>
    <t>['update', 'aplikasi', 'telkomsel', 'jaringan', 'internet', 'respon', 'kedepannya', 'helloooooooohhhhhh', '']</t>
  </si>
  <si>
    <t>['kartu', 'kntl', 'gajelas', 'asw', 'orang', 'udh', 'isi', 'pulsa', 'daftar', 'paket', 'pulsa', 'udah', 'pulsa', 'disedot', 'kontollll']</t>
  </si>
  <si>
    <t>['telkomsel', 'internet', 'ajgg', 'sampah', 'main', 'game', 'dikit', 'jaringan', 'ilang', 'connec', 'out', 'jaringan', 'muncul', 'emang', 'telkomsel', 'internet', 'jelek', '']</t>
  </si>
  <si>
    <t>['buang', 'tong', 'sampah', 'bangka', 'emang', 'iklan', 'sesuai', 'telkomsel', 'penipu', '']</t>
  </si>
  <si>
    <t>['telkomsel', 'berkat', 'paket', 'indihome', 'rumah', 'anak', 'anak', 'sekolah', 'sepuasnya', 'tenang', 'mikir', 'kehabisan', 'kuota', '']</t>
  </si>
  <si>
    <t>['tolong', 'telkomsel', 'pelanggan', 'telkomsel', 'untk', 'jaringan', 'daerah', 'kendala', 'mohon', 'kinerja', 'telkomsel', 'daerah', 'kab', 'kampar', 'tolong', 'tingkatkan', 'rugi', 'jualan', 'online', 'minggu', 'gara', 'jaringan', '']</t>
  </si>
  <si>
    <t>['isi', 'pulsa', 'ilang', 'berlangganan', 'pkt', '']</t>
  </si>
  <si>
    <t>['jaringan', 'telkomsel', 'mohon', 'diperbaiki', 'please', 'pakai', 'telkomsel', 'jaringannya', 'bener', 'bener', 'down', 'jaringan', 'ngegrab', 'didalem', 'rumah', 'rumah', 'dipelosok', 'mohon', 'ditindak', 'lanjuti', 'butuh', 'banget', 'nomernya', 'makasih', '']</t>
  </si>
  <si>
    <t>['kesel', 'banget', 'telkomsel', 'isi', 'pulsa', 'kuota', 'internet', 'dipakai', 'buka', 'yutub', 'tersisa', 'pulsa', 'ribu', 'disedot', 'parahnya', 'sms', 'notifikasi', 'pulsa', 'udah', 'tinggal', 'ribu', 'isinya', 'internet', 'non', 'kuota', 'kuota', 'tolong', 'bengek']</t>
  </si>
  <si>
    <t>['fitur', 'lock', 'pulsa', 'pemakaian', 'data', 'tho', 'pulsa', 'berkurang', 'dikit', 'menerus', '']</t>
  </si>
  <si>
    <t>['fungsinya', 'lambat', 'wajib', 'uninstall', 'aplikasinya', 'udah', 'nggak', 'berguna', 'pembelian', 'paket', 'pulsa', 'nggak', 'berfungsi', 'saran', 'telkomsel', 'pakai', 'aplikasi', '']</t>
  </si>
  <si>
    <t>['semoga', 'kali', 'sya', 'undian', 'sya', 'cita', 'sekian', 'kali', 'mengikuti', 'undian', 'hepi', 'dri', 'telkomsel', 'telkomsel', 'amin', 'yrb']</t>
  </si>
  <si>
    <t>['halo', 'pengguna', 'telkomsel', 'bingung', 'paket', 'unlimited', 'max', 'terbatas', 'hilang', 'mencoba', 'paket', 'ketengan', 'unlimited', 'instagram', 'pembelian', 'aman', 'pembelian', 'harganya', 'asik', 'scrool', 'menit', 'mbps', 'turun', 'drastis', 'sampe', 'gabisa', 'scrool', 'mesti', 'hapus', 'tab', 'capek', 'jujur', 'telkomsel', 'hobinya', 'naikin', 'harga', 'ama', 'nurunin', 'mbps', 'doang', 'tenang', 'hargai', 'pelanggan', 'marketing', 'serakah', '']</t>
  </si>
  <si>
    <t>['jelek', 'bagus', 'main', 'game', 'telkomsel', 'emosi', 'lag']</t>
  </si>
  <si>
    <t>['alhamdulillah', 'aplikasi', 'membantu', 'pembelian', 'pulsa', 'kuota', 'internet', 'pilihan', 'promo', 'menarik', 'trimakasih', 'telkomsel', '']</t>
  </si>
  <si>
    <t>['beli', 'paket', 'internet', 'proses', 'nunggu', 'sampe', 'ngantuk', 'masuk', '']</t>
  </si>
  <si>
    <t>['cashback', 'via', 'kredivo', 'gimana', 'kak', 'masukkan', 'kode', 'otp', 'kredivo', 'pembayaran', 'paket', 'combo', 'aplikasi', 'telkomsel', 'crash', 'paket', 'dibayar', 'gimana', 'kak', '']</t>
  </si>
  <si>
    <t>['aplikasinya', 'berat', 'banget', 'loading', 'reload', 'tolong', 'diperbaiki', 'gaes']</t>
  </si>
  <si>
    <t>['mantap', 'suka', 'telkomsel', 'jaringannya', 'kuat', 'banget', 'maen', 'game', 'lanjar', 'sayang', 'halu', '']</t>
  </si>
  <si>
    <t>['kemari', 'koq', 'ngeselin', 'applikasi', 'beli', 'paket', 'internet', 'udah', 'jam', 'sore', 'udah', 'jam', 'malam', 'masuk', '']</t>
  </si>
  <si>
    <t>['banget', 'beli', 'kuota', 'aplikasinya', 'berat', 'customer', 'care', 'veronika', 'membantu']</t>
  </si>
  <si>
    <t>['suka', 'kemudahan', 'maaf', 'seseing', 'hilang', 'sinyal', 'blang', 'data', 'way', '']</t>
  </si>
  <si>
    <t>['kartu', 'rusak', 'harga', 'pejabat', 'kualitas', 'rendahan', 'mati', 'lampu', 'sinyal', 'mati', 'jaringannya', 'eror', 'hadeeuh', 'nyesel', 'beli', 'produk', 'kartu']</t>
  </si>
  <si>
    <t>['telkomsel', 'nyimpen', 'pulsa', 'kuota', 'msih', 'ngambil', 'pulsa', 'kuota', 'aktif', 'kunci', 'pulsa', 'kaya', 'tetangga', '']</t>
  </si>
  <si>
    <t>['harga', 'mahal', 'aplikasi', 'eror', 'aplikasi', 'pembaruan', 'lemot', 'aplikasi', '']</t>
  </si>
  <si>
    <t>['', 'telkomsel', 'beli', 'paket', 'internet', 'jaringan', 'bagus']</t>
  </si>
  <si>
    <t>['', 'belii', 'paket', 'kemaren', 'min', 'pdhal', 'jaringan', 'udh', 'akses', 'tpi', 'giliran', 'buka', 'aplikasi', 'mytlkmsl', 'beli', 'paket', 'gmmmmmm', '']</t>
  </si>
  <si>
    <t>['telkomsel', 'mahal', 'doang', 'tetep', 'sinyalnya', 'busuk', 'susah', 'bner', 'stabilnya', '']</t>
  </si>
  <si>
    <t>['heran', 'skrg', 'telkomsel', 'mahal', 'terjangkau', 'skrg', 'beli', 'mahalin', 'kasih', 'diskon', 'paketan', 'terjangkau', 'langganan', 'beli', 'telkom', 'mahal', 'terjangkau']</t>
  </si>
  <si>
    <t>['keseringan', 'jelek', 'jaringan', 'malam', 'stabil', 'kadang', 'hilang', 'koneksi', 'internetnya', 'pokoknya', 'jelek']</t>
  </si>
  <si>
    <t>['sinyalnya', 'buruk', 'menyusahkan', 'merugikan', 'pelanggan', 'telkomsel', 'semoga', 'perhatian', 'perbaikan', 'kemajuan', '']</t>
  </si>
  <si>
    <t>['masuk', 'aplikasi', 'butuh', 'pembaharuan', 'selesai', 'update', 'versi', 'terbaru', 'masuk', 'aplikasinya', '']</t>
  </si>
  <si>
    <t>['sinyalnya', 'emang', 'luas', 'seindonesia', 'perjalanan', 'kemana', 'indo', 'kekuatan', 'jaringan', 'berbeda', 'bole', '']</t>
  </si>
  <si>
    <t>['', 'bintang', 'kasih', 'kosisten', 'program', 'telkomsel', 'bentar', 'beruh', 'paket', 'data', 'beli', 'kecewa', 'telkomsel', 'karna', 'tmpt', 'jaringan', 'telkomsel', 'terpaksa', 'telkomsel', 'klw', 'kajiringan', 'udah', 'pakai', 'jaringan', 'telkomsel', 'program', 'berubah', 'pokok', 'buruk']</t>
  </si>
  <si>
    <t>['lumayan', 'mantab', 'tambahin', 'penukaran', 'poin', 'pulsa', 'poin', 'mohon', 'diadakan', 'penukaran', 'poin', 'pulsa', 'halaman', 'utama', 'plisss']</t>
  </si>
  <si>
    <t>['aplikasi', 'diperbaharui', 'aplikasi', 'tolong', 'telkomsel', 'berbenah', 'aplikasi', '']</t>
  </si>
  <si>
    <t>['kuota', 'tergajelas', 'beli', 'gamesmax', 'bli', 'kuota', 'ngegame', 'tpi', 'ngk', 'kepake', 'ktnya', 'kuota', 'regular', 'tpi', 'mlh', 'kuota', 'regular', 'terpotong', 'kuota', 'games', 'ngk', 'sma', 'skali']</t>
  </si>
  <si>
    <t>['telkomsel', 'menginformasikan', 'kendala', 'jaringn', 'khusus', 'jaringn', 'internet', 'sms', 'pribadi', 'medsos', 'kerna', 'wilayah', 'mengakses', 'medsos', 'dengn', 'ganti', 'rugi', 'nyamanan', 'pengguna', 'telkomsel', 'akibat', 'gagal', 'komunikasi', 'pelnggan', 'tolong', 'tanggapi', 'dengn', 'cepat', 'bertambah', 'kecewa', 'dengn', 'layanan', 'komunikasi', 'telkomsel', '']</t>
  </si>
  <si>
    <t>['telkomsel', 'mahal', 'paketan', 'giga', 'harga', 'sesuai', 'telomsel', 'rb', 'gua', 'murah', 'rb', 'isi', 'pulsa', 'harga', 'paketan', 'provider', 'indonesia', 'merakyat', 'merakyat', 'cuss', 'ganti', 'provider']</t>
  </si>
  <si>
    <t>['telkomsel', 'kembalikan', 'pulsa', 'tgl', 'sep', 'pulsa', 'rp', 'data', 'selular', 'aktif', 'dipakai', 'simpan', 'tas', 'keluarin', 'tas', 'check', 'baterai', 'tgl', 'sep', 'kaget', 'liat', 'pulsa', 'tinggal', 'rp', 'pulsa', 'hilang', 'rp', 'tlp', 'janji', 'hub', 'sampe', 'khabar', 'ironisnya', 'sampe', 'pulsa', 'tinggal', 'rp', 'dipotong', 'biaya', 'telkomsel', 'kecewain', 'pelanggan', '']</t>
  </si>
  <si>
    <t>['admin', 'berguna', 'chat', 'balas', 'robot', 'chat', 'robot', 'sok', 'chat', 'admin', 'manusia', 'robot', 'orang', 'chat', 'robot', 'admin', 'pintar', 'baca', 'manusia', 'adminnya']</t>
  </si>
  <si>
    <t>['membeli', 'pulsa', 'shopee', 'masuk', 'aplikasi', 'mytelkomsel', 'kejelasan', 'veronica', 'bertele', 'brp', 'disuruh', 'kirim', 'email', 'telkomsel', 'dibalas', 'tindak', 'udah', 'kirim', 'capture', 'bukti', 'transaksi', 'shopee', 'mytelkomsel', 'kirim', 'email', '']</t>
  </si>
  <si>
    <t>['rusak', 'network', 'pekerjaan', 'berantakan', 'ganti', 'rugi']</t>
  </si>
  <si>
    <t>['jaringannya', 'jelek', 'banget', 'anjiirrr', 'udah', 'mahal', 'beli', 'kuota', 'gede', 'kayak', 'browsing', 'google', 'lambat', 'banget', 'emangnya', 'kuota', 'dikasih', 'gratis', 'gue', 'beli', '']</t>
  </si>
  <si>
    <t>['min', 'tukar', 'poin', 'semoga', 'menang', 'motor', 'cari', 'nafkah', 'terima', 'kasih', 'telkomsel', 'terbaik', '']</t>
  </si>
  <si>
    <t>['aplikasi', 'jelek', 'tpi', 'provider', 'jelek', 'pelanggan', 'setia', 'gua', 'jaringan', 'down', 'ganti', 'provider']</t>
  </si>
  <si>
    <t>['permisi', 'pakai', 'nomor', 'telpon', 'min', 'masuk', '']</t>
  </si>
  <si>
    <t>['tolonglah', 'jaringan', 'pulau', 'jawa', 'perbagus', 'suka', 'kesel', 'jaringan', 'suka', 'hilang', 'turun', 'pemakai', 'nyaman', 'sekian', 'terimakasih']</t>
  </si>
  <si>
    <t>['segi', 'app', 'app', 'berat', 'banget', 'dibuka', 'banding', 'buka', 'app', 'lipat', 'muatan', 'enteng', 'app', 'tesebut', 'app', 'paketan', 'parah', 'banget', 'combo', 'unlimited', 'mengecewakan', 'kuota', 'utama', 'habis', 'speed', 'kuota', 'multimedia', 'kayak', 'habis', 'fup', 'buka', 'kbps', 'buka', 'game', 'lemot', 'paket', 'multimedia', 'gue', 'ngurang', 'btuh', 'normalnya', 'gue', 'ngabisin', 'sehari', 'buka', 'game', 'situs', 'multimedia', 'kecepatan']</t>
  </si>
  <si>
    <t>['pakai', 'pulsa', 'darurat', 'pulsa', 'kepotong', 'bayar', 'pulsa', 'darurat', '']</t>
  </si>
  <si>
    <t>['mantap', 'data', 'akurat', 'sukses', 'jaya', 'semoga', 'indonesia', 'maju', '']</t>
  </si>
  <si>
    <t>['registrasi', 'mutasi', 'kartu', 'hallo', 'kecepatan', 'internet', 'agk', 'melambat', 'pokonya', 'sprti', 'prabayar', 'kartu', 'hallo', 'lbh', 'prioritas', 'jaringan', 'lbh', 'cepat', 'tolong', 'diperhatikan', '']</t>
  </si>
  <si>
    <t>['memuat', 'halaman', 'utama', 'udh', 'hubungi', 'ribet', 'pusing', 'tingkatkan', 'mudah', 'ribet', '']</t>
  </si>
  <si>
    <t>['dijuluki', 'telkomsel', 'jaringan', 'tercepat', 'jaringan', 'terlelet', 'termahal', 'sejarah', 'problem', 'bln', 'sinyal', 'lelet', 'banget', 'sprti', 'upgrade', 'lelet', 'tolong', 'pertanggung', 'kerja', 'hiburan', 'terganggu', 'jaringan', 'sperti', 'harga', 'mahal', 'tolong', 'perbaiki', 'jaringan']</t>
  </si>
  <si>
    <t>['mohoan', 'maaf', 'aplikasi', 'udah', 'bagus', 'mantap', 'harga', 'paket', 'naikin', 'min', 'udah', 'bagus', 'murah', 'kartu', 'indonesia', 'dukung', 'telkomsel', 'kasih', 'bintang', '']</t>
  </si>
  <si>
    <t>['mahal', 'paketannya', 'berbanding', 'terbalik', 'kualitas', 'internet', 'provider', 'mahal', 'kelas', 'internetnya', 'tolong', 'perbaikan', 'diam', 'kalah', 'provider', 'tetangga', 'paket', 'murah', 'kualitas', 'mohon', 'kecewakan', 'pelanggan', '']</t>
  </si>
  <si>
    <t>['napa', 'barusan', 'kubuka', 'tulisannya', 'kesalahan', 'sistem', 'aneh', 'pdhal', 'ratusan', 'kali', 'dipake', 'kali', 'error', '']</t>
  </si>
  <si>
    <t>['telkomsel', 'mengalami', 'gangguan', 'berhari', 'jaringan', 'jelek', 'makasih', '']</t>
  </si>
  <si>
    <t>['kali', 'transaksi', 'pembelian', 'paket', 'berhasil', 'mentok', 'tahap', 'pemrosesan', 'transaksi', 'chatt', 'low', 'respon', 'banget', 'hadeuuuh']</t>
  </si>
  <si>
    <t>['lumayan', 'bagus', 'lagg', 'maklumi', 'ciptaan', 'manusia', 'sempurna', 'tolong', 'perbaiki', 'jaringan', 'telkomsel', 'banget', 'lagg']</t>
  </si>
  <si>
    <t>['menurun', 'gini', 'udah', 'harga', 'paket', 'mahal', 'jaringan', 'ngeleg', 'ditambah', 'paket', 'pulsa', 'habis', 'buatnya']</t>
  </si>
  <si>
    <t>['aplikasi', 'bagus', 'min', 'make', 'kartu', 'simpati', 'bertahun', 'kuota', 'promo', 'murah', 'rb', 'gb', 'contohnya', '']</t>
  </si>
  <si>
    <t>['mengecewakan', 'trus', 'jaringannya', 'lemot', 'udah', 'beli', 'paket', 'internetnya', 'telkomsel', 'bagus']</t>
  </si>
  <si>
    <t>['jaringan', 'parah', 'telkomsel', 'beli', 'kuota', 'udah', 'mahal', 'jaringan', 'jelek', 'udah', 'asli', 'kecewa', 'pdhal', 'pelanggan', 'setia', 'th']</t>
  </si>
  <si>
    <t>['jelek', 'koneksinya', 'sinyal', 'full', 'aneh', 'pas', 'udah', 'jam', 'sore', 'koneksinya', 'kacau', 'bngt']</t>
  </si>
  <si>
    <t>['buruk', 'kali', 'jaringan', 'buka', 'internet', '']</t>
  </si>
  <si>
    <t>['beli', 'paket', 'semalam', 'pulsa', 'beli', 'paket', 'kaya', 'ngutang', 'susah', 'ampun']</t>
  </si>
  <si>
    <t>['beli', 'kuota', 'proses', 'sya', 'menerima', 'kuota', 'beli', 'server', 'telkomsel', 'down', 'kah', '']</t>
  </si>
  <si>
    <t>['membeli', 'paket', 'internet', 'muncul', 'notif', 'gangguan', 'sistem', '']</t>
  </si>
  <si>
    <t>['jaringan', 'suka', 'hilang', 'terpaksa', 'ganti', 'kartu']</t>
  </si>
  <si>
    <t>['min', 'tolong', 'betulin', 'jaringan', 'mahal', 'jaringan', 'lelet', 'bet', 'kayak', 'keong', 'jalan', '']</t>
  </si>
  <si>
    <t>['jaringan', 'jelek', 'paket', 'internet', 'mahal', 'paket', 'nelpon', 'mahal', 'udah', 'beli', 'berlaku', 'sebentar', 'makan', 'duit', 'haram', '']</t>
  </si>
  <si>
    <t>['update', 'gagal', 'memuat', 'halamannya', 'malu', 'aplikasi', 'sejenis', 'milik', 'tetangga', 'murah']</t>
  </si>
  <si>
    <t>['membantu', 'membeli', 'paket', 'terkadang', 'kendala', 'membayar', 'paket', 'paket', 'untungnya', 'pulsa', 'utuh', 'mohon', 'diperbaiki']</t>
  </si>
  <si>
    <t>['woi', 'niat', 'jual', 'kuota', 'masak', 'beli', 'kuota', 'sinyal', 'lancar', 'pulsa', 'pas', 'beli', 'keterangan', 'eror', 'mulu', 'woi', 'telkomsel', 'pulsa', 'nyedot', 'sendiriiiii', 'woi', 'ngapa', 'telkomselllll', '']</t>
  </si>
  <si>
    <t>['seiring', 'berjalannya', 'apk', 'lag', 'terusss', 'inii', 'menerus', 'mengalami', 'trobel', 'pengen', 'beli', 'paket', 'pas', 'mengisi', 'pulsa', 'paket', 'adaa', 'tolong', 'telkomsel', 'becuss', 'apknyaa']</t>
  </si>
  <si>
    <t>['peket', 'data', 'berdasrkan', 'dhulu', 'kadaluarsa', 'klian', 'mlah', 'msih', 'msa', 'brlakux', 'habis', 'dluan', '']</t>
  </si>
  <si>
    <t>['koq', 'aplikasi', 'bsa', 'kebuka', 'yaa', 'upgrade']</t>
  </si>
  <si>
    <t>['innalilahi', 'signal', 'trus', 'aplikasi', 'lemot', 'yaaa', 'buka', 'kuota', 'pulsa', 'lola']</t>
  </si>
  <si>
    <t>['nanya', 'poin', 'tukar', 'nominal', 'pulsa', 'mohon', 'tuntunan', '']</t>
  </si>
  <si>
    <t>['aplikasi', 'telkomsel', 'koq', 'kacau', 'mending', 'downgrade', 'versi', 'jadul', 'mentingin', 'tampilan', 'fungsi', 'tampilan', 'bagus', 'susah', 'akses', 'mengganggu', 'fungsi', 'menghambat', '']</t>
  </si>
  <si>
    <t>['iya', 'bumn', 'sekelas', 'telkomsel', 'memperbaiki', 'aplikasinya', 'white', 'screen', 'gabisa', 'dipakai', 'malu', 'provider', 'warna', 'putih', 'provider', 'warna', 'biru', '']</t>
  </si>
  <si>
    <t>['aplikasi', 'telkomsel', 'membantu', 'pengguna', 'kartu', 'telkomsel', 'pengguna', 'keuntungan', 'bonus', 'paket', 'data', 'internet', 'gb', 'bonus', 'bonus', 'tukar', 'koin', 'undian', 'berhadiah', 'pulsa', 'juta', 'terimakasih', 'telkomsel', 'bantuan', '']</t>
  </si>
  <si>
    <t>['bagus', 'banget', 'membantu', 'aplikasi', 'undian', 'poin', 'semiga', 'undian', 'mobil', 'aamiin', 'sukses', 'telkomsel', '']</t>
  </si>
  <si>
    <t>['jaringan', 'jelek', 'aplikasi', 'mytelkomsel', 'susah', 'dibuka']</t>
  </si>
  <si>
    <t>['beli', 'kuota', 'ceria', 'gb', 'masuk', 'login', 'kesalahan', 'mulu', 'gitu', 'gausah', 'nawari', 'kuota', 'murah', 'masuk', 'pas', 'udah', 'dibeli', 'emang', 'parah', 'telkomsel', 'menipu', '']</t>
  </si>
  <si>
    <t>['telkomsel', 'anjiinggg', 'sinyal', 'busuk', 'banget', 'mahal', 'iya', 'kualitas', 'bobrok', 'awas', 'sampe', 'dikasih', 'kompensasi', 'hbs', 'kemaren', 'sinyal', 'down', 'berjamaah', 'bakar', 'tower', 'telkomsel', 'telkomsel', 'asssuuuu', '']</t>
  </si>
  <si>
    <t>['kemaruk', 'banget', 'pulsa', 'beli', 'paket', 'suuu', 'woeeyyy', 'akses', 'telkomsel', 'makan', 'kuota', 'nggak', 'suuu', 'udah', 'beli', 'pulsa', 'data', 'dinyalakan', 'langsung', 'kesedot', 'maruklah', 'udah', 'kuota', 'mahal', 'servis', 'murahan', 'dikit', 'makan', 'pulsa', 'makan', 'kuota', 'suuu', 'promo', 'ditonton', 'film', 'murahan', 'jadul', 'suuu', 'wees', 'parah']</t>
  </si>
  <si>
    <t>['pengalaman', 'slama', 'telkomsel', 'sinyal', 'telkomsel', 'alias', 'burige', 'maen', 'game', 'ngelek', 'anji', 'iiiiiiiiiiiiiiiiiiiiiiiiiiiiir']</t>
  </si>
  <si>
    <t>['harga', 'paket', 'internet', 'mahal', 'gimana', 'teman', 'murah', 'mahal', 'tolong', 'perbaiki']</t>
  </si>
  <si>
    <t>['update', 'telkomsel', 'buka', 'solusinya', 'gmna', '']</t>
  </si>
  <si>
    <t>['jaringan', 'telkomsel', 'jelek', 'bukanya', 'bagus', 'harga', 'koutanya', 'mahal']</t>
  </si>
  <si>
    <t>['memuaskan', 'sinyal', 'jelekkk', 'mengecewakan', '']</t>
  </si>
  <si>
    <t>['senang', 'banget', 'program', 'kemudahan', 'jaringan', 'telkomsel', 'rekan', 'kota', 'sinyal', 'jaringan', 'telkomsel', 'buruk', 'kota', 'subang', 'jabar', 'rasakan', 'penggunaan', 'aplikasi', 'sulit', 'berfungsi', 'jaringan', 'buruk', 'buka', 'aplikasi', 'telkomsel', 'susahnya', 'ampun', 'tolong', 'diperbaiki', 'jaringan', 'subang', 'jabar', 'pelanggan', 'telkomsel']</t>
  </si>
  <si>
    <t>['udah', 'update', 'masuk', 'aplikasi', 'mytelkomsel', 'lemot', 'download', 'konten', 'ngabisin', 'sampe', 'menit', 'worsst']</t>
  </si>
  <si>
    <t>['serius', 'jelek', 'gangguan', 'banget', 'isi', 'paket', 'data', 'nyampe', 'bnr', 'banget', 'kabur', 'telkmsl', 'kesel']</t>
  </si>
  <si>
    <t>['telkomsel', 'jelek', 'jaringan', 'buka', 'youtube', 'puas', 'nge', 'lag', 'nge', 'lag', 'mohon', 'mengerti', 'keluhan', 'keluhan', 'pengguna', 'telkomsel', 'udh', 'review', 'telkomsel', 'diperbaiki', 'mohon', 'mengerti', 'telkomsel', '']</t>
  </si>
  <si>
    <t>['telkomsel', 'jelek', 'jam', 'ngelag', 'mulu', 'kirain', 'kuota', 'abis', 'abis', 'sampe', 'beli', 'kuota', 'ajah', 'unlimited', 'sebulann', 'temen', 'emang', 'gitu', 'telkomsel', 'ngelag', 'jam', 'sue', 'banget', 'beli', 'kuota', 'abis', 'hadeuuh', 'udah', 'gitu', 'ngelag', '']</t>
  </si>
  <si>
    <t>['mohon', 'memperbaiki', 'jaringan', 'layanan', 'internet', 'telkomsel', 'karana', 'sngek', 'kecewa', 'lambat', 'internet', 'terimakasih', '']</t>
  </si>
  <si>
    <t>['pembodohan', 'iming', 'hadiah', 'ngak', 'terbukti', 'koin', 'ngak', 'tukar', 'taik', 'kucing']</t>
  </si>
  <si>
    <t>['mantap', 'tolong', 'sinyal', 'palembang', 'kertapati', 'stasiun', 'perbesar', 'sinyalnya', 'karna', 'sinyal', 'parah', 'jaringannya', 'streming', 'main', 'game', 'online', 'parah']</t>
  </si>
  <si>
    <t>['update', 'bagus', 'tpi', 'hancur', 'jelek', 'sakali', 'pokok', '']</t>
  </si>
  <si>
    <t>['perbaharui', 'jaringanny', 'susah', 'bnar', 'pakai', 'telkomsel', 'pakai', 'handphone', 'kecewa', '']</t>
  </si>
  <si>
    <t>['', 'tolong', 'diperbaiki', 'sistemnya', 'pas', 'masuk', 'apk']</t>
  </si>
  <si>
    <t>['berharap', 'provider', 'ditempat', 'karna', 'telkomsel', 'mengecewakan', 'sungguh', 'sungguh', 'berharap', 'semoga', 'tuhan', 'mengabulkan', 'mengecewakan', '']</t>
  </si>
  <si>
    <t>['dipake', 'tulisan', 'kesalahan', 'sistem', 'gua', 'beli', 'kuota', 'kek', 'gini', '']</t>
  </si>
  <si>
    <t>['knapa', 'mahal', 'paket', 'unlimititnya', 'ksihan', 'dri', 'kalangan', 'kbawah', 'jatingan', 'sebelah', 'mahal', '']</t>
  </si>
  <si>
    <t>['jaringan', 'gangguan', 'ganti', 'kartu', 'bagus', 'telkomsel', 'bagus', 'setingkat', 'buka', 'app', '']</t>
  </si>
  <si>
    <t>['mengecewakan', 'sekelas', 'provider', 'buka', 'aplikasinya', 'lambat', 'wlpun', 'pakai', 'wifi', 'jaringan', 'seluler', '']</t>
  </si>
  <si>
    <t>['aplikasi', 'sampah', 'aplikasi', 'download', 'app', 'busuk', '']</t>
  </si>
  <si>
    <t>['aplikasi', 'payah', 'update', 'lemot', 'lamban', 'payah', 'memperlambat', 'kinerja', 'handphone', 'payah', 'berguna']</t>
  </si>
  <si>
    <t>['bagus', 'sya', 'suka', 'booong', 'apk', 'bagus', 'kasih', 'paket', 'murah']</t>
  </si>
  <si>
    <t>['aneh', 'simpati', 'pulsa', 'potong', 'sndiri', 'telp', 'customer', 'service', 'lempar', 'aplikasi', 'liat', 'pulsa', 'refresh', 'mllu']</t>
  </si>
  <si>
    <t>['app', 'ngak', 'dibuka', 'udah', 'app', 'ngak', 'dibuka', 'knp', 'app', 'bermasalah']</t>
  </si>
  <si>
    <t>['rekrut', 'org', 'sarjana', 'kerjaanya', 'kaya', 'gini', 'aplikasi', 'kesalahan', 'kuota', 'sisa', 'sengaja', 'lambatin', 'kuota', 'normal', 'pikirannya', 'gimana', 'telkomsel', 'kecewa', 'admin', 'sosmednya', 'jalan', 'ngehubungi', 'sosmed', 'gapernah', 'dibales', 'email', 'berbelitnya', 'ampun', 'aduhhh', 'semoga', 'ceo', 'baca', 'anak', 'buahnya', 'becus', 'sekolah', '']</t>
  </si>
  <si>
    <t>['woy', 'telkom', 'paketannya', 'gada', 'khusus', 'kuota', 'internet', 'doang', 'sosmednya', 'sosmed', 'gede', 'kuota', 'internet', 'balikin', 'kyk', 'adain', 'khusus', 'internet', 'tambahan', 'sosmed', 'paket', 'sosmed', 'sosmed', 'campur', 'kepake', 'sosmed']</t>
  </si>
  <si>
    <t>['pakai', 'kartu', 'halo', 'telat', 'bayar', 'udah', 'ditelp', 'layaknya', 'penagih', 'pinjol', 'ancaman', 'blokir', 'total', 'halo', 'perbaiki', 'jaringan', 'terbaik', 'pelanggan', 'lucu', 'pelayanan', 'jelek', 'pelanggan', 'diancam', '']</t>
  </si>
  <si>
    <t>['aplikasi', 'lemot', 'aplikasih', 'memuaskan', 'provider', 'bagus', 'aplikasi', 'lemot', 'sepadan', 'tolong', 'perbaiki', 'aplikasinya', 'aplikasi', 'cepet', 'provider', 'bagus', 'aplikasi', 'jelek', '']</t>
  </si>
  <si>
    <t>['udah', 'kecewa', 'sma', 'telkomsel', 'gara', 'tipu', 'tawarin', 'ganti', 'kartu', 'halo', 'pas', 'telfon', 'operatornya', 'bilangnya', 'nomor', 'dirubah', 'kartu', 'halo', 'dapet', 'harga', 'tpi', 'giliran', 'ganti', 'kartu', 'halo', 'multimedia', 'ganti', 'kartu', 'tpi', 'nomor', 'udah', 'bertahun', 'ganti', 'ribet', 'udah', 'proses', 'call', 'center', 'telkomsel', 'tpi', 'tanggapannya', 'becus', 'kaya', 'nanganin', 'pelayanan', 'operator', 'telkomsel', 'buruk']</t>
  </si>
  <si>
    <t>['jelek', 'ulasan', 'bintang', 'dihapus', 'isi', 'pulsa', 'delay']</t>
  </si>
  <si>
    <t>['kuota', 'unlimited', 'youtube', 'berfungsi', 'memakai', 'kuota', 'utama', 'tolong', 'perbaiki', 'penipuan', '']</t>
  </si>
  <si>
    <t>['aneh', 'pulsa', 'hilang', 'pakai', 'jaringannya', 'bagus', 'aplikasi', 'tsel', 'response', 'hadeuhhhhh']</t>
  </si>
  <si>
    <t>['bagusnya', 'masuk', 'susah', 'beli', 'paket', 'tertinggi', 'combo', 'sakti', '']</t>
  </si>
  <si>
    <t>['kuota', 'mahal', 'jaringan', 'ancur', 'lelet', 'ancur', 'pas', 'maen', 'game', 'ancur', 'jaringan']</t>
  </si>
  <si>
    <t>['bagus', 'banget', 'aplikasinya', 'tampilan', 'promonya', 'mantap', 'banget', 'semoga', 'bagus', 'terimakasih', '']</t>
  </si>
  <si>
    <t>['simpatik', 'pling', 'joos', 'ahkir', 'jaringax', 'jelek', 'ketambahan', 'mlah', 'parah', 'gmn', 'tuuuh', 'pkai', 'simpatik', 'sblum', 'android', 'jadul', 'gmn', 'pelanggan', 'nyesel', 'tuk', 'kerja', 'kyak', 'kipas', 'angin', 'muter', 'tlong', 'pelayanan', 'terbaik', 'tuk', 'smua', 'pelanggan', 'simpatik', '']</t>
  </si>
  <si>
    <t>['suka', 'aplikasi', 'telkomsel', 'beli', 'kuota', 'pulsa', 'cashback', 'jaringannya', 'lumayan', 'bagus', 'lancar', 'pilihan', 'kuotanya', 'terimakasih', 'telkomsel', 'menemaniku', 'jadul', 'setia', 'telkomsel', 'khusunya', 'kartu', 'simpati', '']</t>
  </si>
  <si>
    <t>['isi', 'pulsa', 'udah', 'terpotong', 'nggk', 'internetan', 'apapun', 'kecewa', 'nggk', 'recommended', 'internetan', '']</t>
  </si>
  <si>
    <t>['woy', 'telkomsel', 'jaringan', 'kacau', 'main', 'game', 'buka', 'aplikasi', 'tolong', 'perhatikan', 'pelanggan', 'pakai', 'jaringan', 'telkomsel', 'jaringan', 'lag', 'mulu', 'tolong', 'diperbaiki', 'pelanggan', 'kecewa', '']</t>
  </si>
  <si>
    <t>['telkomsel', 'terbaik', 'terbaik', 'mahal', 'dibanding', '']</t>
  </si>
  <si>
    <t>['sinyalnya', 'kacau', 'paket', 'mahall', 'tolong', 'perhatikan', 'perbaikan', '']</t>
  </si>
  <si>
    <t>['download', 'udah', 'error', 'aplikasi', 'gimana', 'min', '']</t>
  </si>
  <si>
    <t>['berhenti', 'paket', 'darurat', 'telkomsel', 'pulsa', 'kesedot', 'mles', 'pke', 'telkomsel', '']</t>
  </si>
  <si>
    <t>['paket', 'habis', 'pulsa', 'sisa', 'langsung', 'dipakai', 'pengguna', 'telkomsel', 'sengaja', 'operator', 'langsung', 'pakai', 'sisa', 'pulsa', '']</t>
  </si>
  <si>
    <t>['asalamualaykum', 'kasi', 'bintang', 'semoga', 'aplikasi', 'bagus', 'bermanfaat', 'semoga', 'lancar', 'jaya', 'aktivitas', 'salam', 'sejahtera', 'sukses', '']</t>
  </si>
  <si>
    <t>['jaringan', 'test', 'speed', 'mbps', 'youtube', 'lancar', 'giliran', 'ngegame', 'patah', 'udah', 'beli', 'kuota', 'gamemax', 'patah', '']</t>
  </si>
  <si>
    <t>['membantu', 'pekerjaan', 'berkwaliatas', 'jaringan', 'harga', 'dinaikan', 'sukses', 'telkomsel']</t>
  </si>
  <si>
    <t>['aplikasi', 'lumayan', 'syg', 'pengaturan', 'menghentikan', 'penyedotan', 'pulsa', 'ilegal', 'masak', 'pulsa', 'dipakai', 'berkurang', 'alasannya', 'pemakaian', 'internet', 'pakai', 'operator', 'data', 'internet', 'berkurang', 'pulsa', 'sel', '']</t>
  </si>
  <si>
    <t>['pakai', 'aplikasi', 'byk', 'promo', 'kuota', 'semoga', '']</t>
  </si>
  <si>
    <t>['beli', 'paket', 'combo', 'sakti', 'unlimitid', 'gb', 'nggak', 'gangguanlah', 'apalah', 'memanglah', 'kesal', '']</t>
  </si>
  <si>
    <t>['bagus', 'aplikasinya', 'suka', 'beli', 'paket', 'pulsa', 'langsung', 'ribet']</t>
  </si>
  <si>
    <t>['telkomselku', 'error', 'nengok', 'brp', 'paket', '']</t>
  </si>
  <si>
    <t>['jaringan', 'telkomsel', 'stabil', 'meskin', 'sinyal', 'full', 'jaringan', 'data', 'turun', 'peforma', 'turun']</t>
  </si>
  <si>
    <t>['jaringan', 'kadang', 'suka', 'stabil', 'paket', 'internet', 'pulsa', 'terpotong', 'males', 'telkomsel']</t>
  </si>
  <si>
    <t>['tolong', 'kasih', 'solusi', 'hub', 'via', 'email', 'nggak', 'solusi', 'nanya', 'email', '']</t>
  </si>
  <si>
    <t>['lumayan', 'bagus', 'daerah', 'jaringan', 'gangguan', 'pulau', 'sumatera', '']</t>
  </si>
  <si>
    <t>['tolong', 'pilih', 'pengguna', 'kartu', 'masaa', 'nga', 'kaya', 'orang', 'paket', 'murah', 'paket', 'mahal', 'mahal', '']</t>
  </si>
  <si>
    <t>['ribet', 'aplikasi', 'sperti', 'aplikasi', 'posisi', 'kartu', 'dimanapun', 'masuk', 'aplikasi', 'inimah', 'kartu', 'hrs', 'nempel', 'aplikasi', 'mytelkomsel']</t>
  </si>
  <si>
    <t>['telkomsel', 'jaringannya', 'lemot', 'banget', 'belajar', 'susah', 'telkomsel', 'lemot', 'lemot', 'banget', 'napa', 'liat', 'emang', 'bener']</t>
  </si>
  <si>
    <t>['membantu', 'kontrol', 'penggunaan', 'pulsa', 'data', 'sayangnya', 'hadiah', 'telkomsel', 'ikutan', 'kuis', 'poin', 'telkomsel']</t>
  </si>
  <si>
    <t>['bete', 'liat', 'tsel', 'nomor', 'hpku', 'trus', 'jebak', 'dijadikan', 'karto', 'hallo', 'skrg', 'bsa', 'dibalikin', 'duhhhh', 'tsel', 'smua', 'data', 'pke', 'stop', 'kartu', 'hallo', 'hangus', 'yahhhh', 'gtu', 'donggg', 'tolonglaahhhhh', 'bantu', 'nonaktifkan', 'paket', 'kartu', 'halo', 'hangus', 'plisssssssss', '']</t>
  </si>
  <si>
    <t>['paketan', 'murah', 'kualitas', 'jaringan', 'kalah', 'kartu', 'rakyat', '']</t>
  </si>
  <si>
    <t>['telkomsel', 'komplen', 'paket', 'internet', 'hilang', 'mendownload', 'menonton', 'video', 'youtube', 'tolong', 'telkomsel', 'stres', 'karna', 'paket', 'internet', 'diambil']</t>
  </si>
  <si>
    <t>['lumayan', 'cmn', 'jaringan', 'bagus']</t>
  </si>
  <si>
    <t>['membantu', 'paketnya', 'murah', 'harap', 'kedepannya', 'promo', 'tambahan', 'terimakasih']</t>
  </si>
  <si>
    <t>['gimana', 'beli', 'paket', 'internet', 'pulsa', 'tpi', 'pas', 'beli', 'paket', 'internet', 'perubahan', 'pulsa', 'kouta', 'hadehh']</t>
  </si>
  <si>
    <t>['sinyalnya', 'jelek', 'banget', 'pas', 'hujan', 'kadang', 'sinyalnya', 'emosi', 'udh', 'beli', 'paketan', 'mahal', 'browsingnya', 'kyk', 'keong', 'ripuuhh', 'sitiiii', '']</t>
  </si>
  <si>
    <t>['telkomsel', 'terdepan', 'semoga', 'bermanfaat', 'bangsa', 'negara', 'inovasi', 'terdepan', '']</t>
  </si>
  <si>
    <t>['habis', 'update', 'beli', 'pulsa', 'nominal', 'aplikasi', 'nambah', 'berkurang', 'tolong', 'diperbaiki', '']</t>
  </si>
  <si>
    <t>['dibiarin', 'paketan', 'jaringan', 'ilang', 'error', 'sekeluarga', 'ganti']</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</si>
</sst>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4.57"/>
    <col customWidth="1" min="4" max="7" width="8.71"/>
  </cols>
  <sheetData>
    <row r="1">
      <c r="B1" s="1" t="s">
        <v>0</v>
      </c>
      <c r="C1" s="2" t="s">
        <v>1</v>
      </c>
      <c r="D1" s="1" t="s">
        <v>2</v>
      </c>
    </row>
    <row r="2">
      <c r="A2" s="1">
        <v>0.0</v>
      </c>
      <c r="B2" s="3" t="s">
        <v>3</v>
      </c>
      <c r="C2" s="3" t="str">
        <f>IFERROR(__xludf.DUMMYFUNCTION("GOOGLETRANSLATE(B2,""id"",""en"")"),"['Good', 'like', 'APK', '']")</f>
        <v>['Good', 'like', 'APK', '']</v>
      </c>
      <c r="D2" s="3">
        <v>5.0</v>
      </c>
    </row>
    <row r="3">
      <c r="A3" s="1">
        <v>1.0</v>
      </c>
      <c r="B3" s="3" t="s">
        <v>4</v>
      </c>
      <c r="C3" s="3" t="str">
        <f>IFERROR(__xludf.DUMMYFUNCTION("GOOGLETRANSLATE(B3,""id"",""en"")"),"['Telkomsel', 'ngebadut', 'Mulu', 'told', 'Mulu', 'fix', 'operator', 'need', 'really', 'operator', 'Telkomsel', 'match', ' His name ',' Telkomsel ',' Telkomnyet ',' Suitable ',' Looks']")</f>
        <v>['Telkomsel', 'ngebadut', 'Mulu', 'told', 'Mulu', 'fix', 'operator', 'need', 'really', 'operator', 'Telkomsel', 'match', ' His name ',' Telkomsel ',' Telkomnyet ',' Suitable ',' Looks']</v>
      </c>
      <c r="D3" s="3">
        <v>1.0</v>
      </c>
    </row>
    <row r="4">
      <c r="A4" s="1">
        <v>2.0</v>
      </c>
      <c r="B4" s="3" t="s">
        <v>5</v>
      </c>
      <c r="C4" s="3" t="str">
        <f>IFERROR(__xludf.DUMMYFUNCTION("GOOGLETRANSLATE(B4,""id"",""en"")"),"['application', 'Provider', 'Open', 'App', 'Load', 'Data', 'BNYAK', 'BENER', 'Free', 'Want', ""]")</f>
        <v>['application', 'Provider', 'Open', 'App', 'Load', 'Data', 'BNYAK', 'BENER', 'Free', 'Want', "]</v>
      </c>
      <c r="D4" s="3">
        <v>1.0</v>
      </c>
    </row>
    <row r="5">
      <c r="A5" s="1">
        <v>3.0</v>
      </c>
      <c r="B5" s="3" t="s">
        <v>6</v>
      </c>
      <c r="C5" s="3" t="str">
        <f>IFERROR(__xludf.DUMMYFUNCTION("GOOGLETRANSLATE(B5,""id"",""en"")"),"['Dead', 'electricity', 'lngsung', 'lost', 'signal', 'bngt', 'ugly', 'nggk', 'quality', 'bad', 'signal', 'lost', ' right ',' dead ',' electricity ',' ugly ',' really ',' no ',' according to ',' price ',' expensive ',' good ']")</f>
        <v>['Dead', 'electricity', 'lngsung', 'lost', 'signal', 'bngt', 'ugly', 'nggk', 'quality', 'bad', 'signal', 'lost', ' right ',' dead ',' electricity ',' ugly ',' really ',' no ',' according to ',' price ',' expensive ',' good ']</v>
      </c>
      <c r="D5" s="3">
        <v>1.0</v>
      </c>
    </row>
    <row r="6">
      <c r="A6" s="1">
        <v>4.0</v>
      </c>
      <c r="B6" s="3" t="s">
        <v>7</v>
      </c>
      <c r="C6" s="3" t="str">
        <f>IFERROR(__xludf.DUMMYFUNCTION("GOOGLETRANSLATE(B6,""id"",""en"")"),"['', 'LHO', 'Apalag', 'Menu', 'Internet', 'Sakti', 'Search', 'Orderan', 'Online', 'Gacor', 'boss']")</f>
        <v>['', 'LHO', 'Apalag', 'Menu', 'Internet', 'Sakti', 'Search', 'Orderan', 'Online', 'Gacor', 'boss']</v>
      </c>
      <c r="D6" s="3">
        <v>5.0</v>
      </c>
    </row>
    <row r="7">
      <c r="A7" s="1">
        <v>5.0</v>
      </c>
      <c r="B7" s="3" t="s">
        <v>8</v>
      </c>
      <c r="C7" s="3" t="str">
        <f>IFERROR(__xludf.DUMMYFUNCTION("GOOGLETRANSLATE(B7,""id"",""en"")"),"['application']")</f>
        <v>['application']</v>
      </c>
      <c r="D7" s="3">
        <v>5.0</v>
      </c>
    </row>
    <row r="8">
      <c r="A8" s="1">
        <v>6.0</v>
      </c>
      <c r="B8" s="3" t="s">
        <v>9</v>
      </c>
      <c r="C8" s="3" t="str">
        <f>IFERROR(__xludf.DUMMYFUNCTION("GOOGLETRANSLATE(B8,""id"",""en"")"),"['package', 'internet', 'cheap', 'promo']")</f>
        <v>['package', 'internet', 'cheap', 'promo']</v>
      </c>
      <c r="D8" s="3">
        <v>5.0</v>
      </c>
    </row>
    <row r="9">
      <c r="A9" s="1">
        <v>7.0</v>
      </c>
      <c r="B9" s="3" t="s">
        <v>10</v>
      </c>
      <c r="C9" s="3" t="str">
        <f>IFERROR(__xludf.DUMMYFUNCTION("GOOGLETRANSLATE(B9,""id"",""en"")"),"['like', 'application']")</f>
        <v>['like', 'application']</v>
      </c>
      <c r="D9" s="3">
        <v>5.0</v>
      </c>
    </row>
    <row r="10">
      <c r="A10" s="1">
        <v>8.0</v>
      </c>
      <c r="B10" s="3" t="s">
        <v>11</v>
      </c>
      <c r="C10" s="3" t="str">
        <f>IFERROR(__xludf.DUMMYFUNCTION("GOOGLETRANSLATE(B10,""id"",""en"")"),"['sucked', 'package', 'wasteful', 'love', 'star', 'please', 'fix', 'lgi', 'do business']")</f>
        <v>['sucked', 'package', 'wasteful', 'love', 'star', 'please', 'fix', 'lgi', 'do business']</v>
      </c>
      <c r="D10" s="3">
        <v>1.0</v>
      </c>
    </row>
    <row r="11">
      <c r="A11" s="1">
        <v>9.0</v>
      </c>
      <c r="B11" s="3" t="s">
        <v>12</v>
      </c>
      <c r="C11" s="3" t="str">
        <f>IFERROR(__xludf.DUMMYFUNCTION("GOOGLETRANSLATE(B11,""id"",""en"")"),"['', 'Allah', 'lift', 'degrees', 'economy', 'aminn']")</f>
        <v>['', 'Allah', 'lift', 'degrees', 'economy', 'aminn']</v>
      </c>
      <c r="D11" s="3">
        <v>5.0</v>
      </c>
    </row>
    <row r="12">
      <c r="A12" s="1">
        <v>11.0</v>
      </c>
      <c r="B12" s="3" t="s">
        <v>13</v>
      </c>
      <c r="C12" s="3" t="str">
        <f>IFERROR(__xludf.DUMMYFUNCTION("GOOGLETRANSLATE(B12,""id"",""en"")"),"['Okay', 'help', ""]")</f>
        <v>['Okay', 'help', "]</v>
      </c>
      <c r="D12" s="3">
        <v>4.0</v>
      </c>
    </row>
    <row r="13">
      <c r="A13" s="1">
        <v>12.0</v>
      </c>
      <c r="B13" s="3" t="s">
        <v>14</v>
      </c>
      <c r="C13" s="3" t="str">
        <f>IFERROR(__xludf.DUMMYFUNCTION("GOOGLETRANSLATE(B13,""id"",""en"")"),"['Satisfied', 'advanced', ""]")</f>
        <v>['Satisfied', 'advanced', "]</v>
      </c>
      <c r="D13" s="3">
        <v>5.0</v>
      </c>
    </row>
    <row r="14">
      <c r="A14" s="1">
        <v>13.0</v>
      </c>
      <c r="B14" s="3" t="s">
        <v>15</v>
      </c>
      <c r="C14" s="3" t="str">
        <f>IFERROR(__xludf.DUMMYFUNCTION("GOOGLETRANSLATE(B14,""id"",""en"")"),"['trimakasih', 'apk', 'buy', 'package', 'internet', 'obstacle', 'fast', 'shortcomings',' apk ',' have ',' sytem ',' top ',' online game']")</f>
        <v>['trimakasih', 'apk', 'buy', 'package', 'internet', 'obstacle', 'fast', 'shortcomings',' apk ',' have ',' sytem ',' top ',' online game']</v>
      </c>
      <c r="D14" s="3">
        <v>5.0</v>
      </c>
    </row>
    <row r="15">
      <c r="A15" s="1">
        <v>14.0</v>
      </c>
      <c r="B15" s="3" t="s">
        <v>16</v>
      </c>
      <c r="C15" s="3" t="str">
        <f>IFERROR(__xludf.DUMMYFUNCTION("GOOGLETRANSLATE(B15,""id"",""en"")"),"['slow network', '']")</f>
        <v>['slow network', '']</v>
      </c>
      <c r="D15" s="3">
        <v>1.0</v>
      </c>
    </row>
    <row r="16">
      <c r="A16" s="1">
        <v>15.0</v>
      </c>
      <c r="B16" s="3" t="s">
        <v>17</v>
      </c>
      <c r="C16" s="3" t="str">
        <f>IFERROR(__xludf.DUMMYFUNCTION("GOOGLETRANSLATE(B16,""id"",""en"")"),"['Telkomsel', 'mantul']")</f>
        <v>['Telkomsel', 'mantul']</v>
      </c>
      <c r="D16" s="3">
        <v>5.0</v>
      </c>
    </row>
    <row r="17">
      <c r="A17" s="1">
        <v>16.0</v>
      </c>
      <c r="B17" s="3" t="s">
        <v>18</v>
      </c>
      <c r="C17" s="3" t="str">
        <f>IFERROR(__xludf.DUMMYFUNCTION("GOOGLETRANSLATE(B17,""id"",""en"")"),"['Hopefully', 'Telkomsel', 'Jaya', 'Success']")</f>
        <v>['Hopefully', 'Telkomsel', 'Jaya', 'Success']</v>
      </c>
      <c r="D17" s="3">
        <v>5.0</v>
      </c>
    </row>
    <row r="18">
      <c r="A18" s="1">
        <v>17.0</v>
      </c>
      <c r="B18" s="3" t="s">
        <v>19</v>
      </c>
      <c r="C18" s="3" t="str">
        <f>IFERROR(__xludf.DUMMYFUNCTION("GOOGLETRANSLATE(B18,""id"",""en"")"),"['Telkom', 'Network', 'Severe', 'expensive', 'Doang', 'TPI', 'Network', 'Rich', 'Keong', 'Slow', 'Bangeet']")</f>
        <v>['Telkom', 'Network', 'Severe', 'expensive', 'Doang', 'TPI', 'Network', 'Rich', 'Keong', 'Slow', 'Bangeet']</v>
      </c>
      <c r="D18" s="3">
        <v>1.0</v>
      </c>
    </row>
    <row r="19">
      <c r="A19" s="1">
        <v>18.0</v>
      </c>
      <c r="B19" s="3" t="s">
        <v>20</v>
      </c>
      <c r="C19" s="3" t="str">
        <f>IFERROR(__xludf.DUMMYFUNCTION("GOOGLETRANSLATE(B19,""id"",""en"")"),"['Good', 'satisfying']")</f>
        <v>['Good', 'satisfying']</v>
      </c>
      <c r="D19" s="3">
        <v>5.0</v>
      </c>
    </row>
    <row r="20">
      <c r="A20" s="1">
        <v>19.0</v>
      </c>
      <c r="B20" s="3" t="s">
        <v>21</v>
      </c>
      <c r="C20" s="3" t="str">
        <f>IFERROR(__xludf.DUMMYFUNCTION("GOOGLETRANSLATE(B20,""id"",""en"")"),"['bad']")</f>
        <v>['bad']</v>
      </c>
      <c r="D20" s="3">
        <v>1.0</v>
      </c>
    </row>
    <row r="21" ht="15.75" customHeight="1">
      <c r="A21" s="1">
        <v>20.0</v>
      </c>
      <c r="B21" s="3" t="s">
        <v>22</v>
      </c>
      <c r="C21" s="3" t="str">
        <f>IFERROR(__xludf.DUMMYFUNCTION("GOOGLETRANSLATE(B21,""id"",""en"")"),"['Sorry', 'Dulf', 'MLM', 'buy', 'pulse', 'TTPI', 'Different', 'WKT', 'Via', 'Bangking', 'balance', 'Cut', ' TTPI ',' Credit ',' DAK ',' Enter ',' Ngurus', 'BCA', 'TTPI', 'Solution', 'Confused', 'Urus',' Where ',' Money ',' COMPETITURE ' , 'skrg', 'pulse',"&amp;" 'add']")</f>
        <v>['Sorry', 'Dulf', 'MLM', 'buy', 'pulse', 'TTPI', 'Different', 'WKT', 'Via', 'Bangking', 'balance', 'Cut', ' TTPI ',' Credit ',' DAK ',' Enter ',' Ngurus', 'BCA', 'TTPI', 'Solution', 'Confused', 'Urus',' Where ',' Money ',' COMPETITURE ' , 'skrg', 'pulse', 'add']</v>
      </c>
      <c r="D21" s="3">
        <v>5.0</v>
      </c>
    </row>
    <row r="22" ht="15.75" customHeight="1">
      <c r="A22" s="1">
        <v>21.0</v>
      </c>
      <c r="B22" s="3" t="s">
        <v>23</v>
      </c>
      <c r="C22" s="3" t="str">
        <f>IFERROR(__xludf.DUMMYFUNCTION("GOOGLETRANSLATE(B22,""id"",""en"")"),"['Easy', 'accessed']")</f>
        <v>['Easy', 'accessed']</v>
      </c>
      <c r="D22" s="3">
        <v>5.0</v>
      </c>
    </row>
    <row r="23" ht="15.75" customHeight="1">
      <c r="A23" s="1">
        <v>22.0</v>
      </c>
      <c r="B23" s="3" t="s">
        <v>24</v>
      </c>
      <c r="C23" s="3" t="str">
        <f>IFERROR(__xludf.DUMMYFUNCTION("GOOGLETRANSLATE(B23,""id"",""en"")"),"['Telkomsel', 'Severe', 'Maen', 'Game', 'Dipelek', 'Severe']")</f>
        <v>['Telkomsel', 'Severe', 'Maen', 'Game', 'Dipelek', 'Severe']</v>
      </c>
      <c r="D23" s="3">
        <v>3.0</v>
      </c>
    </row>
    <row r="24" ht="15.75" customHeight="1">
      <c r="A24" s="1">
        <v>23.0</v>
      </c>
      <c r="B24" s="3" t="s">
        <v>25</v>
      </c>
      <c r="C24" s="3" t="str">
        <f>IFERROR(__xludf.DUMMYFUNCTION("GOOGLETRANSLATE(B24,""id"",""en"")"),"['expensive', 'heavy', 'technicians', 'cellphones', 'recommend', 'uninstall', 'application', 'use', 'application', 'choice', 'package', 'and then' The price ',' burdensens', 'circles',' customers', 'loss',' install ',' application ',' size ',' menuh ',' m"&amp;"enuhin ',' memory ',' notification ',' ad ' , 'annoying', 'rare', 'useful', 'update', 'forced', 'update', 'open', 'conclusion', ""]")</f>
        <v>['expensive', 'heavy', 'technicians', 'cellphones', 'recommend', 'uninstall', 'application', 'use', 'application', 'choice', 'package', 'and then' The price ',' burdensens', 'circles',' customers', 'loss',' install ',' application ',' size ',' menuh ',' menuhin ',' memory ',' notification ',' ad ' , 'annoying', 'rare', 'useful', 'update', 'forced', 'update', 'open', 'conclusion', "]</v>
      </c>
      <c r="D24" s="3">
        <v>1.0</v>
      </c>
    </row>
    <row r="25" ht="15.75" customHeight="1">
      <c r="A25" s="1">
        <v>24.0</v>
      </c>
      <c r="B25" s="3" t="s">
        <v>26</v>
      </c>
      <c r="C25" s="3" t="str">
        <f>IFERROR(__xludf.DUMMYFUNCTION("GOOGLETRANSLATE(B25,""id"",""en"")"),"['Your Network', 'Leet', 'Please', 'Fix', 'The Network']")</f>
        <v>['Your Network', 'Leet', 'Please', 'Fix', 'The Network']</v>
      </c>
      <c r="D25" s="3">
        <v>1.0</v>
      </c>
    </row>
    <row r="26" ht="15.75" customHeight="1">
      <c r="A26" s="1">
        <v>25.0</v>
      </c>
      <c r="B26" s="3" t="s">
        <v>27</v>
      </c>
      <c r="C26" s="3" t="str">
        <f>IFERROR(__xludf.DUMMYFUNCTION("GOOGLETRANSLATE(B26,""id"",""en"")"),"['network', 'pulp', 'open', 'mode', 'free', 'tuker', 'udh', 'buy', 'package', 'buy', 'package', 'gajelas',' Rating ',' because ',' bad ',' ']")</f>
        <v>['network', 'pulp', 'open', 'mode', 'free', 'tuker', 'udh', 'buy', 'package', 'buy', 'package', 'gajelas',' Rating ',' because ',' bad ',' ']</v>
      </c>
      <c r="D26" s="3">
        <v>1.0</v>
      </c>
    </row>
    <row r="27" ht="15.75" customHeight="1">
      <c r="A27" s="1">
        <v>26.0</v>
      </c>
      <c r="B27" s="3" t="s">
        <v>28</v>
      </c>
      <c r="C27" s="3" t="str">
        <f>IFERROR(__xludf.DUMMYFUNCTION("GOOGLETRANSLATE(B27,""id"",""en"")"),"['Suggestion', 'quota', 'unlimited', 'finished', 'full', 'internet', 'no', 'no', 'comfortable', 'speed', 'different', 'bedain', ' already ',' unlimited ',' not ',' complicated ',' abis', 'quota', 'internet', 'yaw', 'abis',' separated ',' separate ', ""]")</f>
        <v>['Suggestion', 'quota', 'unlimited', 'finished', 'full', 'internet', 'no', 'no', 'comfortable', 'speed', 'different', 'bedain', ' already ',' unlimited ',' not ',' complicated ',' abis', 'quota', 'internet', 'yaw', 'abis',' separated ',' separate ', "]</v>
      </c>
      <c r="D27" s="3">
        <v>1.0</v>
      </c>
    </row>
    <row r="28" ht="15.75" customHeight="1">
      <c r="A28" s="1">
        <v>27.0</v>
      </c>
      <c r="B28" s="3" t="s">
        <v>29</v>
      </c>
      <c r="C28" s="3" t="str">
        <f>IFERROR(__xludf.DUMMYFUNCTION("GOOGLETRANSLATE(B28,""id"",""en"")"),"['Hello', 'min', 'knp', 'entered', 'apk', 'telkomsel', 'udh', 'contents',' number ',' entry ',' beg ',' help ',' Min ',' Thank you ', ""]")</f>
        <v>['Hello', 'min', 'knp', 'entered', 'apk', 'telkomsel', 'udh', 'contents',' number ',' entry ',' beg ',' help ',' Min ',' Thank you ', "]</v>
      </c>
      <c r="D28" s="3">
        <v>3.0</v>
      </c>
    </row>
    <row r="29" ht="15.75" customHeight="1">
      <c r="A29" s="1">
        <v>28.0</v>
      </c>
      <c r="B29" s="3" t="s">
        <v>30</v>
      </c>
      <c r="C29" s="3" t="str">
        <f>IFERROR(__xludf.DUMMYFUNCTION("GOOGLETRANSLATE(B29,""id"",""en"")"),"['Boss',' Telkomsel ',' Please ',' Benerin ',' Network ',' Internet ',' Stable ',' Delicious', 'Direct', 'Lost', 'Total', 'Play', ' Game ',' disconnect ',' chaotic ',' with you ',' Telkomsel ',' Leave ',' your customer ',' hijrah ']")</f>
        <v>['Boss',' Telkomsel ',' Please ',' Benerin ',' Network ',' Internet ',' Stable ',' Delicious', 'Direct', 'Lost', 'Total', 'Play', ' Game ',' disconnect ',' chaotic ',' with you ',' Telkomsel ',' Leave ',' your customer ',' hijrah ']</v>
      </c>
      <c r="D29" s="3">
        <v>1.0</v>
      </c>
    </row>
    <row r="30" ht="15.75" customHeight="1">
      <c r="A30" s="1">
        <v>29.0</v>
      </c>
      <c r="B30" s="3" t="s">
        <v>31</v>
      </c>
      <c r="C30" s="3" t="str">
        <f>IFERROR(__xludf.DUMMYFUNCTION("GOOGLETRANSLATE(B30,""id"",""en"")"),"['Network', 'Telkomsel', 'bad', 'Come', 'Pengnantelelkomsel', 'Switch', 'Operator', 'Effort', 'Repair', 'Telkomsel', 'The Network', 'Leet']")</f>
        <v>['Network', 'Telkomsel', 'bad', 'Come', 'Pengnantelelkomsel', 'Switch', 'Operator', 'Effort', 'Repair', 'Telkomsel', 'The Network', 'Leet']</v>
      </c>
      <c r="D30" s="3">
        <v>1.0</v>
      </c>
    </row>
    <row r="31" ht="15.75" customHeight="1">
      <c r="A31" s="1">
        <v>30.0</v>
      </c>
      <c r="B31" s="3" t="s">
        <v>32</v>
      </c>
      <c r="C31" s="3" t="str">
        <f>IFERROR(__xludf.DUMMYFUNCTION("GOOGLETRANSLATE(B31,""id"",""en"")"),"['Complan', 'Cash', 'back', 'charging', 'pulse', 'kaga', 'bales', 'ama', 'complanion', 'answer', 'kga', 'satisfying']")</f>
        <v>['Complan', 'Cash', 'back', 'charging', 'pulse', 'kaga', 'bales', 'ama', 'complanion', 'answer', 'kga', 'satisfying']</v>
      </c>
      <c r="D31" s="3">
        <v>1.0</v>
      </c>
    </row>
    <row r="32" ht="15.75" customHeight="1">
      <c r="A32" s="1">
        <v>31.0</v>
      </c>
      <c r="B32" s="3" t="s">
        <v>33</v>
      </c>
      <c r="C32" s="3" t="str">
        <f>IFERROR(__xludf.DUMMYFUNCTION("GOOGLETRANSLATE(B32,""id"",""en"")"),"['Paketan', 'expensive', 'signal', 'kek', 'pig', 'card', 'people', 'owner', 'Telkomsel', 'I think', 'admit', 'ngentod']")</f>
        <v>['Paketan', 'expensive', 'signal', 'kek', 'pig', 'card', 'people', 'owner', 'Telkomsel', 'I think', 'admit', 'ngentod']</v>
      </c>
      <c r="D32" s="3">
        <v>1.0</v>
      </c>
    </row>
    <row r="33" ht="15.75" customHeight="1">
      <c r="A33" s="1">
        <v>32.0</v>
      </c>
      <c r="B33" s="3" t="s">
        <v>34</v>
      </c>
      <c r="C33" s="3" t="str">
        <f>IFERROR(__xludf.DUMMYFUNCTION("GOOGLETRANSLATE(B33,""id"",""en"")"),"['TLG', 'Fix', 'Internet', 'Region', 'Jatikramat', 'City', 'Bekasi']")</f>
        <v>['TLG', 'Fix', 'Internet', 'Region', 'Jatikramat', 'City', 'Bekasi']</v>
      </c>
      <c r="D33" s="3">
        <v>1.0</v>
      </c>
    </row>
    <row r="34" ht="15.75" customHeight="1">
      <c r="A34" s="1">
        <v>33.0</v>
      </c>
      <c r="B34" s="3" t="s">
        <v>35</v>
      </c>
      <c r="C34" s="3" t="str">
        <f>IFERROR(__xludf.DUMMYFUNCTION("GOOGLETRANSLATE(B34,""id"",""en"")"),"['Sangt', 'Easy', 'PETERS', 'Purchase', 'Package', 'Internet']")</f>
        <v>['Sangt', 'Easy', 'PETERS', 'Purchase', 'Package', 'Internet']</v>
      </c>
      <c r="D34" s="3">
        <v>5.0</v>
      </c>
    </row>
    <row r="35" ht="15.75" customHeight="1">
      <c r="A35" s="1">
        <v>34.0</v>
      </c>
      <c r="B35" s="3" t="s">
        <v>36</v>
      </c>
      <c r="C35" s="3" t="str">
        <f>IFERROR(__xludf.DUMMYFUNCTION("GOOGLETRANSLATE(B35,""id"",""en"")"),"['Telkomsel', 'Kek', 'Ajg']")</f>
        <v>['Telkomsel', 'Kek', 'Ajg']</v>
      </c>
      <c r="D35" s="3">
        <v>5.0</v>
      </c>
    </row>
    <row r="36" ht="15.75" customHeight="1">
      <c r="A36" s="1">
        <v>35.0</v>
      </c>
      <c r="B36" s="3" t="s">
        <v>37</v>
      </c>
      <c r="C36" s="3" t="str">
        <f>IFERROR(__xludf.DUMMYFUNCTION("GOOGLETRANSLATE(B36,""id"",""en"")"),"['fast', 'easy']")</f>
        <v>['fast', 'easy']</v>
      </c>
      <c r="D36" s="3">
        <v>5.0</v>
      </c>
    </row>
    <row r="37" ht="15.75" customHeight="1">
      <c r="A37" s="1">
        <v>36.0</v>
      </c>
      <c r="B37" s="3" t="s">
        <v>38</v>
      </c>
      <c r="C37" s="3" t="str">
        <f>IFERROR(__xludf.DUMMYFUNCTION("GOOGLETRANSLATE(B37,""id"",""en"")"),"['many years',' use ',' card ',' combo ',' Sakti ',' offer ',' package ',' internet ',' unlimited ',' friend ',' customer ',' package ',' TSB ',' ']")</f>
        <v>['many years',' use ',' card ',' combo ',' Sakti ',' offer ',' package ',' internet ',' unlimited ',' friend ',' customer ',' package ',' TSB ',' ']</v>
      </c>
      <c r="D37" s="3">
        <v>5.0</v>
      </c>
    </row>
    <row r="38" ht="15.75" customHeight="1">
      <c r="A38" s="1">
        <v>37.0</v>
      </c>
      <c r="B38" s="3" t="s">
        <v>39</v>
      </c>
      <c r="C38" s="3" t="str">
        <f>IFERROR(__xludf.DUMMYFUNCTION("GOOGLETRANSLATE(B38,""id"",""en"")"),"['Network', 'boss', 'anjink', 'expensive', 'doang']")</f>
        <v>['Network', 'boss', 'anjink', 'expensive', 'doang']</v>
      </c>
      <c r="D38" s="3">
        <v>1.0</v>
      </c>
    </row>
    <row r="39" ht="15.75" customHeight="1">
      <c r="A39" s="1">
        <v>38.0</v>
      </c>
      <c r="B39" s="3" t="s">
        <v>40</v>
      </c>
      <c r="C39" s="3" t="str">
        <f>IFERROR(__xludf.DUMMYFUNCTION("GOOGLETRANSLATE(B39,""id"",""en"")"),"['How', 'Sihhh', 'buy', 'package', 'quota', 'use', 'GOP', 'quota', 'enter', 'complement', 'complicated', ""]")</f>
        <v>['How', 'Sihhh', 'buy', 'package', 'quota', 'use', 'GOP', 'quota', 'enter', 'complement', 'complicated', "]</v>
      </c>
      <c r="D39" s="3">
        <v>2.0</v>
      </c>
    </row>
    <row r="40" ht="15.75" customHeight="1">
      <c r="A40" s="1">
        <v>39.0</v>
      </c>
      <c r="B40" s="3" t="s">
        <v>41</v>
      </c>
      <c r="C40" s="3" t="str">
        <f>IFERROR(__xludf.DUMMYFUNCTION("GOOGLETRANSLATE(B40,""id"",""en"")"),"['already', 'expensive', 'network', 'stable', 'kapok', 'telkomsel']")</f>
        <v>['already', 'expensive', 'network', 'stable', 'kapok', 'telkomsel']</v>
      </c>
      <c r="D40" s="3">
        <v>1.0</v>
      </c>
    </row>
    <row r="41" ht="15.75" customHeight="1">
      <c r="A41" s="1">
        <v>40.0</v>
      </c>
      <c r="B41" s="3" t="s">
        <v>42</v>
      </c>
      <c r="C41" s="3" t="str">
        <f>IFERROR(__xludf.DUMMYFUNCTION("GOOGLETRANSLATE(B41,""id"",""en"")"),"['Help', 'Finance', 'Cheap']")</f>
        <v>['Help', 'Finance', 'Cheap']</v>
      </c>
      <c r="D41" s="3">
        <v>5.0</v>
      </c>
    </row>
    <row r="42" ht="15.75" customHeight="1">
      <c r="A42" s="1">
        <v>41.0</v>
      </c>
      <c r="B42" s="3" t="s">
        <v>43</v>
      </c>
      <c r="C42" s="3" t="str">
        <f>IFERROR(__xludf.DUMMYFUNCTION("GOOGLETRANSLATE(B42,""id"",""en"")"),"['', 'Buy', 'Package', 'Stay', 'Instagram', 'Package', 'Internet', 'Main', 'Sumpot', ""]")</f>
        <v>['', 'Buy', 'Package', 'Stay', 'Instagram', 'Package', 'Internet', 'Main', 'Sumpot', "]</v>
      </c>
      <c r="D42" s="3">
        <v>2.0</v>
      </c>
    </row>
    <row r="43" ht="15.75" customHeight="1">
      <c r="A43" s="1">
        <v>42.0</v>
      </c>
      <c r="B43" s="3" t="s">
        <v>44</v>
      </c>
      <c r="C43" s="3" t="str">
        <f>IFERROR(__xludf.DUMMYFUNCTION("GOOGLETRANSLATE(B43,""id"",""en"")"),"['Keep', 'Best', ""]")</f>
        <v>['Keep', 'Best', "]</v>
      </c>
      <c r="D43" s="3">
        <v>4.0</v>
      </c>
    </row>
    <row r="44" ht="15.75" customHeight="1">
      <c r="A44" s="1">
        <v>43.0</v>
      </c>
      <c r="B44" s="3" t="s">
        <v>45</v>
      </c>
      <c r="C44" s="3" t="str">
        <f>IFERROR(__xludf.DUMMYFUNCTION("GOOGLETRANSLATE(B44,""id"",""en"")"),"['quota', 'yaaa', 'game', 'nii', 'ksih', 'star']")</f>
        <v>['quota', 'yaaa', 'game', 'nii', 'ksih', 'star']</v>
      </c>
      <c r="D44" s="3">
        <v>3.0</v>
      </c>
    </row>
    <row r="45" ht="15.75" customHeight="1">
      <c r="A45" s="1">
        <v>44.0</v>
      </c>
      <c r="B45" s="3" t="s">
        <v>46</v>
      </c>
      <c r="C45" s="3" t="str">
        <f>IFERROR(__xludf.DUMMYFUNCTION("GOOGLETRANSLATE(B45,""id"",""en"")"),"['hope', 'gift', 'Telkomsel', 'change', 'life', 'in the future', 'Thank you', 'Telkomsel']")</f>
        <v>['hope', 'gift', 'Telkomsel', 'change', 'life', 'in the future', 'Thank you', 'Telkomsel']</v>
      </c>
      <c r="D45" s="3">
        <v>5.0</v>
      </c>
    </row>
    <row r="46" ht="15.75" customHeight="1">
      <c r="A46" s="1">
        <v>45.0</v>
      </c>
      <c r="B46" s="3" t="s">
        <v>47</v>
      </c>
      <c r="C46" s="3" t="str">
        <f>IFERROR(__xludf.DUMMYFUNCTION("GOOGLETRANSLATE(B46,""id"",""en"")"),"['Good', 'transaction', 'steady']")</f>
        <v>['Good', 'transaction', 'steady']</v>
      </c>
      <c r="D46" s="3">
        <v>5.0</v>
      </c>
    </row>
    <row r="47" ht="15.75" customHeight="1">
      <c r="A47" s="1">
        <v>46.0</v>
      </c>
      <c r="B47" s="3" t="s">
        <v>48</v>
      </c>
      <c r="C47" s="3" t="str">
        <f>IFERROR(__xludf.DUMMYFUNCTION("GOOGLETRANSLATE(B47,""id"",""en"")"),"['Please', 'number', 'Increase', 'promo']")</f>
        <v>['Please', 'number', 'Increase', 'promo']</v>
      </c>
      <c r="D47" s="3">
        <v>4.0</v>
      </c>
    </row>
    <row r="48" ht="15.75" customHeight="1">
      <c r="A48" s="1">
        <v>47.0</v>
      </c>
      <c r="B48" s="3" t="s">
        <v>49</v>
      </c>
      <c r="C48" s="3" t="str">
        <f>IFERROR(__xludf.DUMMYFUNCTION("GOOGLETRANSLATE(B48,""id"",""en"")"),"['credit', 'Telkomsel', 'missed', 'missing', 'top', 'internet', 'data', 'cellular', 'sedah', 'use', 'wifi', 'responsibility', ' Telkomsel ',' Provider ',' ']")</f>
        <v>['credit', 'Telkomsel', 'missed', 'missing', 'top', 'internet', 'data', 'cellular', 'sedah', 'use', 'wifi', 'responsibility', ' Telkomsel ',' Provider ',' ']</v>
      </c>
      <c r="D48" s="3">
        <v>1.0</v>
      </c>
    </row>
    <row r="49" ht="15.75" customHeight="1">
      <c r="A49" s="1">
        <v>48.0</v>
      </c>
      <c r="B49" s="3" t="s">
        <v>50</v>
      </c>
      <c r="C49" s="3" t="str">
        <f>IFERROR(__xludf.DUMMYFUNCTION("GOOGLETRANSLATE(B49,""id"",""en"")"),"['steady', 'application']")</f>
        <v>['steady', 'application']</v>
      </c>
      <c r="D49" s="3">
        <v>5.0</v>
      </c>
    </row>
    <row r="50" ht="15.75" customHeight="1">
      <c r="A50" s="1">
        <v>49.0</v>
      </c>
      <c r="B50" s="3" t="s">
        <v>51</v>
      </c>
      <c r="C50" s="3" t="str">
        <f>IFERROR(__xludf.DUMMYFUNCTION("GOOGLETRANSLATE(B50,""id"",""en"")"),"['Telkomsel', 'take', 'quota', 'emergency', 'quota', 'enter', 'please', 'Telkomsel']")</f>
        <v>['Telkomsel', 'take', 'quota', 'emergency', 'quota', 'enter', 'please', 'Telkomsel']</v>
      </c>
      <c r="D50" s="3">
        <v>1.0</v>
      </c>
    </row>
    <row r="51" ht="15.75" customHeight="1">
      <c r="A51" s="1">
        <v>50.0</v>
      </c>
      <c r="B51" s="3" t="s">
        <v>52</v>
      </c>
      <c r="C51" s="3" t="str">
        <f>IFERROR(__xludf.DUMMYFUNCTION("GOOGLETRANSLATE(B51,""id"",""en"")"),"['Paketannya', 'expensive']")</f>
        <v>['Paketannya', 'expensive']</v>
      </c>
      <c r="D51" s="3">
        <v>5.0</v>
      </c>
    </row>
    <row r="52" ht="15.75" customHeight="1">
      <c r="A52" s="1">
        <v>51.0</v>
      </c>
      <c r="B52" s="3" t="s">
        <v>53</v>
      </c>
      <c r="C52" s="3" t="str">
        <f>IFERROR(__xludf.DUMMYFUNCTION("GOOGLETRANSLATE(B52,""id"",""en"")"),"['application', 'bgus']")</f>
        <v>['application', 'bgus']</v>
      </c>
      <c r="D52" s="3">
        <v>5.0</v>
      </c>
    </row>
    <row r="53" ht="15.75" customHeight="1">
      <c r="A53" s="1">
        <v>52.0</v>
      </c>
      <c r="B53" s="3" t="s">
        <v>54</v>
      </c>
      <c r="C53" s="3" t="str">
        <f>IFERROR(__xludf.DUMMYFUNCTION("GOOGLETRANSLATE(B53,""id"",""en"")"),"['Unlimited', 'according to', 'Note', 'printed', 'Game', 'Game']")</f>
        <v>['Unlimited', 'according to', 'Note', 'printed', 'Game', 'Game']</v>
      </c>
      <c r="D53" s="3">
        <v>1.0</v>
      </c>
    </row>
    <row r="54" ht="15.75" customHeight="1">
      <c r="A54" s="1">
        <v>53.0</v>
      </c>
      <c r="B54" s="3" t="s">
        <v>55</v>
      </c>
      <c r="C54" s="3" t="str">
        <f>IFERROR(__xludf.DUMMYFUNCTION("GOOGLETRANSLATE(B54,""id"",""en"")"),"['Network', 'Nyunseppp', 'slow']")</f>
        <v>['Network', 'Nyunseppp', 'slow']</v>
      </c>
      <c r="D54" s="3">
        <v>1.0</v>
      </c>
    </row>
    <row r="55" ht="15.75" customHeight="1">
      <c r="A55" s="1">
        <v>54.0</v>
      </c>
      <c r="B55" s="3" t="s">
        <v>56</v>
      </c>
      <c r="C55" s="3" t="str">
        <f>IFERROR(__xludf.DUMMYFUNCTION("GOOGLETRANSLATE(B55,""id"",""en"")"),"['Package', 'Permanent', 'Yesterday', 'yesterday', 'package', 'really', 'satisfying']")</f>
        <v>['Package', 'Permanent', 'Yesterday', 'yesterday', 'package', 'really', 'satisfying']</v>
      </c>
      <c r="D55" s="3">
        <v>1.0</v>
      </c>
    </row>
    <row r="56" ht="15.75" customHeight="1">
      <c r="A56" s="1">
        <v>55.0</v>
      </c>
      <c r="B56" s="3" t="s">
        <v>57</v>
      </c>
      <c r="C56" s="3" t="str">
        <f>IFERROR(__xludf.DUMMYFUNCTION("GOOGLETRANSLATE(B56,""id"",""en"")"),"['buy', 'quota', 'signal', 'slow', 'bangse', 'jakarta', 'expensive', 'doang', 'quality', '']")</f>
        <v>['buy', 'quota', 'signal', 'slow', 'bangse', 'jakarta', 'expensive', 'doang', 'quality', '']</v>
      </c>
      <c r="D56" s="3">
        <v>1.0</v>
      </c>
    </row>
    <row r="57" ht="15.75" customHeight="1">
      <c r="A57" s="1">
        <v>56.0</v>
      </c>
      <c r="B57" s="3" t="s">
        <v>58</v>
      </c>
      <c r="C57" s="3" t="str">
        <f>IFERROR(__xludf.DUMMYFUNCTION("GOOGLETRANSLATE(B57,""id"",""en"")"),"['Huuu', 'Different', 'number', 'Different', 'Promo', 'Nyari', 'Combo', 'Sakti', '']")</f>
        <v>['Huuu', 'Different', 'number', 'Different', 'Promo', 'Nyari', 'Combo', 'Sakti', '']</v>
      </c>
      <c r="D57" s="3">
        <v>1.0</v>
      </c>
    </row>
    <row r="58" ht="15.75" customHeight="1">
      <c r="A58" s="1">
        <v>57.0</v>
      </c>
      <c r="B58" s="3" t="s">
        <v>59</v>
      </c>
      <c r="C58" s="3" t="str">
        <f>IFERROR(__xludf.DUMMYFUNCTION("GOOGLETRANSLATE(B58,""id"",""en"")"),"['Good', 'satisfying']")</f>
        <v>['Good', 'satisfying']</v>
      </c>
      <c r="D58" s="3">
        <v>5.0</v>
      </c>
    </row>
    <row r="59" ht="15.75" customHeight="1">
      <c r="A59" s="1">
        <v>58.0</v>
      </c>
      <c r="B59" s="3" t="s">
        <v>60</v>
      </c>
      <c r="C59" s="3" t="str">
        <f>IFERROR(__xludf.DUMMYFUNCTION("GOOGLETRANSLATE(B59,""id"",""en"")"),"['Knpa', 'Login']")</f>
        <v>['Knpa', 'Login']</v>
      </c>
      <c r="D59" s="3">
        <v>5.0</v>
      </c>
    </row>
    <row r="60" ht="15.75" customHeight="1">
      <c r="A60" s="1">
        <v>59.0</v>
      </c>
      <c r="B60" s="3" t="s">
        <v>61</v>
      </c>
      <c r="C60" s="3" t="str">
        <f>IFERROR(__xludf.DUMMYFUNCTION("GOOGLETRANSLATE(B60,""id"",""en"")"),"['Increase', 'Quality', 'NYS']")</f>
        <v>['Increase', 'Quality', 'NYS']</v>
      </c>
      <c r="D60" s="3">
        <v>5.0</v>
      </c>
    </row>
    <row r="61" ht="15.75" customHeight="1">
      <c r="A61" s="1">
        <v>60.0</v>
      </c>
      <c r="B61" s="3" t="s">
        <v>62</v>
      </c>
      <c r="C61" s="3" t="str">
        <f>IFERROR(__xludf.DUMMYFUNCTION("GOOGLETRANSLATE(B61,""id"",""en"")"),"['Good', 'Increase', 'Pnink', 'Point']")</f>
        <v>['Good', 'Increase', 'Pnink', 'Point']</v>
      </c>
      <c r="D61" s="3">
        <v>5.0</v>
      </c>
    </row>
    <row r="62" ht="15.75" customHeight="1">
      <c r="A62" s="1">
        <v>61.0</v>
      </c>
      <c r="B62" s="3" t="s">
        <v>63</v>
      </c>
      <c r="C62" s="3" t="str">
        <f>IFERROR(__xludf.DUMMYFUNCTION("GOOGLETRANSLATE(B62,""id"",""en"")"),"['Practical', 'The application', 'Lots', 'promo', 'cheap']")</f>
        <v>['Practical', 'The application', 'Lots', 'promo', 'cheap']</v>
      </c>
      <c r="D62" s="3">
        <v>5.0</v>
      </c>
    </row>
    <row r="63" ht="15.75" customHeight="1">
      <c r="A63" s="1">
        <v>63.0</v>
      </c>
      <c r="B63" s="3" t="s">
        <v>64</v>
      </c>
      <c r="C63" s="3" t="str">
        <f>IFERROR(__xludf.DUMMYFUNCTION("GOOGLETRANSLATE(B63,""id"",""en"")"),"['application', 'help', 'buy', 'pulse', 'data', 'etc.', 'practical', 'used', 'mantul', 'dehh', '']")</f>
        <v>['application', 'help', 'buy', 'pulse', 'data', 'etc.', 'practical', 'used', 'mantul', 'dehh', '']</v>
      </c>
      <c r="D63" s="3">
        <v>5.0</v>
      </c>
    </row>
    <row r="64" ht="15.75" customHeight="1">
      <c r="A64" s="1">
        <v>64.0</v>
      </c>
      <c r="B64" s="3" t="s">
        <v>65</v>
      </c>
      <c r="C64" s="3" t="str">
        <f>IFERROR(__xludf.DUMMYFUNCTION("GOOGLETRANSLATE(B64,""id"",""en"")"),"['sgt', 'satisfied', 'fun', 'hope', 'signal', 'lbh', 'good']")</f>
        <v>['sgt', 'satisfied', 'fun', 'hope', 'signal', 'lbh', 'good']</v>
      </c>
      <c r="D64" s="3">
        <v>5.0</v>
      </c>
    </row>
    <row r="65" ht="15.75" customHeight="1">
      <c r="A65" s="1">
        <v>65.0</v>
      </c>
      <c r="B65" s="3" t="s">
        <v>66</v>
      </c>
      <c r="C65" s="3" t="str">
        <f>IFERROR(__xludf.DUMMYFUNCTION("GOOGLETRANSLATE(B65,""id"",""en"")"),"['otw', 'signal', 'Telkomsel', 'Severe', 'expensive', 'like', 'heart', 'Telkomsel', ""]")</f>
        <v>['otw', 'signal', 'Telkomsel', 'Severe', 'expensive', 'like', 'heart', 'Telkomsel', "]</v>
      </c>
      <c r="D65" s="3">
        <v>1.0</v>
      </c>
    </row>
    <row r="66" ht="15.75" customHeight="1">
      <c r="A66" s="1">
        <v>66.0</v>
      </c>
      <c r="B66" s="3" t="s">
        <v>67</v>
      </c>
      <c r="C66" s="3" t="str">
        <f>IFERROR(__xludf.DUMMYFUNCTION("GOOGLETRANSLATE(B66,""id"",""en"")"),"['Mya', 'Telkomsel', 'help', 'fast']")</f>
        <v>['Mya', 'Telkomsel', 'help', 'fast']</v>
      </c>
      <c r="D66" s="3">
        <v>4.0</v>
      </c>
    </row>
    <row r="67" ht="15.75" customHeight="1">
      <c r="A67" s="1">
        <v>67.0</v>
      </c>
      <c r="B67" s="3" t="s">
        <v>68</v>
      </c>
      <c r="C67" s="3" t="str">
        <f>IFERROR(__xludf.DUMMYFUNCTION("GOOGLETRANSLATE(B67,""id"",""en"")"),"['Please', 'promo']")</f>
        <v>['Please', 'promo']</v>
      </c>
      <c r="D67" s="3">
        <v>2.0</v>
      </c>
    </row>
    <row r="68" ht="15.75" customHeight="1">
      <c r="A68" s="1">
        <v>68.0</v>
      </c>
      <c r="B68" s="3" t="s">
        <v>69</v>
      </c>
      <c r="C68" s="3" t="str">
        <f>IFERROR(__xludf.DUMMYFUNCTION("GOOGLETRANSLATE(B68,""id"",""en"")"),"['application', 'good', 'hope', 'winner', 'lottery', 'times', 'aminnn']")</f>
        <v>['application', 'good', 'hope', 'winner', 'lottery', 'times', 'aminnn']</v>
      </c>
      <c r="D68" s="3">
        <v>5.0</v>
      </c>
    </row>
    <row r="69" ht="15.75" customHeight="1">
      <c r="A69" s="1">
        <v>69.0</v>
      </c>
      <c r="B69" s="3" t="s">
        <v>70</v>
      </c>
      <c r="C69" s="3" t="str">
        <f>IFERROR(__xludf.DUMMYFUNCTION("GOOGLETRANSLATE(B69,""id"",""en"")"),"['experience', 'experience', 'bad', 'Telkomsel', 'comment', 'negative', 'quota', 'active', 'pulse', 'tetep', 'collapse', 'service', ' hiring ',' System ',' Becus', 'work', 'star', 'minus',' love ',' minus', 'rating', 'disappointing', 'service', 'suited', "&amp;"'price' , 'Package', 'expensive', '']")</f>
        <v>['experience', 'experience', 'bad', 'Telkomsel', 'comment', 'negative', 'quota', 'active', 'pulse', 'tetep', 'collapse', 'service', ' hiring ',' System ',' Becus', 'work', 'star', 'minus',' love ',' minus', 'rating', 'disappointing', 'service', 'suited', 'price' , 'Package', 'expensive', '']</v>
      </c>
      <c r="D69" s="3">
        <v>1.0</v>
      </c>
    </row>
    <row r="70" ht="15.75" customHeight="1">
      <c r="A70" s="1">
        <v>70.0</v>
      </c>
      <c r="B70" s="3" t="s">
        <v>71</v>
      </c>
      <c r="C70" s="3" t="str">
        <f>IFERROR(__xludf.DUMMYFUNCTION("GOOGLETRANSLATE(B70,""id"",""en"")"),"['signal', 'Telkomsel', 'stay', 'urban', 'signal', 'zonk', 'sometimes',' sometimes', 'Jabodetabek', 'price', 'doang', 'expensive', ' Quality ',' Lost ',' Next to ',' ']")</f>
        <v>['signal', 'Telkomsel', 'stay', 'urban', 'signal', 'zonk', 'sometimes',' sometimes', 'Jabodetabek', 'price', 'doang', 'expensive', ' Quality ',' Lost ',' Next to ',' ']</v>
      </c>
      <c r="D70" s="3">
        <v>1.0</v>
      </c>
    </row>
    <row r="71" ht="15.75" customHeight="1">
      <c r="A71" s="1">
        <v>71.0</v>
      </c>
      <c r="B71" s="3" t="s">
        <v>72</v>
      </c>
      <c r="C71" s="3" t="str">
        <f>IFERROR(__xludf.DUMMYFUNCTION("GOOGLETRANSLATE(B71,""id"",""en"")"),"['Help', 'car']")</f>
        <v>['Help', 'car']</v>
      </c>
      <c r="D71" s="3">
        <v>5.0</v>
      </c>
    </row>
    <row r="72" ht="15.75" customHeight="1">
      <c r="A72" s="1">
        <v>72.0</v>
      </c>
      <c r="B72" s="3" t="s">
        <v>73</v>
      </c>
      <c r="C72" s="3" t="str">
        <f>IFERROR(__xludf.DUMMYFUNCTION("GOOGLETRANSLATE(B72,""id"",""en"")"),"['thank', 'love', 'package', 'cheap']")</f>
        <v>['thank', 'love', 'package', 'cheap']</v>
      </c>
      <c r="D72" s="3">
        <v>5.0</v>
      </c>
    </row>
    <row r="73" ht="15.75" customHeight="1">
      <c r="A73" s="1">
        <v>73.0</v>
      </c>
      <c r="B73" s="3" t="s">
        <v>74</v>
      </c>
      <c r="C73" s="3" t="str">
        <f>IFERROR(__xludf.DUMMYFUNCTION("GOOGLETRANSLATE(B73,""id"",""en"")"),"['speed']")</f>
        <v>['speed']</v>
      </c>
      <c r="D73" s="3">
        <v>2.0</v>
      </c>
    </row>
    <row r="74" ht="15.75" customHeight="1">
      <c r="A74" s="1">
        <v>74.0</v>
      </c>
      <c r="B74" s="3" t="s">
        <v>75</v>
      </c>
      <c r="C74" s="3" t="str">
        <f>IFERROR(__xludf.DUMMYFUNCTION("GOOGLETRANSLATE(B74,""id"",""en"")"),"['Satisfied', 'Telkomsel', 'Package', 'Cheap', 'Card', 'BLM', 'TRIMS', 'Telkomsel']")</f>
        <v>['Satisfied', 'Telkomsel', 'Package', 'Cheap', 'Card', 'BLM', 'TRIMS', 'Telkomsel']</v>
      </c>
      <c r="D74" s="3">
        <v>5.0</v>
      </c>
    </row>
    <row r="75" ht="15.75" customHeight="1">
      <c r="A75" s="1">
        <v>76.0</v>
      </c>
      <c r="B75" s="3" t="s">
        <v>76</v>
      </c>
      <c r="C75" s="3" t="str">
        <f>IFERROR(__xludf.DUMMYFUNCTION("GOOGLETRANSLATE(B75,""id"",""en"")"),"['Update', 'Application', 'Please', 'Fix', '']")</f>
        <v>['Update', 'Application', 'Please', 'Fix', '']</v>
      </c>
      <c r="D75" s="3">
        <v>1.0</v>
      </c>
    </row>
    <row r="76" ht="15.75" customHeight="1">
      <c r="A76" s="1">
        <v>77.0</v>
      </c>
      <c r="B76" s="3" t="s">
        <v>77</v>
      </c>
      <c r="C76" s="3" t="str">
        <f>IFERROR(__xludf.DUMMYFUNCTION("GOOGLETRANSLATE(B76,""id"",""en"")"),"['Buy', 'Package', 'Kouta', 'Credit', 'Weak', 'Already', 'Shopeepay', 'Fund', 'Ovo']")</f>
        <v>['Buy', 'Package', 'Kouta', 'Credit', 'Weak', 'Already', 'Shopeepay', 'Fund', 'Ovo']</v>
      </c>
      <c r="D76" s="3">
        <v>1.0</v>
      </c>
    </row>
    <row r="77" ht="15.75" customHeight="1">
      <c r="A77" s="1">
        <v>78.0</v>
      </c>
      <c r="B77" s="3" t="s">
        <v>78</v>
      </c>
      <c r="C77" s="3" t="str">
        <f>IFERROR(__xludf.DUMMYFUNCTION("GOOGLETRANSLATE(B77,""id"",""en"")"),"['application', 'Telkomsel', 'easy', 'check', 'quota', 'buy', 'package', 'combo', 'magic', 'hope', 'hope', ' network ',' Telkomsel ',' good ',' thank ',' love ', ""]")</f>
        <v>['application', 'Telkomsel', 'easy', 'check', 'quota', 'buy', 'package', 'combo', 'magic', 'hope', 'hope', ' network ',' Telkomsel ',' good ',' thank ',' love ', "]</v>
      </c>
      <c r="D77" s="3">
        <v>5.0</v>
      </c>
    </row>
    <row r="78" ht="15.75" customHeight="1">
      <c r="A78" s="1">
        <v>79.0</v>
      </c>
      <c r="B78" s="3" t="s">
        <v>79</v>
      </c>
      <c r="C78" s="3" t="str">
        <f>IFERROR(__xludf.DUMMYFUNCTION("GOOGLETRANSLATE(B78,""id"",""en"")"),"['Pketnya', 'Cheap', 'LGI', 'Planggar', 'TTP', 'Telkomsel', '']")</f>
        <v>['Pketnya', 'Cheap', 'LGI', 'Planggar', 'TTP', 'Telkomsel', '']</v>
      </c>
      <c r="D78" s="3">
        <v>5.0</v>
      </c>
    </row>
    <row r="79" ht="15.75" customHeight="1">
      <c r="A79" s="1">
        <v>80.0</v>
      </c>
      <c r="B79" s="3" t="s">
        <v>80</v>
      </c>
      <c r="C79" s="3" t="str">
        <f>IFERROR(__xludf.DUMMYFUNCTION("GOOGLETRANSLATE(B79,""id"",""en"")"),"['help', '']")</f>
        <v>['help', '']</v>
      </c>
      <c r="D79" s="3">
        <v>5.0</v>
      </c>
    </row>
    <row r="80" ht="15.75" customHeight="1">
      <c r="A80" s="1">
        <v>81.0</v>
      </c>
      <c r="B80" s="3" t="s">
        <v>81</v>
      </c>
      <c r="C80" s="3" t="str">
        <f>IFERROR(__xludf.DUMMYFUNCTION("GOOGLETRANSLATE(B80,""id"",""en"")"),"['application', 'good']")</f>
        <v>['application', 'good']</v>
      </c>
      <c r="D80" s="3">
        <v>5.0</v>
      </c>
    </row>
    <row r="81" ht="15.75" customHeight="1">
      <c r="A81" s="1">
        <v>82.0</v>
      </c>
      <c r="B81" s="3" t="s">
        <v>82</v>
      </c>
      <c r="C81" s="3" t="str">
        <f>IFERROR(__xludf.DUMMYFUNCTION("GOOGLETRANSLATE(B81,""id"",""en"")"),"['Open', 'Application', 'Update', 'Open', 'AppStore', 'Update', 'Click', 'Open', 'TPI', 'Application', 'Telkomsel', 'Update', ' Muter ',' Jdinya ',' enter ',' APP ']")</f>
        <v>['Open', 'Application', 'Update', 'Open', 'AppStore', 'Update', 'Click', 'Open', 'TPI', 'Application', 'Telkomsel', 'Update', ' Muter ',' Jdinya ',' enter ',' APP ']</v>
      </c>
      <c r="D81" s="3">
        <v>1.0</v>
      </c>
    </row>
    <row r="82" ht="15.75" customHeight="1">
      <c r="A82" s="1">
        <v>83.0</v>
      </c>
      <c r="B82" s="3" t="s">
        <v>83</v>
      </c>
      <c r="C82" s="3" t="str">
        <f>IFERROR(__xludf.DUMMYFUNCTION("GOOGLETRANSLATE(B82,""id"",""en"")"),"['Ngellag', 'yaa', 'signal', 'Telkomsel', 'please', 'its network', 'enhanced', 'kubanting', 'Mulu', ""]")</f>
        <v>['Ngellag', 'yaa', 'signal', 'Telkomsel', 'please', 'its network', 'enhanced', 'kubanting', 'Mulu', "]</v>
      </c>
      <c r="D82" s="3">
        <v>1.0</v>
      </c>
    </row>
    <row r="83" ht="15.75" customHeight="1">
      <c r="A83" s="1">
        <v>84.0</v>
      </c>
      <c r="B83" s="3" t="s">
        <v>84</v>
      </c>
      <c r="C83" s="3" t="str">
        <f>IFERROR(__xludf.DUMMYFUNCTION("GOOGLETRANSLATE(B83,""id"",""en"")"),"['signal', 'slow', 'lancaar', 'slow', 'tower', 'waste', 'card']")</f>
        <v>['signal', 'slow', 'lancaar', 'slow', 'tower', 'waste', 'card']</v>
      </c>
      <c r="D83" s="3">
        <v>1.0</v>
      </c>
    </row>
    <row r="84" ht="15.75" customHeight="1">
      <c r="A84" s="1">
        <v>85.0</v>
      </c>
      <c r="B84" s="3" t="s">
        <v>85</v>
      </c>
      <c r="C84" s="3" t="str">
        <f>IFERROR(__xludf.DUMMYFUNCTION("GOOGLETRANSLATE(B84,""id"",""en"")"),"['Severe', 'big one']")</f>
        <v>['Severe', 'big one']</v>
      </c>
      <c r="D84" s="3">
        <v>1.0</v>
      </c>
    </row>
    <row r="85" ht="15.75" customHeight="1">
      <c r="A85" s="1">
        <v>86.0</v>
      </c>
      <c r="B85" s="3" t="s">
        <v>86</v>
      </c>
      <c r="C85" s="3" t="str">
        <f>IFERROR(__xludf.DUMMYFUNCTION("GOOGLETRANSLATE(B85,""id"",""en"")"),"['quota', 'expensive', 'division', 'according to', 'quota', 'giga', 'max', 'giga', 'division', 'quota', 'internet', 'giga', ' The rest ',' quota ',' multimedia ',' rare ',' division ',' quota ',' internet ',' lbh ',' his kindness', ""]")</f>
        <v>['quota', 'expensive', 'division', 'according to', 'quota', 'giga', 'max', 'giga', 'division', 'quota', 'internet', 'giga', ' The rest ',' quota ',' multimedia ',' rare ',' division ',' quota ',' internet ',' lbh ',' his kindness', "]</v>
      </c>
      <c r="D85" s="3">
        <v>1.0</v>
      </c>
    </row>
    <row r="86" ht="15.75" customHeight="1">
      <c r="A86" s="1">
        <v>88.0</v>
      </c>
      <c r="B86" s="3" t="s">
        <v>87</v>
      </c>
      <c r="C86" s="3" t="str">
        <f>IFERROR(__xludf.DUMMYFUNCTION("GOOGLETRANSLATE(B86,""id"",""en"")"),"['Network', 'slow', 'road', 'normall', 'right', 'ngakartin', 'package', 'emergency', 'slow', 'kek', 'gini', 'network', ' Please, 'Help', '']")</f>
        <v>['Network', 'slow', 'road', 'normall', 'right', 'ngakartin', 'package', 'emergency', 'slow', 'kek', 'gini', 'network', ' Please, 'Help', '']</v>
      </c>
      <c r="D86" s="3">
        <v>1.0</v>
      </c>
    </row>
    <row r="87" ht="15.75" customHeight="1">
      <c r="A87" s="1">
        <v>89.0</v>
      </c>
      <c r="B87" s="3" t="s">
        <v>88</v>
      </c>
      <c r="C87" s="3" t="str">
        <f>IFERROR(__xludf.DUMMYFUNCTION("GOOGLETRANSLATE(B87,""id"",""en"")"),"['UDH', 'Fill', 'Shopee', 'Pay', 'LGI', 'Link', 'Ajaa', ""]")</f>
        <v>['UDH', 'Fill', 'Shopee', 'Pay', 'LGI', 'Link', 'Ajaa', "]</v>
      </c>
      <c r="D87" s="3">
        <v>4.0</v>
      </c>
    </row>
    <row r="88" ht="15.75" customHeight="1">
      <c r="A88" s="1">
        <v>90.0</v>
      </c>
      <c r="B88" s="3" t="s">
        <v>89</v>
      </c>
      <c r="C88" s="3" t="str">
        <f>IFERROR(__xludf.DUMMYFUNCTION("GOOGLETRANSLATE(B88,""id"",""en"")"),"['Paketan', 'ngelek', 'Telkom', 'mmmmm', 'please', 'fix', 'signal']")</f>
        <v>['Paketan', 'ngelek', 'Telkom', 'mmmmm', 'please', 'fix', 'signal']</v>
      </c>
      <c r="D88" s="3">
        <v>1.0</v>
      </c>
    </row>
    <row r="89" ht="15.75" customHeight="1">
      <c r="A89" s="1">
        <v>91.0</v>
      </c>
      <c r="B89" s="3" t="s">
        <v>90</v>
      </c>
      <c r="C89" s="3" t="str">
        <f>IFERROR(__xludf.DUMMYFUNCTION("GOOGLETRANSLATE(B89,""id"",""en"")"),"['application', 'difficult', 'buy', 'package', 'call', 'internet', 'complicated', '']")</f>
        <v>['application', 'difficult', 'buy', 'package', 'call', 'internet', 'complicated', '']</v>
      </c>
      <c r="D89" s="3">
        <v>3.0</v>
      </c>
    </row>
    <row r="90" ht="15.75" customHeight="1">
      <c r="A90" s="1">
        <v>92.0</v>
      </c>
      <c r="B90" s="3" t="s">
        <v>91</v>
      </c>
      <c r="C90" s="3" t="str">
        <f>IFERROR(__xludf.DUMMYFUNCTION("GOOGLETRANSLATE(B90,""id"",""en"")"),"['Mantul', 'linenya', 'smooth', 'area', '']")</f>
        <v>['Mantul', 'linenya', 'smooth', 'area', '']</v>
      </c>
      <c r="D90" s="3">
        <v>5.0</v>
      </c>
    </row>
    <row r="91" ht="15.75" customHeight="1">
      <c r="A91" s="1">
        <v>93.0</v>
      </c>
      <c r="B91" s="3" t="s">
        <v>92</v>
      </c>
      <c r="C91" s="3" t="str">
        <f>IFERROR(__xludf.DUMMYFUNCTION("GOOGLETRANSLATE(B91,""id"",""en"")"),"['fucking', 'Luwh', 'Telkomsel', 'package', 'expensive', 'fast', 'wasteful', 'network', 'ilang', 'luwh', 'customer', ' network ',' Drop ',' Customer ',' Satisfied ',' Spam ',' Gajelas', 'Gaguna']")</f>
        <v>['fucking', 'Luwh', 'Telkomsel', 'package', 'expensive', 'fast', 'wasteful', 'network', 'ilang', 'luwh', 'customer', ' network ',' Drop ',' Customer ',' Satisfied ',' Spam ',' Gajelas', 'Gaguna']</v>
      </c>
      <c r="D91" s="3">
        <v>1.0</v>
      </c>
    </row>
    <row r="92" ht="15.75" customHeight="1">
      <c r="A92" s="1">
        <v>94.0</v>
      </c>
      <c r="B92" s="3" t="s">
        <v>93</v>
      </c>
      <c r="C92" s="3" t="str">
        <f>IFERROR(__xludf.DUMMYFUNCTION("GOOGLETRANSLATE(B92,""id"",""en"")"),"['Belom', 'nyakin']")</f>
        <v>['Belom', 'nyakin']</v>
      </c>
      <c r="D92" s="3">
        <v>4.0</v>
      </c>
    </row>
    <row r="93" ht="15.75" customHeight="1">
      <c r="A93" s="1">
        <v>95.0</v>
      </c>
      <c r="B93" s="3" t="s">
        <v>94</v>
      </c>
      <c r="C93" s="3" t="str">
        <f>IFERROR(__xludf.DUMMYFUNCTION("GOOGLETRANSLATE(B93,""id"",""en"")"),"['Package', 'expensive', 'my boss', 'cheap']")</f>
        <v>['Package', 'expensive', 'my boss', 'cheap']</v>
      </c>
      <c r="D93" s="3">
        <v>5.0</v>
      </c>
    </row>
    <row r="94" ht="15.75" customHeight="1">
      <c r="A94" s="1">
        <v>96.0</v>
      </c>
      <c r="B94" s="3" t="s">
        <v>95</v>
      </c>
      <c r="C94" s="3" t="str">
        <f>IFERROR(__xludf.DUMMYFUNCTION("GOOGLETRANSLATE(B94,""id"",""en"")"),"['Closed']")</f>
        <v>['Closed']</v>
      </c>
      <c r="D94" s="3">
        <v>3.0</v>
      </c>
    </row>
    <row r="95" ht="15.75" customHeight="1">
      <c r="A95" s="1">
        <v>97.0</v>
      </c>
      <c r="B95" s="3" t="s">
        <v>96</v>
      </c>
      <c r="C95" s="3" t="str">
        <f>IFERROR(__xludf.DUMMYFUNCTION("GOOGLETRANSLATE(B95,""id"",""en"")"),"['Kek', 'pig', 'network']")</f>
        <v>['Kek', 'pig', 'network']</v>
      </c>
      <c r="D95" s="3">
        <v>1.0</v>
      </c>
    </row>
    <row r="96" ht="15.75" customHeight="1">
      <c r="A96" s="1">
        <v>98.0</v>
      </c>
      <c r="B96" s="3" t="s">
        <v>97</v>
      </c>
      <c r="C96" s="3" t="str">
        <f>IFERROR(__xludf.DUMMYFUNCTION("GOOGLETRANSLATE(B96,""id"",""en"")"),"['promo', 'easy', 'looked', 'package']")</f>
        <v>['promo', 'easy', 'looked', 'package']</v>
      </c>
      <c r="D96" s="3">
        <v>5.0</v>
      </c>
    </row>
    <row r="97" ht="15.75" customHeight="1">
      <c r="A97" s="1">
        <v>99.0</v>
      </c>
      <c r="B97" s="3" t="s">
        <v>98</v>
      </c>
      <c r="C97" s="3" t="str">
        <f>IFERROR(__xludf.DUMMYFUNCTION("GOOGLETRANSLATE(B97,""id"",""en"")"),"['Good', 'TPI', 'Increase', '']")</f>
        <v>['Good', 'TPI', 'Increase', '']</v>
      </c>
      <c r="D97" s="3">
        <v>5.0</v>
      </c>
    </row>
    <row r="98" ht="15.75" customHeight="1">
      <c r="A98" s="1">
        <v>100.0</v>
      </c>
      <c r="B98" s="3" t="s">
        <v>99</v>
      </c>
      <c r="C98" s="3" t="str">
        <f>IFERROR(__xludf.DUMMYFUNCTION("GOOGLETRANSLATE(B98,""id"",""en"")"),"['Signal', 'bad', ""]")</f>
        <v>['Signal', 'bad', "]</v>
      </c>
      <c r="D98" s="3">
        <v>1.0</v>
      </c>
    </row>
    <row r="99" ht="15.75" customHeight="1">
      <c r="A99" s="1">
        <v>101.0</v>
      </c>
      <c r="B99" s="3" t="s">
        <v>100</v>
      </c>
      <c r="C99" s="3" t="str">
        <f>IFERROR(__xludf.DUMMYFUNCTION("GOOGLETRANSLATE(B99,""id"",""en"")"),"['card', 'garbage', 'cheats',' Telkomsel ',' unlimited ',' right ',' already ',' use ',' run out ',' eager ',' cave ',' make ',' Telkomsel ',' make ',' steady ']")</f>
        <v>['card', 'garbage', 'cheats',' Telkomsel ',' unlimited ',' right ',' already ',' use ',' run out ',' eager ',' cave ',' make ',' Telkomsel ',' make ',' steady ']</v>
      </c>
      <c r="D99" s="3">
        <v>1.0</v>
      </c>
    </row>
    <row r="100" ht="15.75" customHeight="1">
      <c r="A100" s="1">
        <v>102.0</v>
      </c>
      <c r="B100" s="3" t="s">
        <v>101</v>
      </c>
      <c r="C100" s="3" t="str">
        <f>IFERROR(__xludf.DUMMYFUNCTION("GOOGLETRANSLATE(B100,""id"",""en"")"),"['It's easy', 'checks', 'quota', 'choice', 'purchase']")</f>
        <v>['It's easy', 'checks', 'quota', 'choice', 'purchase']</v>
      </c>
      <c r="D100" s="3">
        <v>5.0</v>
      </c>
    </row>
    <row r="101" ht="15.75" customHeight="1">
      <c r="A101" s="1">
        <v>103.0</v>
      </c>
      <c r="B101" s="3" t="s">
        <v>102</v>
      </c>
      <c r="C101" s="3" t="str">
        <f>IFERROR(__xludf.DUMMYFUNCTION("GOOGLETRANSLATE(B101,""id"",""en"")"),"['Application', 'good', 'really', '']")</f>
        <v>['Application', 'good', 'really', '']</v>
      </c>
      <c r="D101" s="3">
        <v>5.0</v>
      </c>
    </row>
    <row r="102" ht="15.75" customHeight="1">
      <c r="A102" s="1">
        <v>104.0</v>
      </c>
      <c r="B102" s="3" t="s">
        <v>103</v>
      </c>
      <c r="C102" s="3" t="str">
        <f>IFERROR(__xludf.DUMMYFUNCTION("GOOGLETRANSLATE(B102,""id"",""en"")"),"['Leet', 'APK']")</f>
        <v>['Leet', 'APK']</v>
      </c>
      <c r="D102" s="3">
        <v>1.0</v>
      </c>
    </row>
    <row r="103" ht="15.75" customHeight="1">
      <c r="A103" s="1">
        <v>105.0</v>
      </c>
      <c r="B103" s="3" t="s">
        <v>104</v>
      </c>
      <c r="C103" s="3" t="str">
        <f>IFERROR(__xludf.DUMMYFUNCTION("GOOGLETRANSLATE(B103,""id"",""en"")"),"['signal', 'slow', 'right', 'weather', 'cloud', 'rain', 'service', 'Telkomsel', 'interesting', ""]")</f>
        <v>['signal', 'slow', 'right', 'weather', 'cloud', 'rain', 'service', 'Telkomsel', 'interesting', "]</v>
      </c>
      <c r="D103" s="3">
        <v>3.0</v>
      </c>
    </row>
    <row r="104" ht="15.75" customHeight="1">
      <c r="A104" s="1">
        <v>106.0</v>
      </c>
      <c r="B104" s="3" t="s">
        <v>105</v>
      </c>
      <c r="C104" s="3" t="str">
        <f>IFERROR(__xludf.DUMMYFUNCTION("GOOGLETRANSLATE(B104,""id"",""en"")"),"['already', 'expensive', 'network', 'ugly', 'gimansexyahhahahaha', 'Aiwuuuu', 'Hiuuuu', 'Uawa', 'eaten', 'shark', 'waw', 'laggghh', ' Ujan ',' Laghhhhhh ',' Amazing ',' Laggg ',' wuaawwwwwa ',' fish ',' Terbamg ',' wakkaikjajjiajak ',' wakakkakanndananaja"&amp;"hajjajjajajahahehehehehehehehehehehehhehehehehu ',' huuuuuuuuu ',' lagggg ',' eat ',' lag ' , 'lag', 'lag', 'lag', 'lag', 'ping', 'lag', 'banh', 'signal', 'lag', 'card', 'laen', 'bang', ' fast ',' sekaang ',' slow ',' wuaw ',' development ',' amazing ',' "&amp;"']")</f>
        <v>['already', 'expensive', 'network', 'ugly', 'gimansexyahhahahaha', 'Aiwuuuu', 'Hiuuuu', 'Uawa', 'eaten', 'shark', 'waw', 'laggghh', ' Ujan ',' Laghhhhhh ',' Amazing ',' Laggg ',' wuaawwwwwa ',' fish ',' Terbamg ',' wakkaikjajjiajak ',' wakakkakanndananajahajjajjajajahahehehehehehehehehehehehhehehehehu ',' huuuuuuuuu ',' lagggg ',' eat ',' lag ' , 'lag', 'lag', 'lag', 'lag', 'ping', 'lag', 'banh', 'signal', 'lag', 'card', 'laen', 'bang', ' fast ',' sekaang ',' slow ',' wuaw ',' development ',' amazing ',' ']</v>
      </c>
      <c r="D104" s="3">
        <v>1.0</v>
      </c>
    </row>
    <row r="105" ht="15.75" customHeight="1">
      <c r="A105" s="1">
        <v>107.0</v>
      </c>
      <c r="B105" s="3" t="s">
        <v>106</v>
      </c>
      <c r="C105" s="3" t="str">
        <f>IFERROR(__xludf.DUMMYFUNCTION("GOOGLETRANSLATE(B105,""id"",""en"")"),"['PLIS', 'KNP', 'Telkomsel', 'Fill', 'Credit', 'Enter', 'check', 'whole', 'right', 'Tomorrow', 'Credit', 'Live', ' buy ',' package ',' internet ',' experience ',' please ',' fix ',' ']")</f>
        <v>['PLIS', 'KNP', 'Telkomsel', 'Fill', 'Credit', 'Enter', 'check', 'whole', 'right', 'Tomorrow', 'Credit', 'Live', ' buy ',' package ',' internet ',' experience ',' please ',' fix ',' ']</v>
      </c>
      <c r="D105" s="3">
        <v>2.0</v>
      </c>
    </row>
    <row r="106" ht="15.75" customHeight="1">
      <c r="A106" s="1">
        <v>108.0</v>
      </c>
      <c r="B106" s="3" t="s">
        <v>107</v>
      </c>
      <c r="C106" s="3" t="str">
        <f>IFERROR(__xludf.DUMMYFUNCTION("GOOGLETRANSLATE(B106,""id"",""en"")"),"['Sometimes', 'no', 'until', 'a month', 'no', 'Kek', 'fast', 'wasteful']")</f>
        <v>['Sometimes', 'no', 'until', 'a month', 'no', 'Kek', 'fast', 'wasteful']</v>
      </c>
      <c r="D106" s="3">
        <v>5.0</v>
      </c>
    </row>
    <row r="107" ht="15.75" customHeight="1">
      <c r="A107" s="1">
        <v>109.0</v>
      </c>
      <c r="B107" s="3" t="s">
        <v>108</v>
      </c>
      <c r="C107" s="3" t="str">
        <f>IFERROR(__xludf.DUMMYFUNCTION("GOOGLETRANSLATE(B107,""id"",""en"")"),"['ugly', 'Jaringa', 'Telkomsel', 'advanced', 'disappointing', 'customer']")</f>
        <v>['ugly', 'Jaringa', 'Telkomsel', 'advanced', 'disappointing', 'customer']</v>
      </c>
      <c r="D107" s="3">
        <v>1.0</v>
      </c>
    </row>
    <row r="108" ht="15.75" customHeight="1">
      <c r="A108" s="1">
        <v>110.0</v>
      </c>
      <c r="B108" s="3" t="s">
        <v>109</v>
      </c>
      <c r="C108" s="3" t="str">
        <f>IFERROR(__xludf.DUMMYFUNCTION("GOOGLETRANSLATE(B108,""id"",""en"")"),"['Useful', 'Easily', 'transactions', 'pulse', 'trimakasih', 'Telkomsel']")</f>
        <v>['Useful', 'Easily', 'transactions', 'pulse', 'trimakasih', 'Telkomsel']</v>
      </c>
      <c r="D108" s="3">
        <v>5.0</v>
      </c>
    </row>
    <row r="109" ht="15.75" customHeight="1">
      <c r="A109" s="1">
        <v>111.0</v>
      </c>
      <c r="B109" s="3" t="s">
        <v>110</v>
      </c>
      <c r="C109" s="3" t="str">
        <f>IFERROR(__xludf.DUMMYFUNCTION("GOOGLETRANSLATE(B109,""id"",""en"")"),"['Network', 'Sometimes', 'Stable']")</f>
        <v>['Network', 'Sometimes', 'Stable']</v>
      </c>
      <c r="D109" s="3">
        <v>5.0</v>
      </c>
    </row>
    <row r="110" ht="15.75" customHeight="1">
      <c r="A110" s="1">
        <v>112.0</v>
      </c>
      <c r="B110" s="3" t="s">
        <v>111</v>
      </c>
      <c r="C110" s="3" t="str">
        <f>IFERROR(__xludf.DUMMYFUNCTION("GOOGLETRANSLATE(B110,""id"",""en"")"),"['kereennn', 'hope', 'package', 'unlimited', 'yaaa']")</f>
        <v>['kereennn', 'hope', 'package', 'unlimited', 'yaaa']</v>
      </c>
      <c r="D110" s="3">
        <v>4.0</v>
      </c>
    </row>
    <row r="111" ht="15.75" customHeight="1">
      <c r="A111" s="1">
        <v>113.0</v>
      </c>
      <c r="B111" s="3" t="s">
        <v>112</v>
      </c>
      <c r="C111" s="3" t="str">
        <f>IFERROR(__xludf.DUMMYFUNCTION("GOOGLETRANSLATE(B111,""id"",""en"")"),"['Package', 'Internet', 'cheap']")</f>
        <v>['Package', 'Internet', 'cheap']</v>
      </c>
      <c r="D111" s="3">
        <v>1.0</v>
      </c>
    </row>
    <row r="112" ht="15.75" customHeight="1">
      <c r="A112" s="1">
        <v>114.0</v>
      </c>
      <c r="B112" s="3" t="s">
        <v>113</v>
      </c>
      <c r="C112" s="3" t="str">
        <f>IFERROR(__xludf.DUMMYFUNCTION("GOOGLETRANSLATE(B112,""id"",""en"")"),"['Mantat', 'fell', 'promo']")</f>
        <v>['Mantat', 'fell', 'promo']</v>
      </c>
      <c r="D112" s="3">
        <v>5.0</v>
      </c>
    </row>
    <row r="113" ht="15.75" customHeight="1">
      <c r="A113" s="1">
        <v>115.0</v>
      </c>
      <c r="B113" s="3" t="s">
        <v>114</v>
      </c>
      <c r="C113" s="3" t="str">
        <f>IFERROR(__xludf.DUMMYFUNCTION("GOOGLETRANSLATE(B113,""id"",""en"")"),"['Contents',' pulse ',' RB ',' entry ',' RB ',' Doang ',' times', 'contents',' pulse ',' nominal ',' rb ',' he can ',' according to ',' balance ',' fill in ',' Telkomsel ',' slow ',' already ',' expensive ',' slow ',' contents', 'pulse', 'corruption', 'Th"&amp;"ank', 'You' , 'Yaaa', ""]")</f>
        <v>['Contents',' pulse ',' RB ',' entry ',' RB ',' Doang ',' times', 'contents',' pulse ',' nominal ',' rb ',' he can ',' according to ',' balance ',' fill in ',' Telkomsel ',' slow ',' already ',' expensive ',' slow ',' contents', 'pulse', 'corruption', 'Thank', 'You' , 'Yaaa', "]</v>
      </c>
      <c r="D113" s="3">
        <v>1.0</v>
      </c>
    </row>
    <row r="114" ht="15.75" customHeight="1">
      <c r="A114" s="1">
        <v>116.0</v>
      </c>
      <c r="B114" s="3" t="s">
        <v>115</v>
      </c>
      <c r="C114" s="3" t="str">
        <f>IFERROR(__xludf.DUMMYFUNCTION("GOOGLETRANSLATE(B114,""id"",""en"")"),"['Kayak', 'heavy', 'really', 'the application', 'Lambaaaat', 'NOT', 'HRG', 'HRG', 'package', 'smakin', 'expensive', 'according to' HRG ',' Yaaa ',' Network ',' Leet ',' HDEH ',' ']")</f>
        <v>['Kayak', 'heavy', 'really', 'the application', 'Lambaaaat', 'NOT', 'HRG', 'HRG', 'package', 'smakin', 'expensive', 'according to' HRG ',' Yaaa ',' Network ',' Leet ',' HDEH ',' ']</v>
      </c>
      <c r="D114" s="3">
        <v>1.0</v>
      </c>
    </row>
    <row r="115" ht="15.75" customHeight="1">
      <c r="A115" s="1">
        <v>117.0</v>
      </c>
      <c r="B115" s="3" t="s">
        <v>116</v>
      </c>
      <c r="C115" s="3" t="str">
        <f>IFERROR(__xludf.DUMMYFUNCTION("GOOGLETRANSLATE(B115,""id"",""en"")"),"['Telkomtol', 'network', 'kayak', 'pigiii', 'network', 'kayak', 'snail', 'repair']")</f>
        <v>['Telkomtol', 'network', 'kayak', 'pigiii', 'network', 'kayak', 'snail', 'repair']</v>
      </c>
      <c r="D115" s="3">
        <v>1.0</v>
      </c>
    </row>
    <row r="116" ht="15.75" customHeight="1">
      <c r="A116" s="1">
        <v>118.0</v>
      </c>
      <c r="B116" s="3" t="s">
        <v>117</v>
      </c>
      <c r="C116" s="3" t="str">
        <f>IFERROR(__xludf.DUMMYFUNCTION("GOOGLETRANSLATE(B116,""id"",""en"")"),"['promo', 'ugly', '']")</f>
        <v>['promo', 'ugly', '']</v>
      </c>
      <c r="D116" s="3">
        <v>1.0</v>
      </c>
    </row>
    <row r="117" ht="15.75" customHeight="1">
      <c r="A117" s="1">
        <v>119.0</v>
      </c>
      <c r="B117" s="3" t="s">
        <v>118</v>
      </c>
      <c r="C117" s="3" t="str">
        <f>IFERROR(__xludf.DUMMYFUNCTION("GOOGLETRANSLATE(B117,""id"",""en"")"),"['buy', 'package', 'gamemax', 'diamond', 'free', 'fire', 'sms',' code ',' voucher ',' world ',' game ',' entry ',' Inbox ',' SMS ']")</f>
        <v>['buy', 'package', 'gamemax', 'diamond', 'free', 'fire', 'sms',' code ',' voucher ',' world ',' game ',' entry ',' Inbox ',' SMS ']</v>
      </c>
      <c r="D117" s="3">
        <v>1.0</v>
      </c>
    </row>
    <row r="118" ht="15.75" customHeight="1">
      <c r="A118" s="1">
        <v>120.0</v>
      </c>
      <c r="B118" s="3" t="s">
        <v>119</v>
      </c>
      <c r="C118" s="3" t="str">
        <f>IFERROR(__xludf.DUMMYFUNCTION("GOOGLETRANSLATE(B118,""id"",""en"")"),"['Please', 'Add', 'Method', 'Purchase', 'Credit', 'Virtual', 'Account', 'BRI']")</f>
        <v>['Please', 'Add', 'Method', 'Purchase', 'Credit', 'Virtual', 'Account', 'BRI']</v>
      </c>
      <c r="D118" s="3">
        <v>3.0</v>
      </c>
    </row>
    <row r="119" ht="15.75" customHeight="1">
      <c r="A119" s="1">
        <v>121.0</v>
      </c>
      <c r="B119" s="3" t="s">
        <v>120</v>
      </c>
      <c r="C119" s="3" t="str">
        <f>IFERROR(__xludf.DUMMYFUNCTION("GOOGLETRANSLATE(B119,""id"",""en"")"),"['easy', 'operating']")</f>
        <v>['easy', 'operating']</v>
      </c>
      <c r="D119" s="3">
        <v>3.0</v>
      </c>
    </row>
    <row r="120" ht="15.75" customHeight="1">
      <c r="A120" s="1">
        <v>122.0</v>
      </c>
      <c r="B120" s="3" t="s">
        <v>121</v>
      </c>
      <c r="C120" s="3" t="str">
        <f>IFERROR(__xludf.DUMMYFUNCTION("GOOGLETRANSLATE(B120,""id"",""en"")"),"['Come on', 'buy', 'Package', 'Data', 'Telkomsel']")</f>
        <v>['Come on', 'buy', 'Package', 'Data', 'Telkomsel']</v>
      </c>
      <c r="D120" s="3">
        <v>5.0</v>
      </c>
    </row>
    <row r="121" ht="15.75" customHeight="1">
      <c r="A121" s="1">
        <v>123.0</v>
      </c>
      <c r="B121" s="3" t="s">
        <v>122</v>
      </c>
      <c r="C121" s="3" t="str">
        <f>IFERROR(__xludf.DUMMYFUNCTION("GOOGLETRANSLATE(B121,""id"",""en"")"),"['easy']")</f>
        <v>['easy']</v>
      </c>
      <c r="D121" s="3">
        <v>4.0</v>
      </c>
    </row>
    <row r="122" ht="15.75" customHeight="1">
      <c r="A122" s="1">
        <v>124.0</v>
      </c>
      <c r="B122" s="3" t="s">
        <v>123</v>
      </c>
      <c r="C122" s="3" t="str">
        <f>IFERROR(__xludf.DUMMYFUNCTION("GOOGLETRANSLATE(B122,""id"",""en"")"),"['area', 'signal', 'beam', 'dead', 'lights',' signal ',' lngsung ',' lost ',' satisfying ',' Telkomsel ',' bengkulu ',' north ',' Water ',' iron ',' ']")</f>
        <v>['area', 'signal', 'beam', 'dead', 'lights',' signal ',' lngsung ',' lost ',' satisfying ',' Telkomsel ',' bengkulu ',' north ',' Water ',' iron ',' ']</v>
      </c>
      <c r="D122" s="3">
        <v>3.0</v>
      </c>
    </row>
    <row r="123" ht="15.75" customHeight="1">
      <c r="A123" s="1">
        <v>125.0</v>
      </c>
      <c r="B123" s="3" t="s">
        <v>124</v>
      </c>
      <c r="C123" s="3" t="str">
        <f>IFERROR(__xludf.DUMMYFUNCTION("GOOGLETRANSLATE(B123,""id"",""en"")"),"['Sometimes',' Wonder ',' Connection ',' Internet ',' Increases', 'Sharp', 'Open', 'Application', 'Telkomsel', 'Fair', 'Server', 'Connection', ' program ',' smooth ',' night ',' morning ',' ']")</f>
        <v>['Sometimes',' Wonder ',' Connection ',' Internet ',' Increases', 'Sharp', 'Open', 'Application', 'Telkomsel', 'Fair', 'Server', 'Connection', ' program ',' smooth ',' night ',' morning ',' ']</v>
      </c>
      <c r="D123" s="3">
        <v>1.0</v>
      </c>
    </row>
    <row r="124" ht="15.75" customHeight="1">
      <c r="A124" s="1">
        <v>126.0</v>
      </c>
      <c r="B124" s="3" t="s">
        <v>125</v>
      </c>
      <c r="C124" s="3" t="str">
        <f>IFERROR(__xludf.DUMMYFUNCTION("GOOGLETRANSLATE(B124,""id"",""en"")"),"['expensive', 'package', 'internet']")</f>
        <v>['expensive', 'package', 'internet']</v>
      </c>
      <c r="D124" s="3">
        <v>2.0</v>
      </c>
    </row>
    <row r="125" ht="15.75" customHeight="1">
      <c r="A125" s="1">
        <v>127.0</v>
      </c>
      <c r="B125" s="3" t="s">
        <v>126</v>
      </c>
      <c r="C125" s="3" t="str">
        <f>IFERROR(__xludf.DUMMYFUNCTION("GOOGLETRANSLATE(B125,""id"",""en"")"),"['package', 'expensive', 'network', 'slow', 'good', 'because', 'number', 'number', 'affairs', 'work', '']")</f>
        <v>['package', 'expensive', 'network', 'slow', 'good', 'because', 'number', 'number', 'affairs', 'work', '']</v>
      </c>
      <c r="D125" s="3">
        <v>1.0</v>
      </c>
    </row>
    <row r="126" ht="15.75" customHeight="1">
      <c r="A126" s="1">
        <v>128.0</v>
      </c>
      <c r="B126" s="3" t="s">
        <v>127</v>
      </c>
      <c r="C126" s="3" t="str">
        <f>IFERROR(__xludf.DUMMYFUNCTION("GOOGLETRANSLATE(B126,""id"",""en"")"),"['Package', 'Internet', 'expensive']")</f>
        <v>['Package', 'Internet', 'expensive']</v>
      </c>
      <c r="D126" s="3">
        <v>1.0</v>
      </c>
    </row>
    <row r="127" ht="15.75" customHeight="1">
      <c r="A127" s="1">
        <v>129.0</v>
      </c>
      <c r="B127" s="3" t="s">
        <v>128</v>
      </c>
      <c r="C127" s="3" t="str">
        <f>IFERROR(__xludf.DUMMYFUNCTION("GOOGLETRANSLATE(B127,""id"",""en"")"),"['Overcome', 'Mass', 'Points', 'Sink', 'Pulse', 'Telfn']")</f>
        <v>['Overcome', 'Mass', 'Points', 'Sink', 'Pulse', 'Telfn']</v>
      </c>
      <c r="D127" s="3">
        <v>5.0</v>
      </c>
    </row>
    <row r="128" ht="15.75" customHeight="1">
      <c r="A128" s="1">
        <v>130.0</v>
      </c>
      <c r="B128" s="3" t="s">
        <v>129</v>
      </c>
      <c r="C128" s="3" t="str">
        <f>IFERROR(__xludf.DUMMYFUNCTION("GOOGLETRANSLATE(B128,""id"",""en"")"),"['love', 'star', 'deh', 'because' severe ',' bnget ',' check ',' quota ',' buy ',' package ',' internet ',' loading ',' Mulu ']")</f>
        <v>['love', 'star', 'deh', 'because' severe ',' bnget ',' check ',' quota ',' buy ',' package ',' internet ',' loading ',' Mulu ']</v>
      </c>
      <c r="D128" s="3">
        <v>1.0</v>
      </c>
    </row>
    <row r="129" ht="15.75" customHeight="1">
      <c r="A129" s="1">
        <v>131.0</v>
      </c>
      <c r="B129" s="3" t="s">
        <v>130</v>
      </c>
      <c r="C129" s="3" t="str">
        <f>IFERROR(__xludf.DUMMYFUNCTION("GOOGLETRANSLATE(B129,""id"",""en"")"),"['Increase', 'promo', 'cheap', '']")</f>
        <v>['Increase', 'promo', 'cheap', '']</v>
      </c>
      <c r="D129" s="3">
        <v>5.0</v>
      </c>
    </row>
    <row r="130" ht="15.75" customHeight="1">
      <c r="A130" s="1">
        <v>132.0</v>
      </c>
      <c r="B130" s="3" t="s">
        <v>131</v>
      </c>
      <c r="C130" s="3" t="str">
        <f>IFERROR(__xludf.DUMMYFUNCTION("GOOGLETRANSLATE(B130,""id"",""en"")"),"['Surmagaat']")</f>
        <v>['Surmagaat']</v>
      </c>
      <c r="D130" s="3">
        <v>4.0</v>
      </c>
    </row>
    <row r="131" ht="15.75" customHeight="1">
      <c r="A131" s="1">
        <v>133.0</v>
      </c>
      <c r="B131" s="3" t="s">
        <v>132</v>
      </c>
      <c r="C131" s="3" t="str">
        <f>IFERROR(__xludf.DUMMYFUNCTION("GOOGLETRANSLATE(B131,""id"",""en"")"),"['internet', 'super', 'slow', 'already', 'report', 'many', 'times', 'send', 'data', 'tetep', 'slow', 'change']")</f>
        <v>['internet', 'super', 'slow', 'already', 'report', 'many', 'times', 'send', 'data', 'tetep', 'slow', 'change']</v>
      </c>
      <c r="D131" s="3">
        <v>1.0</v>
      </c>
    </row>
    <row r="132" ht="15.75" customHeight="1">
      <c r="A132" s="1">
        <v>134.0</v>
      </c>
      <c r="B132" s="3" t="s">
        <v>133</v>
      </c>
      <c r="C132" s="3" t="str">
        <f>IFERROR(__xludf.DUMMYFUNCTION("GOOGLETRANSLATE(B132,""id"",""en"")"),"['Bener', 'Bener', 'sympathy', 'signal', 'severe', 'really', 'UDH', 'rich', 'quota', 'pdahal', 'contents',' quota ',' Gaush ',' contact ',' situ ',' fix ',' ajah ',' direct ',' signal ',' jngan ',' expensive ',' quality ',' relationship ',' job ',' Udh ' "&amp;", 'replace', 'dri', 'kpan', 'please', 'fix', 'signal', 'masi', 'stay', 'city', 'signal', 'udh', 'rich', ' Mountain']")</f>
        <v>['Bener', 'Bener', 'sympathy', 'signal', 'severe', 'really', 'UDH', 'rich', 'quota', 'pdahal', 'contents',' quota ',' Gaush ',' contact ',' situ ',' fix ',' ajah ',' direct ',' signal ',' jngan ',' expensive ',' quality ',' relationship ',' job ',' Udh ' , 'replace', 'dri', 'kpan', 'please', 'fix', 'signal', 'masi', 'stay', 'city', 'signal', 'udh', 'rich', ' Mountain']</v>
      </c>
      <c r="D132" s="3">
        <v>1.0</v>
      </c>
    </row>
    <row r="133" ht="15.75" customHeight="1">
      <c r="A133" s="1">
        <v>135.0</v>
      </c>
      <c r="B133" s="3" t="s">
        <v>134</v>
      </c>
      <c r="C133" s="3" t="str">
        <f>IFERROR(__xludf.DUMMYFUNCTION("GOOGLETRANSLATE(B133,""id"",""en"")"),"['cool']")</f>
        <v>['cool']</v>
      </c>
      <c r="D133" s="3">
        <v>5.0</v>
      </c>
    </row>
    <row r="134" ht="15.75" customHeight="1">
      <c r="A134" s="1">
        <v>137.0</v>
      </c>
      <c r="B134" s="3" t="s">
        <v>135</v>
      </c>
      <c r="C134" s="3" t="str">
        <f>IFERROR(__xludf.DUMMYFUNCTION("GOOGLETRANSLATE(B134,""id"",""en"")"),"['Good', 'help', ""]")</f>
        <v>['Good', 'help', "]</v>
      </c>
      <c r="D134" s="3">
        <v>5.0</v>
      </c>
    </row>
    <row r="135" ht="15.75" customHeight="1">
      <c r="A135" s="1">
        <v>138.0</v>
      </c>
      <c r="B135" s="3" t="s">
        <v>136</v>
      </c>
      <c r="C135" s="3" t="str">
        <f>IFERROR(__xludf.DUMMYFUNCTION("GOOGLETRANSLATE(B135,""id"",""en"")"),"['Story', 'according to', 'fact', 'sms', 'promotion', 'realization']")</f>
        <v>['Story', 'according to', 'fact', 'sms', 'promotion', 'realization']</v>
      </c>
      <c r="D135" s="3">
        <v>1.0</v>
      </c>
    </row>
    <row r="136" ht="15.75" customHeight="1">
      <c r="A136" s="1">
        <v>139.0</v>
      </c>
      <c r="B136" s="3" t="s">
        <v>137</v>
      </c>
      <c r="C136" s="3" t="str">
        <f>IFERROR(__xludf.DUMMYFUNCTION("GOOGLETRANSLATE(B136,""id"",""en"")"),"Of course")</f>
        <v>Of course</v>
      </c>
      <c r="D136" s="3">
        <v>5.0</v>
      </c>
    </row>
    <row r="137" ht="15.75" customHeight="1">
      <c r="A137" s="1">
        <v>140.0</v>
      </c>
      <c r="B137" s="3" t="s">
        <v>138</v>
      </c>
      <c r="C137" s="3" t="str">
        <f>IFERROR(__xludf.DUMMYFUNCTION("GOOGLETRANSLATE(B137,""id"",""en"")"),"['skrg', 'Telkomsel', 'internet', 'region', 'banjarmasin', 'kal', 'cell', 'network', 'slow', 'skrg', 'uda', 'pke', ' Telkomsel ',' internit ',' ']")</f>
        <v>['skrg', 'Telkomsel', 'internet', 'region', 'banjarmasin', 'kal', 'cell', 'network', 'slow', 'skrg', 'uda', 'pke', ' Telkomsel ',' internit ',' ']</v>
      </c>
      <c r="D137" s="3">
        <v>1.0</v>
      </c>
    </row>
    <row r="138" ht="15.75" customHeight="1">
      <c r="A138" s="1">
        <v>141.0</v>
      </c>
      <c r="B138" s="3" t="s">
        <v>139</v>
      </c>
      <c r="C138" s="3" t="str">
        <f>IFERROR(__xludf.DUMMYFUNCTION("GOOGLETRANSLATE(B138,""id"",""en"")"),"['Network', 'bad', 'good', 'exis']")</f>
        <v>['Network', 'bad', 'good', 'exis']</v>
      </c>
      <c r="D138" s="3">
        <v>2.0</v>
      </c>
    </row>
    <row r="139" ht="15.75" customHeight="1">
      <c r="A139" s="1">
        <v>142.0</v>
      </c>
      <c r="B139" s="3" t="s">
        <v>140</v>
      </c>
      <c r="C139" s="3" t="str">
        <f>IFERROR(__xludf.DUMMYFUNCTION("GOOGLETRANSLATE(B139,""id"",""en"")"),"['package', 'data', 'expensive', 'moved', 'card', 'SIM', 'brand', 'next door', 'low', 'gini', 'mah', 'expensive', ' Lazy ',' buy ',' ']")</f>
        <v>['package', 'data', 'expensive', 'moved', 'card', 'SIM', 'brand', 'next door', 'low', 'gini', 'mah', 'expensive', ' Lazy ',' buy ',' ']</v>
      </c>
      <c r="D139" s="3">
        <v>1.0</v>
      </c>
    </row>
    <row r="140" ht="15.75" customHeight="1">
      <c r="A140" s="1">
        <v>143.0</v>
      </c>
      <c r="B140" s="3" t="s">
        <v>141</v>
      </c>
      <c r="C140" s="3" t="str">
        <f>IFERROR(__xludf.DUMMYFUNCTION("GOOGLETRANSLATE(B140,""id"",""en"")"),"['network', 'chaotic', 'woy', 'intention', 'mqkin', 'expensive', 'quota', 'internet', 'bankrupt', 'disappointed', '']")</f>
        <v>['network', 'chaotic', 'woy', 'intention', 'mqkin', 'expensive', 'quota', 'internet', 'bankrupt', 'disappointed', '']</v>
      </c>
      <c r="D140" s="3">
        <v>1.0</v>
      </c>
    </row>
    <row r="141" ht="15.75" customHeight="1">
      <c r="A141" s="1">
        <v>144.0</v>
      </c>
      <c r="B141" s="3" t="s">
        <v>142</v>
      </c>
      <c r="C141" s="3" t="str">
        <f>IFERROR(__xludf.DUMMYFUNCTION("GOOGLETRANSLATE(B141,""id"",""en"")"),"['Sya', 'try', 'APL', 'Hope', 'Good', '']")</f>
        <v>['Sya', 'try', 'APL', 'Hope', 'Good', '']</v>
      </c>
      <c r="D141" s="3">
        <v>5.0</v>
      </c>
    </row>
    <row r="142" ht="15.75" customHeight="1">
      <c r="A142" s="1">
        <v>145.0</v>
      </c>
      <c r="B142" s="3" t="s">
        <v>143</v>
      </c>
      <c r="C142" s="3" t="str">
        <f>IFERROR(__xludf.DUMMYFUNCTION("GOOGLETRANSLATE(B142,""id"",""en"")"),"['application', 'steady', 'buy', 'package', 'application', 'disconnya']")</f>
        <v>['application', 'steady', 'buy', 'package', 'application', 'disconnya']</v>
      </c>
      <c r="D142" s="3">
        <v>5.0</v>
      </c>
    </row>
    <row r="143" ht="15.75" customHeight="1">
      <c r="A143" s="1">
        <v>146.0</v>
      </c>
      <c r="B143" s="3" t="s">
        <v>144</v>
      </c>
      <c r="C143" s="3" t="str">
        <f>IFERROR(__xludf.DUMMYFUNCTION("GOOGLETRANSLATE(B143,""id"",""en"")"),"['Suitable', 'easy', 'help']")</f>
        <v>['Suitable', 'easy', 'help']</v>
      </c>
      <c r="D143" s="3">
        <v>5.0</v>
      </c>
    </row>
    <row r="144" ht="15.75" customHeight="1">
      <c r="A144" s="1">
        <v>147.0</v>
      </c>
      <c r="B144" s="3" t="s">
        <v>145</v>
      </c>
      <c r="C144" s="3" t="str">
        <f>IFERROR(__xludf.DUMMYFUNCTION("GOOGLETRANSLATE(B144,""id"",""en"")"),"['Steady', 'help', ""]")</f>
        <v>['Steady', 'help', "]</v>
      </c>
      <c r="D144" s="3">
        <v>5.0</v>
      </c>
    </row>
    <row r="145" ht="15.75" customHeight="1">
      <c r="A145" s="1">
        <v>148.0</v>
      </c>
      <c r="B145" s="3" t="s">
        <v>146</v>
      </c>
      <c r="C145" s="3" t="str">
        <f>IFERROR(__xludf.DUMMYFUNCTION("GOOGLETRANSLATE(B145,""id"",""en"")"),"['Min', 'Addin', 'Lock', 'Credit', 'Cut', 'Pas', 'Monitor', 'Data']")</f>
        <v>['Min', 'Addin', 'Lock', 'Credit', 'Cut', 'Pas', 'Monitor', 'Data']</v>
      </c>
      <c r="D145" s="3">
        <v>2.0</v>
      </c>
    </row>
    <row r="146" ht="15.75" customHeight="1">
      <c r="A146" s="1">
        <v>149.0</v>
      </c>
      <c r="B146" s="3" t="s">
        <v>147</v>
      </c>
      <c r="C146" s="3" t="str">
        <f>IFERROR(__xludf.DUMMYFUNCTION("GOOGLETRANSLATE(B146,""id"",""en"")"),"['Easy', 'buy', 'choose', 'package', '']")</f>
        <v>['Easy', 'buy', 'choose', 'package', '']</v>
      </c>
      <c r="D146" s="3">
        <v>5.0</v>
      </c>
    </row>
    <row r="147" ht="15.75" customHeight="1">
      <c r="A147" s="1">
        <v>150.0</v>
      </c>
      <c r="B147" s="3" t="s">
        <v>148</v>
      </c>
      <c r="C147" s="3" t="str">
        <f>IFERROR(__xludf.DUMMYFUNCTION("GOOGLETRANSLATE(B147,""id"",""en"")"),"['Network', 'add', 'Nambah', 'rotten', 'Telkomsel', 'disappointed', 'kapok']")</f>
        <v>['Network', 'add', 'Nambah', 'rotten', 'Telkomsel', 'disappointed', 'kapok']</v>
      </c>
      <c r="D147" s="3">
        <v>1.0</v>
      </c>
    </row>
    <row r="148" ht="15.75" customHeight="1">
      <c r="A148" s="1">
        <v>151.0</v>
      </c>
      <c r="B148" s="3" t="s">
        <v>149</v>
      </c>
      <c r="C148" s="3" t="str">
        <f>IFERROR(__xludf.DUMMYFUNCTION("GOOGLETRANSLATE(B148,""id"",""en"")"),"['applicationx', 'koq', 'yesterday', 'open', '']")</f>
        <v>['applicationx', 'koq', 'yesterday', 'open', '']</v>
      </c>
      <c r="D148" s="3">
        <v>1.0</v>
      </c>
    </row>
    <row r="149" ht="15.75" customHeight="1">
      <c r="A149" s="1">
        <v>152.0</v>
      </c>
      <c r="B149" s="3" t="s">
        <v>150</v>
      </c>
      <c r="C149" s="3" t="str">
        <f>IFERROR(__xludf.DUMMYFUNCTION("GOOGLETRANSLATE(B149,""id"",""en"")"),"['Terbimah', 'Love', 'Telkomsel', 'Not bad', 'Good', ""]")</f>
        <v>['Terbimah', 'Love', 'Telkomsel', 'Not bad', 'Good', "]</v>
      </c>
      <c r="D149" s="3">
        <v>4.0</v>
      </c>
    </row>
    <row r="150" ht="15.75" customHeight="1">
      <c r="A150" s="1">
        <v>153.0</v>
      </c>
      <c r="B150" s="3" t="s">
        <v>151</v>
      </c>
      <c r="C150" s="3" t="str">
        <f>IFERROR(__xludf.DUMMYFUNCTION("GOOGLETRANSLATE(B150,""id"",""en"")"),"['Network', 'paraahh', 'quota', 'expensive', ""]")</f>
        <v>['Network', 'paraahh', 'quota', 'expensive', "]</v>
      </c>
      <c r="D150" s="3">
        <v>1.0</v>
      </c>
    </row>
    <row r="151" ht="15.75" customHeight="1">
      <c r="A151" s="1">
        <v>154.0</v>
      </c>
      <c r="B151" s="3" t="s">
        <v>10</v>
      </c>
      <c r="C151" s="3" t="str">
        <f>IFERROR(__xludf.DUMMYFUNCTION("GOOGLETRANSLATE(B151,""id"",""en"")"),"['like', 'application']")</f>
        <v>['like', 'application']</v>
      </c>
      <c r="D151" s="3">
        <v>5.0</v>
      </c>
    </row>
    <row r="152" ht="15.75" customHeight="1">
      <c r="A152" s="1">
        <v>155.0</v>
      </c>
      <c r="B152" s="3" t="s">
        <v>152</v>
      </c>
      <c r="C152" s="3" t="str">
        <f>IFERROR(__xludf.DUMMYFUNCTION("GOOGLETRANSLATE(B152,""id"",""en"")"),"['Details', 'package', 'steady', 'promo', 'keep', 'quality']")</f>
        <v>['Details', 'package', 'steady', 'promo', 'keep', 'quality']</v>
      </c>
      <c r="D152" s="3">
        <v>5.0</v>
      </c>
    </row>
    <row r="153" ht="15.75" customHeight="1">
      <c r="A153" s="1">
        <v>156.0</v>
      </c>
      <c r="B153" s="3" t="s">
        <v>153</v>
      </c>
      <c r="C153" s="3" t="str">
        <f>IFERROR(__xludf.DUMMYFUNCTION("GOOGLETRANSLATE(B153,""id"",""en"")"),"['Bgus', 'SNGT', 'Help']")</f>
        <v>['Bgus', 'SNGT', 'Help']</v>
      </c>
      <c r="D153" s="3">
        <v>5.0</v>
      </c>
    </row>
    <row r="154" ht="15.75" customHeight="1">
      <c r="A154" s="1">
        <v>157.0</v>
      </c>
      <c r="B154" s="3" t="s">
        <v>154</v>
      </c>
      <c r="C154" s="3" t="str">
        <f>IFERROR(__xludf.DUMMYFUNCTION("GOOGLETRANSLATE(B154,""id"",""en"")"),"['satisfying']")</f>
        <v>['satisfying']</v>
      </c>
      <c r="D154" s="3">
        <v>5.0</v>
      </c>
    </row>
    <row r="155" ht="15.75" customHeight="1">
      <c r="A155" s="1">
        <v>158.0</v>
      </c>
      <c r="B155" s="3" t="s">
        <v>155</v>
      </c>
      <c r="C155" s="3" t="str">
        <f>IFERROR(__xludf.DUMMYFUNCTION("GOOGLETRANSLATE(B155,""id"",""en"")"),"['Good', 'promo', 'good', '']")</f>
        <v>['Good', 'promo', 'good', '']</v>
      </c>
      <c r="D155" s="3">
        <v>5.0</v>
      </c>
    </row>
    <row r="156" ht="15.75" customHeight="1">
      <c r="A156" s="1">
        <v>159.0</v>
      </c>
      <c r="B156" s="3" t="s">
        <v>156</v>
      </c>
      <c r="C156" s="3" t="str">
        <f>IFERROR(__xludf.DUMMYFUNCTION("GOOGLETRANSLATE(B156,""id"",""en"")"),"['steady']")</f>
        <v>['steady']</v>
      </c>
      <c r="D156" s="3">
        <v>5.0</v>
      </c>
    </row>
    <row r="157" ht="15.75" customHeight="1">
      <c r="A157" s="1">
        <v>160.0</v>
      </c>
      <c r="B157" s="3" t="s">
        <v>157</v>
      </c>
      <c r="C157" s="3" t="str">
        <f>IFERROR(__xludf.DUMMYFUNCTION("GOOGLETRANSLATE(B157,""id"",""en"")"),"['Good', 'boss', '']")</f>
        <v>['Good', 'boss', '']</v>
      </c>
      <c r="D157" s="3">
        <v>5.0</v>
      </c>
    </row>
    <row r="158" ht="15.75" customHeight="1">
      <c r="A158" s="1">
        <v>161.0</v>
      </c>
      <c r="B158" s="3" t="s">
        <v>158</v>
      </c>
      <c r="C158" s="3" t="str">
        <f>IFERROR(__xludf.DUMMYFUNCTION("GOOGLETRANSLATE(B158,""id"",""en"")"),"['Price', 'Package', 'Cheap', 'Application']")</f>
        <v>['Price', 'Package', 'Cheap', 'Application']</v>
      </c>
      <c r="D158" s="3">
        <v>5.0</v>
      </c>
    </row>
    <row r="159" ht="15.75" customHeight="1">
      <c r="A159" s="1">
        <v>163.0</v>
      </c>
      <c r="B159" s="3" t="s">
        <v>159</v>
      </c>
      <c r="C159" s="3" t="str">
        <f>IFERROR(__xludf.DUMMYFUNCTION("GOOGLETRANSLATE(B159,""id"",""en"")"),"['Knp', 'Yya', 'data', 'cellular', 'nyaturi', 'pulse', 'reduced', 'pdhl', 'ngeta', 'what' do ',' ngalain ',' data ',' Cellular ',' Season ',' ckkk ',' reduced ',' kmrn ',' balance ',' reduced ',' trs', 'trs',' ber ',' gmn ',' sie ',' ']")</f>
        <v>['Knp', 'Yya', 'data', 'cellular', 'nyaturi', 'pulse', 'reduced', 'pdhl', 'ngeta', 'what' do ',' ngalain ',' data ',' Cellular ',' Season ',' ckkk ',' reduced ',' kmrn ',' balance ',' reduced ',' trs', 'trs',' ber ',' gmn ',' sie ',' ']</v>
      </c>
      <c r="D159" s="3">
        <v>2.0</v>
      </c>
    </row>
    <row r="160" ht="15.75" customHeight="1">
      <c r="A160" s="1">
        <v>164.0</v>
      </c>
      <c r="B160" s="3" t="s">
        <v>160</v>
      </c>
      <c r="C160" s="3" t="str">
        <f>IFERROR(__xludf.DUMMYFUNCTION("GOOGLETRANSLATE(B160,""id"",""en"")"),"['reasonable']")</f>
        <v>['reasonable']</v>
      </c>
      <c r="D160" s="3">
        <v>5.0</v>
      </c>
    </row>
    <row r="161" ht="15.75" customHeight="1">
      <c r="A161" s="1">
        <v>165.0</v>
      </c>
      <c r="B161" s="3" t="s">
        <v>161</v>
      </c>
      <c r="C161" s="3" t="str">
        <f>IFERROR(__xludf.DUMMYFUNCTION("GOOGLETRANSLATE(B161,""id"",""en"")"),"['Telkomnyet', 'Ajgx', 'pulse', 'cave', 'suck', 'mulu', 'ajx', 'emang']")</f>
        <v>['Telkomnyet', 'Ajgx', 'pulse', 'cave', 'suck', 'mulu', 'ajx', 'emang']</v>
      </c>
      <c r="D161" s="3">
        <v>1.0</v>
      </c>
    </row>
    <row r="162" ht="15.75" customHeight="1">
      <c r="A162" s="1">
        <v>166.0</v>
      </c>
      <c r="B162" s="3" t="s">
        <v>162</v>
      </c>
      <c r="C162" s="3" t="str">
        <f>IFERROR(__xludf.DUMMYFUNCTION("GOOGLETRANSLATE(B162,""id"",""en"")"),"['Lemot', 'really', '']")</f>
        <v>['Lemot', 'really', '']</v>
      </c>
      <c r="D162" s="3">
        <v>3.0</v>
      </c>
    </row>
    <row r="163" ht="15.75" customHeight="1">
      <c r="A163" s="1">
        <v>167.0</v>
      </c>
      <c r="B163" s="3" t="s">
        <v>163</v>
      </c>
      <c r="C163" s="3" t="str">
        <f>IFERROR(__xludf.DUMMYFUNCTION("GOOGLETRANSLATE(B163,""id"",""en"")"),"['easy', 'fast']")</f>
        <v>['easy', 'fast']</v>
      </c>
      <c r="D163" s="3">
        <v>5.0</v>
      </c>
    </row>
    <row r="164" ht="15.75" customHeight="1">
      <c r="A164" s="1">
        <v>168.0</v>
      </c>
      <c r="B164" s="3" t="s">
        <v>164</v>
      </c>
      <c r="C164" s="3" t="str">
        <f>IFERROR(__xludf.DUMMYFUNCTION("GOOGLETRANSLATE(B164,""id"",""en"")"),"['Good', 'Useful']")</f>
        <v>['Good', 'Useful']</v>
      </c>
      <c r="D164" s="3">
        <v>5.0</v>
      </c>
    </row>
    <row r="165" ht="15.75" customHeight="1">
      <c r="A165" s="1">
        <v>169.0</v>
      </c>
      <c r="B165" s="3" t="s">
        <v>165</v>
      </c>
      <c r="C165" s="3" t="str">
        <f>IFERROR(__xludf.DUMMYFUNCTION("GOOGLETRANSLATE(B165,""id"",""en"")"),"['Bagus', 'Simple', 'Ribett', 'Hopefully', 'Next', 'Easy', 'Untk', 'Transaction', ""]")</f>
        <v>['Bagus', 'Simple', 'Ribett', 'Hopefully', 'Next', 'Easy', 'Untk', 'Transaction', "]</v>
      </c>
      <c r="D165" s="3">
        <v>4.0</v>
      </c>
    </row>
    <row r="166" ht="15.75" customHeight="1">
      <c r="A166" s="1">
        <v>170.0</v>
      </c>
      <c r="B166" s="3" t="s">
        <v>166</v>
      </c>
      <c r="C166" s="3" t="str">
        <f>IFERROR(__xludf.DUMMYFUNCTION("GOOGLETRANSLATE(B166,""id"",""en"")"),"['process', 'fast', 'promo', 'price', 'according to', 'said', '']")</f>
        <v>['process', 'fast', 'promo', 'price', 'according to', 'said', '']</v>
      </c>
      <c r="D166" s="3">
        <v>5.0</v>
      </c>
    </row>
    <row r="167" ht="15.75" customHeight="1">
      <c r="A167" s="1">
        <v>171.0</v>
      </c>
      <c r="B167" s="3" t="s">
        <v>167</v>
      </c>
      <c r="C167" s="3" t="str">
        <f>IFERROR(__xludf.DUMMYFUNCTION("GOOGLETRANSLATE(B167,""id"",""en"")"),"['Network', 'bad', 'payment', 'purchase', 'package', 'dperissulse', '']")</f>
        <v>['Network', 'bad', 'payment', 'purchase', 'package', 'dperissulse', '']</v>
      </c>
      <c r="D167" s="3">
        <v>2.0</v>
      </c>
    </row>
    <row r="168" ht="15.75" customHeight="1">
      <c r="A168" s="1">
        <v>172.0</v>
      </c>
      <c r="B168" s="3" t="s">
        <v>168</v>
      </c>
      <c r="C168" s="3" t="str">
        <f>IFERROR(__xludf.DUMMYFUNCTION("GOOGLETRANSLATE(B168,""id"",""en"")"),"['confused', 'bill']")</f>
        <v>['confused', 'bill']</v>
      </c>
      <c r="D168" s="3">
        <v>2.0</v>
      </c>
    </row>
    <row r="169" ht="15.75" customHeight="1">
      <c r="A169" s="1">
        <v>173.0</v>
      </c>
      <c r="B169" s="3" t="s">
        <v>169</v>
      </c>
      <c r="C169" s="3" t="str">
        <f>IFERROR(__xludf.DUMMYFUNCTION("GOOGLETRANSLATE(B169,""id"",""en"")"),"['Siip', 'Mantab', 'Telkomsel']")</f>
        <v>['Siip', 'Mantab', 'Telkomsel']</v>
      </c>
      <c r="D169" s="3">
        <v>5.0</v>
      </c>
    </row>
    <row r="170" ht="15.75" customHeight="1">
      <c r="A170" s="1">
        <v>174.0</v>
      </c>
      <c r="B170" s="3" t="s">
        <v>170</v>
      </c>
      <c r="C170" s="3" t="str">
        <f>IFERROR(__xludf.DUMMYFUNCTION("GOOGLETRANSLATE(B170,""id"",""en"")"),"['Please', 'Telkomsel', 'ugly', 'already', 'expensive', 'signal', 'like', 'ngellag', 'lose', 'njirr', 'ngk', 'kayak', ' Telkomsel ',' Severe ',' Gini ',' Benerin ',' Collapinates', 'Price', 'UDH', 'Expensive', 'Njirr', 'Njirr', ""]")</f>
        <v>['Please', 'Telkomsel', 'ugly', 'already', 'expensive', 'signal', 'like', 'ngellag', 'lose', 'njirr', 'ngk', 'kayak', ' Telkomsel ',' Severe ',' Gini ',' Benerin ',' Collapinates', 'Price', 'UDH', 'Expensive', 'Njirr', 'Njirr', "]</v>
      </c>
      <c r="D170" s="3">
        <v>5.0</v>
      </c>
    </row>
    <row r="171" ht="15.75" customHeight="1">
      <c r="A171" s="1">
        <v>175.0</v>
      </c>
      <c r="B171" s="3" t="s">
        <v>171</v>
      </c>
      <c r="C171" s="3" t="str">
        <f>IFERROR(__xludf.DUMMYFUNCTION("GOOGLETRANSLATE(B171,""id"",""en"")"),"['Cool', 'Abis', 'Anyway']")</f>
        <v>['Cool', 'Abis', 'Anyway']</v>
      </c>
      <c r="D171" s="3">
        <v>5.0</v>
      </c>
    </row>
    <row r="172" ht="15.75" customHeight="1">
      <c r="A172" s="1">
        <v>176.0</v>
      </c>
      <c r="B172" s="3" t="s">
        <v>172</v>
      </c>
      <c r="C172" s="3" t="str">
        <f>IFERROR(__xludf.DUMMYFUNCTION("GOOGLETRANSLATE(B172,""id"",""en"")"),"['my', 'Telkomsel', 'card', 'best', 'Indonesia', 'strength', 'network', 'signal', 'network', 'slow', 'dependent', 'situation', ' cards', 'network', 'slow', 'mah']")</f>
        <v>['my', 'Telkomsel', 'card', 'best', 'Indonesia', 'strength', 'network', 'signal', 'network', 'slow', 'dependent', 'situation', ' cards', 'network', 'slow', 'mah']</v>
      </c>
      <c r="D172" s="3">
        <v>5.0</v>
      </c>
    </row>
    <row r="173" ht="15.75" customHeight="1">
      <c r="A173" s="1">
        <v>177.0</v>
      </c>
      <c r="B173" s="3" t="s">
        <v>173</v>
      </c>
      <c r="C173" s="3" t="str">
        <f>IFERROR(__xludf.DUMMYFUNCTION("GOOGLETRANSLATE(B173,""id"",""en"")"),"['NGK', 'bonus', 'buy', 'pulse', 'application', 'Telkomsel', 'payment', 'shopeepay', 'NGK', 'bonus', 'disappointing', '']")</f>
        <v>['NGK', 'bonus', 'buy', 'pulse', 'application', 'Telkomsel', 'payment', 'shopeepay', 'NGK', 'bonus', 'disappointing', '']</v>
      </c>
      <c r="D173" s="3">
        <v>1.0</v>
      </c>
    </row>
    <row r="174" ht="15.75" customHeight="1">
      <c r="A174" s="1">
        <v>178.0</v>
      </c>
      <c r="B174" s="3" t="s">
        <v>174</v>
      </c>
      <c r="C174" s="3" t="str">
        <f>IFERROR(__xludf.DUMMYFUNCTION("GOOGLETRANSLATE(B174,""id"",""en"")"),"['pokonya', 'steady']")</f>
        <v>['pokonya', 'steady']</v>
      </c>
      <c r="D174" s="3">
        <v>5.0</v>
      </c>
    </row>
    <row r="175" ht="15.75" customHeight="1">
      <c r="A175" s="1">
        <v>179.0</v>
      </c>
      <c r="B175" s="3" t="s">
        <v>175</v>
      </c>
      <c r="C175" s="3" t="str">
        <f>IFERROR(__xludf.DUMMYFUNCTION("GOOGLETRANSLATE(B175,""id"",""en"")"),"['Disight', 'Package', 'Loan', 'On', 'Out', 'Bawar']")</f>
        <v>['Disight', 'Package', 'Loan', 'On', 'Out', 'Bawar']</v>
      </c>
      <c r="D175" s="3">
        <v>2.0</v>
      </c>
    </row>
    <row r="176" ht="15.75" customHeight="1">
      <c r="A176" s="1">
        <v>180.0</v>
      </c>
      <c r="B176" s="3" t="s">
        <v>176</v>
      </c>
      <c r="C176" s="3" t="str">
        <f>IFERROR(__xludf.DUMMYFUNCTION("GOOGLETRANSLATE(B176,""id"",""en"")"),"['loyal', 'Telkomsel', 'IDR', 'AGA', 'expensive', 'TPI', 'Ssuai', 'Affairs',' Signal ',' Network ',' Down ',' Paraaahhhh ',' Reverse, 'card', 'Next to', 'smooth', 'TPI', 'TPI', 'Signal', 'Network', 'Down', 'Gini', 'Hold', 'Hanting', ""]")</f>
        <v>['loyal', 'Telkomsel', 'IDR', 'AGA', 'expensive', 'TPI', 'Ssuai', 'Affairs',' Signal ',' Network ',' Down ',' Paraaahhhh ',' Reverse, 'card', 'Next to', 'smooth', 'TPI', 'TPI', 'Signal', 'Network', 'Down', 'Gini', 'Hold', 'Hanting', "]</v>
      </c>
      <c r="D176" s="3">
        <v>2.0</v>
      </c>
    </row>
    <row r="177" ht="15.75" customHeight="1">
      <c r="A177" s="1">
        <v>181.0</v>
      </c>
      <c r="B177" s="3" t="s">
        <v>177</v>
      </c>
      <c r="C177" s="3" t="str">
        <f>IFERROR(__xludf.DUMMYFUNCTION("GOOGLETRANSLATE(B177,""id"",""en"")"),"['The application', 'Bgus', 'bnget']")</f>
        <v>['The application', 'Bgus', 'bnget']</v>
      </c>
      <c r="D177" s="3">
        <v>5.0</v>
      </c>
    </row>
    <row r="178" ht="15.75" customHeight="1">
      <c r="A178" s="1">
        <v>182.0</v>
      </c>
      <c r="B178" s="3" t="s">
        <v>178</v>
      </c>
      <c r="C178" s="3" t="str">
        <f>IFERROR(__xludf.DUMMYFUNCTION("GOOGLETRANSLATE(B178,""id"",""en"")"),"['delicious', 'easy', 'check', 'package', 'pulse', 'point', 'Telkomsel']")</f>
        <v>['delicious', 'easy', 'check', 'package', 'pulse', 'point', 'Telkomsel']</v>
      </c>
      <c r="D178" s="3">
        <v>5.0</v>
      </c>
    </row>
    <row r="179" ht="15.75" customHeight="1">
      <c r="A179" s="1">
        <v>183.0</v>
      </c>
      <c r="B179" s="3" t="s">
        <v>179</v>
      </c>
      <c r="C179" s="3" t="str">
        <f>IFERROR(__xludf.DUMMYFUNCTION("GOOGLETRANSLATE(B179,""id"",""en"")"),"['package', 'expensive', 'quality', 'network', 'quality', 'emang', 'trash']")</f>
        <v>['package', 'expensive', 'quality', 'network', 'quality', 'emang', 'trash']</v>
      </c>
      <c r="D179" s="3">
        <v>1.0</v>
      </c>
    </row>
    <row r="180" ht="15.75" customHeight="1">
      <c r="A180" s="1">
        <v>184.0</v>
      </c>
      <c r="B180" s="3" t="s">
        <v>180</v>
      </c>
      <c r="C180" s="3" t="str">
        <f>IFERROR(__xludf.DUMMYFUNCTION("GOOGLETRANSLATE(B180,""id"",""en"")"),"['Good', 'safe', 'satisfying']")</f>
        <v>['Good', 'safe', 'satisfying']</v>
      </c>
      <c r="D180" s="3">
        <v>5.0</v>
      </c>
    </row>
    <row r="181" ht="15.75" customHeight="1">
      <c r="A181" s="1">
        <v>185.0</v>
      </c>
      <c r="B181" s="3" t="s">
        <v>181</v>
      </c>
      <c r="C181" s="3" t="str">
        <f>IFERROR(__xludf.DUMMYFUNCTION("GOOGLETRANSLATE(B181,""id"",""en"")"),"['Loading', 'Leet']")</f>
        <v>['Loading', 'Leet']</v>
      </c>
      <c r="D181" s="3">
        <v>3.0</v>
      </c>
    </row>
    <row r="182" ht="15.75" customHeight="1">
      <c r="A182" s="1">
        <v>186.0</v>
      </c>
      <c r="B182" s="3" t="s">
        <v>182</v>
      </c>
      <c r="C182" s="3" t="str">
        <f>IFERROR(__xludf.DUMMYFUNCTION("GOOGLETRANSLATE(B182,""id"",""en"")"),"['Good', 'Help', 'Bray']")</f>
        <v>['Good', 'Help', 'Bray']</v>
      </c>
      <c r="D182" s="3">
        <v>5.0</v>
      </c>
    </row>
    <row r="183" ht="15.75" customHeight="1">
      <c r="A183" s="1">
        <v>187.0</v>
      </c>
      <c r="B183" s="3" t="s">
        <v>154</v>
      </c>
      <c r="C183" s="3" t="str">
        <f>IFERROR(__xludf.DUMMYFUNCTION("GOOGLETRANSLATE(B183,""id"",""en"")"),"['satisfying']")</f>
        <v>['satisfying']</v>
      </c>
      <c r="D183" s="3">
        <v>5.0</v>
      </c>
    </row>
    <row r="184" ht="15.75" customHeight="1">
      <c r="A184" s="1">
        <v>189.0</v>
      </c>
      <c r="B184" s="3" t="s">
        <v>183</v>
      </c>
      <c r="C184" s="3" t="str">
        <f>IFERROR(__xludf.DUMMYFUNCTION("GOOGLETRANSLATE(B184,""id"",""en"")"),"['response', 'fast', 'good']")</f>
        <v>['response', 'fast', 'good']</v>
      </c>
      <c r="D184" s="3">
        <v>4.0</v>
      </c>
    </row>
    <row r="185" ht="15.75" customHeight="1">
      <c r="A185" s="1">
        <v>190.0</v>
      </c>
      <c r="B185" s="3" t="s">
        <v>184</v>
      </c>
      <c r="C185" s="3" t="str">
        <f>IFERROR(__xludf.DUMMYFUNCTION("GOOGLETRANSLATE(B185,""id"",""en"")"),"['Application', 'Good', 'Hanting', 'Program', 'Telkomsel']")</f>
        <v>['Application', 'Good', 'Hanting', 'Program', 'Telkomsel']</v>
      </c>
      <c r="D185" s="3">
        <v>4.0</v>
      </c>
    </row>
    <row r="186" ht="15.75" customHeight="1">
      <c r="A186" s="1">
        <v>191.0</v>
      </c>
      <c r="B186" s="3" t="s">
        <v>185</v>
      </c>
      <c r="C186" s="3" t="str">
        <f>IFERROR(__xludf.DUMMYFUNCTION("GOOGLETRANSLATE(B186,""id"",""en"")"),"['payment', 'fast']")</f>
        <v>['payment', 'fast']</v>
      </c>
      <c r="D186" s="3">
        <v>5.0</v>
      </c>
    </row>
    <row r="187" ht="15.75" customHeight="1">
      <c r="A187" s="1">
        <v>192.0</v>
      </c>
      <c r="B187" s="3" t="s">
        <v>186</v>
      </c>
      <c r="C187" s="3" t="str">
        <f>IFERROR(__xludf.DUMMYFUNCTION("GOOGLETRANSLATE(B187,""id"",""en"")"),"['Good', 'help', 'check', 'quota', 'really', 'promo', 'quota', 'makasih', 'mytekkomsel']")</f>
        <v>['Good', 'help', 'check', 'quota', 'really', 'promo', 'quota', 'makasih', 'mytekkomsel']</v>
      </c>
      <c r="D187" s="3">
        <v>5.0</v>
      </c>
    </row>
    <row r="188" ht="15.75" customHeight="1">
      <c r="A188" s="1">
        <v>193.0</v>
      </c>
      <c r="B188" s="3" t="s">
        <v>187</v>
      </c>
      <c r="C188" s="3" t="str">
        <f>IFERROR(__xludf.DUMMYFUNCTION("GOOGLETRANSLATE(B188,""id"",""en"")"),"['Purchase', 'Credit', 'Ditelkomsel', 'Really', 'Easy', 'Choosing', 'Daily', 'Weekly', 'Follow', 'Easy', 'Transaction', 'LGSG', ' active']")</f>
        <v>['Purchase', 'Credit', 'Ditelkomsel', 'Really', 'Easy', 'Choosing', 'Daily', 'Weekly', 'Follow', 'Easy', 'Transaction', 'LGSG', ' active']</v>
      </c>
      <c r="D188" s="3">
        <v>4.0</v>
      </c>
    </row>
    <row r="189" ht="15.75" customHeight="1">
      <c r="A189" s="1">
        <v>194.0</v>
      </c>
      <c r="B189" s="3" t="s">
        <v>188</v>
      </c>
      <c r="C189" s="3" t="str">
        <f>IFERROR(__xludf.DUMMYFUNCTION("GOOGLETRANSLATE(B189,""id"",""en"")"),"['Telkomsel', 'bad']")</f>
        <v>['Telkomsel', 'bad']</v>
      </c>
      <c r="D189" s="3">
        <v>1.0</v>
      </c>
    </row>
    <row r="190" ht="15.75" customHeight="1">
      <c r="A190" s="1">
        <v>196.0</v>
      </c>
      <c r="B190" s="3" t="s">
        <v>189</v>
      </c>
      <c r="C190" s="3" t="str">
        <f>IFERROR(__xludf.DUMMYFUNCTION("GOOGLETRANSLATE(B190,""id"",""en"")"),"['App', 'help', 'tuk', 'trx', ""]")</f>
        <v>['App', 'help', 'tuk', 'trx', "]</v>
      </c>
      <c r="D190" s="3">
        <v>5.0</v>
      </c>
    </row>
    <row r="191" ht="15.75" customHeight="1">
      <c r="A191" s="1">
        <v>197.0</v>
      </c>
      <c r="B191" s="3" t="s">
        <v>190</v>
      </c>
      <c r="C191" s="3" t="str">
        <f>IFERROR(__xludf.DUMMYFUNCTION("GOOGLETRANSLATE(B191,""id"",""en"")"),"['Promo', '']")</f>
        <v>['Promo', '']</v>
      </c>
      <c r="D191" s="3">
        <v>5.0</v>
      </c>
    </row>
    <row r="192" ht="15.75" customHeight="1">
      <c r="A192" s="1">
        <v>198.0</v>
      </c>
      <c r="B192" s="3" t="s">
        <v>191</v>
      </c>
      <c r="C192" s="3" t="str">
        <f>IFERROR(__xludf.DUMMYFUNCTION("GOOGLETRANSLATE(B192,""id"",""en"")"),"['', 'help']")</f>
        <v>['', 'help']</v>
      </c>
      <c r="D192" s="3">
        <v>3.0</v>
      </c>
    </row>
    <row r="193" ht="15.75" customHeight="1">
      <c r="A193" s="1">
        <v>199.0</v>
      </c>
      <c r="B193" s="3" t="s">
        <v>192</v>
      </c>
      <c r="C193" s="3" t="str">
        <f>IFERROR(__xludf.DUMMYFUNCTION("GOOGLETRANSLATE(B193,""id"",""en"")"),"['pulse', 'Sumpot', 'Select', 'Package']")</f>
        <v>['pulse', 'Sumpot', 'Select', 'Package']</v>
      </c>
      <c r="D193" s="3">
        <v>1.0</v>
      </c>
    </row>
    <row r="194" ht="15.75" customHeight="1">
      <c r="A194" s="1">
        <v>200.0</v>
      </c>
      <c r="B194" s="3" t="s">
        <v>193</v>
      </c>
      <c r="C194" s="3" t="str">
        <f>IFERROR(__xludf.DUMMYFUNCTION("GOOGLETRANSLATE(B194,""id"",""en"")"),"['Please', 'fix', 'network', 'signal', 'network', 'connectivity', 'missing', '']")</f>
        <v>['Please', 'fix', 'network', 'signal', 'network', 'connectivity', 'missing', '']</v>
      </c>
      <c r="D194" s="3">
        <v>5.0</v>
      </c>
    </row>
    <row r="195" ht="15.75" customHeight="1">
      <c r="A195" s="1">
        <v>201.0</v>
      </c>
      <c r="B195" s="3" t="s">
        <v>194</v>
      </c>
      <c r="C195" s="3" t="str">
        <f>IFERROR(__xludf.DUMMYFUNCTION("GOOGLETRANSLATE(B195,""id"",""en"")"),"['Network', 'ugly', 'season', 'rain', 'dead', 'electricity', 'price', 'expensive', 'comparable', 'quality', 'performance', 'tlg', ' Fix ',' Customer ',' Move ',' Card ',' ']")</f>
        <v>['Network', 'ugly', 'season', 'rain', 'dead', 'electricity', 'price', 'expensive', 'comparable', 'quality', 'performance', 'tlg', ' Fix ',' Customer ',' Move ',' Card ',' ']</v>
      </c>
      <c r="D195" s="3">
        <v>1.0</v>
      </c>
    </row>
    <row r="196" ht="15.75" customHeight="1">
      <c r="A196" s="1">
        <v>202.0</v>
      </c>
      <c r="B196" s="3" t="s">
        <v>195</v>
      </c>
      <c r="C196" s="3" t="str">
        <f>IFERROR(__xludf.DUMMYFUNCTION("GOOGLETRANSLATE(B196,""id"",""en"")"),"['', 'Size', 'APK', 'MB', 'according to', 'functions',' BWT ',' check ',' quota ',' list ',' package ',' simplified ',' admin ',' The application ',' confirm ',' Verification ',' Ribet ',' according to ',' function ',' the application ',' hope ',' respond"&amp;"ed ',' thank you ']")</f>
        <v>['', 'Size', 'APK', 'MB', 'according to', 'functions',' BWT ',' check ',' quota ',' list ',' package ',' simplified ',' admin ',' The application ',' confirm ',' Verification ',' Ribet ',' according to ',' function ',' the application ',' hope ',' responded ',' thank you ']</v>
      </c>
      <c r="D196" s="3">
        <v>3.0</v>
      </c>
    </row>
    <row r="197" ht="15.75" customHeight="1">
      <c r="A197" s="1">
        <v>203.0</v>
      </c>
      <c r="B197" s="3" t="s">
        <v>196</v>
      </c>
      <c r="C197" s="3" t="str">
        <f>IFERROR(__xludf.DUMMYFUNCTION("GOOGLETRANSLATE(B197,""id"",""en"")"),"['application', 'good', 'help', 'makes it easier', 'access',' buy ',' quota ',' check ',' pulse ',' bill ',' card ',' Hello ',' Send ',' prize ',' quota ',' pulse ',' family ',' friend ',' function ',' inside ',' bother ',' call ',' call ',' center ',' fo"&amp;"rward ' , 'then', 'worked', 'MyTelkomsel', '']")</f>
        <v>['application', 'good', 'help', 'makes it easier', 'access',' buy ',' quota ',' check ',' pulse ',' bill ',' card ',' Hello ',' Send ',' prize ',' quota ',' pulse ',' family ',' friend ',' function ',' inside ',' bother ',' call ',' call ',' center ',' forward ' , 'then', 'worked', 'MyTelkomsel', '']</v>
      </c>
      <c r="D197" s="3">
        <v>5.0</v>
      </c>
    </row>
    <row r="198" ht="15.75" customHeight="1">
      <c r="A198" s="1">
        <v>204.0</v>
      </c>
      <c r="B198" s="3" t="s">
        <v>197</v>
      </c>
      <c r="C198" s="3" t="str">
        <f>IFERROR(__xludf.DUMMYFUNCTION("GOOGLETRANSLATE(B198,""id"",""en"")"),"['Leave', 'Bintang', 'Talk', 'Anyway', 'Comfortable', 'Telkomsel', 'Enhanced', 'Service', ""]")</f>
        <v>['Leave', 'Bintang', 'Talk', 'Anyway', 'Comfortable', 'Telkomsel', 'Enhanced', 'Service', "]</v>
      </c>
      <c r="D198" s="3">
        <v>5.0</v>
      </c>
    </row>
    <row r="199" ht="15.75" customHeight="1">
      <c r="A199" s="1">
        <v>205.0</v>
      </c>
      <c r="B199" s="3" t="s">
        <v>198</v>
      </c>
      <c r="C199" s="3" t="str">
        <f>IFERROR(__xludf.DUMMYFUNCTION("GOOGLETRANSLATE(B199,""id"",""en"")"),"['', 'Telkomsel', 'okay']")</f>
        <v>['', 'Telkomsel', 'okay']</v>
      </c>
      <c r="D199" s="3">
        <v>5.0</v>
      </c>
    </row>
    <row r="200" ht="15.75" customHeight="1">
      <c r="A200" s="1">
        <v>206.0</v>
      </c>
      <c r="B200" s="3" t="s">
        <v>199</v>
      </c>
      <c r="C200" s="3" t="str">
        <f>IFERROR(__xludf.DUMMYFUNCTION("GOOGLETRANSLATE(B200,""id"",""en"")"),"['Woy', 'turning back', 'package', 'omg', 'udh', 'package', 'expensive', 'reverse', '']")</f>
        <v>['Woy', 'turning back', 'package', 'omg', 'udh', 'package', 'expensive', 'reverse', '']</v>
      </c>
      <c r="D200" s="3">
        <v>1.0</v>
      </c>
    </row>
    <row r="201" ht="15.75" customHeight="1">
      <c r="A201" s="1">
        <v>207.0</v>
      </c>
      <c r="B201" s="3" t="s">
        <v>200</v>
      </c>
      <c r="C201" s="3" t="str">
        <f>IFERROR(__xludf.DUMMYFUNCTION("GOOGLETRANSLATE(B201,""id"",""en"")"),"['Severe', 'strength', 'signal', 'slow', 'really', 'Anjayyy', 'gymna', 'Telkomsel', 'severe', 'severe', 'service', 'the network', ' Makain ',' bad ']")</f>
        <v>['Severe', 'strength', 'signal', 'slow', 'really', 'Anjayyy', 'gymna', 'Telkomsel', 'severe', 'severe', 'service', 'the network', ' Makain ',' bad ']</v>
      </c>
      <c r="D201" s="3">
        <v>5.0</v>
      </c>
    </row>
    <row r="202" ht="15.75" customHeight="1">
      <c r="A202" s="1">
        <v>208.0</v>
      </c>
      <c r="B202" s="3" t="s">
        <v>201</v>
      </c>
      <c r="C202" s="3" t="str">
        <f>IFERROR(__xludf.DUMMYFUNCTION("GOOGLETRANSLATE(B202,""id"",""en"")"),"['Fix', 'The name', 'already', 'Belain', 'buy', 'quota', 'expensive', 'turn', 'Nge', 'game', 'signal', 'like', ' ilang ',' play ',' ping ',' jump ',' mulu ',' pub ',' meet ',' enemy ',' direct ',' nge ',' frame ',' severe ',' network ' , 'red', 'quota', '"&amp;"leftover', 'GB', 'severe', 'severe', 'that's',' already ',' try ',' replace ',' APN ',' Macem ',' Tetep ',' Kaga ',' Change ',' Java ',' No ',' Sumatran ',' Sousal ', ""]")</f>
        <v>['Fix', 'The name', 'already', 'Belain', 'buy', 'quota', 'expensive', 'turn', 'Nge', 'game', 'signal', 'like', ' ilang ',' play ',' ping ',' jump ',' mulu ',' pub ',' meet ',' enemy ',' direct ',' nge ',' frame ',' severe ',' network ' , 'red', 'quota', 'leftover', 'GB', 'severe', 'severe', 'that's',' already ',' try ',' replace ',' APN ',' Macem ',' Tetep ',' Kaga ',' Change ',' Java ',' No ',' Sumatran ',' Sousal ', "]</v>
      </c>
      <c r="D202" s="3">
        <v>1.0</v>
      </c>
    </row>
    <row r="203" ht="15.75" customHeight="1">
      <c r="A203" s="1">
        <v>209.0</v>
      </c>
      <c r="B203" s="3" t="s">
        <v>202</v>
      </c>
      <c r="C203" s="3" t="str">
        <f>IFERROR(__xludf.DUMMYFUNCTION("GOOGLETRANSLATE(B203,""id"",""en"")"),"['Bad', 'Open', 'Appsqsi', 'Telkomsel', 'Doang', 'Ajh', 'Direct', 'Corn', 'RbU', 'Really', 'wallanda']")</f>
        <v>['Bad', 'Open', 'Appsqsi', 'Telkomsel', 'Doang', 'Ajh', 'Direct', 'Corn', 'RbU', 'Really', 'wallanda']</v>
      </c>
      <c r="D203" s="3">
        <v>1.0</v>
      </c>
    </row>
    <row r="204" ht="15.75" customHeight="1">
      <c r="A204" s="1">
        <v>210.0</v>
      </c>
      <c r="B204" s="3" t="s">
        <v>203</v>
      </c>
      <c r="C204" s="3" t="str">
        <f>IFERROR(__xludf.DUMMYFUNCTION("GOOGLETRANSLATE(B204,""id"",""en"")"),"['Satisfied', 'service', 'Telkomsel']")</f>
        <v>['Satisfied', 'service', 'Telkomsel']</v>
      </c>
      <c r="D204" s="3">
        <v>5.0</v>
      </c>
    </row>
    <row r="205" ht="15.75" customHeight="1">
      <c r="A205" s="1">
        <v>211.0</v>
      </c>
      <c r="B205" s="3" t="s">
        <v>204</v>
      </c>
      <c r="C205" s="3" t="str">
        <f>IFERROR(__xludf.DUMMYFUNCTION("GOOGLETRANSLATE(B205,""id"",""en"")"),"['Network', 'telkosel', 'worst']")</f>
        <v>['Network', 'telkosel', 'worst']</v>
      </c>
      <c r="D205" s="3">
        <v>1.0</v>
      </c>
    </row>
    <row r="206" ht="15.75" customHeight="1">
      <c r="A206" s="1">
        <v>212.0</v>
      </c>
      <c r="B206" s="3" t="s">
        <v>205</v>
      </c>
      <c r="C206" s="3" t="str">
        <f>IFERROR(__xludf.DUMMYFUNCTION("GOOGLETRANSLATE(B206,""id"",""en"")"),"['Main', 'game', 'lag', 'watch', 'bokep', 'smooth', 'emg', 'brain', 'telkomsel']")</f>
        <v>['Main', 'game', 'lag', 'watch', 'bokep', 'smooth', 'emg', 'brain', 'telkomsel']</v>
      </c>
      <c r="D206" s="3">
        <v>1.0</v>
      </c>
    </row>
    <row r="207" ht="15.75" customHeight="1">
      <c r="A207" s="1">
        <v>213.0</v>
      </c>
      <c r="B207" s="3" t="s">
        <v>206</v>
      </c>
      <c r="C207" s="3" t="str">
        <f>IFERROR(__xludf.DUMMYFUNCTION("GOOGLETRANSLATE(B207,""id"",""en"")"),"['buy', 'credit', 'activated', 'quota', 'failed', 'pulse', 'sufficient', 'already', 'try', 'buy', 'quota', 'tetep', ' Failed ',' ehhh ',' pulse ',' run out ',' detrimental ',' pulse ',' sumps', 'that's',' use ',' just ',' open ',' application ',' doang ' "&amp;", 'Keselllll', 'detrimental', 'bgttt']")</f>
        <v>['buy', 'credit', 'activated', 'quota', 'failed', 'pulse', 'sufficient', 'already', 'try', 'buy', 'quota', 'tetep', ' Failed ',' ehhh ',' pulse ',' run out ',' detrimental ',' pulse ',' sumps', 'that's',' use ',' just ',' open ',' application ',' doang ' , 'Keselllll', 'detrimental', 'bgttt']</v>
      </c>
      <c r="D207" s="3">
        <v>1.0</v>
      </c>
    </row>
    <row r="208" ht="15.75" customHeight="1">
      <c r="A208" s="1">
        <v>214.0</v>
      </c>
      <c r="B208" s="3" t="s">
        <v>207</v>
      </c>
      <c r="C208" s="3" t="str">
        <f>IFERROR(__xludf.DUMMYFUNCTION("GOOGLETRANSLATE(B208,""id"",""en"")"),"['Network', 'bad', 'whatsap', 'slow', 'really', 'severe', 'really', 'Telkomsel', 'already', 'complement', 'many', 'times',' No ',' Denger ',' pliiss', 'repay', ""]")</f>
        <v>['Network', 'bad', 'whatsap', 'slow', 'really', 'severe', 'really', 'Telkomsel', 'already', 'complement', 'many', 'times',' No ',' Denger ',' pliiss', 'repay', "]</v>
      </c>
      <c r="D208" s="3">
        <v>1.0</v>
      </c>
    </row>
    <row r="209" ht="15.75" customHeight="1">
      <c r="A209" s="1">
        <v>215.0</v>
      </c>
      <c r="B209" s="3" t="s">
        <v>208</v>
      </c>
      <c r="C209" s="3" t="str">
        <f>IFERROR(__xludf.DUMMYFUNCTION("GOOGLETRANSLATE(B209,""id"",""en"")"),"['Terimksih', 'Telkomsel', 'Package', 'Super', 'cheap']")</f>
        <v>['Terimksih', 'Telkomsel', 'Package', 'Super', 'cheap']</v>
      </c>
      <c r="D209" s="3">
        <v>5.0</v>
      </c>
    </row>
    <row r="210" ht="15.75" customHeight="1">
      <c r="A210" s="1">
        <v>216.0</v>
      </c>
      <c r="B210" s="3" t="s">
        <v>209</v>
      </c>
      <c r="C210" s="3" t="str">
        <f>IFERROR(__xludf.DUMMYFUNCTION("GOOGLETRANSLATE(B210,""id"",""en"")"),"['Help']")</f>
        <v>['Help']</v>
      </c>
      <c r="D210" s="3">
        <v>5.0</v>
      </c>
    </row>
    <row r="211" ht="15.75" customHeight="1">
      <c r="A211" s="1">
        <v>217.0</v>
      </c>
      <c r="B211" s="3" t="s">
        <v>210</v>
      </c>
      <c r="C211" s="3" t="str">
        <f>IFERROR(__xludf.DUMMYFUNCTION("GOOGLETRANSLATE(B211,""id"",""en"")"),"['Help', 'Baget']")</f>
        <v>['Help', 'Baget']</v>
      </c>
      <c r="D211" s="3">
        <v>5.0</v>
      </c>
    </row>
    <row r="212" ht="15.75" customHeight="1">
      <c r="A212" s="1">
        <v>218.0</v>
      </c>
      <c r="B212" s="3" t="s">
        <v>211</v>
      </c>
      <c r="C212" s="3" t="str">
        <f>IFERROR(__xludf.DUMMYFUNCTION("GOOGLETRANSLATE(B212,""id"",""en"")"),"['card', 'Haloo', 'pliss',' deh ',' bill ',' suits', 'package', 'really', 'total', 'list', 'card', 'hello', ' Okay ',' Pay ',' according to ',' package ',' sucked ',' cheat ',' really ',' Telkomsel ',' suck ',' money ',' customer ',' model ',' regret ' , "&amp;"'really', 'list', 'package', 'card', 'hello', 'loss', 'nambh', 'quota', 'pay', 'really', '']")</f>
        <v>['card', 'Haloo', 'pliss',' deh ',' bill ',' suits', 'package', 'really', 'total', 'list', 'card', 'hello', ' Okay ',' Pay ',' according to ',' package ',' sucked ',' cheat ',' really ',' Telkomsel ',' suck ',' money ',' customer ',' model ',' regret ' , 'really', 'list', 'package', 'card', 'hello', 'loss', 'nambh', 'quota', 'pay', 'really', '']</v>
      </c>
      <c r="D212" s="3">
        <v>1.0</v>
      </c>
    </row>
    <row r="213" ht="15.75" customHeight="1">
      <c r="A213" s="1">
        <v>219.0</v>
      </c>
      <c r="B213" s="3" t="s">
        <v>212</v>
      </c>
      <c r="C213" s="3" t="str">
        <f>IFERROR(__xludf.DUMMYFUNCTION("GOOGLETRANSLATE(B213,""id"",""en"")"),"['hope', 'Sukser', 'user', 'Makai']")</f>
        <v>['hope', 'Sukser', 'user', 'Makai']</v>
      </c>
      <c r="D213" s="3">
        <v>5.0</v>
      </c>
    </row>
    <row r="214" ht="15.75" customHeight="1">
      <c r="A214" s="1">
        <v>220.0</v>
      </c>
      <c r="B214" s="3" t="s">
        <v>213</v>
      </c>
      <c r="C214" s="3" t="str">
        <f>IFERROR(__xludf.DUMMYFUNCTION("GOOGLETRANSLATE(B214,""id"",""en"")"),"['coconut milk', 'easy', 'easy', 'buy', 'package']")</f>
        <v>['coconut milk', 'easy', 'easy', 'buy', 'package']</v>
      </c>
      <c r="D214" s="3">
        <v>5.0</v>
      </c>
    </row>
    <row r="215" ht="15.75" customHeight="1">
      <c r="A215" s="1">
        <v>221.0</v>
      </c>
      <c r="B215" s="3" t="s">
        <v>214</v>
      </c>
      <c r="C215" s="3" t="str">
        <f>IFERROR(__xludf.DUMMYFUNCTION("GOOGLETRANSLATE(B215,""id"",""en"")"),"['buy', 'package', 'tsel', 'buy', 'package', 'masalh', 'connection', 'before', '']")</f>
        <v>['buy', 'package', 'tsel', 'buy', 'package', 'masalh', 'connection', 'before', '']</v>
      </c>
      <c r="D215" s="3">
        <v>1.0</v>
      </c>
    </row>
    <row r="216" ht="15.75" customHeight="1">
      <c r="A216" s="1">
        <v>222.0</v>
      </c>
      <c r="B216" s="3" t="s">
        <v>215</v>
      </c>
      <c r="C216" s="3" t="str">
        <f>IFERROR(__xludf.DUMMYFUNCTION("GOOGLETRANSLATE(B216,""id"",""en"")"),"['Not bad', 'Costs', 'Transfer', 'Pulses', 'Reduced', 'Verifikasi', 'Use', 'Number', 'Link', 'Ribet', ""]")</f>
        <v>['Not bad', 'Costs', 'Transfer', 'Pulses', 'Reduced', 'Verifikasi', 'Use', 'Number', 'Link', 'Ribet', "]</v>
      </c>
      <c r="D216" s="3">
        <v>4.0</v>
      </c>
    </row>
    <row r="217" ht="15.75" customHeight="1">
      <c r="A217" s="1">
        <v>223.0</v>
      </c>
      <c r="B217" s="3" t="s">
        <v>216</v>
      </c>
      <c r="C217" s="3" t="str">
        <f>IFERROR(__xludf.DUMMYFUNCTION("GOOGLETRANSLATE(B217,""id"",""en"")"),"['network', 'Telkomsel', 'LBH', 'focused', 'user', 'wifi', 'indihome', 'network', 'data', 'slow', 'mending', 'rb', ' "", 'GB', 'Tsel', 'RB', 'DPT', 'Network', 'Strong']")</f>
        <v>['network', 'Telkomsel', 'LBH', 'focused', 'user', 'wifi', 'indihome', 'network', 'data', 'slow', 'mending', 'rb', ' ", 'GB', 'Tsel', 'RB', 'DPT', 'Network', 'Strong']</v>
      </c>
      <c r="D217" s="3">
        <v>1.0</v>
      </c>
    </row>
    <row r="218" ht="15.75" customHeight="1">
      <c r="A218" s="1">
        <v>224.0</v>
      </c>
      <c r="B218" s="3" t="s">
        <v>217</v>
      </c>
      <c r="C218" s="3" t="str">
        <f>IFERROR(__xludf.DUMMYFUNCTION("GOOGLETRANSLATE(B218,""id"",""en"")"),"['Mangkin', 'Mangkin', 'Bad', 'The network', 'sorry', ""]")</f>
        <v>['Mangkin', 'Mangkin', 'Bad', 'The network', 'sorry', "]</v>
      </c>
      <c r="D218" s="3">
        <v>1.0</v>
      </c>
    </row>
    <row r="219" ht="15.75" customHeight="1">
      <c r="A219" s="1">
        <v>225.0</v>
      </c>
      <c r="B219" s="3" t="s">
        <v>218</v>
      </c>
      <c r="C219" s="3" t="str">
        <f>IFERROR(__xludf.DUMMYFUNCTION("GOOGLETRANSLATE(B219,""id"",""en"")"),"['Satisfied', 'help']")</f>
        <v>['Satisfied', 'help']</v>
      </c>
      <c r="D219" s="3">
        <v>3.0</v>
      </c>
    </row>
    <row r="220" ht="15.75" customHeight="1">
      <c r="A220" s="1">
        <v>226.0</v>
      </c>
      <c r="B220" s="3" t="s">
        <v>219</v>
      </c>
      <c r="C220" s="3" t="str">
        <f>IFERROR(__xludf.DUMMYFUNCTION("GOOGLETRANSLATE(B220,""id"",""en"")"),"['already', 'expensive', 'right', 'rain', 'internet', 'mending', 'card', 'next door', 'cheap', 'rain', 'speed', 'down', ' ilang ',' internet ',' ']")</f>
        <v>['already', 'expensive', 'right', 'rain', 'internet', 'mending', 'card', 'next door', 'cheap', 'rain', 'speed', 'down', ' ilang ',' internet ',' ']</v>
      </c>
      <c r="D220" s="3">
        <v>1.0</v>
      </c>
    </row>
    <row r="221" ht="15.75" customHeight="1">
      <c r="A221" s="1">
        <v>228.0</v>
      </c>
      <c r="B221" s="3" t="s">
        <v>220</v>
      </c>
      <c r="C221" s="3" t="str">
        <f>IFERROR(__xludf.DUMMYFUNCTION("GOOGLETRANSLATE(B221,""id"",""en"")"),"['', 'Telkomsel']")</f>
        <v>['', 'Telkomsel']</v>
      </c>
      <c r="D221" s="3">
        <v>5.0</v>
      </c>
    </row>
    <row r="222" ht="15.75" customHeight="1">
      <c r="A222" s="1">
        <v>229.0</v>
      </c>
      <c r="B222" s="3" t="s">
        <v>221</v>
      </c>
      <c r="C222" s="3" t="str">
        <f>IFERROR(__xludf.DUMMYFUNCTION("GOOGLETRANSLATE(B222,""id"",""en"")"),"['Credit', 'Cut', 'Network', 'Leet', 'Package', 'Quota', 'Pas',' Purchased ',' Appropriate ',' Published ',' Telkomsel ',' Universe ',' ']")</f>
        <v>['Credit', 'Cut', 'Network', 'Leet', 'Package', 'Quota', 'Pas',' Purchased ',' Appropriate ',' Published ',' Telkomsel ',' Universe ',' ']</v>
      </c>
      <c r="D222" s="3">
        <v>1.0</v>
      </c>
    </row>
    <row r="223" ht="15.75" customHeight="1">
      <c r="A223" s="1">
        <v>230.0</v>
      </c>
      <c r="B223" s="3" t="s">
        <v>222</v>
      </c>
      <c r="C223" s="3" t="str">
        <f>IFERROR(__xludf.DUMMYFUNCTION("GOOGLETRANSLATE(B223,""id"",""en"")"),"['Rewel', 'bet', 'Mending', 'buy', 'card', 'network', 'quota', 'intention', 'heart', 'fill out', 'pulse', 'buy', ' Quota ',' additional ',' pulseku ',' reduced ',' open ',' apps', 'telkomsel', 'gabusa', 'buy', 'quota', 'janc', 'heart', 'friend' , 'Change'"&amp;", 'Provider', 'Initated', 'On', 'Tombang', 'Sucked', 'Mulu', 'Quota', 'Internet', 'Assuded', ""]")</f>
        <v>['Rewel', 'bet', 'Mending', 'buy', 'card', 'network', 'quota', 'intention', 'heart', 'fill out', 'pulse', 'buy', ' Quota ',' additional ',' pulseku ',' reduced ',' open ',' apps', 'telkomsel', 'gabusa', 'buy', 'quota', 'janc', 'heart', 'friend' , 'Change', 'Provider', 'Initated', 'On', 'Tombang', 'Sucked', 'Mulu', 'Quota', 'Internet', 'Assuded', "]</v>
      </c>
      <c r="D223" s="3">
        <v>1.0</v>
      </c>
    </row>
    <row r="224" ht="15.75" customHeight="1">
      <c r="A224" s="1">
        <v>231.0</v>
      </c>
      <c r="B224" s="3" t="s">
        <v>223</v>
      </c>
      <c r="C224" s="3" t="str">
        <f>IFERROR(__xludf.DUMMYFUNCTION("GOOGLETRANSLATE(B224,""id"",""en"")"),"['']")</f>
        <v>['']</v>
      </c>
      <c r="D224" s="3">
        <v>5.0</v>
      </c>
    </row>
    <row r="225" ht="15.75" customHeight="1">
      <c r="A225" s="1">
        <v>232.0</v>
      </c>
      <c r="B225" s="3" t="s">
        <v>224</v>
      </c>
      <c r="C225" s="3" t="str">
        <f>IFERROR(__xludf.DUMMYFUNCTION("GOOGLETRANSLATE(B225,""id"",""en"")"),"['right', 'dead', 'lights',' signal ',' ngeleg ',' now ',' different ',' bnget ',' package ',' expensive ',' signal ',' kek ',' ']")</f>
        <v>['right', 'dead', 'lights',' signal ',' ngeleg ',' now ',' different ',' bnget ',' package ',' expensive ',' signal ',' kek ',' ']</v>
      </c>
      <c r="D225" s="3">
        <v>1.0</v>
      </c>
    </row>
    <row r="226" ht="15.75" customHeight="1">
      <c r="A226" s="1">
        <v>233.0</v>
      </c>
      <c r="B226" s="3" t="s">
        <v>225</v>
      </c>
      <c r="C226" s="3" t="str">
        <f>IFERROR(__xludf.DUMMYFUNCTION("GOOGLETRANSLATE(B226,""id"",""en"")"),"['buy', 'package', 'trap', 'subscribe', 'A LIVING', 'LIFE', '']")</f>
        <v>['buy', 'package', 'trap', 'subscribe', 'A LIVING', 'LIFE', '']</v>
      </c>
      <c r="D226" s="3">
        <v>1.0</v>
      </c>
    </row>
    <row r="227" ht="15.75" customHeight="1">
      <c r="A227" s="1">
        <v>234.0</v>
      </c>
      <c r="B227" s="3" t="s">
        <v>226</v>
      </c>
      <c r="C227" s="3" t="str">
        <f>IFERROR(__xludf.DUMMYFUNCTION("GOOGLETRANSLATE(B227,""id"",""en"")"),"['card', 'person', 'rich']")</f>
        <v>['card', 'person', 'rich']</v>
      </c>
      <c r="D227" s="3">
        <v>1.0</v>
      </c>
    </row>
    <row r="228" ht="15.75" customHeight="1">
      <c r="A228" s="1">
        <v>235.0</v>
      </c>
      <c r="B228" s="3" t="s">
        <v>227</v>
      </c>
      <c r="C228" s="3" t="str">
        <f>IFERROR(__xludf.DUMMYFUNCTION("GOOGLETRANSLATE(B228,""id"",""en"")"),"['Network', 'Telkomsel', 'Pututs',' Disconnect ',' Please ',' Repaired ',' Play ',' Network ',' Lost ',' Upset ',' Disappointed ',' Heavy ',' network ',' Telkomsel ',' Main ',' Game ',' Kayak ',' Robot ',' ']")</f>
        <v>['Network', 'Telkomsel', 'Pututs',' Disconnect ',' Please ',' Repaired ',' Play ',' Network ',' Lost ',' Upset ',' Disappointed ',' Heavy ',' network ',' Telkomsel ',' Main ',' Game ',' Kayak ',' Robot ',' ']</v>
      </c>
      <c r="D228" s="3">
        <v>1.0</v>
      </c>
    </row>
    <row r="229" ht="15.75" customHeight="1">
      <c r="A229" s="1">
        <v>236.0</v>
      </c>
      <c r="B229" s="3" t="s">
        <v>228</v>
      </c>
      <c r="C229" s="3" t="str">
        <f>IFERROR(__xludf.DUMMYFUNCTION("GOOGLETRANSLATE(B229,""id"",""en"")"),"['Good', 'Lotten', 'promo']")</f>
        <v>['Good', 'Lotten', 'promo']</v>
      </c>
      <c r="D229" s="3">
        <v>5.0</v>
      </c>
    </row>
    <row r="230" ht="15.75" customHeight="1">
      <c r="A230" s="1">
        <v>237.0</v>
      </c>
      <c r="B230" s="3" t="s">
        <v>229</v>
      </c>
      <c r="C230" s="3" t="str">
        <f>IFERROR(__xludf.DUMMYFUNCTION("GOOGLETRANSLATE(B230,""id"",""en"")"),"['The package', 'tasty', 'kek', 'vaganza']")</f>
        <v>['The package', 'tasty', 'kek', 'vaganza']</v>
      </c>
      <c r="D230" s="3">
        <v>4.0</v>
      </c>
    </row>
    <row r="231" ht="15.75" customHeight="1">
      <c r="A231" s="1">
        <v>238.0</v>
      </c>
      <c r="B231" s="3" t="s">
        <v>230</v>
      </c>
      <c r="C231" s="3" t="str">
        <f>IFERROR(__xludf.DUMMYFUNCTION("GOOGLETRANSLATE(B231,""id"",""en"")"),"['Uhhhhh', 'expensive', 'slow', 'mnding', 'expensive', 'gacor', 'signal', 'lose', 'exis']")</f>
        <v>['Uhhhhh', 'expensive', 'slow', 'mnding', 'expensive', 'gacor', 'signal', 'lose', 'exis']</v>
      </c>
      <c r="D231" s="3">
        <v>1.0</v>
      </c>
    </row>
    <row r="232" ht="15.75" customHeight="1">
      <c r="A232" s="1">
        <v>239.0</v>
      </c>
      <c r="B232" s="3" t="s">
        <v>231</v>
      </c>
      <c r="C232" s="3" t="str">
        <f>IFERROR(__xludf.DUMMYFUNCTION("GOOGLETRANSLATE(B232,""id"",""en"")"),"['signal', 'Telkomsel', 'bad', 'village', 'city', 'fix', 'donk', 'customer', 'sympathy']")</f>
        <v>['signal', 'Telkomsel', 'bad', 'village', 'city', 'fix', 'donk', 'customer', 'sympathy']</v>
      </c>
      <c r="D232" s="3">
        <v>5.0</v>
      </c>
    </row>
    <row r="233" ht="15.75" customHeight="1">
      <c r="A233" s="1">
        <v>240.0</v>
      </c>
      <c r="B233" s="3" t="s">
        <v>232</v>
      </c>
      <c r="C233" s="3" t="str">
        <f>IFERROR(__xludf.DUMMYFUNCTION("GOOGLETRANSLATE(B233,""id"",""en"")"),"['', 'help', 'user', 'stress']")</f>
        <v>['', 'help', 'user', 'stress']</v>
      </c>
      <c r="D233" s="3">
        <v>1.0</v>
      </c>
    </row>
    <row r="234" ht="15.75" customHeight="1">
      <c r="A234" s="1">
        <v>241.0</v>
      </c>
      <c r="B234" s="3" t="s">
        <v>233</v>
      </c>
      <c r="C234" s="3" t="str">
        <f>IFERROR(__xludf.DUMMYFUNCTION("GOOGLETRANSLATE(B234,""id"",""en"")"),"['Package', 'Data', 'Internet', 'Cheap', 'Meriah', 'Thanks', 'Telkomsel', 'The', 'Best', 'Anyway', ""]")</f>
        <v>['Package', 'Data', 'Internet', 'Cheap', 'Meriah', 'Thanks', 'Telkomsel', 'The', 'Best', 'Anyway', "]</v>
      </c>
      <c r="D234" s="3">
        <v>4.0</v>
      </c>
    </row>
    <row r="235" ht="15.75" customHeight="1">
      <c r="A235" s="1">
        <v>242.0</v>
      </c>
      <c r="B235" s="3" t="s">
        <v>234</v>
      </c>
      <c r="C235" s="3" t="str">
        <f>IFERROR(__xludf.DUMMYFUNCTION("GOOGLETRANSLATE(B235,""id"",""en"")"),"['', 'My village', 'exact', 'DSN', 'Sukosari', 'Purwosari', 'Kec', 'Wonoasri', 'Kab', 'Madiun', 'Caruban', 'Quality', 'Signal ',' ugly ',' use ',' really ',' please ',' solution ',' thank you ']")</f>
        <v>['', 'My village', 'exact', 'DSN', 'Sukosari', 'Purwosari', 'Kec', 'Wonoasri', 'Kab', 'Madiun', 'Caruban', 'Quality', 'Signal ',' ugly ',' use ',' really ',' please ',' solution ',' thank you ']</v>
      </c>
      <c r="D235" s="3">
        <v>1.0</v>
      </c>
    </row>
    <row r="236" ht="15.75" customHeight="1">
      <c r="A236" s="1">
        <v>244.0</v>
      </c>
      <c r="B236" s="3" t="s">
        <v>235</v>
      </c>
      <c r="C236" s="3" t="str">
        <f>IFERROR(__xludf.DUMMYFUNCTION("GOOGLETRANSLATE(B236,""id"",""en"")"),"['', 'star', 'like', 'stagnating', 'signal', '']")</f>
        <v>['', 'star', 'like', 'stagnating', 'signal', '']</v>
      </c>
      <c r="D236" s="3">
        <v>4.0</v>
      </c>
    </row>
    <row r="237" ht="15.75" customHeight="1">
      <c r="A237" s="1">
        <v>246.0</v>
      </c>
      <c r="B237" s="3" t="s">
        <v>236</v>
      </c>
      <c r="C237" s="3" t="str">
        <f>IFERROR(__xludf.DUMMYFUNCTION("GOOGLETRANSLATE(B237,""id"",""en"")"),"['Disappointed', 'Telkomsel', 'problematic', 'buy', 'package', 'error', 'please', 'Fix', 'Thank', 'You', ""]")</f>
        <v>['Disappointed', 'Telkomsel', 'problematic', 'buy', 'package', 'error', 'please', 'Fix', 'Thank', 'You', "]</v>
      </c>
      <c r="D237" s="3">
        <v>1.0</v>
      </c>
    </row>
    <row r="238" ht="15.75" customHeight="1">
      <c r="A238" s="1">
        <v>247.0</v>
      </c>
      <c r="B238" s="3" t="s">
        <v>237</v>
      </c>
      <c r="C238" s="3" t="str">
        <f>IFERROR(__xludf.DUMMYFUNCTION("GOOGLETRANSLATE(B238,""id"",""en"")"),"['Telkomsel', 'Telkomsel', 'price', 'expensive', 'network', 'slow', 'Ujan', 'Jan', 'Tetep', 'slow']")</f>
        <v>['Telkomsel', 'Telkomsel', 'price', 'expensive', 'network', 'slow', 'Ujan', 'Jan', 'Tetep', 'slow']</v>
      </c>
      <c r="D238" s="3">
        <v>1.0</v>
      </c>
    </row>
    <row r="239" ht="15.75" customHeight="1">
      <c r="A239" s="1">
        <v>248.0</v>
      </c>
      <c r="B239" s="3" t="s">
        <v>238</v>
      </c>
      <c r="C239" s="3" t="str">
        <f>IFERROR(__xludf.DUMMYFUNCTION("GOOGLETRANSLATE(B239,""id"",""en"")"),"['Class',' Telkomsel ',' Network ',' Severe ',' really ',' class', 'Telkomsel', 'package', 'expensive', 'expensive', 'service', 'improvement', ' network ',' Severe ',' expensive ',' people ',' buy ',' bro ',' pay ',' free ',' please ',' really ',' kek ','"&amp;" profit ',' luck ' , 'profit', '']")</f>
        <v>['Class',' Telkomsel ',' Network ',' Severe ',' really ',' class', 'Telkomsel', 'package', 'expensive', 'expensive', 'service', 'improvement', ' network ',' Severe ',' expensive ',' people ',' buy ',' bro ',' pay ',' free ',' please ',' really ',' kek ',' profit ',' luck ' , 'profit', '']</v>
      </c>
      <c r="D239" s="3">
        <v>1.0</v>
      </c>
    </row>
    <row r="240" ht="15.75" customHeight="1">
      <c r="A240" s="1">
        <v>250.0</v>
      </c>
      <c r="B240" s="3" t="s">
        <v>239</v>
      </c>
      <c r="C240" s="3" t="str">
        <f>IFERROR(__xludf.DUMMYFUNCTION("GOOGLETRANSLATE(B240,""id"",""en"")"),"['It's easy', 'user', 'Telkomsel']")</f>
        <v>['It's easy', 'user', 'Telkomsel']</v>
      </c>
      <c r="D240" s="3">
        <v>4.0</v>
      </c>
    </row>
    <row r="241" ht="15.75" customHeight="1">
      <c r="A241" s="1">
        <v>251.0</v>
      </c>
      <c r="B241" s="3" t="s">
        <v>240</v>
      </c>
      <c r="C241" s="3" t="str">
        <f>IFERROR(__xludf.DUMMYFUNCTION("GOOGLETRANSLATE(B241,""id"",""en"")"),"['Okay', 'really', 'dehhh', 'promo', 'Come', 'Hurry', 'Download']")</f>
        <v>['Okay', 'really', 'dehhh', 'promo', 'Come', 'Hurry', 'Download']</v>
      </c>
      <c r="D241" s="3">
        <v>5.0</v>
      </c>
    </row>
    <row r="242" ht="15.75" customHeight="1">
      <c r="A242" s="1">
        <v>253.0</v>
      </c>
      <c r="B242" s="3" t="s">
        <v>241</v>
      </c>
      <c r="C242" s="3" t="str">
        <f>IFERROR(__xludf.DUMMYFUNCTION("GOOGLETRANSLATE(B242,""id"",""en"")"),"['agree']")</f>
        <v>['agree']</v>
      </c>
      <c r="D242" s="3">
        <v>5.0</v>
      </c>
    </row>
    <row r="243" ht="15.75" customHeight="1">
      <c r="A243" s="1">
        <v>254.0</v>
      </c>
      <c r="B243" s="3" t="s">
        <v>242</v>
      </c>
      <c r="C243" s="3" t="str">
        <f>IFERROR(__xludf.DUMMYFUNCTION("GOOGLETRANSLATE(B243,""id"",""en"")"),"['Buy', 'Package', 'Disruption', 'Terossss', '']")</f>
        <v>['Buy', 'Package', 'Disruption', 'Terossss', '']</v>
      </c>
      <c r="D243" s="3">
        <v>1.0</v>
      </c>
    </row>
    <row r="244" ht="15.75" customHeight="1">
      <c r="A244" s="1">
        <v>255.0</v>
      </c>
      <c r="B244" s="3" t="s">
        <v>243</v>
      </c>
      <c r="C244" s="3" t="str">
        <f>IFERROR(__xludf.DUMMYFUNCTION("GOOGLETRANSLATE(B244,""id"",""en"")"),"['happy', 'lucky', 'gift', 'because', 'blm', 'prnh', 'get', 'surprise', 'gift']")</f>
        <v>['happy', 'lucky', 'gift', 'because', 'blm', 'prnh', 'get', 'surprise', 'gift']</v>
      </c>
      <c r="D244" s="3">
        <v>5.0</v>
      </c>
    </row>
    <row r="245" ht="15.75" customHeight="1">
      <c r="A245" s="1">
        <v>257.0</v>
      </c>
      <c r="B245" s="3" t="s">
        <v>244</v>
      </c>
      <c r="C245" s="3" t="str">
        <f>IFERROR(__xludf.DUMMYFUNCTION("GOOGLETRANSLATE(B245,""id"",""en"")"),"['expensive']")</f>
        <v>['expensive']</v>
      </c>
      <c r="D245" s="3">
        <v>5.0</v>
      </c>
    </row>
    <row r="246" ht="15.75" customHeight="1">
      <c r="A246" s="1">
        <v>258.0</v>
      </c>
      <c r="B246" s="3" t="s">
        <v>245</v>
      </c>
      <c r="C246" s="3" t="str">
        <f>IFERROR(__xludf.DUMMYFUNCTION("GOOGLETRANSLATE(B246,""id"",""en"")"),"['signal', 'bad', 'clock', 'clock', 'wib', 'code', 'post', '']")</f>
        <v>['signal', 'bad', 'clock', 'clock', 'wib', 'code', 'post', '']</v>
      </c>
      <c r="D246" s="3">
        <v>1.0</v>
      </c>
    </row>
    <row r="247" ht="15.75" customHeight="1">
      <c r="A247" s="1">
        <v>259.0</v>
      </c>
      <c r="B247" s="3" t="s">
        <v>246</v>
      </c>
      <c r="C247" s="3" t="str">
        <f>IFERROR(__xludf.DUMMYFUNCTION("GOOGLETRANSLATE(B247,""id"",""en"")"),"['Okee', 'good', 'cheerful', 'card', 'please', 'removed', 'operator', 'Telkomsel', 'heart', 'smart', 'diligent', 'saving', ' proud']")</f>
        <v>['Okee', 'good', 'cheerful', 'card', 'please', 'removed', 'operator', 'Telkomsel', 'heart', 'smart', 'diligent', 'saving', ' proud']</v>
      </c>
      <c r="D247" s="3">
        <v>4.0</v>
      </c>
    </row>
    <row r="248" ht="15.75" customHeight="1">
      <c r="A248" s="1">
        <v>260.0</v>
      </c>
      <c r="B248" s="3" t="s">
        <v>247</v>
      </c>
      <c r="C248" s="3" t="str">
        <f>IFERROR(__xludf.DUMMYFUNCTION("GOOGLETRANSLATE(B248,""id"",""en"")"),"['Please', 'Sorry', 'Sinyal', 'Happy', 'Happy', 'Watch', 'YouTube', 'Unlimited', 'Sosmed', 'Main', 'Game', 'Ending', ' quota ',' leftover ',' great ',' signal ',' please ',' fix ',' ']")</f>
        <v>['Please', 'Sorry', 'Sinyal', 'Happy', 'Happy', 'Watch', 'YouTube', 'Unlimited', 'Sosmed', 'Main', 'Game', 'Ending', ' quota ',' leftover ',' great ',' signal ',' please ',' fix ',' ']</v>
      </c>
      <c r="D248" s="3">
        <v>1.0</v>
      </c>
    </row>
    <row r="249" ht="15.75" customHeight="1">
      <c r="A249" s="1">
        <v>261.0</v>
      </c>
      <c r="B249" s="3" t="s">
        <v>248</v>
      </c>
      <c r="C249" s="3" t="str">
        <f>IFERROR(__xludf.DUMMYFUNCTION("GOOGLETRANSLATE(B249,""id"",""en"")"),"['knapa', 'skrang', 'network', 'Telkomsel', 'volte', 'volte', 'it was',' below ',' below ',' he to ',' Jingan ',' appears', ' itukan ',' Fly ',' Namany ',' Download ',' Nyampek ',' Mbps', 'Akanih', 'Response']")</f>
        <v>['knapa', 'skrang', 'network', 'Telkomsel', 'volte', 'volte', 'it was',' below ',' below ',' he to ',' Jingan ',' appears', ' itukan ',' Fly ',' Namany ',' Download ',' Nyampek ',' Mbps', 'Akanih', 'Response']</v>
      </c>
      <c r="D249" s="3">
        <v>4.0</v>
      </c>
    </row>
    <row r="250" ht="15.75" customHeight="1">
      <c r="A250" s="1">
        <v>262.0</v>
      </c>
      <c r="B250" s="3" t="s">
        <v>249</v>
      </c>
      <c r="C250" s="3" t="str">
        <f>IFERROR(__xludf.DUMMYFUNCTION("GOOGLETRANSLATE(B250,""id"",""en"")"),"['Telkomsel', 'pig', 'network', 'kayak', 'taiiiiiii', 'mending', 'switch', 'operator']")</f>
        <v>['Telkomsel', 'pig', 'network', 'kayak', 'taiiiiiii', 'mending', 'switch', 'operator']</v>
      </c>
      <c r="D250" s="3">
        <v>1.0</v>
      </c>
    </row>
    <row r="251" ht="15.75" customHeight="1">
      <c r="A251" s="1">
        <v>263.0</v>
      </c>
      <c r="B251" s="3" t="s">
        <v>250</v>
      </c>
      <c r="C251" s="3" t="str">
        <f>IFERROR(__xludf.DUMMYFUNCTION("GOOGLETRANSLATE(B251,""id"",""en"")"),"['Condition', 'usage', 'package', 'Flash', 'Multimedia', 'Package', 'Flash', 'first', 'Out', 'Package', 'Multimedia', 'Tepai', ' Even then ',' disadvantage ',' Mbps', 'reduced', 'Fair']")</f>
        <v>['Condition', 'usage', 'package', 'Flash', 'Multimedia', 'Package', 'Flash', 'first', 'Out', 'Package', 'Multimedia', 'Tepai', ' Even then ',' disadvantage ',' Mbps', 'reduced', 'Fair']</v>
      </c>
      <c r="D251" s="3">
        <v>1.0</v>
      </c>
    </row>
    <row r="252" ht="15.75" customHeight="1">
      <c r="A252" s="1">
        <v>264.0</v>
      </c>
      <c r="B252" s="3" t="s">
        <v>251</v>
      </c>
      <c r="C252" s="3" t="str">
        <f>IFERROR(__xludf.DUMMYFUNCTION("GOOGLETRANSLATE(B252,""id"",""en"")"),"['Steady', 'Signal', 'Greget', 'continue', ""]")</f>
        <v>['Steady', 'Signal', 'Greget', 'continue', "]</v>
      </c>
      <c r="D252" s="3">
        <v>1.0</v>
      </c>
    </row>
    <row r="253" ht="15.75" customHeight="1">
      <c r="A253" s="1">
        <v>265.0</v>
      </c>
      <c r="B253" s="3" t="s">
        <v>252</v>
      </c>
      <c r="C253" s="3" t="str">
        <f>IFERROR(__xludf.DUMMYFUNCTION("GOOGLETRANSLATE(B253,""id"",""en"")"),"['game', 'online', 'nyensat', 'nyensat', ""]")</f>
        <v>['game', 'online', 'nyensat', 'nyensat', "]</v>
      </c>
      <c r="D253" s="3">
        <v>4.0</v>
      </c>
    </row>
    <row r="254" ht="15.75" customHeight="1">
      <c r="A254" s="1">
        <v>266.0</v>
      </c>
      <c r="B254" s="3" t="s">
        <v>253</v>
      </c>
      <c r="C254" s="3" t="str">
        <f>IFERROR(__xludf.DUMMYFUNCTION("GOOGLETRANSLATE(B254,""id"",""en"")"),"['The web', 'ugly', 'area', 'Daeraj', 'Batura', 'East', 'Sekarjaya', 'Please', 'Fix', 'Tower', 'Tower', 'Location']")</f>
        <v>['The web', 'ugly', 'area', 'Daeraj', 'Batura', 'East', 'Sekarjaya', 'Please', 'Fix', 'Tower', 'Tower', 'Location']</v>
      </c>
      <c r="D254" s="3">
        <v>1.0</v>
      </c>
    </row>
    <row r="255" ht="15.75" customHeight="1">
      <c r="A255" s="1">
        <v>267.0</v>
      </c>
      <c r="B255" s="3" t="s">
        <v>254</v>
      </c>
      <c r="C255" s="3" t="str">
        <f>IFERROR(__xludf.DUMMYFUNCTION("GOOGLETRANSLATE(B255,""id"",""en"")"),"['Good', 'Jaya', 'Hopefully', 'Telkomsel', 'Service', 'Best', 'Consumers',' Lots', 'Discounts',' Packages', 'Data', 'Cheap', ' ']")</f>
        <v>['Good', 'Jaya', 'Hopefully', 'Telkomsel', 'Service', 'Best', 'Consumers',' Lots', 'Discounts',' Packages', 'Data', 'Cheap', ' ']</v>
      </c>
      <c r="D255" s="3">
        <v>5.0</v>
      </c>
    </row>
    <row r="256" ht="15.75" customHeight="1">
      <c r="A256" s="1">
        <v>268.0</v>
      </c>
      <c r="B256" s="3" t="s">
        <v>255</v>
      </c>
      <c r="C256" s="3" t="str">
        <f>IFERROR(__xludf.DUMMYFUNCTION("GOOGLETRANSLATE(B256,""id"",""en"")"),"['Telkomsel', 'top', 'really', 'anti', 'slow']")</f>
        <v>['Telkomsel', 'top', 'really', 'anti', 'slow']</v>
      </c>
      <c r="D256" s="3">
        <v>5.0</v>
      </c>
    </row>
    <row r="257" ht="15.75" customHeight="1">
      <c r="A257" s="1">
        <v>269.0</v>
      </c>
      <c r="B257" s="3" t="s">
        <v>256</v>
      </c>
      <c r="C257" s="3" t="str">
        <f>IFERROR(__xludf.DUMMYFUNCTION("GOOGLETRANSLATE(B257,""id"",""en"")"),"['Success', 'Selecting']")</f>
        <v>['Success', 'Selecting']</v>
      </c>
      <c r="D257" s="3">
        <v>5.0</v>
      </c>
    </row>
    <row r="258" ht="15.75" customHeight="1">
      <c r="A258" s="1">
        <v>270.0</v>
      </c>
      <c r="B258" s="3" t="s">
        <v>257</v>
      </c>
      <c r="C258" s="3" t="str">
        <f>IFERROR(__xludf.DUMMYFUNCTION("GOOGLETRANSLATE(B258,""id"",""en"")"),"['Update', 'Android', 'Pixel', 'Application', 'Install', 'Severe', 'Fah']")</f>
        <v>['Update', 'Android', 'Pixel', 'Application', 'Install', 'Severe', 'Fah']</v>
      </c>
      <c r="D258" s="3">
        <v>1.0</v>
      </c>
    </row>
    <row r="259" ht="15.75" customHeight="1">
      <c r="A259" s="1">
        <v>271.0</v>
      </c>
      <c r="B259" s="3" t="s">
        <v>258</v>
      </c>
      <c r="C259" s="3" t="str">
        <f>IFERROR(__xludf.DUMMYFUNCTION("GOOGLETRANSLATE(B259,""id"",""en"")"),"['Telkomsel', 'Severe', 'Price', 'Quota', 'Internet', 'No', 'Ngilak', 'Already', 'Establishing', 'greedy', 'suggestion', 'friend', ' im ',' steady ',' Telkomsel ',' poor ',' ']")</f>
        <v>['Telkomsel', 'Severe', 'Price', 'Quota', 'Internet', 'No', 'Ngilak', 'Already', 'Establishing', 'greedy', 'suggestion', 'friend', ' im ',' steady ',' Telkomsel ',' poor ',' ']</v>
      </c>
      <c r="D259" s="3">
        <v>1.0</v>
      </c>
    </row>
    <row r="260" ht="15.75" customHeight="1">
      <c r="A260" s="1">
        <v>272.0</v>
      </c>
      <c r="B260" s="3" t="s">
        <v>259</v>
      </c>
      <c r="C260" s="3" t="str">
        <f>IFERROR(__xludf.DUMMYFUNCTION("GOOGLETRANSLATE(B260,""id"",""en"")"),"['Mambantia', 'Cman', 'Sins', 'Level', 'Kab', ""]")</f>
        <v>['Mambantia', 'Cman', 'Sins', 'Level', 'Kab', "]</v>
      </c>
      <c r="D260" s="3">
        <v>5.0</v>
      </c>
    </row>
    <row r="261" ht="15.75" customHeight="1">
      <c r="A261" s="1">
        <v>273.0</v>
      </c>
      <c r="B261" s="3" t="s">
        <v>260</v>
      </c>
      <c r="C261" s="3" t="str">
        <f>IFERROR(__xludf.DUMMYFUNCTION("GOOGLETRANSLATE(B261,""id"",""en"")"),"['hope', 'can', 'economical', 'pandemic', '']")</f>
        <v>['hope', 'can', 'economical', 'pandemic', '']</v>
      </c>
      <c r="D261" s="3">
        <v>4.0</v>
      </c>
    </row>
    <row r="262" ht="15.75" customHeight="1">
      <c r="A262" s="1">
        <v>274.0</v>
      </c>
      <c r="B262" s="3" t="s">
        <v>261</v>
      </c>
      <c r="C262" s="3" t="str">
        <f>IFERROR(__xludf.DUMMYFUNCTION("GOOGLETRANSLATE(B262,""id"",""en"")"),"['hope', 'healthy', 'amen']")</f>
        <v>['hope', 'healthy', 'amen']</v>
      </c>
      <c r="D262" s="3">
        <v>5.0</v>
      </c>
    </row>
    <row r="263" ht="15.75" customHeight="1">
      <c r="A263" s="1">
        <v>275.0</v>
      </c>
      <c r="B263" s="3" t="s">
        <v>262</v>
      </c>
      <c r="C263" s="3" t="str">
        <f>IFERROR(__xludf.DUMMYFUNCTION("GOOGLETRANSLATE(B263,""id"",""en"")"),"['History', 'expenses', 'purchase', 'Available', 'Customer', 'Credit', 'Cut', '']")</f>
        <v>['History', 'expenses', 'purchase', 'Available', 'Customer', 'Credit', 'Cut', '']</v>
      </c>
      <c r="D263" s="3">
        <v>1.0</v>
      </c>
    </row>
    <row r="264" ht="15.75" customHeight="1">
      <c r="A264" s="1">
        <v>276.0</v>
      </c>
      <c r="B264" s="3" t="s">
        <v>263</v>
      </c>
      <c r="C264" s="3" t="str">
        <f>IFERROR(__xludf.DUMMYFUNCTION("GOOGLETRANSLATE(B264,""id"",""en"")"),"['Credit', 'Reduced', '']")</f>
        <v>['Credit', 'Reduced', '']</v>
      </c>
      <c r="D264" s="3">
        <v>1.0</v>
      </c>
    </row>
    <row r="265" ht="15.75" customHeight="1">
      <c r="A265" s="1">
        <v>277.0</v>
      </c>
      <c r="B265" s="3" t="s">
        <v>264</v>
      </c>
      <c r="C265" s="3" t="str">
        <f>IFERROR(__xludf.DUMMYFUNCTION("GOOGLETRANSLATE(B265,""id"",""en"")"),"['Network', 'good']")</f>
        <v>['Network', 'good']</v>
      </c>
      <c r="D265" s="3">
        <v>5.0</v>
      </c>
    </row>
    <row r="266" ht="15.75" customHeight="1">
      <c r="A266" s="1">
        <v>278.0</v>
      </c>
      <c r="B266" s="3" t="s">
        <v>265</v>
      </c>
      <c r="C266" s="3" t="str">
        <f>IFERROR(__xludf.DUMMYFUNCTION("GOOGLETRANSLATE(B266,""id"",""en"")"),"['network', 'ugly', 'bngt', 'gini', 'aduuuuh', 'buy', 'quota', '']")</f>
        <v>['network', 'ugly', 'bngt', 'gini', 'aduuuuh', 'buy', 'quota', '']</v>
      </c>
      <c r="D266" s="3">
        <v>1.0</v>
      </c>
    </row>
    <row r="267" ht="15.75" customHeight="1">
      <c r="A267" s="1">
        <v>279.0</v>
      </c>
      <c r="B267" s="3" t="s">
        <v>266</v>
      </c>
      <c r="C267" s="3" t="str">
        <f>IFERROR(__xludf.DUMMYFUNCTION("GOOGLETRANSLATE(B267,""id"",""en"")"),"['professional']")</f>
        <v>['professional']</v>
      </c>
      <c r="D267" s="3">
        <v>5.0</v>
      </c>
    </row>
    <row r="268" ht="15.75" customHeight="1">
      <c r="A268" s="1">
        <v>280.0</v>
      </c>
      <c r="B268" s="3" t="s">
        <v>267</v>
      </c>
      <c r="C268" s="3" t="str">
        <f>IFERROR(__xludf.DUMMYFUNCTION("GOOGLETRANSLATE(B268,""id"",""en"")"),"['', 'Network', 'Good']")</f>
        <v>['', 'Network', 'Good']</v>
      </c>
      <c r="D268" s="3">
        <v>5.0</v>
      </c>
    </row>
    <row r="269" ht="15.75" customHeight="1">
      <c r="A269" s="1">
        <v>281.0</v>
      </c>
      <c r="B269" s="3" t="s">
        <v>268</v>
      </c>
      <c r="C269" s="3" t="str">
        <f>IFERROR(__xludf.DUMMYFUNCTION("GOOGLETRANSLATE(B269,""id"",""en"")"),"['Simple', 'buy', 'package', 'internet']")</f>
        <v>['Simple', 'buy', 'package', 'internet']</v>
      </c>
      <c r="D269" s="3">
        <v>4.0</v>
      </c>
    </row>
    <row r="270" ht="15.75" customHeight="1">
      <c r="A270" s="1">
        <v>282.0</v>
      </c>
      <c r="B270" s="3" t="s">
        <v>269</v>
      </c>
      <c r="C270" s="3" t="str">
        <f>IFERROR(__xludf.DUMMYFUNCTION("GOOGLETRANSLATE(B270,""id"",""en"")"),"['easy', 'buy', 'package', 'internet']")</f>
        <v>['easy', 'buy', 'package', 'internet']</v>
      </c>
      <c r="D270" s="3">
        <v>5.0</v>
      </c>
    </row>
    <row r="271" ht="15.75" customHeight="1">
      <c r="A271" s="1">
        <v>283.0</v>
      </c>
      <c r="B271" s="3" t="s">
        <v>270</v>
      </c>
      <c r="C271" s="3" t="str">
        <f>IFERROR(__xludf.DUMMYFUNCTION("GOOGLETRANSLATE(B271,""id"",""en"")"),"['Wonder', 'Network', 'Bad', 'Superior', 'Network', 'Indosat', 'Smartfren', 'South Sulawesi', 'exact', 'Moncongloe', 'Kab', 'Gowa', ' Kec ',' PattAlassang ',' hope ',' Dragus', 'The network', 'Boskuuu', 'love', 'Ratingg', 'star', 'Okay', ""]")</f>
        <v>['Wonder', 'Network', 'Bad', 'Superior', 'Network', 'Indosat', 'Smartfren', 'South Sulawesi', 'exact', 'Moncongloe', 'Kab', 'Gowa', ' Kec ',' PattAlassang ',' hope ',' Dragus', 'The network', 'Boskuuu', 'love', 'Ratingg', 'star', 'Okay', "]</v>
      </c>
      <c r="D271" s="3">
        <v>1.0</v>
      </c>
    </row>
    <row r="272" ht="15.75" customHeight="1">
      <c r="A272" s="1">
        <v>284.0</v>
      </c>
      <c r="B272" s="3" t="s">
        <v>271</v>
      </c>
      <c r="C272" s="3" t="str">
        <f>IFERROR(__xludf.DUMMYFUNCTION("GOOGLETRANSLATE(B272,""id"",""en"")"),"['Exchange', 'Points', 'FAILURE', 'TRUS', 'AJG', 'idiot']")</f>
        <v>['Exchange', 'Points', 'FAILURE', 'TRUS', 'AJG', 'idiot']</v>
      </c>
      <c r="D272" s="3">
        <v>1.0</v>
      </c>
    </row>
    <row r="273" ht="15.75" customHeight="1">
      <c r="A273" s="1">
        <v>285.0</v>
      </c>
      <c r="B273" s="3" t="s">
        <v>272</v>
      </c>
      <c r="C273" s="3" t="str">
        <f>IFERROR(__xludf.DUMMYFUNCTION("GOOGLETRANSLATE(B273,""id"",""en"")"),"['level', 'package', 'cheap', 'lalot', 'lalot', '']")</f>
        <v>['level', 'package', 'cheap', 'lalot', 'lalot', '']</v>
      </c>
      <c r="D273" s="3">
        <v>4.0</v>
      </c>
    </row>
    <row r="274" ht="15.75" customHeight="1">
      <c r="A274" s="1">
        <v>286.0</v>
      </c>
      <c r="B274" s="3" t="s">
        <v>273</v>
      </c>
      <c r="C274" s="3" t="str">
        <f>IFERROR(__xludf.DUMMYFUNCTION("GOOGLETRANSLATE(B274,""id"",""en"")"),"['Network', 'slow', 'stable', 'recomment', 'play', 'game', 'swear', 'play', 'game', 'card', 'Telkomsel', 'comfortable', ' signal ',' down ',' here ',' disappointed ',' network ',' Telkomsel ',' ']")</f>
        <v>['Network', 'slow', 'stable', 'recomment', 'play', 'game', 'swear', 'play', 'game', 'card', 'Telkomsel', 'comfortable', ' signal ',' down ',' here ',' disappointed ',' network ',' Telkomsel ',' ']</v>
      </c>
      <c r="D274" s="3">
        <v>1.0</v>
      </c>
    </row>
    <row r="275" ht="15.75" customHeight="1">
      <c r="A275" s="1">
        <v>287.0</v>
      </c>
      <c r="B275" s="3" t="s">
        <v>274</v>
      </c>
      <c r="C275" s="3" t="str">
        <f>IFERROR(__xludf.DUMMYFUNCTION("GOOGLETRANSLATE(B275,""id"",""en"")"),"['Song', 'right', 'Open', 'MyTelkomsel', 'Paketan', 'wasteful', 'Telkomsel', 'Deng', 'Deng', 'Deng']")</f>
        <v>['Song', 'right', 'Open', 'MyTelkomsel', 'Paketan', 'wasteful', 'Telkomsel', 'Deng', 'Deng', 'Deng']</v>
      </c>
      <c r="D275" s="3">
        <v>1.0</v>
      </c>
    </row>
    <row r="276" ht="15.75" customHeight="1">
      <c r="A276" s="1">
        <v>288.0</v>
      </c>
      <c r="B276" s="3" t="s">
        <v>275</v>
      </c>
      <c r="C276" s="3" t="str">
        <f>IFERROR(__xludf.DUMMYFUNCTION("GOOGLETRANSLATE(B276,""id"",""en"")"),"['makes it easier', '']")</f>
        <v>['makes it easier', '']</v>
      </c>
      <c r="D276" s="3">
        <v>5.0</v>
      </c>
    </row>
    <row r="277" ht="15.75" customHeight="1">
      <c r="A277" s="1">
        <v>289.0</v>
      </c>
      <c r="B277" s="3" t="s">
        <v>276</v>
      </c>
      <c r="C277" s="3" t="str">
        <f>IFERROR(__xludf.DUMMYFUNCTION("GOOGLETRANSLATE(B277,""id"",""en"")"),"['Enter', 'complicated']")</f>
        <v>['Enter', 'complicated']</v>
      </c>
      <c r="D277" s="3">
        <v>1.0</v>
      </c>
    </row>
    <row r="278" ht="15.75" customHeight="1">
      <c r="A278" s="1">
        <v>290.0</v>
      </c>
      <c r="B278" s="3" t="s">
        <v>277</v>
      </c>
      <c r="C278" s="3" t="str">
        <f>IFERROR(__xludf.DUMMYFUNCTION("GOOGLETRANSLATE(B278,""id"",""en"")"),"['Good', 'bngt', 'package', 'expensive', 'cheap', 'free']")</f>
        <v>['Good', 'bngt', 'package', 'expensive', 'cheap', 'free']</v>
      </c>
      <c r="D278" s="3">
        <v>5.0</v>
      </c>
    </row>
    <row r="279" ht="15.75" customHeight="1">
      <c r="A279" s="1">
        <v>291.0</v>
      </c>
      <c r="B279" s="3" t="s">
        <v>278</v>
      </c>
      <c r="C279" s="3" t="str">
        <f>IFERROR(__xludf.DUMMYFUNCTION("GOOGLETRANSLATE(B279,""id"",""en"")"),"['', 'users',' loyal ',' Telkomsel ',' BBRP ',' Disappointed ',' Network ',' Telkomsel ',' Since ',' Isue ',' Katanye ',' Eat ',' Shark ',' Network ',' down ',' really ',' work ',' driver ',' motorcycle taxi ',' online ',' need ',' network ',' stable ',' "&amp;"order ',' latenye ', 'Disappointed', 'network', 'Telkomsel', 'down', 'really', 'income', 'tlg', 'telkomsel', 'fix', 'user', 'loyal', 'Telkomsel', 'moved ',' Provider ']")</f>
        <v>['', 'users',' loyal ',' Telkomsel ',' BBRP ',' Disappointed ',' Network ',' Telkomsel ',' Since ',' Isue ',' Katanye ',' Eat ',' Shark ',' Network ',' down ',' really ',' work ',' driver ',' motorcycle taxi ',' online ',' need ',' network ',' stable ',' order ',' latenye ', 'Disappointed', 'network', 'Telkomsel', 'down', 'really', 'income', 'tlg', 'telkomsel', 'fix', 'user', 'loyal', 'Telkomsel', 'moved ',' Provider ']</v>
      </c>
      <c r="D279" s="3">
        <v>1.0</v>
      </c>
    </row>
    <row r="280" ht="15.75" customHeight="1">
      <c r="A280" s="1">
        <v>292.0</v>
      </c>
      <c r="B280" s="3" t="s">
        <v>279</v>
      </c>
      <c r="C280" s="3" t="str">
        <f>IFERROR(__xludf.DUMMYFUNCTION("GOOGLETRANSLATE(B280,""id"",""en"")"),"['Min', 'TDI', 'Buy', 'Package', 'Application', 'Telkomsel', 'TPI', 'Blom', 'Msuk', 'Network', 'Good', 'Credit', ' Please ',' suggestion ',' thanks']")</f>
        <v>['Min', 'TDI', 'Buy', 'Package', 'Application', 'Telkomsel', 'TPI', 'Blom', 'Msuk', 'Network', 'Good', 'Credit', ' Please ',' suggestion ',' thanks']</v>
      </c>
      <c r="D280" s="3">
        <v>4.0</v>
      </c>
    </row>
    <row r="281" ht="15.75" customHeight="1">
      <c r="A281" s="1">
        <v>293.0</v>
      </c>
      <c r="B281" s="3" t="s">
        <v>280</v>
      </c>
      <c r="C281" s="3" t="str">
        <f>IFERROR(__xludf.DUMMYFUNCTION("GOOGLETRANSLATE(B281,""id"",""en"")"),"['Disruption', 'System', 'Nidak', 'Buy', 'Package']")</f>
        <v>['Disruption', 'System', 'Nidak', 'Buy', 'Package']</v>
      </c>
      <c r="D281" s="3">
        <v>1.0</v>
      </c>
    </row>
    <row r="282" ht="15.75" customHeight="1">
      <c r="A282" s="1">
        <v>294.0</v>
      </c>
      <c r="B282" s="3" t="s">
        <v>281</v>
      </c>
      <c r="C282" s="3" t="str">
        <f>IFERROR(__xludf.DUMMYFUNCTION("GOOGLETRANSLATE(B282,""id"",""en"")"),"['Telkomsel', 'emang', 'steady', ""]")</f>
        <v>['Telkomsel', 'emang', 'steady', "]</v>
      </c>
      <c r="D282" s="3">
        <v>5.0</v>
      </c>
    </row>
    <row r="283" ht="15.75" customHeight="1">
      <c r="A283" s="1">
        <v>295.0</v>
      </c>
      <c r="B283" s="3" t="s">
        <v>282</v>
      </c>
      <c r="C283" s="3" t="str">
        <f>IFERROR(__xludf.DUMMYFUNCTION("GOOGLETRANSLATE(B283,""id"",""en"")"),"['Where', 'Signal', 'Strong', 'Disconnect', 'Disconnect', 'Anyway', 'Satisfied', 'Use', ""]")</f>
        <v>['Where', 'Signal', 'Strong', 'Disconnect', 'Disconnect', 'Anyway', 'Satisfied', 'Use', "]</v>
      </c>
      <c r="D283" s="3">
        <v>5.0</v>
      </c>
    </row>
    <row r="284" ht="15.75" customHeight="1">
      <c r="A284" s="1">
        <v>296.0</v>
      </c>
      <c r="B284" s="3" t="s">
        <v>283</v>
      </c>
      <c r="C284" s="3" t="str">
        <f>IFERROR(__xludf.DUMMYFUNCTION("GOOGLETRANSLATE(B284,""id"",""en"")"),"['buy', 'package', 'experience', 'forget', 'what', 'just', 'upgrade', 'system', 'automatic', 'provider', 'tsb', 'packetan', ' the rest of ',' GB ',' disappear ',' that's', 'Telkomsel', 'replaced', 'quota', 'lost', 'sediiihhhh', 'beuut', 'already', 'please"&amp;"', 'fix' , 'System', 'disappointed', 'use', 'Providee', 'lbh', 'th', '']")</f>
        <v>['buy', 'package', 'experience', 'forget', 'what', 'just', 'upgrade', 'system', 'automatic', 'provider', 'tsb', 'packetan', ' the rest of ',' GB ',' disappear ',' that's', 'Telkomsel', 'replaced', 'quota', 'lost', 'sediiihhhh', 'beuut', 'already', 'please', 'fix' , 'System', 'disappointed', 'use', 'Providee', 'lbh', 'th', '']</v>
      </c>
      <c r="D284" s="3">
        <v>2.0</v>
      </c>
    </row>
    <row r="285" ht="15.75" customHeight="1">
      <c r="A285" s="1">
        <v>297.0</v>
      </c>
      <c r="B285" s="3" t="s">
        <v>284</v>
      </c>
      <c r="C285" s="3" t="str">
        <f>IFERROR(__xludf.DUMMYFUNCTION("GOOGLETRANSLATE(B285,""id"",""en"")"),"['Network', 'Tsel', 'Cross', 'Season', 'yaampun', 'buy', 'quota', 'thousand', 'get', 'gapernah', 'coakes', 'know' separated ',' that's', 'Season']")</f>
        <v>['Network', 'Tsel', 'Cross', 'Season', 'yaampun', 'buy', 'quota', 'thousand', 'get', 'gapernah', 'coakes', 'know' separated ',' that's', 'Season']</v>
      </c>
      <c r="D285" s="3">
        <v>2.0</v>
      </c>
    </row>
    <row r="286" ht="15.75" customHeight="1">
      <c r="A286" s="1">
        <v>298.0</v>
      </c>
      <c r="B286" s="3" t="s">
        <v>285</v>
      </c>
      <c r="C286" s="3" t="str">
        <f>IFERROR(__xludf.DUMMYFUNCTION("GOOGLETRANSLATE(B286,""id"",""en"")"),"['man', 'cucuk', 'roof', 'steady']")</f>
        <v>['man', 'cucuk', 'roof', 'steady']</v>
      </c>
      <c r="D286" s="3">
        <v>5.0</v>
      </c>
    </row>
    <row r="287" ht="15.75" customHeight="1">
      <c r="A287" s="1">
        <v>299.0</v>
      </c>
      <c r="B287" s="3" t="s">
        <v>286</v>
      </c>
      <c r="C287" s="3" t="str">
        <f>IFERROR(__xludf.DUMMYFUNCTION("GOOGLETRANSLATE(B287,""id"",""en"")"),"['like', 'really', 'apps']")</f>
        <v>['like', 'really', 'apps']</v>
      </c>
      <c r="D287" s="3">
        <v>5.0</v>
      </c>
    </row>
    <row r="288" ht="15.75" customHeight="1">
      <c r="A288" s="1">
        <v>300.0</v>
      </c>
      <c r="B288" s="3" t="s">
        <v>287</v>
      </c>
      <c r="C288" s="3" t="str">
        <f>IFERROR(__xludf.DUMMYFUNCTION("GOOGLETRANSLATE(B288,""id"",""en"")"),"['Current', 'every situation']")</f>
        <v>['Current', 'every situation']</v>
      </c>
      <c r="D288" s="3">
        <v>5.0</v>
      </c>
    </row>
    <row r="289" ht="15.75" customHeight="1">
      <c r="A289" s="1">
        <v>301.0</v>
      </c>
      <c r="B289" s="3" t="s">
        <v>288</v>
      </c>
      <c r="C289" s="3" t="str">
        <f>IFERROR(__xludf.DUMMYFUNCTION("GOOGLETRANSLATE(B289,""id"",""en"")"),"['user', 'sympathy', 'signal', 'good', 'rain', 'parung', 'bogor', 'use', 'zoom', 'metting', 'google', 'meting', ' Disconnected ',' Quotes', 'Fast', 'Out', 'Notif', 'Package', 'Quota', 'Save', 'Please', 'Increase', 'Service', 'Customer', 'Customer' , 'than"&amp;"k you', '']")</f>
        <v>['user', 'sympathy', 'signal', 'good', 'rain', 'parung', 'bogor', 'use', 'zoom', 'metting', 'google', 'meting', ' Disconnected ',' Quotes', 'Fast', 'Out', 'Notif', 'Package', 'Quota', 'Save', 'Please', 'Increase', 'Service', 'Customer', 'Customer' , 'thank you', '']</v>
      </c>
      <c r="D289" s="3">
        <v>1.0</v>
      </c>
    </row>
    <row r="290" ht="15.75" customHeight="1">
      <c r="A290" s="1">
        <v>302.0</v>
      </c>
      <c r="B290" s="3" t="s">
        <v>289</v>
      </c>
      <c r="C290" s="3" t="str">
        <f>IFERROR(__xludf.DUMMYFUNCTION("GOOGLETRANSLATE(B290,""id"",""en"")"),"['Good', 'help']")</f>
        <v>['Good', 'help']</v>
      </c>
      <c r="D290" s="3">
        <v>5.0</v>
      </c>
    </row>
    <row r="291" ht="15.75" customHeight="1">
      <c r="A291" s="1">
        <v>303.0</v>
      </c>
      <c r="B291" s="3" t="s">
        <v>290</v>
      </c>
      <c r="C291" s="3" t="str">
        <f>IFERROR(__xludf.DUMMYFUNCTION("GOOGLETRANSLATE(B291,""id"",""en"")"),"['Telkomsel', 'network', 'widest', 'still', 'access', 'anywhere', 'ber']")</f>
        <v>['Telkomsel', 'network', 'widest', 'still', 'access', 'anywhere', 'ber']</v>
      </c>
      <c r="D291" s="3">
        <v>5.0</v>
      </c>
    </row>
    <row r="292" ht="15.75" customHeight="1">
      <c r="A292" s="1">
        <v>304.0</v>
      </c>
      <c r="B292" s="3" t="s">
        <v>291</v>
      </c>
      <c r="C292" s="3" t="str">
        <f>IFERROR(__xludf.DUMMYFUNCTION("GOOGLETRANSLATE(B292,""id"",""en"")"),"['Cheap', 'Telkomsel']")</f>
        <v>['Cheap', 'Telkomsel']</v>
      </c>
      <c r="D292" s="3">
        <v>5.0</v>
      </c>
    </row>
    <row r="293" ht="15.75" customHeight="1">
      <c r="A293" s="1">
        <v>305.0</v>
      </c>
      <c r="B293" s="3" t="s">
        <v>292</v>
      </c>
      <c r="C293" s="3" t="str">
        <f>IFERROR(__xludf.DUMMYFUNCTION("GOOGLETRANSLATE(B293,""id"",""en"")"),"['Credit', 'Sumpot', 'BNYK', 'Anjinggggg', 'Udh', 'Money', 'CMN', 'Maketin', 'Kuotaaa', 'Anjingg', 'Ijung', 'Anjingg', ' Reverse ',' Money ',' Bangsattttt ',' Dead ',' Everything ',' ']")</f>
        <v>['Credit', 'Sumpot', 'BNYK', 'Anjinggggg', 'Udh', 'Money', 'CMN', 'Maketin', 'Kuotaaa', 'Anjingg', 'Ijung', 'Anjingg', ' Reverse ',' Money ',' Bangsattttt ',' Dead ',' Everything ',' ']</v>
      </c>
      <c r="D293" s="3">
        <v>1.0</v>
      </c>
    </row>
    <row r="294" ht="15.75" customHeight="1">
      <c r="A294" s="1">
        <v>306.0</v>
      </c>
      <c r="B294" s="3" t="s">
        <v>293</v>
      </c>
      <c r="C294" s="3" t="str">
        <f>IFERROR(__xludf.DUMMYFUNCTION("GOOGLETRANSLATE(B294,""id"",""en"")"),"['Support']")</f>
        <v>['Support']</v>
      </c>
      <c r="D294" s="3">
        <v>5.0</v>
      </c>
    </row>
    <row r="295" ht="15.75" customHeight="1">
      <c r="A295" s="1">
        <v>307.0</v>
      </c>
      <c r="B295" s="3" t="s">
        <v>294</v>
      </c>
      <c r="C295" s="3" t="str">
        <f>IFERROR(__xludf.DUMMYFUNCTION("GOOGLETRANSLATE(B295,""id"",""en"")"),"['Increase', 'Network', '']")</f>
        <v>['Increase', 'Network', '']</v>
      </c>
      <c r="D295" s="3">
        <v>2.0</v>
      </c>
    </row>
    <row r="296" ht="15.75" customHeight="1">
      <c r="A296" s="1">
        <v>308.0</v>
      </c>
      <c r="B296" s="3" t="s">
        <v>295</v>
      </c>
      <c r="C296" s="3" t="str">
        <f>IFERROR(__xludf.DUMMYFUNCTION("GOOGLETRANSLATE(B296,""id"",""en"")"),"['Steady', 'satisfying', 'hope', 'package', 'cheap', 'promo', 'in the future']")</f>
        <v>['Steady', 'satisfying', 'hope', 'package', 'cheap', 'promo', 'in the future']</v>
      </c>
      <c r="D296" s="3">
        <v>5.0</v>
      </c>
    </row>
    <row r="297" ht="15.75" customHeight="1">
      <c r="A297" s="1">
        <v>309.0</v>
      </c>
      <c r="B297" s="3" t="s">
        <v>296</v>
      </c>
      <c r="C297" s="3" t="str">
        <f>IFERROR(__xludf.DUMMYFUNCTION("GOOGLETRANSLATE(B297,""id"",""en"")"),"['apk', 'Telkomsel', 'promo', 'kouta', 'bikes', '']")</f>
        <v>['apk', 'Telkomsel', 'promo', 'kouta', 'bikes', '']</v>
      </c>
      <c r="D297" s="3">
        <v>5.0</v>
      </c>
    </row>
    <row r="298" ht="15.75" customHeight="1">
      <c r="A298" s="1">
        <v>310.0</v>
      </c>
      <c r="B298" s="3" t="s">
        <v>297</v>
      </c>
      <c r="C298" s="3" t="str">
        <f>IFERROR(__xludf.DUMMYFUNCTION("GOOGLETRANSLATE(B298,""id"",""en"")"),"['update', 'progress', 'no', 'piye', '']")</f>
        <v>['update', 'progress', 'no', 'piye', '']</v>
      </c>
      <c r="D298" s="3">
        <v>3.0</v>
      </c>
    </row>
    <row r="299" ht="15.75" customHeight="1">
      <c r="A299" s="1">
        <v>311.0</v>
      </c>
      <c r="B299" s="3" t="s">
        <v>298</v>
      </c>
      <c r="C299" s="3" t="str">
        <f>IFERROR(__xludf.DUMMYFUNCTION("GOOGLETRANSLATE(B299,""id"",""en"")"),"['Good', 'simple', 'buy', 'package', 'data', 'expensive']")</f>
        <v>['Good', 'simple', 'buy', 'package', 'data', 'expensive']</v>
      </c>
      <c r="D299" s="3">
        <v>4.0</v>
      </c>
    </row>
    <row r="300" ht="15.75" customHeight="1">
      <c r="A300" s="1">
        <v>312.0</v>
      </c>
      <c r="B300" s="3" t="s">
        <v>299</v>
      </c>
      <c r="C300" s="3" t="str">
        <f>IFERROR(__xludf.DUMMYFUNCTION("GOOGLETRANSLATE(B300,""id"",""en"")"),"['oath', 'I', 'Ryesel', 'really', 'Telkomsel', 'times',' I ',' activation ',' package ',' internet ',' network ',' busy ',' Please ',' try ',' already ',' I ',' restart ',' HP ',' Tetep ',' Bagusan ',' Indosat ',' Where ',' expensive ',' Doang ',' interne"&amp;"t ' , 'slow']")</f>
        <v>['oath', 'I', 'Ryesel', 'really', 'Telkomsel', 'times',' I ',' activation ',' package ',' internet ',' network ',' busy ',' Please ',' try ',' already ',' I ',' restart ',' HP ',' Tetep ',' Bagusan ',' Indosat ',' Where ',' expensive ',' Doang ',' internet ' , 'slow']</v>
      </c>
      <c r="D300" s="3">
        <v>1.0</v>
      </c>
    </row>
    <row r="301" ht="15.75" customHeight="1">
      <c r="A301" s="1">
        <v>313.0</v>
      </c>
      <c r="B301" s="3" t="s">
        <v>300</v>
      </c>
      <c r="C301" s="3" t="str">
        <f>IFERROR(__xludf.DUMMYFUNCTION("GOOGLETRANSLATE(B301,""id"",""en"")"),"['application', 'difficult', 'access', 'login', 'many', 'times', 'complaints', 'machines', 'answering', 'complaints', 'resolved', ""]")</f>
        <v>['application', 'difficult', 'access', 'login', 'many', 'times', 'complaints', 'machines', 'answering', 'complaints', 'resolved', "]</v>
      </c>
      <c r="D301" s="3">
        <v>1.0</v>
      </c>
    </row>
    <row r="302" ht="15.75" customHeight="1">
      <c r="A302" s="1">
        <v>314.0</v>
      </c>
      <c r="B302" s="3" t="s">
        <v>301</v>
      </c>
      <c r="C302" s="3" t="str">
        <f>IFERROR(__xludf.DUMMYFUNCTION("GOOGLETRANSLATE(B302,""id"",""en"")"),"['Mbanking', 'bad', 'application']")</f>
        <v>['Mbanking', 'bad', 'application']</v>
      </c>
      <c r="D302" s="3">
        <v>1.0</v>
      </c>
    </row>
    <row r="303" ht="15.75" customHeight="1">
      <c r="A303" s="1">
        <v>315.0</v>
      </c>
      <c r="B303" s="3" t="s">
        <v>302</v>
      </c>
      <c r="C303" s="3" t="str">
        <f>IFERROR(__xludf.DUMMYFUNCTION("GOOGLETRANSLATE(B303,""id"",""en"")"),"['pulse', 'lost', 'used', 'mmg', 'cutting', 'love', 'notification', 'take', 'pulse']")</f>
        <v>['pulse', 'lost', 'used', 'mmg', 'cutting', 'love', 'notification', 'take', 'pulse']</v>
      </c>
      <c r="D303" s="3">
        <v>1.0</v>
      </c>
    </row>
    <row r="304" ht="15.75" customHeight="1">
      <c r="A304" s="1">
        <v>316.0</v>
      </c>
      <c r="B304" s="3" t="s">
        <v>303</v>
      </c>
      <c r="C304" s="3" t="str">
        <f>IFERROR(__xludf.DUMMYFUNCTION("GOOGLETRANSLATE(B304,""id"",""en"")"),"['package', 'internet', 'mahaallll', 'collapsed', 'price', 'woyyyyy', 'use', 'Telkomsel', 'spend', 'money', 'savings', '']")</f>
        <v>['package', 'internet', 'mahaallll', 'collapsed', 'price', 'woyyyyy', 'use', 'Telkomsel', 'spend', 'money', 'savings', '']</v>
      </c>
      <c r="D304" s="3">
        <v>1.0</v>
      </c>
    </row>
    <row r="305" ht="15.75" customHeight="1">
      <c r="A305" s="1">
        <v>317.0</v>
      </c>
      <c r="B305" s="3" t="s">
        <v>304</v>
      </c>
      <c r="C305" s="3" t="str">
        <f>IFERROR(__xludf.DUMMYFUNCTION("GOOGLETRANSLATE(B305,""id"",""en"")"),"['hope', 'gift', 'point', 'point', '']")</f>
        <v>['hope', 'gift', 'point', 'point', '']</v>
      </c>
      <c r="D305" s="3">
        <v>5.0</v>
      </c>
    </row>
    <row r="306" ht="15.75" customHeight="1">
      <c r="A306" s="1">
        <v>318.0</v>
      </c>
      <c r="B306" s="3" t="s">
        <v>305</v>
      </c>
      <c r="C306" s="3" t="str">
        <f>IFERROR(__xludf.DUMMYFUNCTION("GOOGLETRANSLATE(B306,""id"",""en"")"),"['Network', 'Region']")</f>
        <v>['Network', 'Region']</v>
      </c>
      <c r="D306" s="3">
        <v>4.0</v>
      </c>
    </row>
    <row r="307" ht="15.75" customHeight="1">
      <c r="A307" s="1">
        <v>319.0</v>
      </c>
      <c r="B307" s="3" t="s">
        <v>306</v>
      </c>
      <c r="C307" s="3" t="str">
        <f>IFERROR(__xludf.DUMMYFUNCTION("GOOGLETRANSLATE(B307,""id"",""en"")"),"['', 'promo', 'cheap']")</f>
        <v>['', 'promo', 'cheap']</v>
      </c>
      <c r="D307" s="3">
        <v>5.0</v>
      </c>
    </row>
    <row r="308" ht="15.75" customHeight="1">
      <c r="A308" s="1">
        <v>320.0</v>
      </c>
      <c r="B308" s="3" t="s">
        <v>307</v>
      </c>
      <c r="C308" s="3" t="str">
        <f>IFERROR(__xludf.DUMMYFUNCTION("GOOGLETRANSLATE(B308,""id"",""en"")"),"['signal', 'sympathy', 'Dearah', 'difficult', '']")</f>
        <v>['signal', 'sympathy', 'Dearah', 'difficult', '']</v>
      </c>
      <c r="D308" s="3">
        <v>2.0</v>
      </c>
    </row>
    <row r="309" ht="15.75" customHeight="1">
      <c r="A309" s="1">
        <v>321.0</v>
      </c>
      <c r="B309" s="3" t="s">
        <v>308</v>
      </c>
      <c r="C309" s="3" t="str">
        <f>IFERROR(__xludf.DUMMYFUNCTION("GOOGLETRANSLATE(B309,""id"",""en"")"),"['Buy', 'Package', 'UDH']")</f>
        <v>['Buy', 'Package', 'UDH']</v>
      </c>
      <c r="D309" s="3">
        <v>2.0</v>
      </c>
    </row>
    <row r="310" ht="15.75" customHeight="1">
      <c r="A310" s="1">
        <v>322.0</v>
      </c>
      <c r="B310" s="3" t="s">
        <v>309</v>
      </c>
      <c r="C310" s="3" t="str">
        <f>IFERROR(__xludf.DUMMYFUNCTION("GOOGLETRANSLATE(B310,""id"",""en"")"),"['input', 'Telkomsel', 'signal', 'is repagable', 'kdg', 'signal', 'according to', 'price', 'expensive', 'buy', 'quota', 'signal', ' ugly ',' sorry ',' mah ',' review ',' honest ',' thank ',' love ', ""]")</f>
        <v>['input', 'Telkomsel', 'signal', 'is repagable', 'kdg', 'signal', 'according to', 'price', 'expensive', 'buy', 'quota', 'signal', ' ugly ',' sorry ',' mah ',' review ',' honest ',' thank ',' love ', "]</v>
      </c>
      <c r="D310" s="3">
        <v>5.0</v>
      </c>
    </row>
    <row r="311" ht="15.75" customHeight="1">
      <c r="A311" s="1">
        <v>324.0</v>
      </c>
      <c r="B311" s="3" t="s">
        <v>310</v>
      </c>
      <c r="C311" s="3" t="str">
        <f>IFERROR(__xludf.DUMMYFUNCTION("GOOGLETRANSLATE(B311,""id"",""en"")"),"['GMN', 'Credit', 'Yesterday', 'RB', 'LBH', 'TRS', 'Buy', 'Package', 'Data', 'RB', 'balance', 'pulses',' rb ',' lbh ',' lahhh ',' leftover ',' rb ',' lbh ',' trs', 'pulse', 'rb', 'eat', 'gerandong', ""]")</f>
        <v>['GMN', 'Credit', 'Yesterday', 'RB', 'LBH', 'TRS', 'Buy', 'Package', 'Data', 'RB', 'balance', 'pulses',' rb ',' lbh ',' lahhh ',' leftover ',' rb ',' lbh ',' trs', 'pulse', 'rb', 'eat', 'gerandong', "]</v>
      </c>
      <c r="D311" s="3">
        <v>3.0</v>
      </c>
    </row>
    <row r="312" ht="15.75" customHeight="1">
      <c r="A312" s="1">
        <v>326.0</v>
      </c>
      <c r="B312" s="3" t="s">
        <v>311</v>
      </c>
      <c r="C312" s="3" t="str">
        <f>IFERROR(__xludf.DUMMYFUNCTION("GOOGLETRANSLATE(B312,""id"",""en"")"),"['quota', 'internet', 'ceupeut', 'run out', 'price', 'expensive', 'klu', 'collapse']")</f>
        <v>['quota', 'internet', 'ceupeut', 'run out', 'price', 'expensive', 'klu', 'collapse']</v>
      </c>
      <c r="D312" s="3">
        <v>1.0</v>
      </c>
    </row>
    <row r="313" ht="15.75" customHeight="1">
      <c r="A313" s="1">
        <v>327.0</v>
      </c>
      <c r="B313" s="3" t="s">
        <v>312</v>
      </c>
      <c r="C313" s="3" t="str">
        <f>IFERROR(__xludf.DUMMYFUNCTION("GOOGLETRANSLATE(B313,""id"",""en"")"),"['Sorry', 'star', 'used', 'really', 'disappointed', 'internet', 'use', 'telkom', 'price', 'fair', 'expensive', 'GB', ' Thousands', 'GB', 'Dipake', 'Quality', 'No "",' TELKOM ',' Telkom ',' Explaining ',' You'ly, 'Worth', 'Speed', 'Stability' , 'bandwidth'"&amp;", 'Customize', 'rates',' ability ',' quality ',' service ',' severe ',' really ',' signal ',' mengelek ',' mulu ',' aest ',' The rates are ',' ']")</f>
        <v>['Sorry', 'star', 'used', 'really', 'disappointed', 'internet', 'use', 'telkom', 'price', 'fair', 'expensive', 'GB', ' Thousands', 'GB', 'Dipake', 'Quality', 'No ",' TELKOM ',' Telkom ',' Explaining ',' You'ly, 'Worth', 'Speed', 'Stability' , 'bandwidth', 'Customize', 'rates',' ability ',' quality ',' service ',' severe ',' really ',' signal ',' mengelek ',' mulu ',' aest ',' The rates are ',' ']</v>
      </c>
      <c r="D313" s="3">
        <v>1.0</v>
      </c>
    </row>
    <row r="314" ht="15.75" customHeight="1">
      <c r="A314" s="1">
        <v>328.0</v>
      </c>
      <c r="B314" s="3" t="s">
        <v>313</v>
      </c>
      <c r="C314" s="3" t="str">
        <f>IFERROR(__xludf.DUMMYFUNCTION("GOOGLETRANSLATE(B314,""id"",""en"")"),"['Use', 'Card', 'Telkomsel', '']")</f>
        <v>['Use', 'Card', 'Telkomsel', '']</v>
      </c>
      <c r="D314" s="3">
        <v>5.0</v>
      </c>
    </row>
    <row r="315" ht="15.75" customHeight="1">
      <c r="A315" s="1">
        <v>329.0</v>
      </c>
      <c r="B315" s="3" t="s">
        <v>314</v>
      </c>
      <c r="C315" s="3" t="str">
        <f>IFERROR(__xludf.DUMMYFUNCTION("GOOGLETRANSLATE(B315,""id"",""en"")"),"['network', 'internet', 'weak', '']")</f>
        <v>['network', 'internet', 'weak', '']</v>
      </c>
      <c r="D315" s="3">
        <v>4.0</v>
      </c>
    </row>
    <row r="316" ht="15.75" customHeight="1">
      <c r="A316" s="1">
        <v>330.0</v>
      </c>
      <c r="B316" s="3" t="s">
        <v>315</v>
      </c>
      <c r="C316" s="3" t="str">
        <f>IFERROR(__xludf.DUMMYFUNCTION("GOOGLETRANSLATE(B316,""id"",""en"")"),"['Help', 'thank', 'love', 'friend', 'Telkomsel']")</f>
        <v>['Help', 'thank', 'love', 'friend', 'Telkomsel']</v>
      </c>
      <c r="D316" s="3">
        <v>5.0</v>
      </c>
    </row>
    <row r="317" ht="15.75" customHeight="1">
      <c r="A317" s="1">
        <v>331.0</v>
      </c>
      <c r="B317" s="3" t="s">
        <v>316</v>
      </c>
      <c r="C317" s="3" t="str">
        <f>IFERROR(__xludf.DUMMYFUNCTION("GOOGLETRANSLATE(B317,""id"",""en"")"),"['Knp', 'Bukak']")</f>
        <v>['Knp', 'Bukak']</v>
      </c>
      <c r="D317" s="3">
        <v>1.0</v>
      </c>
    </row>
    <row r="318" ht="15.75" customHeight="1">
      <c r="A318" s="1">
        <v>332.0</v>
      </c>
      <c r="B318" s="3" t="s">
        <v>317</v>
      </c>
      <c r="C318" s="3" t="str">
        <f>IFERROR(__xludf.DUMMYFUNCTION("GOOGLETRANSLATE(B318,""id"",""en"")"),"['times', 'buy', 'package', 'disorder', 'wait', 'lgi', 'minute', 'waiting', 'disorder', 'then']")</f>
        <v>['times', 'buy', 'package', 'disorder', 'wait', 'lgi', 'minute', 'waiting', 'disorder', 'then']</v>
      </c>
      <c r="D318" s="3">
        <v>1.0</v>
      </c>
    </row>
    <row r="319" ht="15.75" customHeight="1">
      <c r="A319" s="1">
        <v>333.0</v>
      </c>
      <c r="B319" s="3" t="s">
        <v>318</v>
      </c>
      <c r="C319" s="3" t="str">
        <f>IFERROR(__xludf.DUMMYFUNCTION("GOOGLETRANSLATE(B319,""id"",""en"")"),"['Hello', 'admin', 'Telkomsel', 'update', 'change', 'significant', 'updated', ""]")</f>
        <v>['Hello', 'admin', 'Telkomsel', 'update', 'change', 'significant', 'updated', "]</v>
      </c>
      <c r="D319" s="3">
        <v>1.0</v>
      </c>
    </row>
    <row r="320" ht="15.75" customHeight="1">
      <c r="A320" s="1">
        <v>334.0</v>
      </c>
      <c r="B320" s="3" t="s">
        <v>319</v>
      </c>
      <c r="C320" s="3" t="str">
        <f>IFERROR(__xludf.DUMMYFUNCTION("GOOGLETRANSLATE(B320,""id"",""en"")"),"['Mantaab', 'fast', 'great']")</f>
        <v>['Mantaab', 'fast', 'great']</v>
      </c>
      <c r="D320" s="3">
        <v>5.0</v>
      </c>
    </row>
    <row r="321" ht="15.75" customHeight="1">
      <c r="A321" s="1">
        <v>335.0</v>
      </c>
      <c r="B321" s="3" t="s">
        <v>320</v>
      </c>
      <c r="C321" s="3" t="str">
        <f>IFERROR(__xludf.DUMMYFUNCTION("GOOGLETRANSLATE(B321,""id"",""en"")"),"['Signal', 'Severe', 'already', '']")</f>
        <v>['Signal', 'Severe', 'already', '']</v>
      </c>
      <c r="D321" s="3">
        <v>1.0</v>
      </c>
    </row>
    <row r="322" ht="15.75" customHeight="1">
      <c r="A322" s="1">
        <v>336.0</v>
      </c>
      <c r="B322" s="3" t="s">
        <v>321</v>
      </c>
      <c r="C322" s="3" t="str">
        <f>IFERROR(__xludf.DUMMYFUNCTION("GOOGLETRANSLATE(B322,""id"",""en"")"),"['Good', 'hope', 'depanya', 'promo', 'quota', 'data']")</f>
        <v>['Good', 'hope', 'depanya', 'promo', 'quota', 'data']</v>
      </c>
      <c r="D322" s="3">
        <v>5.0</v>
      </c>
    </row>
    <row r="323" ht="15.75" customHeight="1">
      <c r="A323" s="1">
        <v>337.0</v>
      </c>
      <c r="B323" s="3" t="s">
        <v>322</v>
      </c>
      <c r="C323" s="3" t="str">
        <f>IFERROR(__xludf.DUMMYFUNCTION("GOOGLETRANSLATE(B323,""id"",""en"")"),"['signal', 'strong', 'good']")</f>
        <v>['signal', 'strong', 'good']</v>
      </c>
      <c r="D323" s="3">
        <v>5.0</v>
      </c>
    </row>
    <row r="324" ht="15.75" customHeight="1">
      <c r="A324" s="1">
        <v>339.0</v>
      </c>
      <c r="B324" s="3" t="s">
        <v>323</v>
      </c>
      <c r="C324" s="3" t="str">
        <f>IFERROR(__xludf.DUMMYFUNCTION("GOOGLETRANSLATE(B324,""id"",""en"")"),"['Telkomsel']")</f>
        <v>['Telkomsel']</v>
      </c>
      <c r="D324" s="3">
        <v>4.0</v>
      </c>
    </row>
    <row r="325" ht="15.75" customHeight="1">
      <c r="A325" s="1">
        <v>341.0</v>
      </c>
      <c r="B325" s="3" t="s">
        <v>324</v>
      </c>
      <c r="C325" s="3" t="str">
        <f>IFERROR(__xludf.DUMMYFUNCTION("GOOGLETRANSLATE(B325,""id"",""en"")"),"['Easy', 'Understand', 'Makasih', 'Tellkomsel']")</f>
        <v>['Easy', 'Understand', 'Makasih', 'Tellkomsel']</v>
      </c>
      <c r="D325" s="3">
        <v>5.0</v>
      </c>
    </row>
    <row r="326" ht="15.75" customHeight="1">
      <c r="A326" s="1">
        <v>342.0</v>
      </c>
      <c r="B326" s="3" t="s">
        <v>325</v>
      </c>
      <c r="C326" s="3" t="str">
        <f>IFERROR(__xludf.DUMMYFUNCTION("GOOGLETRANSLATE(B326,""id"",""en"")"),"['Telkomsel', 'destroyed', 'gini', 'signal', 'missing', 'mulu', 'right', 'push', 'rank', 'signal', 'missing', 'Sake', ' Replace ',' card ']")</f>
        <v>['Telkomsel', 'destroyed', 'gini', 'signal', 'missing', 'mulu', 'right', 'push', 'rank', 'signal', 'missing', 'Sake', ' Replace ',' card ']</v>
      </c>
      <c r="D326" s="3">
        <v>1.0</v>
      </c>
    </row>
    <row r="327" ht="15.75" customHeight="1">
      <c r="A327" s="1">
        <v>343.0</v>
      </c>
      <c r="B327" s="3" t="s">
        <v>326</v>
      </c>
      <c r="C327" s="3" t="str">
        <f>IFERROR(__xludf.DUMMYFUNCTION("GOOGLETRANSLATE(B327,""id"",""en"")"),"['Application', 'Easy', 'Operates', 'Help', 'Information']")</f>
        <v>['Application', 'Easy', 'Operates', 'Help', 'Information']</v>
      </c>
      <c r="D327" s="3">
        <v>4.0</v>
      </c>
    </row>
    <row r="328" ht="15.75" customHeight="1">
      <c r="A328" s="1">
        <v>344.0</v>
      </c>
      <c r="B328" s="3" t="s">
        <v>327</v>
      </c>
      <c r="C328" s="3" t="str">
        <f>IFERROR(__xludf.DUMMYFUNCTION("GOOGLETRANSLATE(B328,""id"",""en"")"),"['Ribed', 'entry']")</f>
        <v>['Ribed', 'entry']</v>
      </c>
      <c r="D328" s="3">
        <v>1.0</v>
      </c>
    </row>
    <row r="329" ht="15.75" customHeight="1">
      <c r="A329" s="1">
        <v>345.0</v>
      </c>
      <c r="B329" s="3" t="s">
        <v>328</v>
      </c>
      <c r="C329" s="3" t="str">
        <f>IFERROR(__xludf.DUMMYFUNCTION("GOOGLETRANSLATE(B329,""id"",""en"")"),"['Disappointed', 'Bill', 'Emergency', 'Quota']")</f>
        <v>['Disappointed', 'Bill', 'Emergency', 'Quota']</v>
      </c>
      <c r="D329" s="3">
        <v>4.0</v>
      </c>
    </row>
    <row r="330" ht="15.75" customHeight="1">
      <c r="A330" s="1">
        <v>346.0</v>
      </c>
      <c r="B330" s="3" t="s">
        <v>329</v>
      </c>
      <c r="C330" s="3" t="str">
        <f>IFERROR(__xludf.DUMMYFUNCTION("GOOGLETRANSLATE(B330,""id"",""en"")"),"['Update', 'Register', 'Package', 'Move', 'Provider', 'Litu', ""]")</f>
        <v>['Update', 'Register', 'Package', 'Move', 'Provider', 'Litu', "]</v>
      </c>
      <c r="D330" s="3">
        <v>1.0</v>
      </c>
    </row>
    <row r="331" ht="15.75" customHeight="1">
      <c r="A331" s="1">
        <v>347.0</v>
      </c>
      <c r="B331" s="3" t="s">
        <v>330</v>
      </c>
      <c r="C331" s="3" t="str">
        <f>IFERROR(__xludf.DUMMYFUNCTION("GOOGLETRANSLATE(B331,""id"",""en"")"),"['Upgrade', 'Latest', 'Telkomse', 'ugly', 'Loading', 'Delete', 'Install', 'Package', 'Package', 'Promo', 'Network', 'Smooth', ' Leet ']")</f>
        <v>['Upgrade', 'Latest', 'Telkomse', 'ugly', 'Loading', 'Delete', 'Install', 'Package', 'Package', 'Promo', 'Network', 'Smooth', ' Leet ']</v>
      </c>
      <c r="D331" s="3">
        <v>1.0</v>
      </c>
    </row>
    <row r="332" ht="15.75" customHeight="1">
      <c r="A332" s="1">
        <v>348.0</v>
      </c>
      <c r="B332" s="3" t="s">
        <v>331</v>
      </c>
      <c r="C332" s="3" t="str">
        <f>IFERROR(__xludf.DUMMYFUNCTION("GOOGLETRANSLATE(B332,""id"",""en"")"),"['already', 'network', 'ngeleg', 'package', 'data', 'cheap', 'apply', 'buy', 'purchase', 'package', 'apply', 'package', ' Consistent ',' Disappointed ',' Telkomsel ',' Lotsin ',' Promo ',' Taunya ',' Price ',' Package ',' Fortune ',' Network ',' Smooth ',"&amp;"' Package ',' Expensive ' , 'Network', 'Ngeleg', 'Severe', 'Engineering', 'Marketing', 'Network', 'Ngeleg', 'Switch', 'Automatic', 'Use', 'Data', 'Main', ' Network ',' stable ', ""]")</f>
        <v>['already', 'network', 'ngeleg', 'package', 'data', 'cheap', 'apply', 'buy', 'purchase', 'package', 'apply', 'package', ' Consistent ',' Disappointed ',' Telkomsel ',' Lotsin ',' Promo ',' Taunya ',' Price ',' Package ',' Fortune ',' Network ',' Smooth ',' Package ',' Expensive ' , 'Network', 'Ngeleg', 'Severe', 'Engineering', 'Marketing', 'Network', 'Ngeleg', 'Switch', 'Automatic', 'Use', 'Data', 'Main', ' Network ',' stable ', "]</v>
      </c>
      <c r="D332" s="3">
        <v>1.0</v>
      </c>
    </row>
    <row r="333" ht="15.75" customHeight="1">
      <c r="A333" s="1">
        <v>349.0</v>
      </c>
      <c r="B333" s="3" t="s">
        <v>332</v>
      </c>
      <c r="C333" s="3" t="str">
        <f>IFERROR(__xludf.DUMMYFUNCTION("GOOGLETRANSLATE(B333,""id"",""en"")"),"['easy', 'access', 'fast']")</f>
        <v>['easy', 'access', 'fast']</v>
      </c>
      <c r="D333" s="3">
        <v>5.0</v>
      </c>
    </row>
    <row r="334" ht="15.75" customHeight="1">
      <c r="A334" s="1">
        <v>350.0</v>
      </c>
      <c r="B334" s="3" t="s">
        <v>333</v>
      </c>
      <c r="C334" s="3" t="str">
        <f>IFERROR(__xludf.DUMMYFUNCTION("GOOGLETRANSLATE(B334,""id"",""en"")"),"['Mantab', 'Check', 'Get', 'Coins', 'Rupiah', 'Hopefully', 'Success']")</f>
        <v>['Mantab', 'Check', 'Get', 'Coins', 'Rupiah', 'Hopefully', 'Success']</v>
      </c>
      <c r="D334" s="3">
        <v>5.0</v>
      </c>
    </row>
    <row r="335" ht="15.75" customHeight="1">
      <c r="A335" s="1">
        <v>351.0</v>
      </c>
      <c r="B335" s="3" t="s">
        <v>334</v>
      </c>
      <c r="C335" s="3" t="str">
        <f>IFERROR(__xludf.DUMMYFUNCTION("GOOGLETRANSLATE(B335,""id"",""en"")"),"['has',' quota ',' pulse ',' truncated ',' login ',' application ',' please ',' add ',' feature ',' lock ',' pulse ',' used ',' Application ',' Next to ',' Add ',' star ']")</f>
        <v>['has',' quota ',' pulse ',' truncated ',' login ',' application ',' please ',' add ',' feature ',' lock ',' pulse ',' used ',' Application ',' Next to ',' Add ',' star ']</v>
      </c>
      <c r="D335" s="3">
        <v>1.0</v>
      </c>
    </row>
    <row r="336" ht="15.75" customHeight="1">
      <c r="A336" s="1">
        <v>352.0</v>
      </c>
      <c r="B336" s="3" t="s">
        <v>50</v>
      </c>
      <c r="C336" s="3" t="str">
        <f>IFERROR(__xludf.DUMMYFUNCTION("GOOGLETRANSLATE(B336,""id"",""en"")"),"['steady', 'application']")</f>
        <v>['steady', 'application']</v>
      </c>
      <c r="D336" s="3">
        <v>5.0</v>
      </c>
    </row>
    <row r="337" ht="15.75" customHeight="1">
      <c r="A337" s="1">
        <v>353.0</v>
      </c>
      <c r="B337" s="3" t="s">
        <v>335</v>
      </c>
      <c r="C337" s="3" t="str">
        <f>IFERROR(__xludf.DUMMYFUNCTION("GOOGLETRANSLATE(B337,""id"",""en"")"),"['Lally', 'promo', 'package']")</f>
        <v>['Lally', 'promo', 'package']</v>
      </c>
      <c r="D337" s="3">
        <v>5.0</v>
      </c>
    </row>
    <row r="338" ht="15.75" customHeight="1">
      <c r="A338" s="1">
        <v>354.0</v>
      </c>
      <c r="B338" s="3" t="s">
        <v>336</v>
      </c>
      <c r="C338" s="3" t="str">
        <f>IFERROR(__xludf.DUMMYFUNCTION("GOOGLETRANSLATE(B338,""id"",""en"")"),"['hopefully', 'help']")</f>
        <v>['hopefully', 'help']</v>
      </c>
      <c r="D338" s="3">
        <v>5.0</v>
      </c>
    </row>
    <row r="339" ht="15.75" customHeight="1">
      <c r="A339" s="1">
        <v>355.0</v>
      </c>
      <c r="B339" s="3" t="s">
        <v>337</v>
      </c>
      <c r="C339" s="3" t="str">
        <f>IFERROR(__xludf.DUMMYFUNCTION("GOOGLETRANSLATE(B339,""id"",""en"")"),"['Good', 'trusted']")</f>
        <v>['Good', 'trusted']</v>
      </c>
      <c r="D339" s="3">
        <v>5.0</v>
      </c>
    </row>
    <row r="340" ht="15.75" customHeight="1">
      <c r="A340" s="1">
        <v>356.0</v>
      </c>
      <c r="B340" s="3" t="s">
        <v>338</v>
      </c>
      <c r="C340" s="3" t="str">
        <f>IFERROR(__xludf.DUMMYFUNCTION("GOOGLETRANSLATE(B340,""id"",""en"")"),"['Buy', 'Package', 'NLP', 'NGK', '']")</f>
        <v>['Buy', 'Package', 'NLP', 'NGK', '']</v>
      </c>
      <c r="D340" s="3">
        <v>5.0</v>
      </c>
    </row>
    <row r="341" ht="15.75" customHeight="1">
      <c r="A341" s="1">
        <v>357.0</v>
      </c>
      <c r="B341" s="3" t="s">
        <v>339</v>
      </c>
      <c r="C341" s="3" t="str">
        <f>IFERROR(__xludf.DUMMYFUNCTION("GOOGLETRANSLATE(B341,""id"",""en"")"),"['fast', 'accessed', 'easy']")</f>
        <v>['fast', 'accessed', 'easy']</v>
      </c>
      <c r="D341" s="3">
        <v>4.0</v>
      </c>
    </row>
    <row r="342" ht="15.75" customHeight="1">
      <c r="A342" s="1">
        <v>358.0</v>
      </c>
      <c r="B342" s="3" t="s">
        <v>340</v>
      </c>
      <c r="C342" s="3" t="str">
        <f>IFERROR(__xludf.DUMMYFUNCTION("GOOGLETRANSLATE(B342,""id"",""en"")"),"['easy to understand']")</f>
        <v>['easy to understand']</v>
      </c>
      <c r="D342" s="3">
        <v>3.0</v>
      </c>
    </row>
    <row r="343" ht="15.75" customHeight="1">
      <c r="A343" s="1">
        <v>359.0</v>
      </c>
      <c r="B343" s="3" t="s">
        <v>341</v>
      </c>
      <c r="C343" s="3" t="str">
        <f>IFERROR(__xludf.DUMMYFUNCTION("GOOGLETRANSLATE(B343,""id"",""en"")"),"['Telkomsel', 'heart']")</f>
        <v>['Telkomsel', 'heart']</v>
      </c>
      <c r="D343" s="3">
        <v>5.0</v>
      </c>
    </row>
    <row r="344" ht="15.75" customHeight="1">
      <c r="A344" s="1">
        <v>360.0</v>
      </c>
      <c r="B344" s="3" t="s">
        <v>342</v>
      </c>
      <c r="C344" s="3" t="str">
        <f>IFERROR(__xludf.DUMMYFUNCTION("GOOGLETRANSLATE(B344,""id"",""en"")"),"['like', 'good']")</f>
        <v>['like', 'good']</v>
      </c>
      <c r="D344" s="3">
        <v>5.0</v>
      </c>
    </row>
    <row r="345" ht="15.75" customHeight="1">
      <c r="A345" s="1">
        <v>361.0</v>
      </c>
      <c r="B345" s="3" t="s">
        <v>343</v>
      </c>
      <c r="C345" s="3" t="str">
        <f>IFERROR(__xludf.DUMMYFUNCTION("GOOGLETRANSLATE(B345,""id"",""en"")"),"['Good', 'like']")</f>
        <v>['Good', 'like']</v>
      </c>
      <c r="D345" s="3">
        <v>5.0</v>
      </c>
    </row>
    <row r="346" ht="15.75" customHeight="1">
      <c r="A346" s="1">
        <v>362.0</v>
      </c>
      <c r="B346" s="3" t="s">
        <v>344</v>
      </c>
      <c r="C346" s="3" t="str">
        <f>IFERROR(__xludf.DUMMYFUNCTION("GOOGLETRANSLATE(B346,""id"",""en"")"),"['Good', 'fast', 'package', 'emergency', 'help']")</f>
        <v>['Good', 'fast', 'package', 'emergency', 'help']</v>
      </c>
      <c r="D346" s="3">
        <v>5.0</v>
      </c>
    </row>
    <row r="347" ht="15.75" customHeight="1">
      <c r="A347" s="1">
        <v>363.0</v>
      </c>
      <c r="B347" s="3" t="s">
        <v>345</v>
      </c>
      <c r="C347" s="3" t="str">
        <f>IFERROR(__xludf.DUMMYFUNCTION("GOOGLETRANSLATE(B347,""id"",""en"")"),"['quota', 'video', 'max', 'right', 'watch', 'VIU', 'Cut', 'quota', 'main', 'leftover', 'quota', 'video', ' Max ',' Dipake ',' watch ',' complement ',' customer ',' service ',' response ',' slow ',' really ']")</f>
        <v>['quota', 'video', 'max', 'right', 'watch', 'VIU', 'Cut', 'quota', 'main', 'leftover', 'quota', 'video', ' Max ',' Dipake ',' watch ',' complement ',' customer ',' service ',' response ',' slow ',' really ']</v>
      </c>
      <c r="D347" s="3">
        <v>1.0</v>
      </c>
    </row>
    <row r="348" ht="15.75" customHeight="1">
      <c r="A348" s="1">
        <v>364.0</v>
      </c>
      <c r="B348" s="3" t="s">
        <v>346</v>
      </c>
      <c r="C348" s="3" t="str">
        <f>IFERROR(__xludf.DUMMYFUNCTION("GOOGLETRANSLATE(B348,""id"",""en"")"),"['expensive', 'Where', 'Package', 'Combo', 'Sakti', 'Sorry', 'Please', 'Restore', 'Package', ""]")</f>
        <v>['expensive', 'Where', 'Package', 'Combo', 'Sakti', 'Sorry', 'Please', 'Restore', 'Package', "]</v>
      </c>
      <c r="D348" s="3">
        <v>1.0</v>
      </c>
    </row>
    <row r="349" ht="15.75" customHeight="1">
      <c r="A349" s="1">
        <v>365.0</v>
      </c>
      <c r="B349" s="3" t="s">
        <v>347</v>
      </c>
      <c r="C349" s="3" t="str">
        <f>IFERROR(__xludf.DUMMYFUNCTION("GOOGLETRANSLATE(B349,""id"",""en"")"),"['Help', 'cheap']")</f>
        <v>['Help', 'cheap']</v>
      </c>
      <c r="D349" s="3">
        <v>5.0</v>
      </c>
    </row>
    <row r="350" ht="15.75" customHeight="1">
      <c r="A350" s="1">
        <v>366.0</v>
      </c>
      <c r="B350" s="3" t="s">
        <v>348</v>
      </c>
      <c r="C350" s="3" t="str">
        <f>IFERROR(__xludf.DUMMYFUNCTION("GOOGLETRANSLATE(B350,""id"",""en"")"),"['Lally', 'discount', 'wkwkw']")</f>
        <v>['Lally', 'discount', 'wkwkw']</v>
      </c>
      <c r="D350" s="3">
        <v>5.0</v>
      </c>
    </row>
    <row r="351" ht="15.75" customHeight="1">
      <c r="A351" s="1">
        <v>367.0</v>
      </c>
      <c r="B351" s="3" t="s">
        <v>349</v>
      </c>
      <c r="C351" s="3" t="str">
        <f>IFERROR(__xludf.DUMMYFUNCTION("GOOGLETRANSLATE(B351,""id"",""en"")"),"['Lemot', 'APK', '']")</f>
        <v>['Lemot', 'APK', '']</v>
      </c>
      <c r="D351" s="3">
        <v>1.0</v>
      </c>
    </row>
    <row r="352" ht="15.75" customHeight="1">
      <c r="A352" s="1">
        <v>368.0</v>
      </c>
      <c r="B352" s="3" t="s">
        <v>350</v>
      </c>
      <c r="C352" s="3" t="str">
        <f>IFERROR(__xludf.DUMMYFUNCTION("GOOGLETRANSLATE(B352,""id"",""en"")"),"['Telkomsel', 'service', 'customer', 'bad', 'network', 'slow', 'kouta', 'price', 'expensive', 'tempts',' gwa ',' network ',' Good ',' slow ',' forgiveness', 'kouta', 'internet']")</f>
        <v>['Telkomsel', 'service', 'customer', 'bad', 'network', 'slow', 'kouta', 'price', 'expensive', 'tempts',' gwa ',' network ',' Good ',' slow ',' forgiveness', 'kouta', 'internet']</v>
      </c>
      <c r="D352" s="3">
        <v>1.0</v>
      </c>
    </row>
    <row r="353" ht="15.75" customHeight="1">
      <c r="A353" s="1">
        <v>369.0</v>
      </c>
      <c r="B353" s="3" t="s">
        <v>351</v>
      </c>
      <c r="C353" s="3" t="str">
        <f>IFERROR(__xludf.DUMMYFUNCTION("GOOGLETRANSLATE(B353,""id"",""en"")"),"['Promo', 'like']")</f>
        <v>['Promo', 'like']</v>
      </c>
      <c r="D353" s="3">
        <v>4.0</v>
      </c>
    </row>
    <row r="354" ht="15.75" customHeight="1">
      <c r="A354" s="1">
        <v>370.0</v>
      </c>
      <c r="B354" s="3" t="s">
        <v>352</v>
      </c>
      <c r="C354" s="3" t="str">
        <f>IFERROR(__xludf.DUMMYFUNCTION("GOOGLETRANSLATE(B354,""id"",""en"")"),"['Good', 'help', 'like']")</f>
        <v>['Good', 'help', 'like']</v>
      </c>
      <c r="D354" s="3">
        <v>5.0</v>
      </c>
    </row>
    <row r="355" ht="15.75" customHeight="1">
      <c r="A355" s="1">
        <v>371.0</v>
      </c>
      <c r="B355" s="3" t="s">
        <v>353</v>
      </c>
      <c r="C355" s="3" t="str">
        <f>IFERROR(__xludf.DUMMYFUNCTION("GOOGLETRANSLATE(B355,""id"",""en"")"),"['Disappointed', 'Very', 'Network', 'Bad', 'Combo', 'Sakti', 'Expensive', 'Auto', 'Switch', 'Indosat', 'Bye', 'Telkomsel', ' ']")</f>
        <v>['Disappointed', 'Very', 'Network', 'Bad', 'Combo', 'Sakti', 'Expensive', 'Auto', 'Switch', 'Indosat', 'Bye', 'Telkomsel', ' ']</v>
      </c>
      <c r="D355" s="3">
        <v>1.0</v>
      </c>
    </row>
    <row r="356" ht="15.75" customHeight="1">
      <c r="A356" s="1">
        <v>372.0</v>
      </c>
      <c r="B356" s="3" t="s">
        <v>354</v>
      </c>
      <c r="C356" s="3" t="str">
        <f>IFERROR(__xludf.DUMMYFUNCTION("GOOGLETRANSLATE(B356,""id"",""en"")"),"['difficult', 'login']")</f>
        <v>['difficult', 'login']</v>
      </c>
      <c r="D356" s="3">
        <v>4.0</v>
      </c>
    </row>
    <row r="357" ht="15.75" customHeight="1">
      <c r="A357" s="1">
        <v>373.0</v>
      </c>
      <c r="B357" s="3" t="s">
        <v>355</v>
      </c>
      <c r="C357" s="3" t="str">
        <f>IFERROR(__xludf.DUMMYFUNCTION("GOOGLETRANSLATE(B357,""id"",""en"")"),"['Change', 'Good']")</f>
        <v>['Change', 'Good']</v>
      </c>
      <c r="D357" s="3">
        <v>5.0</v>
      </c>
    </row>
    <row r="358" ht="15.75" customHeight="1">
      <c r="A358" s="1">
        <v>374.0</v>
      </c>
      <c r="B358" s="3" t="s">
        <v>356</v>
      </c>
      <c r="C358" s="3" t="str">
        <f>IFERROR(__xludf.DUMMYFUNCTION("GOOGLETRANSLATE(B358,""id"",""en"")"),"['Booting', 'application']")</f>
        <v>['Booting', 'application']</v>
      </c>
      <c r="D358" s="3">
        <v>4.0</v>
      </c>
    </row>
    <row r="359" ht="15.75" customHeight="1">
      <c r="A359" s="1">
        <v>375.0</v>
      </c>
      <c r="B359" s="3" t="s">
        <v>357</v>
      </c>
      <c r="C359" s="3" t="str">
        <f>IFERROR(__xludf.DUMMYFUNCTION("GOOGLETRANSLATE(B359,""id"",""en"")"),"['network', 'Telkomsel', 'bad', 'compare', 'smooth', 'watch', 'YouTube', 'Ngegeeme', 'download', 'watch', 'Video', 'YouTube', ' Ngegeeme ',' The network ',' bad ',' no ',' work ', ""]")</f>
        <v>['network', 'Telkomsel', 'bad', 'compare', 'smooth', 'watch', 'YouTube', 'Ngegeeme', 'download', 'watch', 'Video', 'YouTube', ' Ngegeeme ',' The network ',' bad ',' no ',' work ', "]</v>
      </c>
      <c r="D359" s="3">
        <v>1.0</v>
      </c>
    </row>
    <row r="360" ht="15.75" customHeight="1">
      <c r="A360" s="1">
        <v>376.0</v>
      </c>
      <c r="B360" s="3" t="s">
        <v>358</v>
      </c>
      <c r="C360" s="3" t="str">
        <f>IFERROR(__xludf.DUMMYFUNCTION("GOOGLETRANSLATE(B360,""id"",""en"")"),"['Rare', 'trouble']")</f>
        <v>['Rare', 'trouble']</v>
      </c>
      <c r="D360" s="3">
        <v>5.0</v>
      </c>
    </row>
    <row r="361" ht="15.75" customHeight="1">
      <c r="A361" s="1">
        <v>377.0</v>
      </c>
      <c r="B361" s="3" t="s">
        <v>359</v>
      </c>
      <c r="C361" s="3" t="str">
        <f>IFERROR(__xludf.DUMMYFUNCTION("GOOGLETRANSLATE(B361,""id"",""en"")"),"['Disappointed', 'Telkomsel', 'Credit', 'Safe', 'Paketan', 'Out', 'Direct', 'Cut', 'Pulses', ""]")</f>
        <v>['Disappointed', 'Telkomsel', 'Credit', 'Safe', 'Paketan', 'Out', 'Direct', 'Cut', 'Pulses', "]</v>
      </c>
      <c r="D361" s="3">
        <v>1.0</v>
      </c>
    </row>
    <row r="362" ht="15.75" customHeight="1">
      <c r="A362" s="1">
        <v>379.0</v>
      </c>
      <c r="B362" s="3" t="s">
        <v>360</v>
      </c>
      <c r="C362" s="3" t="str">
        <f>IFERROR(__xludf.DUMMYFUNCTION("GOOGLETRANSLATE(B362,""id"",""en"")"),"['Application', 'error']")</f>
        <v>['Application', 'error']</v>
      </c>
      <c r="D362" s="3">
        <v>1.0</v>
      </c>
    </row>
    <row r="363" ht="15.75" customHeight="1">
      <c r="A363" s="1">
        <v>380.0</v>
      </c>
      <c r="B363" s="3" t="s">
        <v>361</v>
      </c>
      <c r="C363" s="3" t="str">
        <f>IFERROR(__xludf.DUMMYFUNCTION("GOOGLETRANSLATE(B363,""id"",""en"")"),"['strange', 'buy', 'omg', 'tomorrow', 'buy', 'package', 'lap', 'main', 'want', 'download', 'file', ' Package ',' he's ',' Abis ',' Data ',' Abis ',' Confused ',' Package ',' Stay ',' Main ',' Unlimited ','A', 'Data', 'Out' , 'Package', 'Data', 'Data', 'Ou"&amp;"t', '']")</f>
        <v>['strange', 'buy', 'omg', 'tomorrow', 'buy', 'package', 'lap', 'main', 'want', 'download', 'file', ' Package ',' he's ',' Abis ',' Data ',' Abis ',' Confused ',' Package ',' Stay ',' Main ',' Unlimited ','A', 'Data', 'Out' , 'Package', 'Data', 'Data', 'Out', '']</v>
      </c>
      <c r="D363" s="3">
        <v>1.0</v>
      </c>
    </row>
    <row r="364" ht="15.75" customHeight="1">
      <c r="A364" s="1">
        <v>381.0</v>
      </c>
      <c r="B364" s="3" t="s">
        <v>362</v>
      </c>
      <c r="C364" s="3" t="str">
        <f>IFERROR(__xludf.DUMMYFUNCTION("GOOGLETRANSLATE(B364,""id"",""en"")"),"['Internet', 'slow', 'according to', 'ad', '']")</f>
        <v>['Internet', 'slow', 'according to', 'ad', '']</v>
      </c>
      <c r="D364" s="3">
        <v>2.0</v>
      </c>
    </row>
    <row r="365" ht="15.75" customHeight="1">
      <c r="A365" s="1">
        <v>382.0</v>
      </c>
      <c r="B365" s="3" t="s">
        <v>363</v>
      </c>
      <c r="C365" s="3" t="str">
        <f>IFERROR(__xludf.DUMMYFUNCTION("GOOGLETRANSLATE(B365,""id"",""en"")"),"['disappointed', 'already', 'Telkomsel', 'signal', 'development', 'city', 'signal', 'access',' application ',' safe ',' turn ',' down ',' kek ',' snot ',' ngelag ',' forgiveness', 'please', 'Telkomsel', 'noticed', 'signal', 'yes',' different ',' like ',' "&amp;"card ',' next door ' ]")</f>
        <v>['disappointed', 'already', 'Telkomsel', 'signal', 'development', 'city', 'signal', 'access',' application ',' safe ',' turn ',' down ',' kek ',' snot ',' ngelag ',' forgiveness', 'please', 'Telkomsel', 'noticed', 'signal', 'yes',' different ',' like ',' card ',' next door ' ]</v>
      </c>
      <c r="D365" s="3">
        <v>1.0</v>
      </c>
    </row>
    <row r="366" ht="15.75" customHeight="1">
      <c r="A366" s="1">
        <v>383.0</v>
      </c>
      <c r="B366" s="3" t="s">
        <v>364</v>
      </c>
      <c r="C366" s="3" t="str">
        <f>IFERROR(__xludf.DUMMYFUNCTION("GOOGLETRANSLATE(B366,""id"",""en"")"),"[ 'Severe', 'beeuddd', 'slow', 'paraaaaaahhhhhh', 'bli', 'vocer', 'expensive', 'slow', 'open', 'maps',' street ',' on ',' Pokon ',' ']")</f>
        <v>[ 'Severe', 'beeuddd', 'slow', 'paraaaaaahhhhhh', 'bli', 'vocer', 'expensive', 'slow', 'open', 'maps',' street ',' on ',' Pokon ',' ']</v>
      </c>
      <c r="D366" s="3">
        <v>1.0</v>
      </c>
    </row>
    <row r="367" ht="15.75" customHeight="1">
      <c r="A367" s="1">
        <v>384.0</v>
      </c>
      <c r="B367" s="3" t="s">
        <v>365</v>
      </c>
      <c r="C367" s="3" t="str">
        <f>IFERROR(__xludf.DUMMYFUNCTION("GOOGLETRANSLATE(B367,""id"",""en"")"),"['Network', 'steady']")</f>
        <v>['Network', 'steady']</v>
      </c>
      <c r="D367" s="3">
        <v>5.0</v>
      </c>
    </row>
    <row r="368" ht="15.75" customHeight="1">
      <c r="A368" s="1">
        <v>385.0</v>
      </c>
      <c r="B368" s="3" t="s">
        <v>366</v>
      </c>
      <c r="C368" s="3" t="str">
        <f>IFERROR(__xludf.DUMMYFUNCTION("GOOGLETRANSLATE(B368,""id"",""en"")"),"['Love', 'promo', 'cheap', 'min']")</f>
        <v>['Love', 'promo', 'cheap', 'min']</v>
      </c>
      <c r="D368" s="3">
        <v>5.0</v>
      </c>
    </row>
    <row r="369" ht="15.75" customHeight="1">
      <c r="A369" s="1">
        <v>386.0</v>
      </c>
      <c r="B369" s="3" t="s">
        <v>367</v>
      </c>
      <c r="C369" s="3" t="str">
        <f>IFERROR(__xludf.DUMMYFUNCTION("GOOGLETRANSLATE(B369,""id"",""en"")"),"['It's', 'Error', 'Sad']")</f>
        <v>['It's', 'Error', 'Sad']</v>
      </c>
      <c r="D369" s="3">
        <v>1.0</v>
      </c>
    </row>
    <row r="370" ht="15.75" customHeight="1">
      <c r="A370" s="1">
        <v>387.0</v>
      </c>
      <c r="B370" s="3" t="s">
        <v>368</v>
      </c>
      <c r="C370" s="3" t="str">
        <f>IFERROR(__xludf.DUMMYFUNCTION("GOOGLETRANSLATE(B370,""id"",""en"")"),"['Recommendation', 'Maen', 'Game']")</f>
        <v>['Recommendation', 'Maen', 'Game']</v>
      </c>
      <c r="D370" s="3">
        <v>4.0</v>
      </c>
    </row>
    <row r="371" ht="15.75" customHeight="1">
      <c r="A371" s="1">
        <v>388.0</v>
      </c>
      <c r="B371" s="3" t="s">
        <v>369</v>
      </c>
      <c r="C371" s="3" t="str">
        <f>IFERROR(__xludf.DUMMYFUNCTION("GOOGLETRANSLATE(B371,""id"",""en"")"),"['has',' quota ',' internet ',' apply ',' PKL ',' quota ',' maxstream ',' apply ',' pkl ',' quota ',' internet ',' apply ',' vendors', 'can', 'check', 'quota', 'Telkomsel', 'app', 'click', 'tsel', 'mytsel', 'can', 'sms',' like ',' mksd ' , 'Try', 'quota',"&amp;" 'third', 'quota', 'Telkomsel', 'Neh', ""]")</f>
        <v>['has',' quota ',' internet ',' apply ',' PKL ',' quota ',' maxstream ',' apply ',' pkl ',' quota ',' internet ',' apply ',' vendors', 'can', 'check', 'quota', 'Telkomsel', 'app', 'click', 'tsel', 'mytsel', 'can', 'sms',' like ',' mksd ' , 'Try', 'quota', 'third', 'quota', 'Telkomsel', 'Neh', "]</v>
      </c>
      <c r="D371" s="3">
        <v>5.0</v>
      </c>
    </row>
    <row r="372" ht="15.75" customHeight="1">
      <c r="A372" s="1">
        <v>390.0</v>
      </c>
      <c r="B372" s="3" t="s">
        <v>370</v>
      </c>
      <c r="C372" s="3" t="str">
        <f>IFERROR(__xludf.DUMMYFUNCTION("GOOGLETRANSLATE(B372,""id"",""en"")"),"['Service', 'bad', 'buy', 'quota', 'enter']]")</f>
        <v>['Service', 'bad', 'buy', 'quota', 'enter']]</v>
      </c>
      <c r="D372" s="3">
        <v>1.0</v>
      </c>
    </row>
    <row r="373" ht="15.75" customHeight="1">
      <c r="A373" s="1">
        <v>391.0</v>
      </c>
      <c r="B373" s="3" t="s">
        <v>371</v>
      </c>
      <c r="C373" s="3" t="str">
        <f>IFERROR(__xludf.DUMMYFUNCTION("GOOGLETRANSLATE(B373,""id"",""en"")"),"['package', 'expensive', 'strangling', 'network', 'ugly', 'slow', 'according to', 'package', 'price', 'network', 'mengatik', 'kayak', ' Stay ',' forest ']")</f>
        <v>['package', 'expensive', 'strangling', 'network', 'ugly', 'slow', 'according to', 'package', 'price', 'network', 'mengatik', 'kayak', ' Stay ',' forest ']</v>
      </c>
      <c r="D373" s="3">
        <v>1.0</v>
      </c>
    </row>
    <row r="374" ht="15.75" customHeight="1">
      <c r="A374" s="1">
        <v>392.0</v>
      </c>
      <c r="B374" s="3" t="s">
        <v>372</v>
      </c>
      <c r="C374" s="3" t="str">
        <f>IFERROR(__xludf.DUMMYFUNCTION("GOOGLETRANSLATE(B374,""id"",""en"")"),"['Family', 'Gifts',' Telkomsel ',' Hopefully ',' Luckily ',' Cover ',' Lack ',' Please ',' Fill ',' Gift ',' Need ',' Full ',' Limitations', 'physical', 'spirit', 'struggle', 'live', 'hope', 'Allah', 'swt', 'blessing', 'gift', 'chance', 'hope', 'scratch' "&amp;", 'Consideration', 'Telkomsel', 'Aamiin', 'Allah', 'Assalamu', 'Alaikum', ""]")</f>
        <v>['Family', 'Gifts',' Telkomsel ',' Hopefully ',' Luckily ',' Cover ',' Lack ',' Please ',' Fill ',' Gift ',' Need ',' Full ',' Limitations', 'physical', 'spirit', 'struggle', 'live', 'hope', 'Allah', 'swt', 'blessing', 'gift', 'chance', 'hope', 'scratch' , 'Consideration', 'Telkomsel', 'Aamiin', 'Allah', 'Assalamu', 'Alaikum', "]</v>
      </c>
      <c r="D374" s="3">
        <v>5.0</v>
      </c>
    </row>
    <row r="375" ht="15.75" customHeight="1">
      <c r="A375" s="1">
        <v>393.0</v>
      </c>
      <c r="B375" s="3" t="s">
        <v>373</v>
      </c>
      <c r="C375" s="3" t="str">
        <f>IFERROR(__xludf.DUMMYFUNCTION("GOOGLETRANSLATE(B375,""id"",""en"")"),"['signal', 'bad', 'boro', 'entered', 'tlong', 'evenly', 'signal', 'telkomesl', 'pdahal', 'area', 'city', 'palembang']")</f>
        <v>['signal', 'bad', 'boro', 'entered', 'tlong', 'evenly', 'signal', 'telkomesl', 'pdahal', 'area', 'city', 'palembang']</v>
      </c>
      <c r="D375" s="3">
        <v>1.0</v>
      </c>
    </row>
    <row r="376" ht="15.75" customHeight="1">
      <c r="A376" s="1">
        <v>394.0</v>
      </c>
      <c r="B376" s="3" t="s">
        <v>374</v>
      </c>
      <c r="C376" s="3" t="str">
        <f>IFERROR(__xludf.DUMMYFUNCTION("GOOGLETRANSLATE(B376,""id"",""en"")"),"['Good', 'signal']")</f>
        <v>['Good', 'signal']</v>
      </c>
      <c r="D376" s="3">
        <v>3.0</v>
      </c>
    </row>
    <row r="377" ht="15.75" customHeight="1">
      <c r="A377" s="1">
        <v>395.0</v>
      </c>
      <c r="B377" s="3" t="s">
        <v>375</v>
      </c>
      <c r="C377" s="3" t="str">
        <f>IFERROR(__xludf.DUMMYFUNCTION("GOOGLETRANSLATE(B377,""id"",""en"")"),"['Increase', 'signal', 'area', 'remote']")</f>
        <v>['Increase', 'signal', 'area', 'remote']</v>
      </c>
      <c r="D377" s="3">
        <v>5.0</v>
      </c>
    </row>
    <row r="378" ht="15.75" customHeight="1">
      <c r="A378" s="1">
        <v>397.0</v>
      </c>
      <c r="B378" s="3" t="s">
        <v>376</v>
      </c>
      <c r="C378" s="3" t="str">
        <f>IFERROR(__xludf.DUMMYFUNCTION("GOOGLETRANSLATE(B378,""id"",""en"")"),"['Help', 'easy', 'understood', 'TPI', 'like', 'slow', 'please', 'made', 'light', 'open', 'application', 'loading']")</f>
        <v>['Help', 'easy', 'understood', 'TPI', 'like', 'slow', 'please', 'made', 'light', 'open', 'application', 'loading']</v>
      </c>
      <c r="D378" s="3">
        <v>5.0</v>
      </c>
    </row>
    <row r="379" ht="15.75" customHeight="1">
      <c r="A379" s="1">
        <v>400.0</v>
      </c>
      <c r="B379" s="3" t="s">
        <v>377</v>
      </c>
      <c r="C379" s="3" t="str">
        <f>IFERROR(__xludf.DUMMYFUNCTION("GOOGLETRANSLATE(B379,""id"",""en"")"),"['Cool', 'really', 'pokonya', 'like', 'credit', 'ilang', 'quota', 'please', 'fix', 'the application', 'take', 'pulses',' people ',' that way ',' one ',' really ',' pokonya ',' tooppp ',' take ',' pulse ',' person ',' okay ',' ']")</f>
        <v>['Cool', 'really', 'pokonya', 'like', 'credit', 'ilang', 'quota', 'please', 'fix', 'the application', 'take', 'pulses',' people ',' that way ',' one ',' really ',' pokonya ',' tooppp ',' take ',' pulse ',' person ',' okay ',' ']</v>
      </c>
      <c r="D379" s="3">
        <v>5.0</v>
      </c>
    </row>
    <row r="380" ht="15.75" customHeight="1">
      <c r="A380" s="1">
        <v>402.0</v>
      </c>
      <c r="B380" s="3" t="s">
        <v>378</v>
      </c>
      <c r="C380" s="3" t="str">
        <f>IFERROR(__xludf.DUMMYFUNCTION("GOOGLETRANSLATE(B380,""id"",""en"")"),"['Chat', 'Veronika', 'Useful', 'complaints']")</f>
        <v>['Chat', 'Veronika', 'Useful', 'complaints']</v>
      </c>
      <c r="D380" s="3">
        <v>3.0</v>
      </c>
    </row>
    <row r="381" ht="15.75" customHeight="1">
      <c r="A381" s="1">
        <v>403.0</v>
      </c>
      <c r="B381" s="3" t="s">
        <v>379</v>
      </c>
      <c r="C381" s="3" t="str">
        <f>IFERROR(__xludf.DUMMYFUNCTION("GOOGLETRANSLATE(B381,""id"",""en"")"),"['Changed', 'Package', 'Combo', 'Yesterday', 'Buy', 'Package', 'Combo', 'GB', 'RB', 'right', 'Update', 'Change', ' Package ',' Combonya ',' GB ',' RB ',' Crazy ',' Telkomsel ',' Network ',' Forgiveness', 'Dahh', ""]")</f>
        <v>['Changed', 'Package', 'Combo', 'Yesterday', 'Buy', 'Package', 'Combo', 'GB', 'RB', 'right', 'Update', 'Change', ' Package ',' Combonya ',' GB ',' RB ',' Crazy ',' Telkomsel ',' Network ',' Forgiveness', 'Dahh', "]</v>
      </c>
      <c r="D381" s="3">
        <v>1.0</v>
      </c>
    </row>
    <row r="382" ht="15.75" customHeight="1">
      <c r="A382" s="1">
        <v>405.0</v>
      </c>
      <c r="B382" s="3" t="s">
        <v>380</v>
      </c>
      <c r="C382" s="3" t="str">
        <f>IFERROR(__xludf.DUMMYFUNCTION("GOOGLETRANSLATE(B382,""id"",""en"")"),"['Network', 'bad', 'price', 'internet', 'expensive', 'promote', 'quality', 'downhill', 'bad', 'beg', 'repair', 'love', ' Promo ',' just ',' price ',' package ',' ']")</f>
        <v>['Network', 'bad', 'price', 'internet', 'expensive', 'promote', 'quality', 'downhill', 'bad', 'beg', 'repair', 'love', ' Promo ',' just ',' price ',' package ',' ']</v>
      </c>
      <c r="D382" s="3">
        <v>1.0</v>
      </c>
    </row>
    <row r="383" ht="15.75" customHeight="1">
      <c r="A383" s="1">
        <v>406.0</v>
      </c>
      <c r="B383" s="3" t="s">
        <v>381</v>
      </c>
      <c r="C383" s="3" t="str">
        <f>IFERROR(__xludf.DUMMYFUNCTION("GOOGLETRANSLATE(B383,""id"",""en"")"),"['Emotion', 'Telkomsel', 'delicious', 'play', 'game', 'signal', 'missing', 'please', 'fix', 'biyarin', ""]")</f>
        <v>['Emotion', 'Telkomsel', 'delicious', 'play', 'game', 'signal', 'missing', 'please', 'fix', 'biyarin', "]</v>
      </c>
      <c r="D383" s="3">
        <v>1.0</v>
      </c>
    </row>
    <row r="384" ht="15.75" customHeight="1">
      <c r="A384" s="1">
        <v>407.0</v>
      </c>
      <c r="B384" s="3" t="s">
        <v>382</v>
      </c>
      <c r="C384" s="3" t="str">
        <f>IFERROR(__xludf.DUMMYFUNCTION("GOOGLETRANSLATE(B384,""id"",""en"")"),"['signal', 'Telkomsel', 'Win', 'expensive']")</f>
        <v>['signal', 'Telkomsel', 'Win', 'expensive']</v>
      </c>
      <c r="D384" s="3">
        <v>4.0</v>
      </c>
    </row>
    <row r="385" ht="15.75" customHeight="1">
      <c r="A385" s="1">
        <v>408.0</v>
      </c>
      <c r="B385" s="3" t="s">
        <v>122</v>
      </c>
      <c r="C385" s="3" t="str">
        <f>IFERROR(__xludf.DUMMYFUNCTION("GOOGLETRANSLATE(B385,""id"",""en"")"),"['easy']")</f>
        <v>['easy']</v>
      </c>
      <c r="D385" s="3">
        <v>4.0</v>
      </c>
    </row>
    <row r="386" ht="15.75" customHeight="1">
      <c r="A386" s="1">
        <v>409.0</v>
      </c>
      <c r="B386" s="3" t="s">
        <v>383</v>
      </c>
      <c r="C386" s="3" t="str">
        <f>IFERROR(__xludf.DUMMYFUNCTION("GOOGLETRANSLATE(B386,""id"",""en"")"),"['Signal', 'Good']")</f>
        <v>['Signal', 'Good']</v>
      </c>
      <c r="D386" s="3">
        <v>4.0</v>
      </c>
    </row>
    <row r="387" ht="15.75" customHeight="1">
      <c r="A387" s="1">
        <v>410.0</v>
      </c>
      <c r="B387" s="3" t="s">
        <v>384</v>
      </c>
      <c r="C387" s="3" t="str">
        <f>IFERROR(__xludf.DUMMYFUNCTION("GOOGLETRANSLATE(B387,""id"",""en"")"),"['beneficial', '']")</f>
        <v>['beneficial', '']</v>
      </c>
      <c r="D387" s="3">
        <v>4.0</v>
      </c>
    </row>
    <row r="388" ht="15.75" customHeight="1">
      <c r="A388" s="1">
        <v>411.0</v>
      </c>
      <c r="B388" s="3" t="s">
        <v>385</v>
      </c>
      <c r="C388" s="3" t="str">
        <f>IFERROR(__xludf.DUMMYFUNCTION("GOOGLETRANSLATE(B388,""id"",""en"")"),"['waaaaaaaaaaaaaaaaaaaaaa', 'good']")</f>
        <v>['waaaaaaaaaaaaaaaaaaaaaa', 'good']</v>
      </c>
      <c r="D388" s="3">
        <v>5.0</v>
      </c>
    </row>
    <row r="389" ht="15.75" customHeight="1">
      <c r="A389" s="1">
        <v>412.0</v>
      </c>
      <c r="B389" s="3" t="s">
        <v>386</v>
      </c>
      <c r="C389" s="3" t="str">
        <f>IFERROR(__xludf.DUMMYFUNCTION("GOOGLETRANSLATE(B389,""id"",""en"")"),"['ugly', 'kagak', 'good']")</f>
        <v>['ugly', 'kagak', 'good']</v>
      </c>
      <c r="D389" s="3">
        <v>1.0</v>
      </c>
    </row>
    <row r="390" ht="15.75" customHeight="1">
      <c r="A390" s="1">
        <v>413.0</v>
      </c>
      <c r="B390" s="3" t="s">
        <v>387</v>
      </c>
      <c r="C390" s="3" t="str">
        <f>IFERROR(__xludf.DUMMYFUNCTION("GOOGLETRANSLATE(B390,""id"",""en"")"),"['Please', 'Reduced', 'Price', 'Package', 'Data', 'My Boss']")</f>
        <v>['Please', 'Reduced', 'Price', 'Package', 'Data', 'My Boss']</v>
      </c>
      <c r="D390" s="3">
        <v>3.0</v>
      </c>
    </row>
    <row r="391" ht="15.75" customHeight="1">
      <c r="A391" s="1">
        <v>414.0</v>
      </c>
      <c r="B391" s="3" t="s">
        <v>388</v>
      </c>
      <c r="C391" s="3" t="str">
        <f>IFERROR(__xludf.DUMMYFUNCTION("GOOGLETRANSLATE(B391,""id"",""en"")"),"['sympathy', 'delicious', 'customer', 'buy', 'package', 'expensive', 'drained', 'bag', 'moved', '']")</f>
        <v>['sympathy', 'delicious', 'customer', 'buy', 'package', 'expensive', 'drained', 'bag', 'moved', '']</v>
      </c>
      <c r="D391" s="3">
        <v>1.0</v>
      </c>
    </row>
    <row r="392" ht="15.75" customHeight="1">
      <c r="A392" s="1">
        <v>416.0</v>
      </c>
      <c r="B392" s="3" t="s">
        <v>389</v>
      </c>
      <c r="C392" s="3" t="str">
        <f>IFERROR(__xludf.DUMMYFUNCTION("GOOGLETRANSLATE(B392,""id"",""en"")"),"['Easy', 'fast', 'mkasih', 'Telkomsel']")</f>
        <v>['Easy', 'fast', 'mkasih', 'Telkomsel']</v>
      </c>
      <c r="D392" s="3">
        <v>5.0</v>
      </c>
    </row>
    <row r="393" ht="15.75" customHeight="1">
      <c r="A393" s="1">
        <v>417.0</v>
      </c>
      <c r="B393" s="3" t="s">
        <v>390</v>
      </c>
      <c r="C393" s="3" t="str">
        <f>IFERROR(__xludf.DUMMYFUNCTION("GOOGLETRANSLATE(B393,""id"",""en"")"),"['negligence', 'system', 'slow', 'contents',' pulse ',' direct ',' list ',' package ',' sumps', 'pulses',' taunya ',' pulse ',' Filled ',' Sumpot ',' Sia ',' Sia ',' Register ',' Package ',' Sampe ',' Times', 'Repeated', 'reset', 'process',' his name ',' "&amp;"terrible ' , 'according to me', '']")</f>
        <v>['negligence', 'system', 'slow', 'contents',' pulse ',' direct ',' list ',' package ',' sumps', 'pulses',' taunya ',' pulse ',' Filled ',' Sumpot ',' Sia ',' Sia ',' Register ',' Package ',' Sampe ',' Times', 'Repeated', 'reset', 'process',' his name ',' terrible ' , 'according to me', '']</v>
      </c>
      <c r="D393" s="3">
        <v>1.0</v>
      </c>
    </row>
    <row r="394" ht="15.75" customHeight="1">
      <c r="A394" s="1">
        <v>418.0</v>
      </c>
      <c r="B394" s="3" t="s">
        <v>391</v>
      </c>
      <c r="C394" s="3" t="str">
        <f>IFERROR(__xludf.DUMMYFUNCTION("GOOGLETRANSLATE(B394,""id"",""en"")"),"['Sssssasat', 'Good']")</f>
        <v>['Sssssasat', 'Good']</v>
      </c>
      <c r="D394" s="3">
        <v>5.0</v>
      </c>
    </row>
    <row r="395" ht="15.75" customHeight="1">
      <c r="A395" s="1">
        <v>419.0</v>
      </c>
      <c r="B395" s="3" t="s">
        <v>392</v>
      </c>
      <c r="C395" s="3" t="str">
        <f>IFERROR(__xludf.DUMMYFUNCTION("GOOGLETRANSLATE(B395,""id"",""en"")"),"['APK', 'good', 'thank', 'love']")</f>
        <v>['APK', 'good', 'thank', 'love']</v>
      </c>
      <c r="D395" s="3">
        <v>5.0</v>
      </c>
    </row>
    <row r="396" ht="15.75" customHeight="1">
      <c r="A396" s="1">
        <v>420.0</v>
      </c>
      <c r="B396" s="3" t="s">
        <v>393</v>
      </c>
      <c r="C396" s="3" t="str">
        <f>IFERROR(__xludf.DUMMYFUNCTION("GOOGLETRANSLATE(B396,""id"",""en"")"),"['Lelat', '']")</f>
        <v>['Lelat', '']</v>
      </c>
      <c r="D396" s="3">
        <v>2.0</v>
      </c>
    </row>
    <row r="397" ht="15.75" customHeight="1">
      <c r="A397" s="1">
        <v>421.0</v>
      </c>
      <c r="B397" s="3" t="s">
        <v>394</v>
      </c>
      <c r="C397" s="3" t="str">
        <f>IFERROR(__xludf.DUMMYFUNCTION("GOOGLETRANSLATE(B397,""id"",""en"")"),"['Download', 'Google', 'Pixel', '']")</f>
        <v>['Download', 'Google', 'Pixel', '']</v>
      </c>
      <c r="D397" s="3">
        <v>1.0</v>
      </c>
    </row>
    <row r="398" ht="15.75" customHeight="1">
      <c r="A398" s="1">
        <v>422.0</v>
      </c>
      <c r="B398" s="3" t="s">
        <v>395</v>
      </c>
      <c r="C398" s="3" t="str">
        <f>IFERROR(__xludf.DUMMYFUNCTION("GOOGLETRANSLATE(B398,""id"",""en"")"),"['Telkomsel', 'Beres',' buy ',' quota ',' GB ',' Weekly ',' already ',' Abis', 'Severe', 'SERES', 'Telkomsel', 'already', ' BBRP ',' Times', 'Kapok', 'Deh', 'Quota', 'Telkomsel', ""]")</f>
        <v>['Telkomsel', 'Beres',' buy ',' quota ',' GB ',' Weekly ',' already ',' Abis', 'Severe', 'SERES', 'Telkomsel', 'already', ' BBRP ',' Times', 'Kapok', 'Deh', 'Quota', 'Telkomsel', "]</v>
      </c>
      <c r="D398" s="3">
        <v>1.0</v>
      </c>
    </row>
    <row r="399" ht="15.75" customHeight="1">
      <c r="A399" s="1">
        <v>423.0</v>
      </c>
      <c r="B399" s="3" t="s">
        <v>396</v>
      </c>
      <c r="C399" s="3" t="str">
        <f>IFERROR(__xludf.DUMMYFUNCTION("GOOGLETRANSLATE(B399,""id"",""en"")"),"['already', 'expensive', 'connection', 'slow', 'begged', 'already', 'hours',' malem ',' pulp ',' think ',' pay ',' love ',' Service ',' proper ',' payment ',' expensive ',' gini ',' mending ',' buy ',' tlol ',' forward ']")</f>
        <v>['already', 'expensive', 'connection', 'slow', 'begged', 'already', 'hours',' malem ',' pulp ',' think ',' pay ',' love ',' Service ',' proper ',' payment ',' expensive ',' gini ',' mending ',' buy ',' tlol ',' forward ']</v>
      </c>
      <c r="D399" s="3">
        <v>1.0</v>
      </c>
    </row>
    <row r="400" ht="15.75" customHeight="1">
      <c r="A400" s="1">
        <v>425.0</v>
      </c>
      <c r="B400" s="3" t="s">
        <v>397</v>
      </c>
      <c r="C400" s="3" t="str">
        <f>IFERROR(__xludf.DUMMYFUNCTION("GOOGLETRANSLATE(B400,""id"",""en"")"),"['Wort', 'bnget', 'the application', 'mantapp']")</f>
        <v>['Wort', 'bnget', 'the application', 'mantapp']</v>
      </c>
      <c r="D400" s="3">
        <v>5.0</v>
      </c>
    </row>
    <row r="401" ht="15.75" customHeight="1">
      <c r="A401" s="1">
        <v>426.0</v>
      </c>
      <c r="B401" s="3" t="s">
        <v>398</v>
      </c>
      <c r="C401" s="3" t="str">
        <f>IFERROR(__xludf.DUMMYFUNCTION("GOOGLETRANSLATE(B401,""id"",""en"")"),"['package', 'data', 'expensive', 'like', 'sucked', 'pulse', 'package', 'run out', 'data', 'dead', 'pulse', 'suck', ' bad ',' bad ',' Kasi ',' star ',' zero ',' darling ',' star ',' zero ',' ']")</f>
        <v>['package', 'data', 'expensive', 'like', 'sucked', 'pulse', 'package', 'run out', 'data', 'dead', 'pulse', 'suck', ' bad ',' bad ',' Kasi ',' star ',' zero ',' darling ',' star ',' zero ',' ']</v>
      </c>
      <c r="D401" s="3">
        <v>1.0</v>
      </c>
    </row>
    <row r="402" ht="15.75" customHeight="1">
      <c r="A402" s="1">
        <v>427.0</v>
      </c>
      <c r="B402" s="3" t="s">
        <v>399</v>
      </c>
      <c r="C402" s="3" t="str">
        <f>IFERROR(__xludf.DUMMYFUNCTION("GOOGLETRANSLATE(B402,""id"",""en"")"),"['Network', 'Telkomsel', 'already', 'rich', 'signal', 'Tortoise', 'Kura', 'Mending', 'signal', 'already', 'rich', 'train', ' mono ',' Tell ']")</f>
        <v>['Network', 'Telkomsel', 'already', 'rich', 'signal', 'Tortoise', 'Kura', 'Mending', 'signal', 'already', 'rich', 'train', ' mono ',' Tell ']</v>
      </c>
      <c r="D402" s="3">
        <v>1.0</v>
      </c>
    </row>
    <row r="403" ht="15.75" customHeight="1">
      <c r="A403" s="1">
        <v>428.0</v>
      </c>
      <c r="B403" s="3" t="s">
        <v>400</v>
      </c>
      <c r="C403" s="3" t="str">
        <f>IFERROR(__xludf.DUMMYFUNCTION("GOOGLETRANSLATE(B403,""id"",""en"")"),"['The application', 'slow']")</f>
        <v>['The application', 'slow']</v>
      </c>
      <c r="D403" s="3">
        <v>3.0</v>
      </c>
    </row>
    <row r="404" ht="15.75" customHeight="1">
      <c r="A404" s="1">
        <v>429.0</v>
      </c>
      <c r="B404" s="3" t="s">
        <v>401</v>
      </c>
      <c r="C404" s="3" t="str">
        <f>IFERROR(__xludf.DUMMYFUNCTION("GOOGLETRANSLATE(B404,""id"",""en"")"),"['Hopefully', 'Network', 'Telkomsel', 'Name', 'Distribution', 'Network', 'Flatter', 'Network', 'Location', 'Where', 'Use', 'Data', ' network ',' model ',' division ',' expect ',' distrist ',' remote ',' removers', 'stabilized', 'tissue', 'slow', 'disturbe"&amp;"d', 'Memphat', 'card' , 'Telkomsel', 'his activities', '']")</f>
        <v>['Hopefully', 'Network', 'Telkomsel', 'Name', 'Distribution', 'Network', 'Flatter', 'Network', 'Location', 'Where', 'Use', 'Data', ' network ',' model ',' division ',' expect ',' distrist ',' remote ',' removers', 'stabilized', 'tissue', 'slow', 'disturbed', 'Memphat', 'card' , 'Telkomsel', 'his activities', '']</v>
      </c>
      <c r="D404" s="3">
        <v>5.0</v>
      </c>
    </row>
    <row r="405" ht="15.75" customHeight="1">
      <c r="A405" s="1">
        <v>431.0</v>
      </c>
      <c r="B405" s="3" t="s">
        <v>402</v>
      </c>
      <c r="C405" s="3" t="str">
        <f>IFERROR(__xludf.DUMMYFUNCTION("GOOGLETRANSLATE(B405,""id"",""en"")"),"['Star', 'Win', 'Gift', 'Lottery', 'Full', 'Star', '']")</f>
        <v>['Star', 'Win', 'Gift', 'Lottery', 'Full', 'Star', '']</v>
      </c>
      <c r="D405" s="3">
        <v>3.0</v>
      </c>
    </row>
    <row r="406" ht="15.75" customHeight="1">
      <c r="A406" s="1">
        <v>432.0</v>
      </c>
      <c r="B406" s="3" t="s">
        <v>403</v>
      </c>
      <c r="C406" s="3" t="str">
        <f>IFERROR(__xludf.DUMMYFUNCTION("GOOGLETRANSLATE(B406,""id"",""en"")"),"['signal', 'rotten', 'times']")</f>
        <v>['signal', 'rotten', 'times']</v>
      </c>
      <c r="D406" s="3">
        <v>5.0</v>
      </c>
    </row>
    <row r="407" ht="15.75" customHeight="1">
      <c r="A407" s="1">
        <v>433.0</v>
      </c>
      <c r="B407" s="3" t="s">
        <v>404</v>
      </c>
      <c r="C407" s="3" t="str">
        <f>IFERROR(__xludf.DUMMYFUNCTION("GOOGLETRANSLATE(B407,""id"",""en"")"),"['Satisfied', 'buy', 'package', 'GB', '']")</f>
        <v>['Satisfied', 'buy', 'package', 'GB', '']</v>
      </c>
      <c r="D407" s="3">
        <v>5.0</v>
      </c>
    </row>
    <row r="408" ht="15.75" customHeight="1">
      <c r="A408" s="1">
        <v>434.0</v>
      </c>
      <c r="B408" s="3" t="s">
        <v>405</v>
      </c>
      <c r="C408" s="3" t="str">
        <f>IFERROR(__xludf.DUMMYFUNCTION("GOOGLETRANSLATE(B408,""id"",""en"")"),"['Cuman', 'Retown', 'Package', 'Check', 'Signal', 'Lined', 'Remote', 'Difficult', 'Signal', 'Canal', 'Kayak', 'Gini', ' signal ',' missing ',' missing ',' arising ',' please ',' messy ',' difficult ',' contact ',' person ',' dokupung ',' person ',' old ',"&amp;"' girlfriend ' , 'Difficult', 'contacted', 'Kayak', 'Gini', ""]")</f>
        <v>['Cuman', 'Retown', 'Package', 'Check', 'Signal', 'Lined', 'Remote', 'Difficult', 'Signal', 'Canal', 'Kayak', 'Gini', ' signal ',' missing ',' missing ',' arising ',' please ',' messy ',' difficult ',' contact ',' person ',' dokupung ',' person ',' old ',' girlfriend ' , 'Difficult', 'contacted', 'Kayak', 'Gini', "]</v>
      </c>
      <c r="D408" s="3">
        <v>1.0</v>
      </c>
    </row>
    <row r="409" ht="15.75" customHeight="1">
      <c r="A409" s="1">
        <v>435.0</v>
      </c>
      <c r="B409" s="3" t="s">
        <v>406</v>
      </c>
      <c r="C409" s="3" t="str">
        <f>IFERROR(__xludf.DUMMYFUNCTION("GOOGLETRANSLATE(B409,""id"",""en"")"),"['Memandakan']")</f>
        <v>['Memandakan']</v>
      </c>
      <c r="D409" s="3">
        <v>5.0</v>
      </c>
    </row>
    <row r="410" ht="15.75" customHeight="1">
      <c r="A410" s="1">
        <v>436.0</v>
      </c>
      <c r="B410" s="3" t="s">
        <v>407</v>
      </c>
      <c r="C410" s="3" t="str">
        <f>IFERROR(__xludf.DUMMYFUNCTION("GOOGLETRANSLATE(B410,""id"",""en"")"),"['Woii', 'Adin', 'Lock', 'Lock', 'Credit', 'Credit', 'Sumpot']")</f>
        <v>['Woii', 'Adin', 'Lock', 'Lock', 'Credit', 'Credit', 'Sumpot']</v>
      </c>
      <c r="D410" s="3">
        <v>2.0</v>
      </c>
    </row>
    <row r="411" ht="15.75" customHeight="1">
      <c r="A411" s="1">
        <v>437.0</v>
      </c>
      <c r="B411" s="3" t="s">
        <v>408</v>
      </c>
      <c r="C411" s="3" t="str">
        <f>IFERROR(__xludf.DUMMYFUNCTION("GOOGLETRANSLATE(B411,""id"",""en"")"),"['try']")</f>
        <v>['try']</v>
      </c>
      <c r="D411" s="3">
        <v>3.0</v>
      </c>
    </row>
    <row r="412" ht="15.75" customHeight="1">
      <c r="A412" s="1">
        <v>438.0</v>
      </c>
      <c r="B412" s="3" t="s">
        <v>409</v>
      </c>
      <c r="C412" s="3" t="str">
        <f>IFERROR(__xludf.DUMMYFUNCTION("GOOGLETRANSLATE(B412,""id"",""en"")"),"['Males', 'buy', 'quota', 'Telkomsel', 'Nge', 'lag', 'bangett', 'network']")</f>
        <v>['Males', 'buy', 'quota', 'Telkomsel', 'Nge', 'lag', 'bangett', 'network']</v>
      </c>
      <c r="D412" s="3">
        <v>1.0</v>
      </c>
    </row>
    <row r="413" ht="15.75" customHeight="1">
      <c r="A413" s="1">
        <v>439.0</v>
      </c>
      <c r="B413" s="3" t="s">
        <v>410</v>
      </c>
      <c r="C413" s="3" t="str">
        <f>IFERROR(__xludf.DUMMYFUNCTION("GOOGLETRANSLATE(B413,""id"",""en"")"),"['Lally', 'promo', '']")</f>
        <v>['Lally', 'promo', '']</v>
      </c>
      <c r="D413" s="3">
        <v>5.0</v>
      </c>
    </row>
    <row r="414" ht="15.75" customHeight="1">
      <c r="A414" s="1">
        <v>440.0</v>
      </c>
      <c r="B414" s="3" t="s">
        <v>411</v>
      </c>
      <c r="C414" s="3" t="str">
        <f>IFERROR(__xludf.DUMMYFUNCTION("GOOGLETRANSLATE(B414,""id"",""en"")"),"['Fill', 'pulse', 'already', 'drained', 'please', 'fix', 'quota', 'daily', 'Mahak', 'really', '']")</f>
        <v>['Fill', 'pulse', 'already', 'drained', 'please', 'fix', 'quota', 'daily', 'Mahak', 'really', '']</v>
      </c>
      <c r="D414" s="3">
        <v>1.0</v>
      </c>
    </row>
    <row r="415" ht="15.75" customHeight="1">
      <c r="A415" s="1">
        <v>441.0</v>
      </c>
      <c r="B415" s="3" t="s">
        <v>412</v>
      </c>
      <c r="C415" s="3" t="str">
        <f>IFERROR(__xludf.DUMMYFUNCTION("GOOGLETRANSLATE(B415,""id"",""en"")"),"['Good', 'kmdahan', 'buy', 'package']")</f>
        <v>['Good', 'kmdahan', 'buy', 'package']</v>
      </c>
      <c r="D415" s="3">
        <v>5.0</v>
      </c>
    </row>
    <row r="416" ht="15.75" customHeight="1">
      <c r="A416" s="1">
        <v>442.0</v>
      </c>
      <c r="B416" s="3" t="s">
        <v>413</v>
      </c>
      <c r="C416" s="3" t="str">
        <f>IFERROR(__xludf.DUMMYFUNCTION("GOOGLETRANSLATE(B416,""id"",""en"")"),"['pulse', 'buy', 'buy', 'package', 'refresh', 'until', 'application', 'balance', 'right', 'buy', 'balance', 'sufficient', ' hours', 'credit', 'reduced', 'Dilakanin', 'ttep', 'BGitu', 'gokil']")</f>
        <v>['pulse', 'buy', 'buy', 'package', 'refresh', 'until', 'application', 'balance', 'right', 'buy', 'balance', 'sufficient', ' hours', 'credit', 'reduced', 'Dilakanin', 'ttep', 'BGitu', 'gokil']</v>
      </c>
      <c r="D416" s="3">
        <v>1.0</v>
      </c>
    </row>
    <row r="417" ht="15.75" customHeight="1">
      <c r="A417" s="1">
        <v>443.0</v>
      </c>
      <c r="B417" s="3" t="s">
        <v>414</v>
      </c>
      <c r="C417" s="3" t="str">
        <f>IFERROR(__xludf.DUMMYFUNCTION("GOOGLETRANSLATE(B417,""id"",""en"")"),"['Try', 'Not bad']")</f>
        <v>['Try', 'Not bad']</v>
      </c>
      <c r="D417" s="3">
        <v>5.0</v>
      </c>
    </row>
    <row r="418" ht="15.75" customHeight="1">
      <c r="A418" s="1">
        <v>444.0</v>
      </c>
      <c r="B418" s="3" t="s">
        <v>415</v>
      </c>
      <c r="C418" s="3" t="str">
        <f>IFERROR(__xludf.DUMMYFUNCTION("GOOGLETRANSLATE(B418,""id"",""en"")"),"['', 'really', 'Telkomsel', 'studied', 'gifts', 'exchange', 'points', 'hope', 'times', 'luck']")</f>
        <v>['', 'really', 'Telkomsel', 'studied', 'gifts', 'exchange', 'points', 'hope', 'times', 'luck']</v>
      </c>
      <c r="D418" s="3">
        <v>5.0</v>
      </c>
    </row>
    <row r="419" ht="15.75" customHeight="1">
      <c r="A419" s="1">
        <v>445.0</v>
      </c>
      <c r="B419" s="3" t="s">
        <v>416</v>
      </c>
      <c r="C419" s="3" t="str">
        <f>IFERROR(__xludf.DUMMYFUNCTION("GOOGLETRANSLATE(B419,""id"",""en"")"),"['easy', 'fast']")</f>
        <v>['easy', 'fast']</v>
      </c>
      <c r="D419" s="3">
        <v>4.0</v>
      </c>
    </row>
    <row r="420" ht="15.75" customHeight="1">
      <c r="A420" s="1">
        <v>448.0</v>
      </c>
      <c r="B420" s="3" t="s">
        <v>417</v>
      </c>
      <c r="C420" s="3" t="str">
        <f>IFERROR(__xludf.DUMMYFUNCTION("GOOGLETRANSLATE(B420,""id"",""en"")"),"['Not bad', 'fun']")</f>
        <v>['Not bad', 'fun']</v>
      </c>
      <c r="D420" s="3">
        <v>4.0</v>
      </c>
    </row>
    <row r="421" ht="15.75" customHeight="1">
      <c r="A421" s="1">
        <v>449.0</v>
      </c>
      <c r="B421" s="3" t="s">
        <v>418</v>
      </c>
      <c r="C421" s="3" t="str">
        <f>IFERROR(__xludf.DUMMYFUNCTION("GOOGLETRANSLATE(B421,""id"",""en"")"),"['worthy', 'buy', 'quota', 'expensive', 'expensive', 'muter', 'muter', 'doank', 'times',' many ',' times', 'closed', ' Love ',' Service ',' right ',' CLEERVE ',' Network ',' Telecommunications', 'Best']")</f>
        <v>['worthy', 'buy', 'quota', 'expensive', 'expensive', 'muter', 'muter', 'doank', 'times',' many ',' times', 'closed', ' Love ',' Service ',' right ',' CLEERVE ',' Network ',' Telecommunications', 'Best']</v>
      </c>
      <c r="D421" s="3">
        <v>1.0</v>
      </c>
    </row>
    <row r="422" ht="15.75" customHeight="1">
      <c r="A422" s="1">
        <v>450.0</v>
      </c>
      <c r="B422" s="3" t="s">
        <v>419</v>
      </c>
      <c r="C422" s="3" t="str">
        <f>IFERROR(__xludf.DUMMYFUNCTION("GOOGLETRANSLATE(B422,""id"",""en"")"),"['Operator', 'Top', '']")</f>
        <v>['Operator', 'Top', '']</v>
      </c>
      <c r="D422" s="3">
        <v>5.0</v>
      </c>
    </row>
    <row r="423" ht="15.75" customHeight="1">
      <c r="A423" s="1">
        <v>451.0</v>
      </c>
      <c r="B423" s="3" t="s">
        <v>420</v>
      </c>
      <c r="C423" s="3" t="str">
        <f>IFERROR(__xludf.DUMMYFUNCTION("GOOGLETRANSLATE(B423,""id"",""en"")"),"['Current', 'Safe', '']")</f>
        <v>['Current', 'Safe', '']</v>
      </c>
      <c r="D423" s="3">
        <v>5.0</v>
      </c>
    </row>
    <row r="424" ht="15.75" customHeight="1">
      <c r="A424" s="1">
        <v>452.0</v>
      </c>
      <c r="B424" s="3" t="s">
        <v>8</v>
      </c>
      <c r="C424" s="3" t="str">
        <f>IFERROR(__xludf.DUMMYFUNCTION("GOOGLETRANSLATE(B424,""id"",""en"")"),"['application']")</f>
        <v>['application']</v>
      </c>
      <c r="D424" s="3">
        <v>5.0</v>
      </c>
    </row>
    <row r="425" ht="15.75" customHeight="1">
      <c r="A425" s="1">
        <v>453.0</v>
      </c>
      <c r="B425" s="3" t="s">
        <v>421</v>
      </c>
      <c r="C425" s="3" t="str">
        <f>IFERROR(__xludf.DUMMYFUNCTION("GOOGLETRANSLATE(B425,""id"",""en"")"),"['Package', 'Useful', 'Package', 'Bundling', '']")</f>
        <v>['Package', 'Useful', 'Package', 'Bundling', '']</v>
      </c>
      <c r="D425" s="3">
        <v>1.0</v>
      </c>
    </row>
    <row r="426" ht="15.75" customHeight="1">
      <c r="A426" s="1">
        <v>454.0</v>
      </c>
      <c r="B426" s="3" t="s">
        <v>422</v>
      </c>
      <c r="C426" s="3" t="str">
        <f>IFERROR(__xludf.DUMMYFUNCTION("GOOGLETRANSLATE(B426,""id"",""en"")"),"['GABIS', 'apake', 'emoney', 'link', 'already', 'really', 'yesterday', 'emoney', 'skrg', 'reducin', '']")</f>
        <v>['GABIS', 'apake', 'emoney', 'link', 'already', 'really', 'yesterday', 'emoney', 'skrg', 'reducin', '']</v>
      </c>
      <c r="D426" s="3">
        <v>2.0</v>
      </c>
    </row>
    <row r="427" ht="15.75" customHeight="1">
      <c r="A427" s="1">
        <v>455.0</v>
      </c>
      <c r="B427" s="3" t="s">
        <v>423</v>
      </c>
      <c r="C427" s="3" t="str">
        <f>IFERROR(__xludf.DUMMYFUNCTION("GOOGLETRANSLATE(B427,""id"",""en"")"),"['Logically', 'Jing', 'Cook', 'Yes',' Buy ',' Package ',' Combo ',' Sakti ',' Unlimited ',' GB ',' Lost ',' Minute ',' Then ',' Live ',' GB ',' Package ',' Multimedia ',' Raying ',' Buy ',' Package ',' LGI ', ""]")</f>
        <v>['Logically', 'Jing', 'Cook', 'Yes',' Buy ',' Package ',' Combo ',' Sakti ',' Unlimited ',' GB ',' Lost ',' Minute ',' Then ',' Live ',' GB ',' Package ',' Multimedia ',' Raying ',' Buy ',' Package ',' LGI ', "]</v>
      </c>
      <c r="D427" s="3">
        <v>1.0</v>
      </c>
    </row>
    <row r="428" ht="15.75" customHeight="1">
      <c r="A428" s="1">
        <v>456.0</v>
      </c>
      <c r="B428" s="3" t="s">
        <v>424</v>
      </c>
      <c r="C428" s="3" t="str">
        <f>IFERROR(__xludf.DUMMYFUNCTION("GOOGLETRANSLATE(B428,""id"",""en"")"),"['fast']")</f>
        <v>['fast']</v>
      </c>
      <c r="D428" s="3">
        <v>5.0</v>
      </c>
    </row>
    <row r="429" ht="15.75" customHeight="1">
      <c r="A429" s="1">
        <v>457.0</v>
      </c>
      <c r="B429" s="3" t="s">
        <v>425</v>
      </c>
      <c r="C429" s="3" t="str">
        <f>IFERROR(__xludf.DUMMYFUNCTION("GOOGLETRANSLATE(B429,""id"",""en"")"),"['SMGH', 'Young', 'Easy']")</f>
        <v>['SMGH', 'Young', 'Easy']</v>
      </c>
      <c r="D429" s="3">
        <v>3.0</v>
      </c>
    </row>
    <row r="430" ht="15.75" customHeight="1">
      <c r="A430" s="1">
        <v>458.0</v>
      </c>
      <c r="B430" s="3" t="s">
        <v>426</v>
      </c>
      <c r="C430" s="3" t="str">
        <f>IFERROR(__xludf.DUMMYFUNCTION("GOOGLETRANSLATE(B430,""id"",""en"")"),"['signal', 'threat', 'friend']")</f>
        <v>['signal', 'threat', 'friend']</v>
      </c>
      <c r="D430" s="3">
        <v>1.0</v>
      </c>
    </row>
    <row r="431" ht="15.75" customHeight="1">
      <c r="A431" s="1">
        <v>459.0</v>
      </c>
      <c r="B431" s="3" t="s">
        <v>427</v>
      </c>
      <c r="C431" s="3" t="str">
        <f>IFERROR(__xludf.DUMMYFUNCTION("GOOGLETRANSLATE(B431,""id"",""en"")"),"['Awaited', 'promo', 'quota', 'save', '']")</f>
        <v>['Awaited', 'promo', 'quota', 'save', '']</v>
      </c>
      <c r="D431" s="3">
        <v>5.0</v>
      </c>
    </row>
    <row r="432" ht="15.75" customHeight="1">
      <c r="A432" s="1">
        <v>460.0</v>
      </c>
      <c r="B432" s="3" t="s">
        <v>428</v>
      </c>
      <c r="C432" s="3" t="str">
        <f>IFERROR(__xludf.DUMMYFUNCTION("GOOGLETRANSLATE(B432,""id"",""en"")"),"['Please', 'quota', 'GB']")</f>
        <v>['Please', 'quota', 'GB']</v>
      </c>
      <c r="D432" s="3">
        <v>5.0</v>
      </c>
    </row>
    <row r="433" ht="15.75" customHeight="1">
      <c r="A433" s="1">
        <v>461.0</v>
      </c>
      <c r="B433" s="3" t="s">
        <v>429</v>
      </c>
      <c r="C433" s="3" t="str">
        <f>IFERROR(__xludf.DUMMYFUNCTION("GOOGLETRANSLATE(B433,""id"",""en"")"),"['What's', 'Telkomsel', 'then', 'pig']")</f>
        <v>['What's', 'Telkomsel', 'then', 'pig']</v>
      </c>
      <c r="D433" s="3">
        <v>1.0</v>
      </c>
    </row>
    <row r="434" ht="15.75" customHeight="1">
      <c r="A434" s="1">
        <v>462.0</v>
      </c>
      <c r="B434" s="3" t="s">
        <v>430</v>
      </c>
      <c r="C434" s="3" t="str">
        <f>IFERROR(__xludf.DUMMYFUNCTION("GOOGLETRANSLATE(B434,""id"",""en"")"),"['Internet', 'Bad', 'Change', 'Guys', 'Card', 'Telkomsel', 'Bad', 'Network', 'Paketan', 'Mahak']")</f>
        <v>['Internet', 'Bad', 'Change', 'Guys', 'Card', 'Telkomsel', 'Bad', 'Network', 'Paketan', 'Mahak']</v>
      </c>
      <c r="D434" s="3">
        <v>1.0</v>
      </c>
    </row>
    <row r="435" ht="15.75" customHeight="1">
      <c r="A435" s="1">
        <v>463.0</v>
      </c>
      <c r="B435" s="3" t="s">
        <v>431</v>
      </c>
      <c r="C435" s="3" t="str">
        <f>IFERROR(__xludf.DUMMYFUNCTION("GOOGLETRANSLATE(B435,""id"",""en"")"),"['Star', 'Karna', 'Sanangt', 'Good']")</f>
        <v>['Star', 'Karna', 'Sanangt', 'Good']</v>
      </c>
      <c r="D435" s="3">
        <v>5.0</v>
      </c>
    </row>
    <row r="436" ht="15.75" customHeight="1">
      <c r="A436" s="1">
        <v>464.0</v>
      </c>
      <c r="B436" s="3" t="s">
        <v>432</v>
      </c>
      <c r="C436" s="3" t="str">
        <f>IFERROR(__xludf.DUMMYFUNCTION("GOOGLETRANSLATE(B436,""id"",""en"")"),"['package', 'expensive', 'signal', 'bad', 'please', 'Telkomsel', 'signal', 'bad', 'mulu']")</f>
        <v>['package', 'expensive', 'signal', 'bad', 'please', 'Telkomsel', 'signal', 'bad', 'mulu']</v>
      </c>
      <c r="D436" s="3">
        <v>1.0</v>
      </c>
    </row>
    <row r="437" ht="15.75" customHeight="1">
      <c r="A437" s="1">
        <v>465.0</v>
      </c>
      <c r="B437" s="3" t="s">
        <v>433</v>
      </c>
      <c r="C437" s="3" t="str">
        <f>IFERROR(__xludf.DUMMYFUNCTION("GOOGLETRANSLATE(B437,""id"",""en"")"),"['Network', 'ugly', 'stay', 'city', 'play', 'game', 'disturbed', 'card', 'card', 'good', 'Telkomsel', 'blog', ' ']")</f>
        <v>['Network', 'ugly', 'stay', 'city', 'play', 'game', 'disturbed', 'card', 'card', 'good', 'Telkomsel', 'blog', ' ']</v>
      </c>
      <c r="D437" s="3">
        <v>1.0</v>
      </c>
    </row>
    <row r="438" ht="15.75" customHeight="1">
      <c r="A438" s="1">
        <v>466.0</v>
      </c>
      <c r="B438" s="3" t="s">
        <v>434</v>
      </c>
      <c r="C438" s="3" t="str">
        <f>IFERROR(__xludf.DUMMYFUNCTION("GOOGLETRANSLATE(B438,""id"",""en"")"),"['Sis', 'how', 'code', 'OTP', 'enter', 'Gmail']")</f>
        <v>['Sis', 'how', 'code', 'OTP', 'enter', 'Gmail']</v>
      </c>
      <c r="D438" s="3">
        <v>1.0</v>
      </c>
    </row>
    <row r="439" ht="15.75" customHeight="1">
      <c r="A439" s="1">
        <v>467.0</v>
      </c>
      <c r="B439" s="3" t="s">
        <v>435</v>
      </c>
      <c r="C439" s="3" t="str">
        <f>IFERROR(__xludf.DUMMYFUNCTION("GOOGLETRANSLATE(B439,""id"",""en"")"),"['card', 'prime', 'now', 'that's',' includes', 'tsel', 'cut', 'pulse', 'truncated', 'disappointed', 'contents',' pulses', ' BLM ',' Karna ',' quota ',' tip ',' pulse ',' uda ',' disappear ',' ngak ',' kmna ', ""]")</f>
        <v>['card', 'prime', 'now', 'that's',' includes', 'tsel', 'cut', 'pulse', 'truncated', 'disappointed', 'contents',' pulses', ' BLM ',' Karna ',' quota ',' tip ',' pulse ',' uda ',' disappear ',' ngak ',' kmna ', "]</v>
      </c>
      <c r="D439" s="3">
        <v>1.0</v>
      </c>
    </row>
    <row r="440" ht="15.75" customHeight="1">
      <c r="A440" s="1">
        <v>468.0</v>
      </c>
      <c r="B440" s="3" t="s">
        <v>436</v>
      </c>
      <c r="C440" s="3" t="str">
        <f>IFERROR(__xludf.DUMMYFUNCTION("GOOGLETRANSLATE(B440,""id"",""en"")"),"['Not bad', 'good', 'accurate']")</f>
        <v>['Not bad', 'good', 'accurate']</v>
      </c>
      <c r="D440" s="3">
        <v>4.0</v>
      </c>
    </row>
    <row r="441" ht="15.75" customHeight="1">
      <c r="A441" s="1">
        <v>469.0</v>
      </c>
      <c r="B441" s="3" t="s">
        <v>437</v>
      </c>
      <c r="C441" s="3" t="str">
        <f>IFERROR(__xludf.DUMMYFUNCTION("GOOGLETRANSLATE(B441,""id"",""en"")"),"['Blum', 'buy', 'card', 'Telkomsel', 'Mending', 'ngak', 'USA', 'buy', 'card', 'regret', 'slow', 'forgiveness',' Mending ',' Pinda ',' card ',' another ']")</f>
        <v>['Blum', 'buy', 'card', 'Telkomsel', 'Mending', 'ngak', 'USA', 'buy', 'card', 'regret', 'slow', 'forgiveness',' Mending ',' Pinda ',' card ',' another ']</v>
      </c>
      <c r="D441" s="3">
        <v>1.0</v>
      </c>
    </row>
    <row r="442" ht="15.75" customHeight="1">
      <c r="A442" s="1">
        <v>470.0</v>
      </c>
      <c r="B442" s="3" t="s">
        <v>438</v>
      </c>
      <c r="C442" s="3" t="str">
        <f>IFERROR(__xludf.DUMMYFUNCTION("GOOGLETRANSLATE(B442,""id"",""en"")"),"['Package', 'Changed', 'Change', 'Continuous', 'Consistent']")</f>
        <v>['Package', 'Changed', 'Change', 'Continuous', 'Consistent']</v>
      </c>
      <c r="D442" s="3">
        <v>2.0</v>
      </c>
    </row>
    <row r="443" ht="15.75" customHeight="1">
      <c r="A443" s="1">
        <v>471.0</v>
      </c>
      <c r="B443" s="3" t="s">
        <v>439</v>
      </c>
      <c r="C443" s="3" t="str">
        <f>IFERROR(__xludf.DUMMYFUNCTION("GOOGLETRANSLATE(B443,""id"",""en"")"),"['Hopefully', 'help']")</f>
        <v>['Hopefully', 'help']</v>
      </c>
      <c r="D443" s="3">
        <v>4.0</v>
      </c>
    </row>
    <row r="444" ht="15.75" customHeight="1">
      <c r="A444" s="1">
        <v>472.0</v>
      </c>
      <c r="B444" s="3" t="s">
        <v>440</v>
      </c>
      <c r="C444" s="3" t="str">
        <f>IFERROR(__xludf.DUMMYFUNCTION("GOOGLETRANSLATE(B444,""id"",""en"")"),"['knapa', 'piece', 'pulse']")</f>
        <v>['knapa', 'piece', 'pulse']</v>
      </c>
      <c r="D444" s="3">
        <v>1.0</v>
      </c>
    </row>
    <row r="445" ht="15.75" customHeight="1">
      <c r="A445" s="1">
        <v>473.0</v>
      </c>
      <c r="B445" s="3" t="s">
        <v>441</v>
      </c>
      <c r="C445" s="3" t="str">
        <f>IFERROR(__xludf.DUMMYFUNCTION("GOOGLETRANSLATE(B445,""id"",""en"")"),"['Help', 'Save']")</f>
        <v>['Help', 'Save']</v>
      </c>
      <c r="D445" s="3">
        <v>5.0</v>
      </c>
    </row>
    <row r="446" ht="15.75" customHeight="1">
      <c r="A446" s="1">
        <v>474.0</v>
      </c>
      <c r="B446" s="3" t="s">
        <v>442</v>
      </c>
      <c r="C446" s="3" t="str">
        <f>IFERROR(__xludf.DUMMYFUNCTION("GOOGLETRANSLATE(B446,""id"",""en"")"),"['Good', 'card', 'Telkomsel', 'signal', 'severe', 'open', 'game', 'MLBB', 'fishing rod', 'wifi']")</f>
        <v>['Good', 'card', 'Telkomsel', 'signal', 'severe', 'open', 'game', 'MLBB', 'fishing rod', 'wifi']</v>
      </c>
      <c r="D446" s="3">
        <v>3.0</v>
      </c>
    </row>
    <row r="447" ht="15.75" customHeight="1">
      <c r="A447" s="1">
        <v>476.0</v>
      </c>
      <c r="B447" s="3" t="s">
        <v>443</v>
      </c>
      <c r="C447" s="3" t="str">
        <f>IFERROR(__xludf.DUMMYFUNCTION("GOOGLETRANSLATE(B447,""id"",""en"")"),"['Good', 'promo', 'interesting', 'other']")</f>
        <v>['Good', 'promo', 'interesting', 'other']</v>
      </c>
      <c r="D447" s="3">
        <v>5.0</v>
      </c>
    </row>
    <row r="448" ht="15.75" customHeight="1">
      <c r="A448" s="1">
        <v>477.0</v>
      </c>
      <c r="B448" s="3" t="s">
        <v>444</v>
      </c>
      <c r="C448" s="3" t="str">
        <f>IFERROR(__xludf.DUMMYFUNCTION("GOOGLETRANSLATE(B448,""id"",""en"")"),"['PKE', 'Telkomsel', 'signal', 'cave', 'jlek', 'mnta', 'forgiveness',' pdhal ',' bkn ',' area ',' mountain ',' mount ',' The KT ',' JRINGAN ',' Widest ',' Tipu ']")</f>
        <v>['PKE', 'Telkomsel', 'signal', 'cave', 'jlek', 'mnta', 'forgiveness',' pdhal ',' bkn ',' area ',' mountain ',' mount ',' The KT ',' JRINGAN ',' Widest ',' Tipu ']</v>
      </c>
      <c r="D448" s="3">
        <v>1.0</v>
      </c>
    </row>
    <row r="449" ht="15.75" customHeight="1">
      <c r="A449" s="1">
        <v>478.0</v>
      </c>
      <c r="B449" s="3" t="s">
        <v>445</v>
      </c>
      <c r="C449" s="3" t="str">
        <f>IFERROR(__xludf.DUMMYFUNCTION("GOOGLETRANSLATE(B449,""id"",""en"")"),"['Telkomsel', 'network', 'smooth', 'Jaya', 'rich', 'gini', 'replace', 'card', 'please', 'fix', 'network', 'difficult', ' Internet ',' ']")</f>
        <v>['Telkomsel', 'network', 'smooth', 'Jaya', 'rich', 'gini', 'replace', 'card', 'please', 'fix', 'network', 'difficult', ' Internet ',' ']</v>
      </c>
      <c r="D449" s="3">
        <v>1.0</v>
      </c>
    </row>
    <row r="450" ht="15.75" customHeight="1">
      <c r="A450" s="1">
        <v>479.0</v>
      </c>
      <c r="B450" s="3" t="s">
        <v>446</v>
      </c>
      <c r="C450" s="3" t="str">
        <f>IFERROR(__xludf.DUMMYFUNCTION("GOOGLETRANSLATE(B450,""id"",""en"")"),"['thank', 'love', 'Telkomsel', '']")</f>
        <v>['thank', 'love', 'Telkomsel', '']</v>
      </c>
      <c r="D450" s="3">
        <v>5.0</v>
      </c>
    </row>
    <row r="451" ht="15.75" customHeight="1">
      <c r="A451" s="1">
        <v>480.0</v>
      </c>
      <c r="B451" s="3" t="s">
        <v>447</v>
      </c>
      <c r="C451" s="3" t="str">
        <f>IFERROR(__xludf.DUMMYFUNCTION("GOOGLETRANSLATE(B451,""id"",""en"")"),"['application', 'play', 'game', 'tasty', 'right', 'enemy', 'ngelag', 'right', 'belik', 'package', 'gini', 'since' Pakek ',' application ',' signal ',' sya ']")</f>
        <v>['application', 'play', 'game', 'tasty', 'right', 'enemy', 'ngelag', 'right', 'belik', 'package', 'gini', 'since' Pakek ',' application ',' signal ',' sya ']</v>
      </c>
      <c r="D451" s="3">
        <v>1.0</v>
      </c>
    </row>
    <row r="452" ht="15.75" customHeight="1">
      <c r="A452" s="1">
        <v>481.0</v>
      </c>
      <c r="B452" s="3" t="s">
        <v>448</v>
      </c>
      <c r="C452" s="3" t="str">
        <f>IFERROR(__xludf.DUMMYFUNCTION("GOOGLETRANSLATE(B452,""id"",""en"")"),"['application', 'good', 'makes it easy', 'transact', 'package', 'love', 'cheap', 'hehee']")</f>
        <v>['application', 'good', 'makes it easy', 'transact', 'package', 'love', 'cheap', 'hehee']</v>
      </c>
      <c r="D452" s="3">
        <v>4.0</v>
      </c>
    </row>
    <row r="453" ht="15.75" customHeight="1">
      <c r="A453" s="1">
        <v>482.0</v>
      </c>
      <c r="B453" s="3" t="s">
        <v>449</v>
      </c>
      <c r="C453" s="3" t="str">
        <f>IFERROR(__xludf.DUMMYFUNCTION("GOOGLETRANSLATE(B453,""id"",""en"")"),"['Severe', 'Telkomsel', '']")</f>
        <v>['Severe', 'Telkomsel', '']</v>
      </c>
      <c r="D453" s="3">
        <v>1.0</v>
      </c>
    </row>
    <row r="454" ht="15.75" customHeight="1">
      <c r="A454" s="1">
        <v>484.0</v>
      </c>
      <c r="B454" s="3" t="s">
        <v>450</v>
      </c>
      <c r="C454" s="3" t="str">
        <f>IFERROR(__xludf.DUMMYFUNCTION("GOOGLETRANSLATE(B454,""id"",""en"")"),"['Telkomsel', 'Best', ""]")</f>
        <v>['Telkomsel', 'Best', "]</v>
      </c>
      <c r="D454" s="3">
        <v>5.0</v>
      </c>
    </row>
    <row r="455" ht="15.75" customHeight="1">
      <c r="A455" s="1">
        <v>485.0</v>
      </c>
      <c r="B455" s="3" t="s">
        <v>451</v>
      </c>
      <c r="C455" s="3" t="str">
        <f>IFERROR(__xludf.DUMMYFUNCTION("GOOGLETRANSLATE(B455,""id"",""en"")"),"['Not bad', 'good', 'APK']")</f>
        <v>['Not bad', 'good', 'APK']</v>
      </c>
      <c r="D455" s="3">
        <v>4.0</v>
      </c>
    </row>
    <row r="456" ht="15.75" customHeight="1">
      <c r="A456" s="1">
        <v>486.0</v>
      </c>
      <c r="B456" s="3" t="s">
        <v>452</v>
      </c>
      <c r="C456" s="3" t="str">
        <f>IFERROR(__xludf.DUMMYFUNCTION("GOOGLETRANSLATE(B456,""id"",""en"")"),"['hope', 'prize', '']")</f>
        <v>['hope', 'prize', '']</v>
      </c>
      <c r="D456" s="3">
        <v>5.0</v>
      </c>
    </row>
    <row r="457" ht="15.75" customHeight="1">
      <c r="A457" s="1">
        <v>487.0</v>
      </c>
      <c r="B457" s="3" t="s">
        <v>137</v>
      </c>
      <c r="C457" s="3" t="str">
        <f>IFERROR(__xludf.DUMMYFUNCTION("GOOGLETRANSLATE(B457,""id"",""en"")"),"Of course")</f>
        <v>Of course</v>
      </c>
      <c r="D457" s="3">
        <v>5.0</v>
      </c>
    </row>
    <row r="458" ht="15.75" customHeight="1">
      <c r="A458" s="1">
        <v>488.0</v>
      </c>
      <c r="B458" s="3" t="s">
        <v>453</v>
      </c>
      <c r="C458" s="3" t="str">
        <f>IFERROR(__xludf.DUMMYFUNCTION("GOOGLETRANSLATE(B458,""id"",""en"")"),"['Offer', 'cheap', 'cheap']")</f>
        <v>['Offer', 'cheap', 'cheap']</v>
      </c>
      <c r="D458" s="3">
        <v>5.0</v>
      </c>
    </row>
    <row r="459" ht="15.75" customHeight="1">
      <c r="A459" s="1">
        <v>489.0</v>
      </c>
      <c r="B459" s="3" t="s">
        <v>454</v>
      </c>
      <c r="C459" s="3" t="str">
        <f>IFERROR(__xludf.DUMMYFUNCTION("GOOGLETRANSLATE(B459,""id"",""en"")"),"['Good', 'cheap']")</f>
        <v>['Good', 'cheap']</v>
      </c>
      <c r="D459" s="3">
        <v>5.0</v>
      </c>
    </row>
    <row r="460" ht="15.75" customHeight="1">
      <c r="A460" s="1">
        <v>490.0</v>
      </c>
      <c r="B460" s="3" t="s">
        <v>455</v>
      </c>
      <c r="C460" s="3" t="str">
        <f>IFERROR(__xludf.DUMMYFUNCTION("GOOGLETRANSLATE(B460,""id"",""en"")"),"['Telkomsel', 'defective', 'turn', 'buy', 'package', 'quota', 'main', 'signal', 'ngelag', 'behaved', 'forgiveness',' cok ',' Nge ',' Game ',' ping it ',' Come on ',' Telkomsel ',' Increases', 'Strength', 'Network', 'Promotion', 'Mulu', 'BANGKE', 'Fix', 'N"&amp;"etwork' , 'love', 'star', 'deh']")</f>
        <v>['Telkomsel', 'defective', 'turn', 'buy', 'package', 'quota', 'main', 'signal', 'ngelag', 'behaved', 'forgiveness',' cok ',' Nge ',' Game ',' ping it ',' Come on ',' Telkomsel ',' Increases', 'Strength', 'Network', 'Promotion', 'Mulu', 'BANGKE', 'Fix', 'Network' , 'love', 'star', 'deh']</v>
      </c>
      <c r="D460" s="3">
        <v>1.0</v>
      </c>
    </row>
    <row r="461" ht="15.75" customHeight="1">
      <c r="A461" s="1">
        <v>491.0</v>
      </c>
      <c r="B461" s="3" t="s">
        <v>456</v>
      </c>
      <c r="C461" s="3" t="str">
        <f>IFERROR(__xludf.DUMMYFUNCTION("GOOGLETRANSLATE(B461,""id"",""en"")"),"['down', 'server', 'area', 'responsible', 'awen', 'village', 'brabo', 'padang', 'sell', 'expellent', 'disappointing', 'situ', ' Operators', 'people', 'females',' fix ',' Tuu ',' it's up ']")</f>
        <v>['down', 'server', 'area', 'responsible', 'awen', 'village', 'brabo', 'padang', 'sell', 'expellent', 'disappointing', 'situ', ' Operators', 'people', 'females',' fix ',' Tuu ',' it's up ']</v>
      </c>
      <c r="D461" s="3">
        <v>1.0</v>
      </c>
    </row>
    <row r="462" ht="15.75" customHeight="1">
      <c r="A462" s="1">
        <v>492.0</v>
      </c>
      <c r="B462" s="3" t="s">
        <v>457</v>
      </c>
      <c r="C462" s="3" t="str">
        <f>IFERROR(__xludf.DUMMYFUNCTION("GOOGLETRANSLATE(B462,""id"",""en"")"),"['klw', 'cheap', 'price', 'package', 'call']")</f>
        <v>['klw', 'cheap', 'price', 'package', 'call']</v>
      </c>
      <c r="D462" s="3">
        <v>5.0</v>
      </c>
    </row>
    <row r="463" ht="15.75" customHeight="1">
      <c r="A463" s="1">
        <v>493.0</v>
      </c>
      <c r="B463" s="3" t="s">
        <v>458</v>
      </c>
      <c r="C463" s="3" t="str">
        <f>IFERROR(__xludf.DUMMYFUNCTION("GOOGLETRANSLATE(B463,""id"",""en"")"),"['Date', 'KTober', 'signal', 'worst', 'clock', ""]")</f>
        <v>['Date', 'KTober', 'signal', 'worst', 'clock', "]</v>
      </c>
      <c r="D463" s="3">
        <v>1.0</v>
      </c>
    </row>
    <row r="464" ht="15.75" customHeight="1">
      <c r="A464" s="1">
        <v>494.0</v>
      </c>
      <c r="B464" s="3" t="s">
        <v>459</v>
      </c>
      <c r="C464" s="3" t="str">
        <f>IFERROR(__xludf.DUMMYFUNCTION("GOOGLETRANSLATE(B464,""id"",""en"")"),"['pepahhhhhhhhhhhhhhhh', 'package', 'lapse', 'youtube', 'notif', 'enter', 'quota', 'zero', 'loss',' bandar ',' sent ',' gift ',' Package ',' repeated ']")</f>
        <v>['pepahhhhhhhhhhhhhhhh', 'package', 'lapse', 'youtube', 'notif', 'enter', 'quota', 'zero', 'loss',' bandar ',' sent ',' gift ',' Package ',' repeated ']</v>
      </c>
      <c r="D464" s="3">
        <v>1.0</v>
      </c>
    </row>
    <row r="465" ht="15.75" customHeight="1">
      <c r="A465" s="1">
        <v>495.0</v>
      </c>
      <c r="B465" s="3" t="s">
        <v>460</v>
      </c>
      <c r="C465" s="3" t="str">
        <f>IFERROR(__xludf.DUMMYFUNCTION("GOOGLETRANSLATE(B465,""id"",""en"")"),"['Package', 'internet', 'price', 'pursued']")</f>
        <v>['Package', 'internet', 'price', 'pursued']</v>
      </c>
      <c r="D465" s="3">
        <v>5.0</v>
      </c>
    </row>
    <row r="466" ht="15.75" customHeight="1">
      <c r="A466" s="1">
        <v>496.0</v>
      </c>
      <c r="B466" s="3" t="s">
        <v>461</v>
      </c>
      <c r="C466" s="3" t="str">
        <f>IFERROR(__xludf.DUMMYFUNCTION("GOOGLETRANSLATE(B466,""id"",""en"")"),"['Association', 'friend']")</f>
        <v>['Association', 'friend']</v>
      </c>
      <c r="D466" s="3">
        <v>5.0</v>
      </c>
    </row>
    <row r="467" ht="15.75" customHeight="1">
      <c r="A467" s="1">
        <v>497.0</v>
      </c>
      <c r="B467" s="3" t="s">
        <v>462</v>
      </c>
      <c r="C467" s="3" t="str">
        <f>IFERROR(__xludf.DUMMYFUNCTION("GOOGLETRANSLATE(B467,""id"",""en"")"),"['Play', 'Push', 'Rank', 'Signal', 'Down', 'Anjay', 'Please', 'Fix', 'Network']")</f>
        <v>['Play', 'Push', 'Rank', 'Signal', 'Down', 'Anjay', 'Please', 'Fix', 'Network']</v>
      </c>
      <c r="D467" s="3">
        <v>1.0</v>
      </c>
    </row>
    <row r="468" ht="15.75" customHeight="1">
      <c r="A468" s="1">
        <v>498.0</v>
      </c>
      <c r="B468" s="3" t="s">
        <v>164</v>
      </c>
      <c r="C468" s="3" t="str">
        <f>IFERROR(__xludf.DUMMYFUNCTION("GOOGLETRANSLATE(B468,""id"",""en"")"),"['Good', 'Useful']")</f>
        <v>['Good', 'Useful']</v>
      </c>
      <c r="D468" s="3">
        <v>5.0</v>
      </c>
    </row>
    <row r="469" ht="15.75" customHeight="1">
      <c r="A469" s="1">
        <v>499.0</v>
      </c>
      <c r="B469" s="3" t="s">
        <v>463</v>
      </c>
      <c r="C469" s="3" t="str">
        <f>IFERROR(__xludf.DUMMYFUNCTION("GOOGLETRANSLATE(B469,""id"",""en"")"),"['thanks', 'application', 'transaction', 'easy']")</f>
        <v>['thanks', 'application', 'transaction', 'easy']</v>
      </c>
      <c r="D469" s="3">
        <v>5.0</v>
      </c>
    </row>
    <row r="470" ht="15.75" customHeight="1">
      <c r="A470" s="1">
        <v>500.0</v>
      </c>
      <c r="B470" s="3" t="s">
        <v>464</v>
      </c>
      <c r="C470" s="3" t="str">
        <f>IFERROR(__xludf.DUMMYFUNCTION("GOOGLETRANSLATE(B470,""id"",""en"")"),"['Telkomsel', 'steady', 'network', '']")</f>
        <v>['Telkomsel', 'steady', 'network', '']</v>
      </c>
      <c r="D470" s="3">
        <v>3.0</v>
      </c>
    </row>
    <row r="471" ht="15.75" customHeight="1">
      <c r="A471" s="1">
        <v>501.0</v>
      </c>
      <c r="B471" s="3" t="s">
        <v>465</v>
      </c>
      <c r="C471" s="3" t="str">
        <f>IFERROR(__xludf.DUMMYFUNCTION("GOOGLETRANSLATE(B471,""id"",""en"")"),"['shy', 'shame', 'Telkomsel', 'slow', 'severe', 'friend', 'me', 'signal', 'use', 'card', 'me', 'bandingin', ' Speed ​​',' fast ',' shy ',' network ',' above ',' TPI ',' Speed ​​',' Mending ',' Disband ',' Telkomsel ',' Waiter ',' Kyak ',' Taik ' , '']")</f>
        <v>['shy', 'shame', 'Telkomsel', 'slow', 'severe', 'friend', 'me', 'signal', 'use', 'card', 'me', 'bandingin', ' Speed ​​',' fast ',' shy ',' network ',' above ',' TPI ',' Speed ​​',' Mending ',' Disband ',' Telkomsel ',' Waiter ',' Kyak ',' Taik ' , '']</v>
      </c>
      <c r="D471" s="3">
        <v>1.0</v>
      </c>
    </row>
    <row r="472" ht="15.75" customHeight="1">
      <c r="A472" s="1">
        <v>502.0</v>
      </c>
      <c r="B472" s="3" t="s">
        <v>466</v>
      </c>
      <c r="C472" s="3" t="str">
        <f>IFERROR(__xludf.DUMMYFUNCTION("GOOGLETRANSLATE(B472,""id"",""en"")"),"['Package', 'Telkomsel', 'expensive', 'kasikan', 'option', 'price', 'community', 'medium', 'promo', 'package']")</f>
        <v>['Package', 'Telkomsel', 'expensive', 'kasikan', 'option', 'price', 'community', 'medium', 'promo', 'package']</v>
      </c>
      <c r="D472" s="3">
        <v>1.0</v>
      </c>
    </row>
    <row r="473" ht="15.75" customHeight="1">
      <c r="A473" s="1">
        <v>503.0</v>
      </c>
      <c r="B473" s="3" t="s">
        <v>467</v>
      </c>
      <c r="C473" s="3" t="str">
        <f>IFERROR(__xludf.DUMMYFUNCTION("GOOGLETRANSLATE(B473,""id"",""en"")"),"['Application', 'Not bad', 'Good']")</f>
        <v>['Application', 'Not bad', 'Good']</v>
      </c>
      <c r="D473" s="3">
        <v>4.0</v>
      </c>
    </row>
    <row r="474" ht="15.75" customHeight="1">
      <c r="A474" s="1">
        <v>504.0</v>
      </c>
      <c r="B474" s="3" t="s">
        <v>468</v>
      </c>
      <c r="C474" s="3" t="str">
        <f>IFERROR(__xludf.DUMMYFUNCTION("GOOGLETRANSLATE(B474,""id"",""en"")"),"['network', 'Sometimes', 'sometimes', 'good', 'sometimes', 'sometimes', 'ugly']")</f>
        <v>['network', 'Sometimes', 'sometimes', 'good', 'sometimes', 'sometimes', 'ugly']</v>
      </c>
      <c r="D474" s="3">
        <v>5.0</v>
      </c>
    </row>
    <row r="475" ht="15.75" customHeight="1">
      <c r="A475" s="1">
        <v>505.0</v>
      </c>
      <c r="B475" s="3" t="s">
        <v>469</v>
      </c>
      <c r="C475" s="3" t="str">
        <f>IFERROR(__xludf.DUMMYFUNCTION("GOOGLETRANSLATE(B475,""id"",""en"")"),"['Basic', 'Thieves',' People ',' Fill ',' Credit ',' Rb ',' Minutes', 'Stay', 'RB', 'Direct', 'Lahap', 'Telkomsel', ' "", 'really', 'the application', '']")</f>
        <v>['Basic', 'Thieves',' People ',' Fill ',' Credit ',' Rb ',' Minutes', 'Stay', 'RB', 'Direct', 'Lahap', 'Telkomsel', ' ", 'really', 'the application', '']</v>
      </c>
      <c r="D475" s="3">
        <v>1.0</v>
      </c>
    </row>
    <row r="476" ht="15.75" customHeight="1">
      <c r="A476" s="1">
        <v>506.0</v>
      </c>
      <c r="B476" s="3" t="s">
        <v>470</v>
      </c>
      <c r="C476" s="3" t="str">
        <f>IFERROR(__xludf.DUMMYFUNCTION("GOOGLETRANSLATE(B476,""id"",""en"")"),"['Delevoper', 'MyTelkomsel', 'Main', 'Game', 'Example', 'Roblox', 'Enter', 'repaired', ""]")</f>
        <v>['Delevoper', 'MyTelkomsel', 'Main', 'Game', 'Example', 'Roblox', 'Enter', 'repaired', "]</v>
      </c>
      <c r="D476" s="3">
        <v>5.0</v>
      </c>
    </row>
    <row r="477" ht="15.75" customHeight="1">
      <c r="A477" s="1">
        <v>507.0</v>
      </c>
      <c r="B477" s="3" t="s">
        <v>471</v>
      </c>
      <c r="C477" s="3" t="str">
        <f>IFERROR(__xludf.DUMMYFUNCTION("GOOGLETRANSLATE(B477,""id"",""en"")"),"['Star', 'Telkomsel', 'Riau', 'slow']")</f>
        <v>['Star', 'Telkomsel', 'Riau', 'slow']</v>
      </c>
      <c r="D477" s="3">
        <v>1.0</v>
      </c>
    </row>
    <row r="478" ht="15.75" customHeight="1">
      <c r="A478" s="1">
        <v>508.0</v>
      </c>
      <c r="B478" s="3" t="s">
        <v>472</v>
      </c>
      <c r="C478" s="3" t="str">
        <f>IFERROR(__xludf.DUMMYFUNCTION("GOOGLETRANSLATE(B478,""id"",""en"")"),"['Help', 'Bagus']")</f>
        <v>['Help', 'Bagus']</v>
      </c>
      <c r="D478" s="3">
        <v>5.0</v>
      </c>
    </row>
    <row r="479" ht="15.75" customHeight="1">
      <c r="A479" s="1">
        <v>509.0</v>
      </c>
      <c r="B479" s="3" t="s">
        <v>473</v>
      </c>
      <c r="C479" s="3" t="str">
        <f>IFERROR(__xludf.DUMMYFUNCTION("GOOGLETRANSLATE(B479,""id"",""en"")"),"['Application', 'Sangay', 'Good']")</f>
        <v>['Application', 'Sangay', 'Good']</v>
      </c>
      <c r="D479" s="3">
        <v>5.0</v>
      </c>
    </row>
    <row r="480" ht="15.75" customHeight="1">
      <c r="A480" s="1">
        <v>510.0</v>
      </c>
      <c r="B480" s="3" t="s">
        <v>474</v>
      </c>
      <c r="C480" s="3" t="str">
        <f>IFERROR(__xludf.DUMMYFUNCTION("GOOGLETRANSLATE(B480,""id"",""en"")"),"['buy', 'data', 'pulse', 'easy', '']")</f>
        <v>['buy', 'data', 'pulse', 'easy', '']</v>
      </c>
      <c r="D480" s="3">
        <v>5.0</v>
      </c>
    </row>
    <row r="481" ht="15.75" customHeight="1">
      <c r="A481" s="1">
        <v>511.0</v>
      </c>
      <c r="B481" s="3" t="s">
        <v>475</v>
      </c>
      <c r="C481" s="3" t="str">
        <f>IFERROR(__xludf.DUMMYFUNCTION("GOOGLETRANSLATE(B481,""id"",""en"")"),"['Make', 'Paketan', 'Card', 'Telkomsel', 'Mending', 'Thinking', 'Disappointed', 'Raying', 'Network', 'Bad', 'Like', 'ilang', ' Nilagan ',' like ',' sucked ',' pulse ',' kmana ',' ilangnya ',' ok ',' bngsttttt ',' ']")</f>
        <v>['Make', 'Paketan', 'Card', 'Telkomsel', 'Mending', 'Thinking', 'Disappointed', 'Raying', 'Network', 'Bad', 'Like', 'ilang', ' Nilagan ',' like ',' sucked ',' pulse ',' kmana ',' ilangnya ',' ok ',' bngsttttt ',' ']</v>
      </c>
      <c r="D481" s="3">
        <v>1.0</v>
      </c>
    </row>
    <row r="482" ht="15.75" customHeight="1">
      <c r="A482" s="1">
        <v>512.0</v>
      </c>
      <c r="B482" s="3" t="s">
        <v>476</v>
      </c>
      <c r="C482" s="3" t="str">
        <f>IFERROR(__xludf.DUMMYFUNCTION("GOOGLETRANSLATE(B482,""id"",""en"")"),"['The network', 'ugly']")</f>
        <v>['The network', 'ugly']</v>
      </c>
      <c r="D482" s="3">
        <v>5.0</v>
      </c>
    </row>
    <row r="483" ht="15.75" customHeight="1">
      <c r="A483" s="1">
        <v>513.0</v>
      </c>
      <c r="B483" s="3" t="s">
        <v>477</v>
      </c>
      <c r="C483" s="3" t="str">
        <f>IFERROR(__xludf.DUMMYFUNCTION("GOOGLETRANSLATE(B483,""id"",""en"")"),"['Satisfied', 'Telkomsel', 'Where', 'Activity', 'Network', 'Best', ""]")</f>
        <v>['Satisfied', 'Telkomsel', 'Where', 'Activity', 'Network', 'Best', "]</v>
      </c>
      <c r="D483" s="3">
        <v>4.0</v>
      </c>
    </row>
    <row r="484" ht="15.75" customHeight="1">
      <c r="A484" s="1">
        <v>514.0</v>
      </c>
      <c r="B484" s="3" t="s">
        <v>478</v>
      </c>
      <c r="C484" s="3" t="str">
        <f>IFERROR(__xludf.DUMMYFUNCTION("GOOGLETRANSLATE(B484,""id"",""en"")"),"['Package', 'expensive']")</f>
        <v>['Package', 'expensive']</v>
      </c>
      <c r="D484" s="3">
        <v>5.0</v>
      </c>
    </row>
    <row r="485" ht="15.75" customHeight="1">
      <c r="A485" s="1">
        <v>515.0</v>
      </c>
      <c r="B485" s="3" t="s">
        <v>479</v>
      </c>
      <c r="C485" s="3" t="str">
        <f>IFERROR(__xludf.DUMMYFUNCTION("GOOGLETRANSLATE(B485,""id"",""en"")"),"['process', 'bonus', 'equalized', 'card', 'modem', 'orbit', 'pass']")</f>
        <v>['process', 'bonus', 'equalized', 'card', 'modem', 'orbit', 'pass']</v>
      </c>
      <c r="D485" s="3">
        <v>4.0</v>
      </c>
    </row>
    <row r="486" ht="15.75" customHeight="1">
      <c r="A486" s="1">
        <v>516.0</v>
      </c>
      <c r="B486" s="3" t="s">
        <v>480</v>
      </c>
      <c r="C486" s="3" t="str">
        <f>IFERROR(__xludf.DUMMYFUNCTION("GOOGLETRANSLATE(B486,""id"",""en"")"),"['cewa', 'Telkomsel', 'AHIR', 'AHIR', 'Signal', 'Kayak', 'Taiikkk', ""]")</f>
        <v>['cewa', 'Telkomsel', 'AHIR', 'AHIR', 'Signal', 'Kayak', 'Taiikkk', "]</v>
      </c>
      <c r="D486" s="3">
        <v>1.0</v>
      </c>
    </row>
    <row r="487" ht="15.75" customHeight="1">
      <c r="A487" s="1">
        <v>517.0</v>
      </c>
      <c r="B487" s="3" t="s">
        <v>481</v>
      </c>
      <c r="C487" s="3" t="str">
        <f>IFERROR(__xludf.DUMMYFUNCTION("GOOGLETRANSLATE(B487,""id"",""en"")"),"['Network', 'Strong', 'Forest', 'City', '']")</f>
        <v>['Network', 'Strong', 'Forest', 'City', '']</v>
      </c>
      <c r="D487" s="3">
        <v>5.0</v>
      </c>
    </row>
    <row r="488" ht="15.75" customHeight="1">
      <c r="A488" s="1">
        <v>518.0</v>
      </c>
      <c r="B488" s="3" t="s">
        <v>482</v>
      </c>
      <c r="C488" s="3" t="str">
        <f>IFERROR(__xludf.DUMMYFUNCTION("GOOGLETRANSLATE(B488,""id"",""en"")"),"['The ad', 'doang', 'reach', 'remote', 'in fact', 'lined', 'difficult', 'network']")</f>
        <v>['The ad', 'doang', 'reach', 'remote', 'in fact', 'lined', 'difficult', 'network']</v>
      </c>
      <c r="D488" s="3">
        <v>1.0</v>
      </c>
    </row>
    <row r="489" ht="15.75" customHeight="1">
      <c r="A489" s="1">
        <v>519.0</v>
      </c>
      <c r="B489" s="3" t="s">
        <v>483</v>
      </c>
      <c r="C489" s="3" t="str">
        <f>IFERROR(__xludf.DUMMYFUNCTION("GOOGLETRANSLATE(B489,""id"",""en"")"),"['Mrsa', 'loss',' Stlah ',' buy ',' quota ',' combo ',' Sakti ',' Hnya ',' GB ',' used ',' leftover ',' GB ',' CMN ',' BSA ',' Social ',' Media ',' Daong ',' Open ',' Crome ',' Lemot ',' MLS ',' Buy ',' Please ',' Costumer ',' Disappointed ' , '']")</f>
        <v>['Mrsa', 'loss',' Stlah ',' buy ',' quota ',' combo ',' Sakti ',' Hnya ',' GB ',' used ',' leftover ',' GB ',' CMN ',' BSA ',' Social ',' Media ',' Daong ',' Open ',' Crome ',' Lemot ',' MLS ',' Buy ',' Please ',' Costumer ',' Disappointed ' , '']</v>
      </c>
      <c r="D489" s="3">
        <v>4.0</v>
      </c>
    </row>
    <row r="490" ht="15.75" customHeight="1">
      <c r="A490" s="1">
        <v>520.0</v>
      </c>
      <c r="B490" s="3" t="s">
        <v>484</v>
      </c>
      <c r="C490" s="3" t="str">
        <f>IFERROR(__xludf.DUMMYFUNCTION("GOOGLETRANSLATE(B490,""id"",""en"")"),"['internet', 'slow', 'contents',' package ',' contents', 'pulse', 'buy', 'package', 'reduced', 'package', 'left', 'hundreds',' The internet ',' blinking ',' credit ',' emergency ',' BBR ',' Minute ',' Teler ',' Out ',' ']")</f>
        <v>['internet', 'slow', 'contents',' package ',' contents', 'pulse', 'buy', 'package', 'reduced', 'package', 'left', 'hundreds',' The internet ',' blinking ',' credit ',' emergency ',' BBR ',' Minute ',' Teler ',' Out ',' ']</v>
      </c>
      <c r="D490" s="3">
        <v>3.0</v>
      </c>
    </row>
    <row r="491" ht="15.75" customHeight="1">
      <c r="A491" s="1">
        <v>522.0</v>
      </c>
      <c r="B491" s="3" t="s">
        <v>485</v>
      </c>
      <c r="C491" s="3" t="str">
        <f>IFERROR(__xludf.DUMMYFUNCTION("GOOGLETRANSLATE(B491,""id"",""en"")"),"['Please', 'Telkomsel', 'package', 'data', 'run out', 'olotomatic', 'connected', 'internet', 'pulses', 'whole', 'chick']")</f>
        <v>['Please', 'Telkomsel', 'package', 'data', 'run out', 'olotomatic', 'connected', 'internet', 'pulses', 'whole', 'chick']</v>
      </c>
      <c r="D491" s="3">
        <v>1.0</v>
      </c>
    </row>
    <row r="492" ht="15.75" customHeight="1">
      <c r="A492" s="1">
        <v>523.0</v>
      </c>
      <c r="B492" s="3" t="s">
        <v>486</v>
      </c>
      <c r="C492" s="3" t="str">
        <f>IFERROR(__xludf.DUMMYFUNCTION("GOOGLETRANSLATE(B492,""id"",""en"")"),"['Telkomsel', 'Certainly', 'sympathy', 'signal', 'internet', 'ugly', 'stable', 'lose', 'propider', 'price', 'affordable']")</f>
        <v>['Telkomsel', 'Certainly', 'sympathy', 'signal', 'internet', 'ugly', 'stable', 'lose', 'propider', 'price', 'affordable']</v>
      </c>
      <c r="D492" s="3">
        <v>1.0</v>
      </c>
    </row>
    <row r="493" ht="15.75" customHeight="1">
      <c r="A493" s="1">
        <v>524.0</v>
      </c>
      <c r="B493" s="3" t="s">
        <v>8</v>
      </c>
      <c r="C493" s="3" t="str">
        <f>IFERROR(__xludf.DUMMYFUNCTION("GOOGLETRANSLATE(B493,""id"",""en"")"),"['application']")</f>
        <v>['application']</v>
      </c>
      <c r="D493" s="3">
        <v>5.0</v>
      </c>
    </row>
    <row r="494" ht="15.75" customHeight="1">
      <c r="A494" s="1">
        <v>525.0</v>
      </c>
      <c r="B494" s="3" t="s">
        <v>487</v>
      </c>
      <c r="C494" s="3" t="str">
        <f>IFERROR(__xludf.DUMMYFUNCTION("GOOGLETRANSLATE(B494,""id"",""en"")"),"['It's easy', 'purchase']")</f>
        <v>['It's easy', 'purchase']</v>
      </c>
      <c r="D494" s="3">
        <v>5.0</v>
      </c>
    </row>
    <row r="495" ht="15.75" customHeight="1">
      <c r="A495" s="1">
        <v>526.0</v>
      </c>
      <c r="B495" s="3" t="s">
        <v>488</v>
      </c>
      <c r="C495" s="3" t="str">
        <f>IFERROR(__xludf.DUMMYFUNCTION("GOOGLETRANSLATE(B495,""id"",""en"")"),"['My APK', 'Good', 'Helpful']")</f>
        <v>['My APK', 'Good', 'Helpful']</v>
      </c>
      <c r="D495" s="3">
        <v>5.0</v>
      </c>
    </row>
    <row r="496" ht="15.75" customHeight="1">
      <c r="A496" s="1">
        <v>527.0</v>
      </c>
      <c r="B496" s="3" t="s">
        <v>489</v>
      </c>
      <c r="C496" s="3" t="str">
        <f>IFERROR(__xludf.DUMMYFUNCTION("GOOGLETRANSLATE(B496,""id"",""en"")"),"['Service', 'Customer', 'Service', 'Dri', 'Telkomsel', 'Pay', 'Full', 'Report', 'Responya', 'Allegant', 'Bad', ""]")</f>
        <v>['Service', 'Customer', 'Service', 'Dri', 'Telkomsel', 'Pay', 'Full', 'Report', 'Responya', 'Allegant', 'Bad', "]</v>
      </c>
      <c r="D496" s="3">
        <v>1.0</v>
      </c>
    </row>
    <row r="497" ht="15.75" customHeight="1">
      <c r="A497" s="1">
        <v>528.0</v>
      </c>
      <c r="B497" s="3" t="s">
        <v>490</v>
      </c>
      <c r="C497" s="3" t="str">
        <f>IFERROR(__xludf.DUMMYFUNCTION("GOOGLETRANSLATE(B497,""id"",""en"")"),"['The reality', 'Telkomsel', 'Adlh', 'invaders',' Negra ',' sales', 'Cast', 'ethically', 'Imagine', 'buy', 'rice', 'kg', ' cooked ',' rice ',' understand ',' ']")</f>
        <v>['The reality', 'Telkomsel', 'Adlh', 'invaders',' Negra ',' sales', 'Cast', 'ethically', 'Imagine', 'buy', 'rice', 'kg', ' cooked ',' rice ',' understand ',' ']</v>
      </c>
      <c r="D497" s="3">
        <v>1.0</v>
      </c>
    </row>
    <row r="498" ht="15.75" customHeight="1">
      <c r="A498" s="1">
        <v>530.0</v>
      </c>
      <c r="B498" s="3" t="s">
        <v>491</v>
      </c>
      <c r="C498" s="3" t="str">
        <f>IFERROR(__xludf.DUMMYFUNCTION("GOOGLETRANSLATE(B498,""id"",""en"")"),"['menu', 'easy', 'update']")</f>
        <v>['menu', 'easy', 'update']</v>
      </c>
      <c r="D498" s="3">
        <v>4.0</v>
      </c>
    </row>
    <row r="499" ht="15.75" customHeight="1">
      <c r="A499" s="1">
        <v>531.0</v>
      </c>
      <c r="B499" s="3" t="s">
        <v>492</v>
      </c>
      <c r="C499" s="3" t="str">
        <f>IFERROR(__xludf.DUMMYFUNCTION("GOOGLETRANSLATE(B499,""id"",""en"")"),"['Exchange', 'Point', '']")</f>
        <v>['Exchange', 'Point', '']</v>
      </c>
      <c r="D499" s="3">
        <v>5.0</v>
      </c>
    </row>
    <row r="500" ht="15.75" customHeight="1">
      <c r="A500" s="1">
        <v>532.0</v>
      </c>
      <c r="B500" s="3" t="s">
        <v>493</v>
      </c>
      <c r="C500" s="3" t="str">
        <f>IFERROR(__xludf.DUMMYFUNCTION("GOOGLETRANSLATE(B500,""id"",""en"")"),"['Kuoata', 'expensive', 'network', 'ugly', 'telkom']")</f>
        <v>['Kuoata', 'expensive', 'network', 'ugly', 'telkom']</v>
      </c>
      <c r="D500" s="3">
        <v>1.0</v>
      </c>
    </row>
    <row r="501" ht="15.75" customHeight="1">
      <c r="A501" s="1">
        <v>533.0</v>
      </c>
      <c r="B501" s="3" t="s">
        <v>494</v>
      </c>
      <c r="C501" s="3" t="str">
        <f>IFERROR(__xludf.DUMMYFUNCTION("GOOGLETRANSLATE(B501,""id"",""en"")"),"['app', 'help']")</f>
        <v>['app', 'help']</v>
      </c>
      <c r="D501" s="3">
        <v>5.0</v>
      </c>
    </row>
    <row r="502" ht="15.75" customHeight="1">
      <c r="A502" s="1">
        <v>534.0</v>
      </c>
      <c r="B502" s="3" t="s">
        <v>495</v>
      </c>
      <c r="C502" s="3" t="str">
        <f>IFERROR(__xludf.DUMMYFUNCTION("GOOGLETRANSLATE(B502,""id"",""en"")"),"['Increase', 'Connection', 'Stable', 'Fast', 'All', 'Area', 'Area', 'Difficult', 'Signal', ""]")</f>
        <v>['Increase', 'Connection', 'Stable', 'Fast', 'All', 'Area', 'Area', 'Difficult', 'Signal', "]</v>
      </c>
      <c r="D502" s="3">
        <v>4.0</v>
      </c>
    </row>
    <row r="503" ht="15.75" customHeight="1">
      <c r="A503" s="1">
        <v>535.0</v>
      </c>
      <c r="B503" s="3" t="s">
        <v>496</v>
      </c>
      <c r="C503" s="3" t="str">
        <f>IFERROR(__xludf.DUMMYFUNCTION("GOOGLETRANSLATE(B503,""id"",""en"")"),"['quota', 'expensive', ""]")</f>
        <v>['quota', 'expensive', "]</v>
      </c>
      <c r="D503" s="3">
        <v>1.0</v>
      </c>
    </row>
    <row r="504" ht="15.75" customHeight="1">
      <c r="A504" s="1">
        <v>536.0</v>
      </c>
      <c r="B504" s="3" t="s">
        <v>497</v>
      </c>
      <c r="C504" s="3" t="str">
        <f>IFERROR(__xludf.DUMMYFUNCTION("GOOGLETRANSLATE(B504,""id"",""en"")"),"['Please', 'Network', 'Optimized', 'Satisfied', 'Connection', 'Kalbar', 'Bengkayang', 'Like', 'Moving']")</f>
        <v>['Please', 'Network', 'Optimized', 'Satisfied', 'Connection', 'Kalbar', 'Bengkayang', 'Like', 'Moving']</v>
      </c>
      <c r="D504" s="3">
        <v>1.0</v>
      </c>
    </row>
    <row r="505" ht="15.75" customHeight="1">
      <c r="A505" s="1">
        <v>537.0</v>
      </c>
      <c r="B505" s="3" t="s">
        <v>498</v>
      </c>
      <c r="C505" s="3" t="str">
        <f>IFERROR(__xludf.DUMMYFUNCTION("GOOGLETRANSLATE(B505,""id"",""en"")"),"['Middle', '']")</f>
        <v>['Middle', '']</v>
      </c>
      <c r="D505" s="3">
        <v>3.0</v>
      </c>
    </row>
    <row r="506" ht="15.75" customHeight="1">
      <c r="A506" s="1">
        <v>538.0</v>
      </c>
      <c r="B506" s="3" t="s">
        <v>499</v>
      </c>
      <c r="C506" s="3" t="str">
        <f>IFERROR(__xludf.DUMMYFUNCTION("GOOGLETRANSLATE(B506,""id"",""en"")"),"['Update', 'Andro', 'Tetiba', 'App', 'Lost', 'Install', 'reset', ""]")</f>
        <v>['Update', 'Andro', 'Tetiba', 'App', 'Lost', 'Install', 'reset', "]</v>
      </c>
      <c r="D506" s="3">
        <v>4.0</v>
      </c>
    </row>
    <row r="507" ht="15.75" customHeight="1">
      <c r="A507" s="1">
        <v>539.0</v>
      </c>
      <c r="B507" s="3" t="s">
        <v>500</v>
      </c>
      <c r="C507" s="3" t="str">
        <f>IFERROR(__xludf.DUMMYFUNCTION("GOOGLETRANSLATE(B507,""id"",""en"")"),"['APK', 'Bagus', 'bnget', 'satisfied', 'staple']")</f>
        <v>['APK', 'Bagus', 'bnget', 'satisfied', 'staple']</v>
      </c>
      <c r="D507" s="3">
        <v>5.0</v>
      </c>
    </row>
    <row r="508" ht="15.75" customHeight="1">
      <c r="A508" s="1">
        <v>540.0</v>
      </c>
      <c r="B508" s="3" t="s">
        <v>501</v>
      </c>
      <c r="C508" s="3" t="str">
        <f>IFERROR(__xludf.DUMMYFUNCTION("GOOGLETRANSLATE(B508,""id"",""en"")"),"['hope', 'gift']")</f>
        <v>['hope', 'gift']</v>
      </c>
      <c r="D508" s="3">
        <v>5.0</v>
      </c>
    </row>
    <row r="509" ht="15.75" customHeight="1">
      <c r="A509" s="1">
        <v>541.0</v>
      </c>
      <c r="B509" s="3" t="s">
        <v>502</v>
      </c>
      <c r="C509" s="3" t="str">
        <f>IFERROR(__xludf.DUMMYFUNCTION("GOOGLETRANSLATE(B509,""id"",""en"")"),"['Good', 'easy']")</f>
        <v>['Good', 'easy']</v>
      </c>
      <c r="D509" s="3">
        <v>5.0</v>
      </c>
    </row>
    <row r="510" ht="15.75" customHeight="1">
      <c r="A510" s="1">
        <v>542.0</v>
      </c>
      <c r="B510" s="3" t="s">
        <v>503</v>
      </c>
      <c r="C510" s="3" t="str">
        <f>IFERROR(__xludf.DUMMYFUNCTION("GOOGLETRANSLATE(B510,""id"",""en"")"),"['Signal', 'fast']")</f>
        <v>['Signal', 'fast']</v>
      </c>
      <c r="D510" s="3">
        <v>5.0</v>
      </c>
    </row>
    <row r="511" ht="15.75" customHeight="1">
      <c r="A511" s="1">
        <v>543.0</v>
      </c>
      <c r="B511" s="3" t="s">
        <v>504</v>
      </c>
      <c r="C511" s="3" t="str">
        <f>IFERROR(__xludf.DUMMYFUNCTION("GOOGLETRANSLATE(B511,""id"",""en"")"),"['LEGE', 'Crazy', 'MAK', 'updated', 'opened', 'application', 'bad', 'applilasiny', '']")</f>
        <v>['LEGE', 'Crazy', 'MAK', 'updated', 'opened', 'application', 'bad', 'applilasiny', '']</v>
      </c>
      <c r="D511" s="3">
        <v>1.0</v>
      </c>
    </row>
    <row r="512" ht="15.75" customHeight="1">
      <c r="A512" s="1">
        <v>544.0</v>
      </c>
      <c r="B512" s="3" t="s">
        <v>505</v>
      </c>
      <c r="C512" s="3" t="str">
        <f>IFERROR(__xludf.DUMMYFUNCTION("GOOGLETRANSLATE(B512,""id"",""en"")"),"['How', 'Telkomsel', 'buy', 'package', 'games',' no ',' nge ',' game ',' disappointed ',' dahhh ',' already ',' no ',' Money ',' Buy ',' Package ',' Raying ',' Buy ',' Telkomsel ']")</f>
        <v>['How', 'Telkomsel', 'buy', 'package', 'games',' no ',' nge ',' game ',' disappointed ',' dahhh ',' already ',' no ',' Money ',' Buy ',' Package ',' Raying ',' Buy ',' Telkomsel ']</v>
      </c>
      <c r="D512" s="3">
        <v>1.0</v>
      </c>
    </row>
    <row r="513" ht="15.75" customHeight="1">
      <c r="A513" s="1">
        <v>545.0</v>
      </c>
      <c r="B513" s="3" t="s">
        <v>506</v>
      </c>
      <c r="C513" s="3" t="str">
        <f>IFERROR(__xludf.DUMMYFUNCTION("GOOGLETRANSLATE(B513,""id"",""en"")"),"['Difficult', 'Download']")</f>
        <v>['Difficult', 'Download']</v>
      </c>
      <c r="D513" s="3">
        <v>2.0</v>
      </c>
    </row>
    <row r="514" ht="15.75" customHeight="1">
      <c r="A514" s="1">
        <v>546.0</v>
      </c>
      <c r="B514" s="3" t="s">
        <v>507</v>
      </c>
      <c r="C514" s="3" t="str">
        <f>IFERROR(__xludf.DUMMYFUNCTION("GOOGLETRANSLATE(B514,""id"",""en"")"),"['application', '']")</f>
        <v>['application', '']</v>
      </c>
      <c r="D514" s="3">
        <v>5.0</v>
      </c>
    </row>
    <row r="515" ht="15.75" customHeight="1">
      <c r="A515" s="1">
        <v>547.0</v>
      </c>
      <c r="B515" s="3" t="s">
        <v>508</v>
      </c>
      <c r="C515" s="3" t="str">
        <f>IFERROR(__xludf.DUMMYFUNCTION("GOOGLETRANSLATE(B515,""id"",""en"")"),"['signal', 'ugly', 'fix', '']")</f>
        <v>['signal', 'ugly', 'fix', '']</v>
      </c>
      <c r="D515" s="3">
        <v>1.0</v>
      </c>
    </row>
    <row r="516" ht="15.75" customHeight="1">
      <c r="A516" s="1">
        <v>548.0</v>
      </c>
      <c r="B516" s="3" t="s">
        <v>509</v>
      </c>
      <c r="C516" s="3" t="str">
        <f>IFERROR(__xludf.DUMMYFUNCTION("GOOGLETRANSLATE(B516,""id"",""en"")"),"['', 'responds', 'mail', 'send']")</f>
        <v>['', 'responds', 'mail', 'send']</v>
      </c>
      <c r="D516" s="3">
        <v>3.0</v>
      </c>
    </row>
    <row r="517" ht="15.75" customHeight="1">
      <c r="A517" s="1">
        <v>549.0</v>
      </c>
      <c r="B517" s="3" t="s">
        <v>510</v>
      </c>
      <c r="C517" s="3" t="str">
        <f>IFERROR(__xludf.DUMMYFUNCTION("GOOGLETRANSLATE(B517,""id"",""en"")"),"['expensive', 'network', 'slow', 'game', 'snippage', 'leg', 'severe', '']")</f>
        <v>['expensive', 'network', 'slow', 'game', 'snippage', 'leg', 'severe', '']</v>
      </c>
      <c r="D517" s="3">
        <v>1.0</v>
      </c>
    </row>
    <row r="518" ht="15.75" customHeight="1">
      <c r="A518" s="1">
        <v>550.0</v>
      </c>
      <c r="B518" s="3" t="s">
        <v>511</v>
      </c>
      <c r="C518" s="3" t="str">
        <f>IFERROR(__xludf.DUMMYFUNCTION("GOOGLETRANSLATE(B518,""id"",""en"")"),"['Help', 'Good']")</f>
        <v>['Help', 'Good']</v>
      </c>
      <c r="D518" s="3">
        <v>5.0</v>
      </c>
    </row>
    <row r="519" ht="15.75" customHeight="1">
      <c r="A519" s="1">
        <v>551.0</v>
      </c>
      <c r="B519" s="3" t="s">
        <v>512</v>
      </c>
      <c r="C519" s="3" t="str">
        <f>IFERROR(__xludf.DUMMYFUNCTION("GOOGLETRANSLATE(B519,""id"",""en"")"),"['Good', 'makes it easy', 'transacting', 'suggestion', 'diblaskan', 'item', 'buy', 'token', 'electricity', 'use', 'pulse', ""]")</f>
        <v>['Good', 'makes it easy', 'transacting', 'suggestion', 'diblaskan', 'item', 'buy', 'token', 'electricity', 'use', 'pulse', "]</v>
      </c>
      <c r="D519" s="3">
        <v>5.0</v>
      </c>
    </row>
    <row r="520" ht="15.75" customHeight="1">
      <c r="A520" s="1">
        <v>553.0</v>
      </c>
      <c r="B520" s="3" t="s">
        <v>513</v>
      </c>
      <c r="C520" s="3" t="str">
        <f>IFERROR(__xludf.DUMMYFUNCTION("GOOGLETRANSLATE(B520,""id"",""en"")"),"['Telkomsel', 'Provider', 'Mantul']")</f>
        <v>['Telkomsel', 'Provider', 'Mantul']</v>
      </c>
      <c r="D520" s="3">
        <v>5.0</v>
      </c>
    </row>
    <row r="521" ht="15.75" customHeight="1">
      <c r="A521" s="1">
        <v>554.0</v>
      </c>
      <c r="B521" s="3" t="s">
        <v>514</v>
      </c>
      <c r="C521" s="3" t="str">
        <f>IFERROR(__xludf.DUMMYFUNCTION("GOOGLETRANSLATE(B521,""id"",""en"")"),"['TLG', 'Telkomsel', 'fix', 'network', 'super', 'slow', 'klau', 'msih', 'used', 'community', 'bru', 'fill', ' Package ',' MCM ',' Package ',' ']")</f>
        <v>['TLG', 'Telkomsel', 'fix', 'network', 'super', 'slow', 'klau', 'msih', 'used', 'community', 'bru', 'fill', ' Package ',' MCM ',' Package ',' ']</v>
      </c>
      <c r="D521" s="3">
        <v>2.0</v>
      </c>
    </row>
    <row r="522" ht="15.75" customHeight="1">
      <c r="A522" s="1">
        <v>555.0</v>
      </c>
      <c r="B522" s="3" t="s">
        <v>515</v>
      </c>
      <c r="C522" s="3" t="str">
        <f>IFERROR(__xludf.DUMMYFUNCTION("GOOGLETRANSLATE(B522,""id"",""en"")"),"['Times',' I ',' Disappointed ',' Telkomsel ',' Day ',' Application ',' Error ',' Gabisa ',' Opened ',' I ',' Gatau ',' Remnant ',' Quota ',' UDH ',' credit ',' annoyed ',' Netflix ',' Blocked ',' ']")</f>
        <v>['Times',' I ',' Disappointed ',' Telkomsel ',' Day ',' Application ',' Error ',' Gabisa ',' Opened ',' I ',' Gatau ',' Remnant ',' Quota ',' UDH ',' credit ',' annoyed ',' Netflix ',' Blocked ',' ']</v>
      </c>
      <c r="D522" s="3">
        <v>5.0</v>
      </c>
    </row>
    <row r="523" ht="15.75" customHeight="1">
      <c r="A523" s="1">
        <v>557.0</v>
      </c>
      <c r="B523" s="3" t="s">
        <v>516</v>
      </c>
      <c r="C523" s="3" t="str">
        <f>IFERROR(__xludf.DUMMYFUNCTION("GOOGLETRANSLATE(B523,""id"",""en"")"),"['hope', 'in the future', 'smakin', 'good', 'interesting', 'makasi', 'mytelkomsel', 'bnyak', 'help', 'likes', 'bnget', ""]")</f>
        <v>['hope', 'in the future', 'smakin', 'good', 'interesting', 'makasi', 'mytelkomsel', 'bnyak', 'help', 'likes', 'bnget', "]</v>
      </c>
      <c r="D523" s="3">
        <v>5.0</v>
      </c>
    </row>
    <row r="524" ht="15.75" customHeight="1">
      <c r="A524" s="1">
        <v>558.0</v>
      </c>
      <c r="B524" s="3" t="s">
        <v>223</v>
      </c>
      <c r="C524" s="3" t="str">
        <f>IFERROR(__xludf.DUMMYFUNCTION("GOOGLETRANSLATE(B524,""id"",""en"")"),"['']")</f>
        <v>['']</v>
      </c>
      <c r="D524" s="3">
        <v>1.0</v>
      </c>
    </row>
    <row r="525" ht="15.75" customHeight="1">
      <c r="A525" s="1">
        <v>559.0</v>
      </c>
      <c r="B525" s="3" t="s">
        <v>517</v>
      </c>
      <c r="C525" s="3" t="str">
        <f>IFERROR(__xludf.DUMMYFUNCTION("GOOGLETRANSLATE(B525,""id"",""en"")"),"['network', 'slow', 'area', 'Denpasar', 'please', 'fix', 'network', 'open', 'slow', 'times', 'disappointed', 'Telkomsel']")</f>
        <v>['network', 'slow', 'area', 'Denpasar', 'please', 'fix', 'network', 'open', 'slow', 'times', 'disappointed', 'Telkomsel']</v>
      </c>
      <c r="D525" s="3">
        <v>2.0</v>
      </c>
    </row>
    <row r="526" ht="15.75" customHeight="1">
      <c r="A526" s="1">
        <v>560.0</v>
      </c>
      <c r="B526" s="3" t="s">
        <v>518</v>
      </c>
      <c r="C526" s="3" t="str">
        <f>IFERROR(__xludf.DUMMYFUNCTION("GOOGLETRANSLATE(B526,""id"",""en"")"),"['hopefully']")</f>
        <v>['hopefully']</v>
      </c>
      <c r="D526" s="3">
        <v>3.0</v>
      </c>
    </row>
    <row r="527" ht="15.75" customHeight="1">
      <c r="A527" s="1">
        <v>562.0</v>
      </c>
      <c r="B527" s="3" t="s">
        <v>519</v>
      </c>
      <c r="C527" s="3" t="str">
        <f>IFERROR(__xludf.DUMMYFUNCTION("GOOGLETRANSLATE(B527,""id"",""en"")"),"['It's easy', 'transaction', 'forward', 'TRS', 'Telkomsel']")</f>
        <v>['It's easy', 'transaction', 'forward', 'TRS', 'Telkomsel']</v>
      </c>
      <c r="D527" s="3">
        <v>5.0</v>
      </c>
    </row>
    <row r="528" ht="15.75" customHeight="1">
      <c r="A528" s="1">
        <v>563.0</v>
      </c>
      <c r="B528" s="3" t="s">
        <v>520</v>
      </c>
      <c r="C528" s="3" t="str">
        <f>IFERROR(__xludf.DUMMYFUNCTION("GOOGLETRANSLATE(B528,""id"",""en"")"),"['already', 'Telkomsel', 'emang', 'network', 'good', 'package', 'internet', 'expensive', 'stop', 'member', 'Telkomsel', 'gini']")</f>
        <v>['already', 'Telkomsel', 'emang', 'network', 'good', 'package', 'internet', 'expensive', 'stop', 'member', 'Telkomsel', 'gini']</v>
      </c>
      <c r="D528" s="3">
        <v>1.0</v>
      </c>
    </row>
    <row r="529" ht="15.75" customHeight="1">
      <c r="A529" s="1">
        <v>564.0</v>
      </c>
      <c r="B529" s="3" t="s">
        <v>521</v>
      </c>
      <c r="C529" s="3" t="str">
        <f>IFERROR(__xludf.DUMMYFUNCTION("GOOGLETRANSLATE(B529,""id"",""en"")"),"['Good', 'user']")</f>
        <v>['Good', 'user']</v>
      </c>
      <c r="D529" s="3">
        <v>5.0</v>
      </c>
    </row>
    <row r="530" ht="15.75" customHeight="1">
      <c r="A530" s="1">
        <v>565.0</v>
      </c>
      <c r="B530" s="3" t="s">
        <v>137</v>
      </c>
      <c r="C530" s="3" t="str">
        <f>IFERROR(__xludf.DUMMYFUNCTION("GOOGLETRANSLATE(B530,""id"",""en"")"),"Of course")</f>
        <v>Of course</v>
      </c>
      <c r="D530" s="3">
        <v>4.0</v>
      </c>
    </row>
    <row r="531" ht="15.75" customHeight="1">
      <c r="A531" s="1">
        <v>566.0</v>
      </c>
      <c r="B531" s="3" t="s">
        <v>522</v>
      </c>
      <c r="C531" s="3" t="str">
        <f>IFERROR(__xludf.DUMMYFUNCTION("GOOGLETRANSLATE(B531,""id"",""en"")"),"['pulse', 'open', 'application', 'ilang', 'pulse', 'sumps', 'silver', 'open', 'application', 'jancuuuuukkk']")</f>
        <v>['pulse', 'open', 'application', 'ilang', 'pulse', 'sumps', 'silver', 'open', 'application', 'jancuuuuukkk']</v>
      </c>
      <c r="D531" s="3">
        <v>1.0</v>
      </c>
    </row>
    <row r="532" ht="15.75" customHeight="1">
      <c r="A532" s="1">
        <v>567.0</v>
      </c>
      <c r="B532" s="3" t="s">
        <v>523</v>
      </c>
      <c r="C532" s="3" t="str">
        <f>IFERROR(__xludf.DUMMYFUNCTION("GOOGLETRANSLATE(B532,""id"",""en"")"),"['Hopefully', 'aflication', 'help']")</f>
        <v>['Hopefully', 'aflication', 'help']</v>
      </c>
      <c r="D532" s="3">
        <v>1.0</v>
      </c>
    </row>
    <row r="533" ht="15.75" customHeight="1">
      <c r="A533" s="1">
        <v>568.0</v>
      </c>
      <c r="B533" s="3" t="s">
        <v>524</v>
      </c>
      <c r="C533" s="3" t="str">
        <f>IFERROR(__xludf.DUMMYFUNCTION("GOOGLETRANSLATE(B533,""id"",""en"")"),"['application', 'Ter', 'stupid', 'Indonesia', 'enter', 'application', 'difficult', 'forgiveness', 'alternating', 'send', 'link']")</f>
        <v>['application', 'Ter', 'stupid', 'Indonesia', 'enter', 'application', 'difficult', 'forgiveness', 'alternating', 'send', 'link']</v>
      </c>
      <c r="D533" s="3">
        <v>2.0</v>
      </c>
    </row>
    <row r="534" ht="15.75" customHeight="1">
      <c r="A534" s="1">
        <v>569.0</v>
      </c>
      <c r="B534" s="3" t="s">
        <v>525</v>
      </c>
      <c r="C534" s="3" t="str">
        <f>IFERROR(__xludf.DUMMYFUNCTION("GOOGLETRANSLATE(B534,""id"",""en"")"),"['anjjj', 'tasty', 'nge', 'game', 'fushrank', 'appears',' check ',' connection ',' network ',' dead ',' silly ',' taiii ',' Internet ',' expensive ',' network ',' cheap ',' jcok ']")</f>
        <v>['anjjj', 'tasty', 'nge', 'game', 'fushrank', 'appears',' check ',' connection ',' network ',' dead ',' silly ',' taiii ',' Internet ',' expensive ',' network ',' cheap ',' jcok ']</v>
      </c>
      <c r="D534" s="3">
        <v>1.0</v>
      </c>
    </row>
    <row r="535" ht="15.75" customHeight="1">
      <c r="A535" s="1">
        <v>570.0</v>
      </c>
      <c r="B535" s="3" t="s">
        <v>526</v>
      </c>
      <c r="C535" s="3" t="str">
        <f>IFERROR(__xludf.DUMMYFUNCTION("GOOGLETRANSLATE(B535,""id"",""en"")"),"['Hay', 'admin', 'Telkomsel', 'package', 'combo', 'sick', 'changed', 'GB', 'Litu', 'package', 'until', 'bln', ' Ouch ',' mimin ']")</f>
        <v>['Hay', 'admin', 'Telkomsel', 'package', 'combo', 'sick', 'changed', 'GB', 'Litu', 'package', 'until', 'bln', ' Ouch ',' mimin ']</v>
      </c>
      <c r="D535" s="3">
        <v>1.0</v>
      </c>
    </row>
    <row r="536" ht="15.75" customHeight="1">
      <c r="A536" s="1">
        <v>571.0</v>
      </c>
      <c r="B536" s="3" t="s">
        <v>527</v>
      </c>
      <c r="C536" s="3" t="str">
        <f>IFERROR(__xludf.DUMMYFUNCTION("GOOGLETRANSLATE(B536,""id"",""en"")"),"['signal', 'ksini', 'bad', '']")</f>
        <v>['signal', 'ksini', 'bad', '']</v>
      </c>
      <c r="D536" s="3">
        <v>1.0</v>
      </c>
    </row>
    <row r="537" ht="15.75" customHeight="1">
      <c r="A537" s="1">
        <v>572.0</v>
      </c>
      <c r="B537" s="3" t="s">
        <v>528</v>
      </c>
      <c r="C537" s="3" t="str">
        <f>IFERROR(__xludf.DUMMYFUNCTION("GOOGLETRANSLATE(B537,""id"",""en"")"),"['Reward', 'love', 'star', 'wkwkwk']")</f>
        <v>['Reward', 'love', 'star', 'wkwkwk']</v>
      </c>
      <c r="D537" s="3">
        <v>4.0</v>
      </c>
    </row>
    <row r="538" ht="15.75" customHeight="1">
      <c r="A538" s="1">
        <v>573.0</v>
      </c>
      <c r="B538" s="3" t="s">
        <v>529</v>
      </c>
      <c r="C538" s="3" t="str">
        <f>IFERROR(__xludf.DUMMYFUNCTION("GOOGLETRANSLATE(B538,""id"",""en"")"),"['Please', 'Price', 'Package', 'Internet', 'Regular', 'Cheap', 'Comments',' Review ',' TGL ',' October ',' Enter ',' Application ',' MyTelkomsel ',' stopped ',' continuous', 'tried', 'many', 'times',' Uninstall ',' Install ',' reset ',' enter ',' tired ',"&amp;"' deh ',' see ' , 'Condition', 'pulse', 'package', 'buy', 'try', 'check', 'via', 'Reject', 'sick', 'heart', 'Padang', 'use', ' Telkomsel ',' ']")</f>
        <v>['Please', 'Price', 'Package', 'Internet', 'Regular', 'Cheap', 'Comments',' Review ',' TGL ',' October ',' Enter ',' Application ',' MyTelkomsel ',' stopped ',' continuous', 'tried', 'many', 'times',' Uninstall ',' Install ',' reset ',' enter ',' tired ',' deh ',' see ' , 'Condition', 'pulse', 'package', 'buy', 'try', 'check', 'via', 'Reject', 'sick', 'heart', 'Padang', 'use', ' Telkomsel ',' ']</v>
      </c>
      <c r="D538" s="3">
        <v>2.0</v>
      </c>
    </row>
    <row r="539" ht="15.75" customHeight="1">
      <c r="A539" s="1">
        <v>574.0</v>
      </c>
      <c r="B539" s="3" t="s">
        <v>530</v>
      </c>
      <c r="C539" s="3" t="str">
        <f>IFERROR(__xludf.DUMMYFUNCTION("GOOGLETRANSLATE(B539,""id"",""en"")"),"['TOP', 'Anyway']")</f>
        <v>['TOP', 'Anyway']</v>
      </c>
      <c r="D539" s="3">
        <v>5.0</v>
      </c>
    </row>
    <row r="540" ht="15.75" customHeight="1">
      <c r="A540" s="1">
        <v>575.0</v>
      </c>
      <c r="B540" s="3" t="s">
        <v>531</v>
      </c>
      <c r="C540" s="3" t="str">
        <f>IFERROR(__xludf.DUMMYFUNCTION("GOOGLETRANSLATE(B540,""id"",""en"")"),"['Credit', 'Reduced', 'SIM', 'Card', 'Tri', 'SIM', 'Telkomsel', 'Credit', 'Reduced', 'OMG', 'Wrong', 'Package', ' expensive']")</f>
        <v>['Credit', 'Reduced', 'SIM', 'Card', 'Tri', 'SIM', 'Telkomsel', 'Credit', 'Reduced', 'OMG', 'Wrong', 'Package', ' expensive']</v>
      </c>
      <c r="D540" s="3">
        <v>3.0</v>
      </c>
    </row>
    <row r="541" ht="15.75" customHeight="1">
      <c r="A541" s="1">
        <v>576.0</v>
      </c>
      <c r="B541" s="3" t="s">
        <v>122</v>
      </c>
      <c r="C541" s="3" t="str">
        <f>IFERROR(__xludf.DUMMYFUNCTION("GOOGLETRANSLATE(B541,""id"",""en"")"),"['easy']")</f>
        <v>['easy']</v>
      </c>
      <c r="D541" s="3">
        <v>5.0</v>
      </c>
    </row>
    <row r="542" ht="15.75" customHeight="1">
      <c r="A542" s="1">
        <v>577.0</v>
      </c>
      <c r="B542" s="3" t="s">
        <v>532</v>
      </c>
      <c r="C542" s="3" t="str">
        <f>IFERROR(__xludf.DUMMYFUNCTION("GOOGLETRANSLATE(B542,""id"",""en"")"),"['Effective', 'transact', 'via', 'Tel', 'Komsel']")</f>
        <v>['Effective', 'transact', 'via', 'Tel', 'Komsel']</v>
      </c>
      <c r="D542" s="3">
        <v>5.0</v>
      </c>
    </row>
    <row r="543" ht="15.75" customHeight="1">
      <c r="A543" s="1">
        <v>578.0</v>
      </c>
      <c r="B543" s="3" t="s">
        <v>533</v>
      </c>
      <c r="C543" s="3" t="str">
        <f>IFERROR(__xludf.DUMMYFUNCTION("GOOGLETRANSLATE(B543,""id"",""en"")"),"['Please', 'promo', 'package', 'internet', 'cheap', 'expensive']")</f>
        <v>['Please', 'promo', 'package', 'internet', 'cheap', 'expensive']</v>
      </c>
      <c r="D543" s="3">
        <v>5.0</v>
      </c>
    </row>
    <row r="544" ht="15.75" customHeight="1">
      <c r="A544" s="1">
        <v>579.0</v>
      </c>
      <c r="B544" s="3" t="s">
        <v>534</v>
      </c>
      <c r="C544" s="3" t="str">
        <f>IFERROR(__xludf.DUMMYFUNCTION("GOOGLETRANSLATE(B544,""id"",""en"")"),"['happy', 'like', 'card', 'Telkomsel', 'greetings', 'heart', 'Bahhar', 'Rhuddin', 'thanks', '']")</f>
        <v>['happy', 'like', 'card', 'Telkomsel', 'greetings', 'heart', 'Bahhar', 'Rhuddin', 'thanks', '']</v>
      </c>
      <c r="D544" s="3">
        <v>5.0</v>
      </c>
    </row>
    <row r="545" ht="15.75" customHeight="1">
      <c r="A545" s="1">
        <v>580.0</v>
      </c>
      <c r="B545" s="3" t="s">
        <v>535</v>
      </c>
      <c r="C545" s="3" t="str">
        <f>IFERROR(__xludf.DUMMYFUNCTION("GOOGLETRANSLATE(B545,""id"",""en"")"),"['The network', 'slow', 'Loading', 'Application', 'Error']")</f>
        <v>['The network', 'slow', 'Loading', 'Application', 'Error']</v>
      </c>
      <c r="D545" s="3">
        <v>1.0</v>
      </c>
    </row>
    <row r="546" ht="15.75" customHeight="1">
      <c r="A546" s="1">
        <v>581.0</v>
      </c>
      <c r="B546" s="3" t="s">
        <v>536</v>
      </c>
      <c r="C546" s="3" t="str">
        <f>IFERROR(__xludf.DUMMYFUNCTION("GOOGLETRANSLATE(B546,""id"",""en"")"),"['The package', 'cheap', 'bran', 'nnti', 'love', 'star', 'go to']")</f>
        <v>['The package', 'cheap', 'bran', 'nnti', 'love', 'star', 'go to']</v>
      </c>
      <c r="D546" s="3">
        <v>5.0</v>
      </c>
    </row>
    <row r="547" ht="15.75" customHeight="1">
      <c r="A547" s="1">
        <v>582.0</v>
      </c>
      <c r="B547" s="3" t="s">
        <v>537</v>
      </c>
      <c r="C547" s="3" t="str">
        <f>IFERROR(__xludf.DUMMYFUNCTION("GOOGLETRANSLATE(B547,""id"",""en"")"),"['quota', 'expensive', 'network', 'slow', 'ngentod', 'game', 'smooth', '']")</f>
        <v>['quota', 'expensive', 'network', 'slow', 'ngentod', 'game', 'smooth', '']</v>
      </c>
      <c r="D547" s="3">
        <v>1.0</v>
      </c>
    </row>
    <row r="548" ht="15.75" customHeight="1">
      <c r="A548" s="1">
        <v>583.0</v>
      </c>
      <c r="B548" s="3" t="s">
        <v>538</v>
      </c>
      <c r="C548" s="3" t="str">
        <f>IFERROR(__xludf.DUMMYFUNCTION("GOOGLETRANSLATE(B548,""id"",""en"")"),"['network']")</f>
        <v>['network']</v>
      </c>
      <c r="D548" s="3">
        <v>4.0</v>
      </c>
    </row>
    <row r="549" ht="15.75" customHeight="1">
      <c r="A549" s="1">
        <v>584.0</v>
      </c>
      <c r="B549" s="3" t="s">
        <v>539</v>
      </c>
      <c r="C549" s="3" t="str">
        <f>IFERROR(__xludf.DUMMYFUNCTION("GOOGLETRANSLATE(B549,""id"",""en"")"),"['Help', 'Suukkkaaa', 'application', '']")</f>
        <v>['Help', 'Suukkkaaa', 'application', '']</v>
      </c>
      <c r="D549" s="3">
        <v>5.0</v>
      </c>
    </row>
    <row r="550" ht="15.75" customHeight="1">
      <c r="A550" s="1">
        <v>585.0</v>
      </c>
      <c r="B550" s="3" t="s">
        <v>540</v>
      </c>
      <c r="C550" s="3" t="str">
        <f>IFERROR(__xludf.DUMMYFUNCTION("GOOGLETRANSLATE(B550,""id"",""en"")"),"['Come', 'ugly', 'signal', 'price', 'quota', 'here', 'expensive', 'price', 'according to', 'areanha', 'revenue', 'city', ' village ',' Different ',' buy ',' cilok ',' city ',' cerebu ',' just ',' segede ',' marbles', 'village', 'rb', 'udapet', 'already' ,"&amp;" 'That's', 'Segede', 'Thumb', 'People', 'Mature', 'Please', 'Please', 'Respond', ""]")</f>
        <v>['Come', 'ugly', 'signal', 'price', 'quota', 'here', 'expensive', 'price', 'according to', 'areanha', 'revenue', 'city', ' village ',' Different ',' buy ',' cilok ',' city ',' cerebu ',' just ',' segede ',' marbles', 'village', 'rb', 'udapet', 'already' , 'That's', 'Segede', 'Thumb', 'People', 'Mature', 'Please', 'Please', 'Respond', "]</v>
      </c>
      <c r="D550" s="3">
        <v>4.0</v>
      </c>
    </row>
    <row r="551" ht="15.75" customHeight="1">
      <c r="A551" s="1">
        <v>586.0</v>
      </c>
      <c r="B551" s="3" t="s">
        <v>541</v>
      </c>
      <c r="C551" s="3" t="str">
        <f>IFERROR(__xludf.DUMMYFUNCTION("GOOGLETRANSLATE(B551,""id"",""en"")"),"['Buy', 'Package', 'Combo', 'Sakti', 'Unlimited', 'FAIL', 'Please', 'Enlightenment', ""]")</f>
        <v>['Buy', 'Package', 'Combo', 'Sakti', 'Unlimited', 'FAIL', 'Please', 'Enlightenment', "]</v>
      </c>
      <c r="D551" s="3">
        <v>5.0</v>
      </c>
    </row>
    <row r="552" ht="15.75" customHeight="1">
      <c r="A552" s="1">
        <v>587.0</v>
      </c>
      <c r="B552" s="3" t="s">
        <v>542</v>
      </c>
      <c r="C552" s="3" t="str">
        <f>IFERROR(__xludf.DUMMYFUNCTION("GOOGLETRANSLATE(B552,""id"",""en"")"),"['Login', 'difficult', 'severe', 'reset', 'kli', 'bru']")</f>
        <v>['Login', 'difficult', 'severe', 'reset', 'kli', 'bru']</v>
      </c>
      <c r="D552" s="3">
        <v>1.0</v>
      </c>
    </row>
    <row r="553" ht="15.75" customHeight="1">
      <c r="A553" s="1">
        <v>588.0</v>
      </c>
      <c r="B553" s="3" t="s">
        <v>543</v>
      </c>
      <c r="C553" s="3" t="str">
        <f>IFERROR(__xludf.DUMMYFUNCTION("GOOGLETRANSLATE(B553,""id"",""en"")"),"['Good', 'steady']")</f>
        <v>['Good', 'steady']</v>
      </c>
      <c r="D553" s="3">
        <v>5.0</v>
      </c>
    </row>
    <row r="554" ht="15.75" customHeight="1">
      <c r="A554" s="1">
        <v>589.0</v>
      </c>
      <c r="B554" s="3" t="s">
        <v>544</v>
      </c>
      <c r="C554" s="3" t="str">
        <f>IFERROR(__xludf.DUMMYFUNCTION("GOOGLETRANSLATE(B554,""id"",""en"")"),"['card', 'already', 'upgrade', 'quota']")</f>
        <v>['card', 'already', 'upgrade', 'quota']</v>
      </c>
      <c r="D554" s="3">
        <v>2.0</v>
      </c>
    </row>
    <row r="555" ht="15.75" customHeight="1">
      <c r="A555" s="1">
        <v>590.0</v>
      </c>
      <c r="B555" s="3" t="s">
        <v>545</v>
      </c>
      <c r="C555" s="3" t="str">
        <f>IFERROR(__xludf.DUMMYFUNCTION("GOOGLETRANSLATE(B555,""id"",""en"")"),"['expensive', 'package', 'internet', 'please', 'cheap', 'sdkit', 'different', 'ama', 'card', 'telkomsel', 'jdi', 'love', ' star', '']")</f>
        <v>['expensive', 'package', 'internet', 'please', 'cheap', 'sdkit', 'different', 'ama', 'card', 'telkomsel', 'jdi', 'love', ' star', '']</v>
      </c>
      <c r="D555" s="3">
        <v>2.0</v>
      </c>
    </row>
    <row r="556" ht="15.75" customHeight="1">
      <c r="A556" s="1">
        <v>591.0</v>
      </c>
      <c r="B556" s="3" t="s">
        <v>546</v>
      </c>
      <c r="C556" s="3" t="str">
        <f>IFERROR(__xludf.DUMMYFUNCTION("GOOGLETRANSLATE(B556,""id"",""en"")"),"['Love', 'star', 'please', 'fix', 'as soon as possible', 'connection', 'Maen', 'game', 'signal', 'stable', 'please', 'fix', ' Users', 'Disappointed', 'Thank you']")</f>
        <v>['Love', 'star', 'please', 'fix', 'as soon as possible', 'connection', 'Maen', 'game', 'signal', 'stable', 'please', 'fix', ' Users', 'Disappointed', 'Thank you']</v>
      </c>
      <c r="D556" s="3">
        <v>5.0</v>
      </c>
    </row>
    <row r="557" ht="15.75" customHeight="1">
      <c r="A557" s="1">
        <v>592.0</v>
      </c>
      <c r="B557" s="3" t="s">
        <v>547</v>
      </c>
      <c r="C557" s="3" t="str">
        <f>IFERROR(__xludf.DUMMYFUNCTION("GOOGLETRANSLATE(B557,""id"",""en"")"),"['easy', 'use']")</f>
        <v>['easy', 'use']</v>
      </c>
      <c r="D557" s="3">
        <v>5.0</v>
      </c>
    </row>
    <row r="558" ht="15.75" customHeight="1">
      <c r="A558" s="1">
        <v>593.0</v>
      </c>
      <c r="B558" s="3" t="s">
        <v>548</v>
      </c>
      <c r="C558" s="3" t="str">
        <f>IFERROR(__xludf.DUMMYFUNCTION("GOOGLETRANSLATE(B558,""id"",""en"")"),"['Dear', 'Telkomsel', 'Please', 'Note', 'Quality', 'Signs',' Use ',' Kemang ',' Buy ',' Quota ',' Money ',' Results', ' work ',' hard ',' results', 'corruption', 'honest', 'price', 'quota', 'expensive', 'comparable', 'quality', 'you', ""]")</f>
        <v>['Dear', 'Telkomsel', 'Please', 'Note', 'Quality', 'Signs',' Use ',' Kemang ',' Buy ',' Quota ',' Money ',' Results', ' work ',' hard ',' results', 'corruption', 'honest', 'price', 'quota', 'expensive', 'comparable', 'quality', 'you', "]</v>
      </c>
      <c r="D558" s="3">
        <v>1.0</v>
      </c>
    </row>
    <row r="559" ht="15.75" customHeight="1">
      <c r="A559" s="1">
        <v>594.0</v>
      </c>
      <c r="B559" s="3" t="s">
        <v>549</v>
      </c>
      <c r="C559" s="3" t="str">
        <f>IFERROR(__xludf.DUMMYFUNCTION("GOOGLETRANSLATE(B559,""id"",""en"")"),"['Network', 'Telkomsel', 'ugly']")</f>
        <v>['Network', 'Telkomsel', 'ugly']</v>
      </c>
      <c r="D559" s="3">
        <v>1.0</v>
      </c>
    </row>
    <row r="560" ht="15.75" customHeight="1">
      <c r="A560" s="1">
        <v>595.0</v>
      </c>
      <c r="B560" s="3" t="s">
        <v>550</v>
      </c>
      <c r="C560" s="3" t="str">
        <f>IFERROR(__xludf.DUMMYFUNCTION("GOOGLETRANSLATE(B560,""id"",""en"")"),"['Safety', 'Add', 'Bonus', 'Feature', 'Free', 'Quota']")</f>
        <v>['Safety', 'Add', 'Bonus', 'Feature', 'Free', 'Quota']</v>
      </c>
      <c r="D560" s="3">
        <v>5.0</v>
      </c>
    </row>
    <row r="561" ht="15.75" customHeight="1">
      <c r="A561" s="1">
        <v>596.0</v>
      </c>
      <c r="B561" s="3" t="s">
        <v>551</v>
      </c>
      <c r="C561" s="3" t="str">
        <f>IFERROR(__xludf.DUMMYFUNCTION("GOOGLETRANSLATE(B561,""id"",""en"")"),"['Network', 'Kontoll']")</f>
        <v>['Network', 'Kontoll']</v>
      </c>
      <c r="D561" s="3">
        <v>1.0</v>
      </c>
    </row>
    <row r="562" ht="15.75" customHeight="1">
      <c r="A562" s="1">
        <v>597.0</v>
      </c>
      <c r="B562" s="3" t="s">
        <v>552</v>
      </c>
      <c r="C562" s="3" t="str">
        <f>IFERROR(__xludf.DUMMYFUNCTION("GOOGLETRANSLATE(B562,""id"",""en"")"),"['Like', 'Telkomsel']")</f>
        <v>['Like', 'Telkomsel']</v>
      </c>
      <c r="D562" s="3">
        <v>5.0</v>
      </c>
    </row>
    <row r="563" ht="15.75" customHeight="1">
      <c r="A563" s="1">
        <v>598.0</v>
      </c>
      <c r="B563" s="3" t="s">
        <v>553</v>
      </c>
      <c r="C563" s="3" t="str">
        <f>IFERROR(__xludf.DUMMYFUNCTION("GOOGLETRANSLATE(B563,""id"",""en"")"),"['Telkomsel', 'expensive', 'network', 'bad', '']")</f>
        <v>['Telkomsel', 'expensive', 'network', 'bad', '']</v>
      </c>
      <c r="D563" s="3">
        <v>1.0</v>
      </c>
    </row>
    <row r="564" ht="15.75" customHeight="1">
      <c r="A564" s="1">
        <v>599.0</v>
      </c>
      <c r="B564" s="3" t="s">
        <v>554</v>
      </c>
      <c r="C564" s="3" t="str">
        <f>IFERROR(__xludf.DUMMYFUNCTION("GOOGLETRANSLATE(B564,""id"",""en"")"),"['Open', 'Aza', 'Uninstall', 'Install', 'Balek', 'Severe', 'Aza', 'APP']")</f>
        <v>['Open', 'Aza', 'Uninstall', 'Install', 'Balek', 'Severe', 'Aza', 'APP']</v>
      </c>
      <c r="D564" s="3">
        <v>1.0</v>
      </c>
    </row>
    <row r="565" ht="15.75" customHeight="1">
      <c r="A565" s="1">
        <v>600.0</v>
      </c>
      <c r="B565" s="3" t="s">
        <v>555</v>
      </c>
      <c r="C565" s="3" t="str">
        <f>IFERROR(__xludf.DUMMYFUNCTION("GOOGLETRANSLATE(B565,""id"",""en"")"),"['signal', 'disappointing', 'Telkomsel', 'disappointing', '']")</f>
        <v>['signal', 'disappointing', 'Telkomsel', 'disappointing', '']</v>
      </c>
      <c r="D565" s="3">
        <v>1.0</v>
      </c>
    </row>
    <row r="566" ht="15.75" customHeight="1">
      <c r="A566" s="1">
        <v>602.0</v>
      </c>
      <c r="B566" s="3" t="s">
        <v>556</v>
      </c>
      <c r="C566" s="3" t="str">
        <f>IFERROR(__xludf.DUMMYFUNCTION("GOOGLETRANSLATE(B566,""id"",""en"")"),"['pulse', 'missing', 'how', 'system', 'wahhh', 'severe', 'Telkomsel', '']")</f>
        <v>['pulse', 'missing', 'how', 'system', 'wahhh', 'severe', 'Telkomsel', '']</v>
      </c>
      <c r="D566" s="3">
        <v>3.0</v>
      </c>
    </row>
    <row r="567" ht="15.75" customHeight="1">
      <c r="A567" s="1">
        <v>603.0</v>
      </c>
      <c r="B567" s="3" t="s">
        <v>557</v>
      </c>
      <c r="C567" s="3" t="str">
        <f>IFERROR(__xludf.DUMMYFUNCTION("GOOGLETRANSLATE(B567,""id"",""en"")"),"['Good', 'petrified']")</f>
        <v>['Good', 'petrified']</v>
      </c>
      <c r="D567" s="3">
        <v>4.0</v>
      </c>
    </row>
    <row r="568" ht="15.75" customHeight="1">
      <c r="A568" s="1">
        <v>604.0</v>
      </c>
      <c r="B568" s="3" t="s">
        <v>558</v>
      </c>
      <c r="C568" s="3" t="str">
        <f>IFERROR(__xludf.DUMMYFUNCTION("GOOGLETRANSLATE(B568,""id"",""en"")"),"['useful']")</f>
        <v>['useful']</v>
      </c>
      <c r="D568" s="3">
        <v>5.0</v>
      </c>
    </row>
    <row r="569" ht="15.75" customHeight="1">
      <c r="A569" s="1">
        <v>605.0</v>
      </c>
      <c r="B569" s="3" t="s">
        <v>559</v>
      </c>
      <c r="C569" s="3" t="str">
        <f>IFERROR(__xludf.DUMMYFUNCTION("GOOGLETRANSLATE(B569,""id"",""en"")"),"['Klau', 'West Kalimantar', 'Difficult', 'Enter', 'Region', 'Ethics',' River ',' Kelik ',' Border ',' Malaysia ',' Catch ',' Einyal ',' Telkom ',' antenny ',' area ',' feed ',' West Kalimantar ',' inland ']")</f>
        <v>['Klau', 'West Kalimantar', 'Difficult', 'Enter', 'Region', 'Ethics',' River ',' Kelik ',' Border ',' Malaysia ',' Catch ',' Einyal ',' Telkom ',' antenny ',' area ',' feed ',' West Kalimantar ',' inland ']</v>
      </c>
      <c r="D569" s="3">
        <v>5.0</v>
      </c>
    </row>
    <row r="570" ht="15.75" customHeight="1">
      <c r="A570" s="1">
        <v>606.0</v>
      </c>
      <c r="B570" s="3" t="s">
        <v>560</v>
      </c>
      <c r="C570" s="3" t="str">
        <f>IFERROR(__xludf.DUMMYFUNCTION("GOOGLETRANSLATE(B570,""id"",""en"")"),"['', 'Telkomsel', 'all', 'easy']")</f>
        <v>['', 'Telkomsel', 'all', 'easy']</v>
      </c>
      <c r="D570" s="3">
        <v>5.0</v>
      </c>
    </row>
    <row r="571" ht="15.75" customHeight="1">
      <c r="A571" s="1">
        <v>607.0</v>
      </c>
      <c r="B571" s="3" t="s">
        <v>561</v>
      </c>
      <c r="C571" s="3" t="str">
        <f>IFERROR(__xludf.DUMMYFUNCTION("GOOGLETRANSLATE(B571,""id"",""en"")"),"['good', 'jobs', 'darling', 'slow', 'hope', 'in the future', ""]")</f>
        <v>['good', 'jobs', 'darling', 'slow', 'hope', 'in the future', "]</v>
      </c>
      <c r="D571" s="3">
        <v>5.0</v>
      </c>
    </row>
    <row r="572" ht="15.75" customHeight="1">
      <c r="A572" s="1">
        <v>608.0</v>
      </c>
      <c r="B572" s="3" t="s">
        <v>562</v>
      </c>
      <c r="C572" s="3" t="str">
        <f>IFERROR(__xludf.DUMMYFUNCTION("GOOGLETRANSLATE(B572,""id"",""en"")"),"['oath', 'pingin', 'cave', 'come', 'company', 'direct', 'cave', 'protest', 'mengelek', 'signal', 'die', 'pig', ' right ',' play ',' rank ',' signal ',' lost ',' that's', 'mending', 'closed', 'company']")</f>
        <v>['oath', 'pingin', 'cave', 'come', 'company', 'direct', 'cave', 'protest', 'mengelek', 'signal', 'die', 'pig', ' right ',' play ',' rank ',' signal ',' lost ',' that's', 'mending', 'closed', 'company']</v>
      </c>
      <c r="D572" s="3">
        <v>1.0</v>
      </c>
    </row>
    <row r="573" ht="15.75" customHeight="1">
      <c r="A573" s="1">
        <v>609.0</v>
      </c>
      <c r="B573" s="3" t="s">
        <v>563</v>
      </c>
      <c r="C573" s="3" t="str">
        <f>IFERROR(__xludf.DUMMYFUNCTION("GOOGLETRANSLATE(B573,""id"",""en"")"),"['Provider', 'package', 'expensive', 'network', 'slow', 'kayak', 'eek']")</f>
        <v>['Provider', 'package', 'expensive', 'network', 'slow', 'kayak', 'eek']</v>
      </c>
      <c r="D573" s="3">
        <v>1.0</v>
      </c>
    </row>
    <row r="574" ht="15.75" customHeight="1">
      <c r="A574" s="1">
        <v>610.0</v>
      </c>
      <c r="B574" s="3" t="s">
        <v>564</v>
      </c>
      <c r="C574" s="3" t="str">
        <f>IFERROR(__xludf.DUMMYFUNCTION("GOOGLETRANSLATE(B574,""id"",""en"")"),"['Bismillah', 'hope', 'Brio', ""]")</f>
        <v>['Bismillah', 'hope', 'Brio', "]</v>
      </c>
      <c r="D574" s="3">
        <v>5.0</v>
      </c>
    </row>
    <row r="575" ht="15.75" customHeight="1">
      <c r="A575" s="1">
        <v>611.0</v>
      </c>
      <c r="B575" s="3" t="s">
        <v>565</v>
      </c>
      <c r="C575" s="3" t="str">
        <f>IFERROR(__xludf.DUMMYFUNCTION("GOOGLETRANSLATE(B575,""id"",""en"")"),"['Good', 'user', '']")</f>
        <v>['Good', 'user', '']</v>
      </c>
      <c r="D575" s="3">
        <v>4.0</v>
      </c>
    </row>
    <row r="576" ht="15.75" customHeight="1">
      <c r="A576" s="1">
        <v>612.0</v>
      </c>
      <c r="B576" s="3" t="s">
        <v>566</v>
      </c>
      <c r="C576" s="3" t="str">
        <f>IFERROR(__xludf.DUMMYFUNCTION("GOOGLETRANSLATE(B576,""id"",""en"")"),"['Network', 'smooth', 'promo', 'quota', 'unlimited']")</f>
        <v>['Network', 'smooth', 'promo', 'quota', 'unlimited']</v>
      </c>
      <c r="D576" s="3">
        <v>5.0</v>
      </c>
    </row>
    <row r="577" ht="15.75" customHeight="1">
      <c r="A577" s="1">
        <v>613.0</v>
      </c>
      <c r="B577" s="3" t="s">
        <v>567</v>
      </c>
      <c r="C577" s="3" t="str">
        <f>IFERROR(__xludf.DUMMYFUNCTION("GOOGLETRANSLATE(B577,""id"",""en"")"),"['oath', 'signal', 'ugly', 'bngt', 'bagusan', 'tri', 'tutor', 'signal', 'stable', 'ugly', 'bngt', 'signal', ' najisssss', 'rain', 'little', 'signal', 'lost', 'price', 'expensive', 'really', '']")</f>
        <v>['oath', 'signal', 'ugly', 'bngt', 'bagusan', 'tri', 'tutor', 'signal', 'stable', 'ugly', 'bngt', 'signal', ' najisssss', 'rain', 'little', 'signal', 'lost', 'price', 'expensive', 'really', '']</v>
      </c>
      <c r="D577" s="3">
        <v>1.0</v>
      </c>
    </row>
    <row r="578" ht="15.75" customHeight="1">
      <c r="A578" s="1">
        <v>614.0</v>
      </c>
      <c r="B578" s="3" t="s">
        <v>568</v>
      </c>
      <c r="C578" s="3" t="str">
        <f>IFERROR(__xludf.DUMMYFUNCTION("GOOGLETRANSLATE(B578,""id"",""en"")"),"['expensive', 'package']")</f>
        <v>['expensive', 'package']</v>
      </c>
      <c r="D578" s="3">
        <v>2.0</v>
      </c>
    </row>
    <row r="579" ht="15.75" customHeight="1">
      <c r="A579" s="1">
        <v>615.0</v>
      </c>
      <c r="B579" s="3" t="s">
        <v>569</v>
      </c>
      <c r="C579" s="3" t="str">
        <f>IFERROR(__xludf.DUMMYFUNCTION("GOOGLETRANSLATE(B579,""id"",""en"")"),"['Network', 'slow', 'knp', '']")</f>
        <v>['Network', 'slow', 'knp', '']</v>
      </c>
      <c r="D579" s="3">
        <v>5.0</v>
      </c>
    </row>
    <row r="580" ht="15.75" customHeight="1">
      <c r="A580" s="1">
        <v>616.0</v>
      </c>
      <c r="B580" s="3" t="s">
        <v>570</v>
      </c>
      <c r="C580" s="3" t="str">
        <f>IFERROR(__xludf.DUMMYFUNCTION("GOOGLETRANSLATE(B580,""id"",""en"")"),"['Network', 'bad', 'rich', 'increase', 'area', 'kab', 'go home', 'knife', 'Lost', 'bar', 'do "",' down ',' play ',' game ',' browsing ',' anything ',' comfortable ',' pairs', 'wifi', 'buy', 'package', 'combo', 'above', 'just', 'disorder' , 'Network', 'pay"&amp;"', 'per month', 'improvement', '']")</f>
        <v>['Network', 'bad', 'rich', 'increase', 'area', 'kab', 'go home', 'knife', 'Lost', 'bar', 'do ",' down ',' play ',' game ',' browsing ',' anything ',' comfortable ',' pairs', 'wifi', 'buy', 'package', 'combo', 'above', 'just', 'disorder' , 'Network', 'pay', 'per month', 'improvement', '']</v>
      </c>
      <c r="D580" s="3">
        <v>1.0</v>
      </c>
    </row>
    <row r="581" ht="15.75" customHeight="1">
      <c r="A581" s="1">
        <v>617.0</v>
      </c>
      <c r="B581" s="3" t="s">
        <v>571</v>
      </c>
      <c r="C581" s="3" t="str">
        <f>IFERROR(__xludf.DUMMYFUNCTION("GOOGLETRANSLATE(B581,""id"",""en"")"),"['experienced']")</f>
        <v>['experienced']</v>
      </c>
      <c r="D581" s="3">
        <v>5.0</v>
      </c>
    </row>
    <row r="582" ht="15.75" customHeight="1">
      <c r="A582" s="1">
        <v>619.0</v>
      </c>
      <c r="B582" s="3" t="s">
        <v>572</v>
      </c>
      <c r="C582" s="3" t="str">
        <f>IFERROR(__xludf.DUMMYFUNCTION("GOOGLETRANSLATE(B582,""id"",""en"")"),"['subscribers',' for 'dapet', 'promo', 'internet', 'cheap', 'application', 'love', 'expensive', ""]")</f>
        <v>['subscribers',' for 'dapet', 'promo', 'internet', 'cheap', 'application', 'love', 'expensive', "]</v>
      </c>
      <c r="D582" s="3">
        <v>2.0</v>
      </c>
    </row>
    <row r="583" ht="15.75" customHeight="1">
      <c r="A583" s="1">
        <v>620.0</v>
      </c>
      <c r="B583" s="3" t="s">
        <v>573</v>
      </c>
      <c r="C583" s="3" t="str">
        <f>IFERROR(__xludf.DUMMYFUNCTION("GOOGLETRANSLATE(B583,""id"",""en"")"),"['SMG', 'Telkomsel', 'smooth', 'leading', 'world', 'Maya', 'serving', 'public']")</f>
        <v>['SMG', 'Telkomsel', 'smooth', 'leading', 'world', 'Maya', 'serving', 'public']</v>
      </c>
      <c r="D583" s="3">
        <v>5.0</v>
      </c>
    </row>
    <row r="584" ht="15.75" customHeight="1">
      <c r="A584" s="1">
        <v>621.0</v>
      </c>
      <c r="B584" s="3" t="s">
        <v>574</v>
      </c>
      <c r="C584" s="3" t="str">
        <f>IFERROR(__xludf.DUMMYFUNCTION("GOOGLETRANSLATE(B584,""id"",""en"")"),"['', 'Dipake', 'Credit', 'Cut', 'Rb', 'Error', 'Data', 'Cellular', 'Automatic', 'Move', 'Telkomsel', 'Bener', 'PTG ',' pulse ',' mending ',' dipake ',' kagak ',' pnh ',' telkomsel ',' data ',' cellular ',' ']")</f>
        <v>['', 'Dipake', 'Credit', 'Cut', 'Rb', 'Error', 'Data', 'Cellular', 'Automatic', 'Move', 'Telkomsel', 'Bener', 'PTG ',' pulse ',' mending ',' dipake ',' kagak ',' pnh ',' telkomsel ',' data ',' cellular ',' ']</v>
      </c>
      <c r="D584" s="3">
        <v>1.0</v>
      </c>
    </row>
    <row r="585" ht="15.75" customHeight="1">
      <c r="A585" s="1">
        <v>622.0</v>
      </c>
      <c r="B585" s="3" t="s">
        <v>575</v>
      </c>
      <c r="C585" s="3" t="str">
        <f>IFERROR(__xludf.DUMMYFUNCTION("GOOGLETRANSLATE(B585,""id"",""en"")"),"['network', 'internet', 'best', '']")</f>
        <v>['network', 'internet', 'best', '']</v>
      </c>
      <c r="D585" s="3">
        <v>5.0</v>
      </c>
    </row>
    <row r="586" ht="15.75" customHeight="1">
      <c r="A586" s="1">
        <v>623.0</v>
      </c>
      <c r="B586" s="3" t="s">
        <v>576</v>
      </c>
      <c r="C586" s="3" t="str">
        <f>IFERROR(__xludf.DUMMYFUNCTION("GOOGLETRANSLATE(B586,""id"",""en"")"),"['Love', 'star', 'little', 'really', 'choice', 'quota', 'already', 'expensive', 'it's good', 'Indosat']")</f>
        <v>['Love', 'star', 'little', 'really', 'choice', 'quota', 'already', 'expensive', 'it's good', 'Indosat']</v>
      </c>
      <c r="D586" s="3">
        <v>1.0</v>
      </c>
    </row>
    <row r="587" ht="15.75" customHeight="1">
      <c r="A587" s="1">
        <v>624.0</v>
      </c>
      <c r="B587" s="3" t="s">
        <v>577</v>
      </c>
      <c r="C587" s="3" t="str">
        <f>IFERROR(__xludf.DUMMYFUNCTION("GOOGLETRANSLATE(B587,""id"",""en"")"),"['Help', 'transact', 'easy', 'users']")</f>
        <v>['Help', 'transact', 'easy', 'users']</v>
      </c>
      <c r="D587" s="3">
        <v>5.0</v>
      </c>
    </row>
    <row r="588" ht="15.75" customHeight="1">
      <c r="A588" s="1">
        <v>625.0</v>
      </c>
      <c r="B588" s="3" t="s">
        <v>578</v>
      </c>
      <c r="C588" s="3" t="str">
        <f>IFERROR(__xludf.DUMMYFUNCTION("GOOGLETRANSLATE(B588,""id"",""en"")"),"['The network', 'defective', 'Telkomsel', '']")</f>
        <v>['The network', 'defective', 'Telkomsel', '']</v>
      </c>
      <c r="D588" s="3">
        <v>1.0</v>
      </c>
    </row>
    <row r="589" ht="15.75" customHeight="1">
      <c r="A589" s="1">
        <v>626.0</v>
      </c>
      <c r="B589" s="3" t="s">
        <v>579</v>
      </c>
      <c r="C589" s="3" t="str">
        <f>IFERROR(__xludf.DUMMYFUNCTION("GOOGLETRANSLATE(B589,""id"",""en"")"),"['', 'Like', 'card', 'good', 'plosok', 'network', 'ngak', 'slow', 'Thanks', 'Telkomel', ""]")</f>
        <v>['', 'Like', 'card', 'good', 'plosok', 'network', 'ngak', 'slow', 'Thanks', 'Telkomel', "]</v>
      </c>
      <c r="D589" s="3">
        <v>5.0</v>
      </c>
    </row>
    <row r="590" ht="15.75" customHeight="1">
      <c r="A590" s="1">
        <v>627.0</v>
      </c>
      <c r="B590" s="3" t="s">
        <v>580</v>
      </c>
      <c r="C590" s="3" t="str">
        <f>IFERROR(__xludf.DUMMYFUNCTION("GOOGLETRANSLATE(B590,""id"",""en"")"),"['price', 'promo', 'package', 'internet', 'change', 'expensive', '']")</f>
        <v>['price', 'promo', 'package', 'internet', 'change', 'expensive', '']</v>
      </c>
      <c r="D590" s="3">
        <v>1.0</v>
      </c>
    </row>
    <row r="591" ht="15.75" customHeight="1">
      <c r="A591" s="1">
        <v>628.0</v>
      </c>
      <c r="B591" s="3" t="s">
        <v>581</v>
      </c>
      <c r="C591" s="3" t="str">
        <f>IFERROR(__xludf.DUMMYFUNCTION("GOOGLETRANSLATE(B591,""id"",""en"")"),"['difficult', 'entry', 'UDH', 'brapa', 'times', 'click', 'Link', 'Link', 'Males', 'pakenya', 'skali']")</f>
        <v>['difficult', 'entry', 'UDH', 'brapa', 'times', 'click', 'Link', 'Link', 'Males', 'pakenya', 'skali']</v>
      </c>
      <c r="D591" s="3">
        <v>4.0</v>
      </c>
    </row>
    <row r="592" ht="15.75" customHeight="1">
      <c r="A592" s="1">
        <v>629.0</v>
      </c>
      <c r="B592" s="3" t="s">
        <v>582</v>
      </c>
      <c r="C592" s="3" t="str">
        <f>IFERROR(__xludf.DUMMYFUNCTION("GOOGLETRANSLATE(B592,""id"",""en"")"),"['Good', 'fast', '']")</f>
        <v>['Good', 'fast', '']</v>
      </c>
      <c r="D592" s="3">
        <v>5.0</v>
      </c>
    </row>
    <row r="593" ht="15.75" customHeight="1">
      <c r="A593" s="1">
        <v>630.0</v>
      </c>
      <c r="B593" s="3" t="s">
        <v>583</v>
      </c>
      <c r="C593" s="3" t="str">
        <f>IFERROR(__xludf.DUMMYFUNCTION("GOOGLETRANSLATE(B593,""id"",""en"")"),"['application', 'good', 'TPI', 'darling', 'quota', 'expensive', 'expensive']")</f>
        <v>['application', 'good', 'TPI', 'darling', 'quota', 'expensive', 'expensive']</v>
      </c>
      <c r="D593" s="3">
        <v>5.0</v>
      </c>
    </row>
    <row r="594" ht="15.75" customHeight="1">
      <c r="A594" s="1">
        <v>631.0</v>
      </c>
      <c r="B594" s="3" t="s">
        <v>584</v>
      </c>
      <c r="C594" s="3" t="str">
        <f>IFERROR(__xludf.DUMMYFUNCTION("GOOGLETRANSLATE(B594,""id"",""en"")"),"['Menbanti', 'contents', 'package']")</f>
        <v>['Menbanti', 'contents', 'package']</v>
      </c>
      <c r="D594" s="3">
        <v>5.0</v>
      </c>
    </row>
    <row r="595" ht="15.75" customHeight="1">
      <c r="A595" s="1">
        <v>632.0</v>
      </c>
      <c r="B595" s="3" t="s">
        <v>585</v>
      </c>
      <c r="C595" s="3" t="str">
        <f>IFERROR(__xludf.DUMMYFUNCTION("GOOGLETRANSLATE(B595,""id"",""en"")"),"['Sorry', 'Telkomsel', 'Credit', 'Cut "",' Stay ',' A Week ',' Where ',' Nggk ',""]")</f>
        <v>['Sorry', 'Telkomsel', 'Credit', 'Cut ",' Stay ',' A Week ',' Where ',' Nggk ',"]</v>
      </c>
      <c r="D595" s="3">
        <v>4.0</v>
      </c>
    </row>
    <row r="596" ht="15.75" customHeight="1">
      <c r="A596" s="1">
        <v>633.0</v>
      </c>
      <c r="B596" s="3" t="s">
        <v>586</v>
      </c>
      <c r="C596" s="3" t="str">
        <f>IFERROR(__xludf.DUMMYFUNCTION("GOOGLETRANSLATE(B596,""id"",""en"")"),"['Use', 'Card', 'Telkomsel', 'Mending', 'Change', 'Karna', 'Telkomsel', 'Signal', 'Bad', 'I', 'oathin', 'hope', ' Network ',' Telkomsel ',' Delete ',' World ',' ']")</f>
        <v>['Use', 'Card', 'Telkomsel', 'Mending', 'Change', 'Karna', 'Telkomsel', 'Signal', 'Bad', 'I', 'oathin', 'hope', ' Network ',' Telkomsel ',' Delete ',' World ',' ']</v>
      </c>
      <c r="D596" s="3">
        <v>1.0</v>
      </c>
    </row>
    <row r="597" ht="15.75" customHeight="1">
      <c r="A597" s="1">
        <v>634.0</v>
      </c>
      <c r="B597" s="3" t="s">
        <v>587</v>
      </c>
      <c r="C597" s="3" t="str">
        <f>IFERROR(__xludf.DUMMYFUNCTION("GOOGLETRANSLATE(B597,""id"",""en"")"),"['promo', 'gift', 'writing', 'doang', ""]")</f>
        <v>['promo', 'gift', 'writing', 'doang', "]</v>
      </c>
      <c r="D597" s="3">
        <v>1.0</v>
      </c>
    </row>
    <row r="598" ht="15.75" customHeight="1">
      <c r="A598" s="1">
        <v>635.0</v>
      </c>
      <c r="B598" s="3" t="s">
        <v>588</v>
      </c>
      <c r="C598" s="3" t="str">
        <f>IFERROR(__xludf.DUMMYFUNCTION("GOOGLETRANSLATE(B598,""id"",""en"")"),"['Good', 'easy', 'buy', 'package', 'internet', '']")</f>
        <v>['Good', 'easy', 'buy', 'package', 'internet', '']</v>
      </c>
      <c r="D598" s="3">
        <v>4.0</v>
      </c>
    </row>
    <row r="599" ht="15.75" customHeight="1">
      <c r="A599" s="1">
        <v>636.0</v>
      </c>
      <c r="B599" s="3" t="s">
        <v>589</v>
      </c>
      <c r="C599" s="3" t="str">
        <f>IFERROR(__xludf.DUMMYFUNCTION("GOOGLETRANSLATE(B599,""id"",""en"")"),"['Please', 'Increase', 'Quality', 'The Line', 'Lemot', 'Musti', 'Turn on', 'Reset', 'Normal']")</f>
        <v>['Please', 'Increase', 'Quality', 'The Line', 'Lemot', 'Musti', 'Turn on', 'Reset', 'Normal']</v>
      </c>
      <c r="D599" s="3">
        <v>4.0</v>
      </c>
    </row>
    <row r="600" ht="15.75" customHeight="1">
      <c r="A600" s="1">
        <v>637.0</v>
      </c>
      <c r="B600" s="3" t="s">
        <v>590</v>
      </c>
      <c r="C600" s="3" t="str">
        <f>IFERROR(__xludf.DUMMYFUNCTION("GOOGLETRANSLATE(B600,""id"",""en"")"),"['Comfortable', 'Telkomsel', 'trpaksa', 'Telkomsel', 'Karna', 'Kmpung', 'Telkomsel', 'Not bad', 'Good', 'Uncomfortable', 'Denga', 'sms',' Offers', 'loan', 'shop', 'Meubel', 'outlet', 'junk', 'food', 'fraud', 'mengiming', 'ngi', 'gift', 'tens',' million ' "&amp;", 'SMS', 'Org', 'know', 'gave', 'Rek', 'Bank', 'Please', 'convenience', 'Telkomsel', 'already', 'saia', 'write', ' wide ',' Gubris', 'smpe', 'skrang', 'sms',' jls', '']")</f>
        <v>['Comfortable', 'Telkomsel', 'trpaksa', 'Telkomsel', 'Karna', 'Kmpung', 'Telkomsel', 'Not bad', 'Good', 'Uncomfortable', 'Denga', 'sms',' Offers', 'loan', 'shop', 'Meubel', 'outlet', 'junk', 'food', 'fraud', 'mengiming', 'ngi', 'gift', 'tens',' million ' , 'SMS', 'Org', 'know', 'gave', 'Rek', 'Bank', 'Please', 'convenience', 'Telkomsel', 'already', 'saia', 'write', ' wide ',' Gubris', 'smpe', 'skrang', 'sms',' jls', '']</v>
      </c>
      <c r="D600" s="3">
        <v>1.0</v>
      </c>
    </row>
    <row r="601" ht="15.75" customHeight="1">
      <c r="A601" s="1">
        <v>638.0</v>
      </c>
      <c r="B601" s="3" t="s">
        <v>591</v>
      </c>
      <c r="C601" s="3" t="str">
        <f>IFERROR(__xludf.DUMMYFUNCTION("GOOGLETRANSLATE(B601,""id"",""en"")"),"['Telkomsel', 'Professional', 'Vacuum', 'Credit', 'Stealth', 'Automatic', 'Quota', 'Data', 'Internet', 'Out', 'Amsyong', 'Credit', ' Direct ',' Out ',' SekerjaB ',' System ',' Block ',' Ditelkomsel ',' Suck ',' Credit ',' Automatic ',' Quota ',' Out ',' A"&amp;"mazed ',' Provider ' , 'quota', 'internet', 'run out', 'internet', 'direct', 'dead', 'pulse', 'safe', 'sucked', 'even', 'data', 'on']")</f>
        <v>['Telkomsel', 'Professional', 'Vacuum', 'Credit', 'Stealth', 'Automatic', 'Quota', 'Data', 'Internet', 'Out', 'Amsyong', 'Credit', ' Direct ',' Out ',' SekerjaB ',' System ',' Block ',' Ditelkomsel ',' Suck ',' Credit ',' Automatic ',' Quota ',' Out ',' Amazed ',' Provider ' , 'quota', 'internet', 'run out', 'internet', 'direct', 'dead', 'pulse', 'safe', 'sucked', 'even', 'data', 'on']</v>
      </c>
      <c r="D601" s="3">
        <v>1.0</v>
      </c>
    </row>
    <row r="602" ht="15.75" customHeight="1">
      <c r="A602" s="1">
        <v>639.0</v>
      </c>
      <c r="B602" s="3" t="s">
        <v>592</v>
      </c>
      <c r="C602" s="3" t="str">
        <f>IFERROR(__xludf.DUMMYFUNCTION("GOOGLETRANSLATE(B602,""id"",""en"")"),"['Mantab', 'Accurate', 'Trusted', '']")</f>
        <v>['Mantab', 'Accurate', 'Trusted', '']</v>
      </c>
      <c r="D602" s="3">
        <v>5.0</v>
      </c>
    </row>
    <row r="603" ht="15.75" customHeight="1">
      <c r="A603" s="1">
        <v>641.0</v>
      </c>
      <c r="B603" s="3" t="s">
        <v>593</v>
      </c>
      <c r="C603" s="3" t="str">
        <f>IFERROR(__xludf.DUMMYFUNCTION("GOOGLETRANSLATE(B603,""id"",""en"")"),"['Muahal', 'Deadline', 'Short', 'Application', 'Provider', 'Awareness', 'Nurunin', 'Price']")</f>
        <v>['Muahal', 'Deadline', 'Short', 'Application', 'Provider', 'Awareness', 'Nurunin', 'Price']</v>
      </c>
      <c r="D603" s="3">
        <v>2.0</v>
      </c>
    </row>
    <row r="604" ht="15.75" customHeight="1">
      <c r="A604" s="1">
        <v>642.0</v>
      </c>
      <c r="B604" s="3" t="s">
        <v>594</v>
      </c>
      <c r="C604" s="3" t="str">
        <f>IFERROR(__xludf.DUMMYFUNCTION("GOOGLETRANSLATE(B604,""id"",""en"")"),"['Unlimited', 'Game', 'TPI', 'Play', 'pub', 'ping', 'down', 'Gateratur', 'asw', 'already', 'buy', 'package', ' Msih ',' Gastabil ',' Emg ',' Gajelas', 'Internet', 'Congratulations',' Live ',' Move ',' Indosat ',' Cave ',' Stable ',' Dripada ']")</f>
        <v>['Unlimited', 'Game', 'TPI', 'Play', 'pub', 'ping', 'down', 'Gateratur', 'asw', 'already', 'buy', 'package', ' Msih ',' Gastabil ',' Emg ',' Gajelas', 'Internet', 'Congratulations',' Live ',' Move ',' Indosat ',' Cave ',' Stable ',' Dripada ']</v>
      </c>
      <c r="D604" s="3">
        <v>1.0</v>
      </c>
    </row>
    <row r="605" ht="15.75" customHeight="1">
      <c r="A605" s="1">
        <v>643.0</v>
      </c>
      <c r="B605" s="3" t="s">
        <v>595</v>
      </c>
      <c r="C605" s="3" t="str">
        <f>IFERROR(__xludf.DUMMYFUNCTION("GOOGLETRANSLATE(B605,""id"",""en"")"),"['proven', 'best']")</f>
        <v>['proven', 'best']</v>
      </c>
      <c r="D605" s="3">
        <v>3.0</v>
      </c>
    </row>
    <row r="606" ht="15.75" customHeight="1">
      <c r="A606" s="1">
        <v>645.0</v>
      </c>
      <c r="B606" s="3" t="s">
        <v>596</v>
      </c>
      <c r="C606" s="3" t="str">
        <f>IFERROR(__xludf.DUMMYFUNCTION("GOOGLETRANSLATE(B606,""id"",""en"")"),"['Telkomsel', 'Best', 'Reach', 'Extensive', 'Safe', 'Enjoy', 'Internet', 'Current', 'Telkomsel', 'Thank you', 'Telkomsel']")</f>
        <v>['Telkomsel', 'Best', 'Reach', 'Extensive', 'Safe', 'Enjoy', 'Internet', 'Current', 'Telkomsel', 'Thank you', 'Telkomsel']</v>
      </c>
      <c r="D606" s="3">
        <v>5.0</v>
      </c>
    </row>
    <row r="607" ht="15.75" customHeight="1">
      <c r="A607" s="1">
        <v>646.0</v>
      </c>
      <c r="B607" s="3" t="s">
        <v>597</v>
      </c>
      <c r="C607" s="3" t="str">
        <f>IFERROR(__xludf.DUMMYFUNCTION("GOOGLETRANSLATE(B607,""id"",""en"")"),"['Update', 'MLH', 'Service', 'Bad', 'BLM', 'Buy', 'Package', 'Application', 'PDHL', 'Good', 'Update', 'MLH', ' ']")</f>
        <v>['Update', 'MLH', 'Service', 'Bad', 'BLM', 'Buy', 'Package', 'Application', 'PDHL', 'Good', 'Update', 'MLH', ' ']</v>
      </c>
      <c r="D607" s="3">
        <v>1.0</v>
      </c>
    </row>
    <row r="608" ht="15.75" customHeight="1">
      <c r="A608" s="1">
        <v>647.0</v>
      </c>
      <c r="B608" s="3" t="s">
        <v>598</v>
      </c>
      <c r="C608" s="3" t="str">
        <f>IFERROR(__xludf.DUMMYFUNCTION("GOOGLETRANSLATE(B608,""id"",""en"")"),"['Perfect', 'and', 'fast', 'slow', 'buy', 'giga', 'per month', 'buy', 'giga', 'slow', '']")</f>
        <v>['Perfect', 'and', 'fast', 'slow', 'buy', 'giga', 'per month', 'buy', 'giga', 'slow', '']</v>
      </c>
      <c r="D608" s="3">
        <v>5.0</v>
      </c>
    </row>
    <row r="609" ht="15.75" customHeight="1">
      <c r="A609" s="1">
        <v>648.0</v>
      </c>
      <c r="B609" s="3" t="s">
        <v>599</v>
      </c>
      <c r="C609" s="3" t="str">
        <f>IFERROR(__xludf.DUMMYFUNCTION("GOOGLETRANSLATE(B609,""id"",""en"")"),"['lucky', 'really', 'apk', 'Telkomsel', 'buy', 'package', 'GB', 'just', 'rb']")</f>
        <v>['lucky', 'really', 'apk', 'Telkomsel', 'buy', 'package', 'GB', 'just', 'rb']</v>
      </c>
      <c r="D609" s="3">
        <v>5.0</v>
      </c>
    </row>
    <row r="610" ht="15.75" customHeight="1">
      <c r="A610" s="1">
        <v>649.0</v>
      </c>
      <c r="B610" s="3" t="s">
        <v>600</v>
      </c>
      <c r="C610" s="3" t="str">
        <f>IFERROR(__xludf.DUMMYFUNCTION("GOOGLETRANSLATE(B610,""id"",""en"")"),"['Application', 'Good', '']")</f>
        <v>['Application', 'Good', '']</v>
      </c>
      <c r="D610" s="3">
        <v>5.0</v>
      </c>
    </row>
    <row r="611" ht="15.75" customHeight="1">
      <c r="A611" s="1">
        <v>650.0</v>
      </c>
      <c r="B611" s="3" t="s">
        <v>601</v>
      </c>
      <c r="C611" s="3" t="str">
        <f>IFERROR(__xludf.DUMMYFUNCTION("GOOGLETRANSLATE(B611,""id"",""en"")"),"['Knp', 'Update', 'Android', 'Google', 'Pixel', 'Telkomsel', 'Delete', 'Sndiri', 'Install', 'BSA', ""]")</f>
        <v>['Knp', 'Update', 'Android', 'Google', 'Pixel', 'Telkomsel', 'Delete', 'Sndiri', 'Install', 'BSA', "]</v>
      </c>
      <c r="D611" s="3">
        <v>3.0</v>
      </c>
    </row>
    <row r="612" ht="15.75" customHeight="1">
      <c r="A612" s="1">
        <v>651.0</v>
      </c>
      <c r="B612" s="3" t="s">
        <v>602</v>
      </c>
      <c r="C612" s="3" t="str">
        <f>IFERROR(__xludf.DUMMYFUNCTION("GOOGLETRANSLATE(B612,""id"",""en"")"),"['How', 'Telkomsel', 'Halooooww', 'quality', 'jelek', ""]")</f>
        <v>['How', 'Telkomsel', 'Halooooww', 'quality', 'jelek', "]</v>
      </c>
      <c r="D612" s="3">
        <v>3.0</v>
      </c>
    </row>
    <row r="613" ht="15.75" customHeight="1">
      <c r="A613" s="1">
        <v>652.0</v>
      </c>
      <c r="B613" s="3" t="s">
        <v>603</v>
      </c>
      <c r="C613" s="3" t="str">
        <f>IFERROR(__xludf.DUMMYFUNCTION("GOOGLETRANSLATE(B613,""id"",""en"")"),"['Choice', 'Package', 'Promo', 'Application', 'Telkomsel']")</f>
        <v>['Choice', 'Package', 'Promo', 'Application', 'Telkomsel']</v>
      </c>
      <c r="D613" s="3">
        <v>4.0</v>
      </c>
    </row>
    <row r="614" ht="15.75" customHeight="1">
      <c r="A614" s="1">
        <v>653.0</v>
      </c>
      <c r="B614" s="3" t="s">
        <v>604</v>
      </c>
      <c r="C614" s="3" t="str">
        <f>IFERROR(__xludf.DUMMYFUNCTION("GOOGLETRANSLATE(B614,""id"",""en"")"),"['Simple', 'easy']")</f>
        <v>['Simple', 'easy']</v>
      </c>
      <c r="D614" s="3">
        <v>5.0</v>
      </c>
    </row>
    <row r="615" ht="15.75" customHeight="1">
      <c r="A615" s="1">
        <v>654.0</v>
      </c>
      <c r="B615" s="3" t="s">
        <v>605</v>
      </c>
      <c r="C615" s="3" t="str">
        <f>IFERROR(__xludf.DUMMYFUNCTION("GOOGLETRANSLATE(B615,""id"",""en"")"),"['poko', 'good', 'star', 'talk']")</f>
        <v>['poko', 'good', 'star', 'talk']</v>
      </c>
      <c r="D615" s="3">
        <v>5.0</v>
      </c>
    </row>
    <row r="616" ht="15.75" customHeight="1">
      <c r="A616" s="1">
        <v>655.0</v>
      </c>
      <c r="B616" s="3" t="s">
        <v>606</v>
      </c>
      <c r="C616" s="3" t="str">
        <f>IFERROR(__xludf.DUMMYFUNCTION("GOOGLETRANSLATE(B616,""id"",""en"")"),"['Package', 'cheap', 'cheap']")</f>
        <v>['Package', 'cheap', 'cheap']</v>
      </c>
      <c r="D616" s="3">
        <v>3.0</v>
      </c>
    </row>
    <row r="617" ht="15.75" customHeight="1">
      <c r="A617" s="1">
        <v>656.0</v>
      </c>
      <c r="B617" s="3" t="s">
        <v>607</v>
      </c>
      <c r="C617" s="3" t="str">
        <f>IFERROR(__xludf.DUMMYFUNCTION("GOOGLETRANSLATE(B617,""id"",""en"")"),"['Moga', 'Telkomsel', 'makes it easy', 'business']")</f>
        <v>['Moga', 'Telkomsel', 'makes it easy', 'business']</v>
      </c>
      <c r="D617" s="3">
        <v>5.0</v>
      </c>
    </row>
    <row r="618" ht="15.75" customHeight="1">
      <c r="A618" s="1">
        <v>657.0</v>
      </c>
      <c r="B618" s="3" t="s">
        <v>608</v>
      </c>
      <c r="C618" s="3" t="str">
        <f>IFERROR(__xludf.DUMMYFUNCTION("GOOGLETRANSLATE(B618,""id"",""en"")"),"['Woy', 'Benerin', 'signal', 'package', 'expensive', 'signal', 'rich', 'eek', 'blokkk']")</f>
        <v>['Woy', 'Benerin', 'signal', 'package', 'expensive', 'signal', 'rich', 'eek', 'blokkk']</v>
      </c>
      <c r="D618" s="3">
        <v>1.0</v>
      </c>
    </row>
    <row r="619" ht="15.75" customHeight="1">
      <c r="A619" s="1">
        <v>658.0</v>
      </c>
      <c r="B619" s="3" t="s">
        <v>609</v>
      </c>
      <c r="C619" s="3" t="str">
        <f>IFERROR(__xludf.DUMMYFUNCTION("GOOGLETRANSLATE(B619,""id"",""en"")"),"['Gas', 'Full', 'Telkomsel', '']")</f>
        <v>['Gas', 'Full', 'Telkomsel', '']</v>
      </c>
      <c r="D619" s="3">
        <v>5.0</v>
      </c>
    </row>
    <row r="620" ht="15.75" customHeight="1">
      <c r="A620" s="1">
        <v>659.0</v>
      </c>
      <c r="B620" s="3" t="s">
        <v>610</v>
      </c>
      <c r="C620" s="3" t="str">
        <f>IFERROR(__xludf.DUMMYFUNCTION("GOOGLETRANSLATE(B620,""id"",""en"")"),"['Please', 'Village', 'Network', 'Strengthen', 'City', 'City', 'Network', 'Good', 'Kampung', 'Disappointed', 'Network', 'Telkomsel', ' Lights', 'go out', 'network', 'rain', 'network', 'just', 'city', 'city', 'network', 'good', 'village', 'village', 'netwo"&amp;"rk' , 'Good', 'Telkomsel', 'transmitter', 'village', 'village', 'tired', 'height', 'SJA', 'City', 'disappointed', 'network', 'Telkomsel']")</f>
        <v>['Please', 'Village', 'Network', 'Strengthen', 'City', 'City', 'Network', 'Good', 'Kampung', 'Disappointed', 'Network', 'Telkomsel', ' Lights', 'go out', 'network', 'rain', 'network', 'just', 'city', 'city', 'network', 'good', 'village', 'village', 'network' , 'Good', 'Telkomsel', 'transmitter', 'village', 'village', 'tired', 'height', 'SJA', 'City', 'disappointed', 'network', 'Telkomsel']</v>
      </c>
      <c r="D620" s="3">
        <v>1.0</v>
      </c>
    </row>
    <row r="621" ht="15.75" customHeight="1">
      <c r="A621" s="1">
        <v>660.0</v>
      </c>
      <c r="B621" s="3" t="s">
        <v>611</v>
      </c>
      <c r="C621" s="3" t="str">
        <f>IFERROR(__xludf.DUMMYFUNCTION("GOOGLETRANSLATE(B621,""id"",""en"")"),"['Buy', 'expensive', 'signal', 'BURIK', 'Blog']")</f>
        <v>['Buy', 'expensive', 'signal', 'BURIK', 'Blog']</v>
      </c>
      <c r="D621" s="3">
        <v>1.0</v>
      </c>
    </row>
    <row r="622" ht="15.75" customHeight="1">
      <c r="A622" s="1">
        <v>661.0</v>
      </c>
      <c r="B622" s="3" t="s">
        <v>612</v>
      </c>
      <c r="C622" s="3" t="str">
        <f>IFERROR(__xludf.DUMMYFUNCTION("GOOGLETRANSLATE(B622,""id"",""en"")"),"['kmarin', 'buy', 'quota', 'lap', 'already', 'pay', 'message', 'notification', 'Please', 'sorry', 'network', 'busy', ' balances', 'nurk', 'gmnaa', 'gini', 'loss',' cheating ',' please ',' fix ',' yaaa ',' min ']")</f>
        <v>['kmarin', 'buy', 'quota', 'lap', 'already', 'pay', 'message', 'notification', 'Please', 'sorry', 'network', 'busy', ' balances', 'nurk', 'gmnaa', 'gini', 'loss',' cheating ',' please ',' fix ',' yaaa ',' min ']</v>
      </c>
      <c r="D622" s="3">
        <v>1.0</v>
      </c>
    </row>
    <row r="623" ht="15.75" customHeight="1">
      <c r="A623" s="1">
        <v>662.0</v>
      </c>
      <c r="B623" s="3" t="s">
        <v>613</v>
      </c>
      <c r="C623" s="3" t="str">
        <f>IFERROR(__xludf.DUMMYFUNCTION("GOOGLETRANSLATE(B623,""id"",""en"")"),"['card', 'signal', 'internet', 'well', 'pepkey', 'internet', 'advantage', 'pakek', 'disappointed', 'waste', 'Telkomsel', 'quota', ' signal ',' garbage ']")</f>
        <v>['card', 'signal', 'internet', 'well', 'pepkey', 'internet', 'advantage', 'pakek', 'disappointed', 'waste', 'Telkomsel', 'quota', ' signal ',' garbage ']</v>
      </c>
      <c r="D623" s="3">
        <v>1.0</v>
      </c>
    </row>
    <row r="624" ht="15.75" customHeight="1">
      <c r="A624" s="1">
        <v>663.0</v>
      </c>
      <c r="B624" s="3" t="s">
        <v>614</v>
      </c>
      <c r="C624" s="3" t="str">
        <f>IFERROR(__xludf.DUMMYFUNCTION("GOOGLETRANSLATE(B624,""id"",""en"")"),"['Network', 'rotkkk', 'Wes', 'kui', 'tok', 'wae']")</f>
        <v>['Network', 'rotkkk', 'Wes', 'kui', 'tok', 'wae']</v>
      </c>
      <c r="D624" s="3">
        <v>1.0</v>
      </c>
    </row>
    <row r="625" ht="15.75" customHeight="1">
      <c r="A625" s="1">
        <v>664.0</v>
      </c>
      <c r="B625" s="3" t="s">
        <v>615</v>
      </c>
      <c r="C625" s="3" t="str">
        <f>IFERROR(__xludf.DUMMYFUNCTION("GOOGLETRANSLATE(B625,""id"",""en"")"),"['Network', 'ugly', 'ugly', 'yesterday', 'date', 'October', 'Kubu', 'Raya', 'Kalimantan', 'West', 'disorder', 'Kirain', ' a day ',' Doang ',' Sampe ',' Disorders', 'Kirain', 'Signal', 'at home', 'Where', 'anywhere', 'already', 'chat', 'customer', 'service"&amp;"' , 'Via', 'Twitter', 'progress',' right ',' chat ',' customer ',' service ',' told ',' check ',' location ',' Telkomsel ',' safe ',' Safe ',' date ',' network ',' smooth ',' signal ',' at home ',' shift ',' ']")</f>
        <v>['Network', 'ugly', 'ugly', 'yesterday', 'date', 'October', 'Kubu', 'Raya', 'Kalimantan', 'West', 'disorder', 'Kirain', ' a day ',' Doang ',' Sampe ',' Disorders', 'Kirain', 'Signal', 'at home', 'Where', 'anywhere', 'already', 'chat', 'customer', 'service' , 'Via', 'Twitter', 'progress',' right ',' chat ',' customer ',' service ',' told ',' check ',' location ',' Telkomsel ',' safe ',' Safe ',' date ',' network ',' smooth ',' signal ',' at home ',' shift ',' ']</v>
      </c>
      <c r="D625" s="3">
        <v>1.0</v>
      </c>
    </row>
    <row r="626" ht="15.75" customHeight="1">
      <c r="A626" s="1">
        <v>666.0</v>
      </c>
      <c r="B626" s="3" t="s">
        <v>616</v>
      </c>
      <c r="C626" s="3" t="str">
        <f>IFERROR(__xludf.DUMMYFUNCTION("GOOGLETRANSLATE(B626,""id"",""en"")"),"['please', 'signal', 'Perawang', 'Riau', 'wake up', 'tower', 'signal', 'signal', 'difficult', 'really', 'lose', 'card', ' adjacent']")</f>
        <v>['please', 'signal', 'Perawang', 'Riau', 'wake up', 'tower', 'signal', 'signal', 'difficult', 'really', 'lose', 'card', ' adjacent']</v>
      </c>
      <c r="D626" s="3">
        <v>1.0</v>
      </c>
    </row>
    <row r="627" ht="15.75" customHeight="1">
      <c r="A627" s="1">
        <v>667.0</v>
      </c>
      <c r="B627" s="3" t="s">
        <v>617</v>
      </c>
      <c r="C627" s="3" t="str">
        <f>IFERROR(__xludf.DUMMYFUNCTION("GOOGLETRANSLATE(B627,""id"",""en"")"),"['Please', 'repaired', 'network', 'stable', 'network', 'Telkomsel', 'fast', 'dear', 'stable', 'ping it', 'Please', 'repaired']")</f>
        <v>['Please', 'repaired', 'network', 'stable', 'network', 'Telkomsel', 'fast', 'dear', 'stable', 'ping it', 'Please', 'repaired']</v>
      </c>
      <c r="D627" s="3">
        <v>2.0</v>
      </c>
    </row>
    <row r="628" ht="15.75" customHeight="1">
      <c r="A628" s="1">
        <v>668.0</v>
      </c>
      <c r="B628" s="3" t="s">
        <v>618</v>
      </c>
      <c r="C628" s="3" t="str">
        <f>IFERROR(__xludf.DUMMYFUNCTION("GOOGLETRANSLATE(B628,""id"",""en"")"),"['Okey', 'like', 'application']")</f>
        <v>['Okey', 'like', 'application']</v>
      </c>
      <c r="D628" s="3">
        <v>5.0</v>
      </c>
    </row>
    <row r="629" ht="15.75" customHeight="1">
      <c r="A629" s="1">
        <v>669.0</v>
      </c>
      <c r="B629" s="3" t="s">
        <v>619</v>
      </c>
      <c r="C629" s="3" t="str">
        <f>IFERROR(__xludf.DUMMYFUNCTION("GOOGLETRANSLATE(B629,""id"",""en"")"),"['network', 'Telkomsel', 'ugly', 'price', 'package', 'expensive', 'suits',' quality ',' mending ',' IM ',' package ',' cheap ',' network ',' quality ']")</f>
        <v>['network', 'Telkomsel', 'ugly', 'price', 'package', 'expensive', 'suits',' quality ',' mending ',' IM ',' package ',' cheap ',' network ',' quality ']</v>
      </c>
      <c r="D629" s="3">
        <v>1.0</v>
      </c>
    </row>
    <row r="630" ht="15.75" customHeight="1">
      <c r="A630" s="1">
        <v>670.0</v>
      </c>
      <c r="B630" s="3" t="s">
        <v>620</v>
      </c>
      <c r="C630" s="3" t="str">
        <f>IFERROR(__xludf.DUMMYFUNCTION("GOOGLETRANSLATE(B630,""id"",""en"")"),"['virtue', 'helpu']")</f>
        <v>['virtue', 'helpu']</v>
      </c>
      <c r="D630" s="3">
        <v>5.0</v>
      </c>
    </row>
    <row r="631" ht="15.75" customHeight="1">
      <c r="A631" s="1">
        <v>671.0</v>
      </c>
      <c r="B631" s="3" t="s">
        <v>621</v>
      </c>
      <c r="C631" s="3" t="str">
        <f>IFERROR(__xludf.DUMMYFUNCTION("GOOGLETRANSLATE(B631,""id"",""en"")"),"['Network', 'ugly', 'buy', 'package', 'error', 'mulu', 'already', 'week', 'kayak', 'so', 'please', 'fix', ' buy ',' package ',' situ ']")</f>
        <v>['Network', 'ugly', 'buy', 'package', 'error', 'mulu', 'already', 'week', 'kayak', 'so', 'please', 'fix', ' buy ',' package ',' situ ']</v>
      </c>
      <c r="D631" s="3">
        <v>1.0</v>
      </c>
    </row>
    <row r="632" ht="15.75" customHeight="1">
      <c r="A632" s="1">
        <v>672.0</v>
      </c>
      <c r="B632" s="3" t="s">
        <v>622</v>
      </c>
      <c r="C632" s="3" t="str">
        <f>IFERROR(__xludf.DUMMYFUNCTION("GOOGLETRANSLATE(B632,""id"",""en"")"),"['Stage', 'Test', 'Try']")</f>
        <v>['Stage', 'Test', 'Try']</v>
      </c>
      <c r="D632" s="3">
        <v>2.0</v>
      </c>
    </row>
    <row r="633" ht="15.75" customHeight="1">
      <c r="A633" s="1">
        <v>673.0</v>
      </c>
      <c r="B633" s="3" t="s">
        <v>623</v>
      </c>
      <c r="C633" s="3" t="str">
        <f>IFERROR(__xludf.DUMMYFUNCTION("GOOGLETRANSLATE(B633,""id"",""en"")"),"['pulse', '']")</f>
        <v>['pulse', '']</v>
      </c>
      <c r="D633" s="3">
        <v>5.0</v>
      </c>
    </row>
    <row r="634" ht="15.75" customHeight="1">
      <c r="A634" s="1">
        <v>674.0</v>
      </c>
      <c r="B634" s="3" t="s">
        <v>624</v>
      </c>
      <c r="C634" s="3" t="str">
        <f>IFERROR(__xludf.DUMMYFUNCTION("GOOGLETRANSLATE(B634,""id"",""en"")"),"['Goods', 'Lotsin', 'bonus', 'preferious', 'cheap', '']")</f>
        <v>['Goods', 'Lotsin', 'bonus', 'preferious', 'cheap', '']</v>
      </c>
      <c r="D634" s="3">
        <v>4.0</v>
      </c>
    </row>
    <row r="635" ht="15.75" customHeight="1">
      <c r="A635" s="1">
        <v>675.0</v>
      </c>
      <c r="B635" s="3" t="s">
        <v>625</v>
      </c>
      <c r="C635" s="3" t="str">
        <f>IFERROR(__xludf.DUMMYFUNCTION("GOOGLETRANSLATE(B635,""id"",""en"")"),"['number', 'sya', 'block', 'no', 'fix', 'noisy', 'notice', 'scorched', 'gini', 'users',' telkom ',' reduced ',' ']")</f>
        <v>['number', 'sya', 'block', 'no', 'fix', 'noisy', 'notice', 'scorched', 'gini', 'users',' telkom ',' reduced ',' ']</v>
      </c>
      <c r="D635" s="3">
        <v>1.0</v>
      </c>
    </row>
    <row r="636" ht="15.75" customHeight="1">
      <c r="A636" s="1">
        <v>676.0</v>
      </c>
      <c r="B636" s="3" t="s">
        <v>626</v>
      </c>
      <c r="C636" s="3" t="str">
        <f>IFERROR(__xludf.DUMMYFUNCTION("GOOGLETRANSLATE(B636,""id"",""en"")"),"['MyTelkomsel', 'Update', 'sunshine', 'cave', 'update', 'opened', 'baget']")</f>
        <v>['MyTelkomsel', 'Update', 'sunshine', 'cave', 'update', 'opened', 'baget']</v>
      </c>
      <c r="D636" s="3">
        <v>1.0</v>
      </c>
    </row>
    <row r="637" ht="15.75" customHeight="1">
      <c r="A637" s="1">
        <v>677.0</v>
      </c>
      <c r="B637" s="3" t="s">
        <v>627</v>
      </c>
      <c r="C637" s="3" t="str">
        <f>IFERROR(__xludf.DUMMYFUNCTION("GOOGLETRANSLATE(B637,""id"",""en"")"),"['star', 'Telkomsel', 'slow', 'forgiveness',' already ',' that's', 'mahaaal', 'smooth', 'murmer', 'customers',' Telkomsel ',' already ',' Thn ',' no ',' change ',' number ',' disappointed ',' ']")</f>
        <v>['star', 'Telkomsel', 'slow', 'forgiveness',' already ',' that's', 'mahaaal', 'smooth', 'murmer', 'customers',' Telkomsel ',' already ',' Thn ',' no ',' change ',' number ',' disappointed ',' ']</v>
      </c>
      <c r="D637" s="3">
        <v>1.0</v>
      </c>
    </row>
    <row r="638" ht="15.75" customHeight="1">
      <c r="A638" s="1">
        <v>678.0</v>
      </c>
      <c r="B638" s="3" t="s">
        <v>628</v>
      </c>
      <c r="C638" s="3" t="str">
        <f>IFERROR(__xludf.DUMMYFUNCTION("GOOGLETRANSLATE(B638,""id"",""en"")"),"['Exis',' multiptenizes', 'tower', 'network', 'Telkomsel', 'remote', 'village', 'remote', 'Indonesia', 'diwil', 'kec', 'dumoga', ' Kab ',' Bolmong ',' Prov ',' Sulut ']")</f>
        <v>['Exis',' multiptenizes', 'tower', 'network', 'Telkomsel', 'remote', 'village', 'remote', 'Indonesia', 'diwil', 'kec', 'dumoga', ' Kab ',' Bolmong ',' Prov ',' Sulut ']</v>
      </c>
      <c r="D638" s="3">
        <v>5.0</v>
      </c>
    </row>
    <row r="639" ht="15.75" customHeight="1">
      <c r="A639" s="1">
        <v>679.0</v>
      </c>
      <c r="B639" s="3" t="s">
        <v>629</v>
      </c>
      <c r="C639" s="3" t="str">
        <f>IFERROR(__xludf.DUMMYFUNCTION("GOOGLETRANSLATE(B639,""id"",""en"")"),"['The application', 'no', 'ugly', 'network', 'Telkomsel', 'ugly', 'already', 'expensive', 'stable']")</f>
        <v>['The application', 'no', 'ugly', 'network', 'Telkomsel', 'ugly', 'already', 'expensive', 'stable']</v>
      </c>
      <c r="D639" s="3">
        <v>1.0</v>
      </c>
    </row>
    <row r="640" ht="15.75" customHeight="1">
      <c r="A640" s="1">
        <v>680.0</v>
      </c>
      <c r="B640" s="3" t="s">
        <v>630</v>
      </c>
      <c r="C640" s="3" t="str">
        <f>IFERROR(__xludf.DUMMYFUNCTION("GOOGLETRANSLATE(B640,""id"",""en"")"),"['Steady', 'Easy', 'Buy', 'Package']")</f>
        <v>['Steady', 'Easy', 'Buy', 'Package']</v>
      </c>
      <c r="D640" s="3">
        <v>5.0</v>
      </c>
    </row>
    <row r="641" ht="15.75" customHeight="1">
      <c r="A641" s="1">
        <v>681.0</v>
      </c>
      <c r="B641" s="3" t="s">
        <v>631</v>
      </c>
      <c r="C641" s="3" t="str">
        <f>IFERROR(__xludf.DUMMYFUNCTION("GOOGLETRANSLATE(B641,""id"",""en"")"),"['Telkomsel', 'Maha', 'SIHL', 'according to', 'ability', 'signal', 'features', 'offered', '']")</f>
        <v>['Telkomsel', 'Maha', 'SIHL', 'according to', 'ability', 'signal', 'features', 'offered', '']</v>
      </c>
      <c r="D641" s="3">
        <v>5.0</v>
      </c>
    </row>
    <row r="642" ht="15.75" customHeight="1">
      <c r="A642" s="1">
        <v>682.0</v>
      </c>
      <c r="B642" s="3" t="s">
        <v>632</v>
      </c>
      <c r="C642" s="3" t="str">
        <f>IFERROR(__xludf.DUMMYFUNCTION("GOOGLETRANSLATE(B642,""id"",""en"")"),"['package', 'data', 'expensive', 'requirements', 'backward']")</f>
        <v>['package', 'data', 'expensive', 'requirements', 'backward']</v>
      </c>
      <c r="D642" s="3">
        <v>1.0</v>
      </c>
    </row>
    <row r="643" ht="15.75" customHeight="1">
      <c r="A643" s="1">
        <v>683.0</v>
      </c>
      <c r="B643" s="3" t="s">
        <v>633</v>
      </c>
      <c r="C643" s="3" t="str">
        <f>IFERROR(__xludf.DUMMYFUNCTION("GOOGLETRANSLATE(B643,""id"",""en"")"),"['wonder', 'application', 'setting', 'notification', 'already', 'dimatiin', 'fit', 'enter', 'use', 'function', 'off', '']")</f>
        <v>['wonder', 'application', 'setting', 'notification', 'already', 'dimatiin', 'fit', 'enter', 'use', 'function', 'off', '']</v>
      </c>
      <c r="D643" s="3">
        <v>2.0</v>
      </c>
    </row>
    <row r="644" ht="15.75" customHeight="1">
      <c r="A644" s="1">
        <v>684.0</v>
      </c>
      <c r="B644" s="3" t="s">
        <v>634</v>
      </c>
      <c r="C644" s="3" t="str">
        <f>IFERROR(__xludf.DUMMYFUNCTION("GOOGLETRANSLATE(B644,""id"",""en"")"),"['wow', 'happy', 'meditat', 'package', 'har', 'style', 'ter', 'reach']")</f>
        <v>['wow', 'happy', 'meditat', 'package', 'har', 'style', 'ter', 'reach']</v>
      </c>
      <c r="D644" s="3">
        <v>5.0</v>
      </c>
    </row>
    <row r="645" ht="15.75" customHeight="1">
      <c r="A645" s="1">
        <v>685.0</v>
      </c>
      <c r="B645" s="3" t="s">
        <v>635</v>
      </c>
      <c r="C645" s="3" t="str">
        <f>IFERROR(__xludf.DUMMYFUNCTION("GOOGLETRANSLATE(B645,""id"",""en"")"),"['application', 'help', 'comfort', 'access', 'information', '']")</f>
        <v>['application', 'help', 'comfort', 'access', 'information', '']</v>
      </c>
      <c r="D645" s="3">
        <v>5.0</v>
      </c>
    </row>
    <row r="646" ht="15.75" customHeight="1">
      <c r="A646" s="1">
        <v>686.0</v>
      </c>
      <c r="B646" s="3" t="s">
        <v>636</v>
      </c>
      <c r="C646" s="3" t="str">
        <f>IFERROR(__xludf.DUMMYFUNCTION("GOOGLETRANSLATE(B646,""id"",""en"")"),"['Steady', 'makes it easier', 'access', 'user', 'Telkomsel']")</f>
        <v>['Steady', 'makes it easier', 'access', 'user', 'Telkomsel']</v>
      </c>
      <c r="D646" s="3">
        <v>4.0</v>
      </c>
    </row>
    <row r="647" ht="15.75" customHeight="1">
      <c r="A647" s="1">
        <v>687.0</v>
      </c>
      <c r="B647" s="3" t="s">
        <v>637</v>
      </c>
      <c r="C647" s="3" t="str">
        <f>IFERROR(__xludf.DUMMYFUNCTION("GOOGLETRANSLATE(B647,""id"",""en"")"),"['Package', 'Doang', 'expensive', 'service', 'rich', 'pig', 'Benerin', 'performance', 'AJG', 'monkey', 'poor', 'pulses',' cave ',' suck ',' package ',' promo ',' appears', 'poor', 'expensive', 'doang', 'service', 'rich', 'monkey', 'becus',' ajg ' ]")</f>
        <v>['Package', 'Doang', 'expensive', 'service', 'rich', 'pig', 'Benerin', 'performance', 'AJG', 'monkey', 'poor', 'pulses',' cave ',' suck ',' package ',' promo ',' appears', 'poor', 'expensive', 'doang', 'service', 'rich', 'monkey', 'becus',' ajg ' ]</v>
      </c>
      <c r="D647" s="3">
        <v>1.0</v>
      </c>
    </row>
    <row r="648" ht="15.75" customHeight="1">
      <c r="A648" s="1">
        <v>688.0</v>
      </c>
      <c r="B648" s="3" t="s">
        <v>638</v>
      </c>
      <c r="C648" s="3" t="str">
        <f>IFERROR(__xludf.DUMMYFUNCTION("GOOGLETRANSLATE(B648,""id"",""en"")"),"['steady', 'promo', '']")</f>
        <v>['steady', 'promo', '']</v>
      </c>
      <c r="D648" s="3">
        <v>5.0</v>
      </c>
    </row>
    <row r="649" ht="15.75" customHeight="1">
      <c r="A649" s="1">
        <v>689.0</v>
      </c>
      <c r="B649" s="3" t="s">
        <v>639</v>
      </c>
      <c r="C649" s="3" t="str">
        <f>IFERROR(__xludf.DUMMYFUNCTION("GOOGLETRANSLATE(B649,""id"",""en"")"),"['best', 'understand', 'customer', 'no', 'money', 'cheap']")</f>
        <v>['best', 'understand', 'customer', 'no', 'money', 'cheap']</v>
      </c>
      <c r="D649" s="3">
        <v>5.0</v>
      </c>
    </row>
    <row r="650" ht="15.75" customHeight="1">
      <c r="A650" s="1">
        <v>690.0</v>
      </c>
      <c r="B650" s="3" t="s">
        <v>640</v>
      </c>
      <c r="C650" s="3" t="str">
        <f>IFERROR(__xludf.DUMMYFUNCTION("GOOGLETRANSLATE(B650,""id"",""en"")"),"['Easy', 'Helpful']")</f>
        <v>['Easy', 'Helpful']</v>
      </c>
      <c r="D650" s="3">
        <v>5.0</v>
      </c>
    </row>
    <row r="651" ht="15.75" customHeight="1">
      <c r="A651" s="1">
        <v>691.0</v>
      </c>
      <c r="B651" s="3" t="s">
        <v>641</v>
      </c>
      <c r="C651" s="3" t="str">
        <f>IFERROR(__xludf.DUMMYFUNCTION("GOOGLETRANSLATE(B651,""id"",""en"")"),"['Good', 'really', 'application', 'mytelkomsel']")</f>
        <v>['Good', 'really', 'application', 'mytelkomsel']</v>
      </c>
      <c r="D651" s="3">
        <v>5.0</v>
      </c>
    </row>
    <row r="652" ht="15.75" customHeight="1">
      <c r="A652" s="1">
        <v>692.0</v>
      </c>
      <c r="B652" s="3" t="s">
        <v>642</v>
      </c>
      <c r="C652" s="3" t="str">
        <f>IFERROR(__xludf.DUMMYFUNCTION("GOOGLETRANSLATE(B652,""id"",""en"")"),"['Network', 'ugly', 'package', 'expensive']")</f>
        <v>['Network', 'ugly', 'package', 'expensive']</v>
      </c>
      <c r="D652" s="3">
        <v>1.0</v>
      </c>
    </row>
    <row r="653" ht="15.75" customHeight="1">
      <c r="A653" s="1">
        <v>693.0</v>
      </c>
      <c r="B653" s="3" t="s">
        <v>643</v>
      </c>
      <c r="C653" s="3" t="str">
        <f>IFERROR(__xludf.DUMMYFUNCTION("GOOGLETRANSLATE(B653,""id"",""en"")"),"['WOI', 'Benerin', 'signal', 'Maen', 'Mulu', 'quota', 'expensive', 'quality', 'network', 'ugly', 'regret', 'regret', ' Telkomsel ',' ']")</f>
        <v>['WOI', 'Benerin', 'signal', 'Maen', 'Mulu', 'quota', 'expensive', 'quality', 'network', 'ugly', 'regret', 'regret', ' Telkomsel ',' ']</v>
      </c>
      <c r="D653" s="3">
        <v>1.0</v>
      </c>
    </row>
    <row r="654" ht="15.75" customHeight="1">
      <c r="A654" s="1">
        <v>694.0</v>
      </c>
      <c r="B654" s="3" t="s">
        <v>644</v>
      </c>
      <c r="C654" s="3" t="str">
        <f>IFERROR(__xludf.DUMMYFUNCTION("GOOGLETRANSLATE(B654,""id"",""en"")"),"['Gini', 'please', 'fix', 'promo', 'already', 'rare', 'slow', 'internet', 'please', 'help', 'fix']")</f>
        <v>['Gini', 'please', 'fix', 'promo', 'already', 'rare', 'slow', 'internet', 'please', 'help', 'fix']</v>
      </c>
      <c r="D654" s="3">
        <v>1.0</v>
      </c>
    </row>
    <row r="655" ht="15.75" customHeight="1">
      <c r="A655" s="1">
        <v>695.0</v>
      </c>
      <c r="B655" s="3" t="s">
        <v>645</v>
      </c>
      <c r="C655" s="3" t="str">
        <f>IFERROR(__xludf.DUMMYFUNCTION("GOOGLETRANSLATE(B655,""id"",""en"")"),"['suggest', 'lid', 'buy', 'rb', 'quality', 'network', 'low', 'person', 'stress']")</f>
        <v>['suggest', 'lid', 'buy', 'rb', 'quality', 'network', 'low', 'person', 'stress']</v>
      </c>
      <c r="D655" s="3">
        <v>1.0</v>
      </c>
    </row>
    <row r="656" ht="15.75" customHeight="1">
      <c r="A656" s="1">
        <v>696.0</v>
      </c>
      <c r="B656" s="3" t="s">
        <v>646</v>
      </c>
      <c r="C656" s="3" t="str">
        <f>IFERROR(__xludf.DUMMYFUNCTION("GOOGLETRANSLATE(B656,""id"",""en"")"),"['promo']")</f>
        <v>['promo']</v>
      </c>
      <c r="D656" s="3">
        <v>5.0</v>
      </c>
    </row>
    <row r="657" ht="15.75" customHeight="1">
      <c r="A657" s="1">
        <v>698.0</v>
      </c>
      <c r="B657" s="3" t="s">
        <v>647</v>
      </c>
      <c r="C657" s="3" t="str">
        <f>IFERROR(__xludf.DUMMYFUNCTION("GOOGLETRANSLATE(B657,""id"",""en"")"),"['good quality']")</f>
        <v>['good quality']</v>
      </c>
      <c r="D657" s="3">
        <v>5.0</v>
      </c>
    </row>
    <row r="658" ht="15.75" customHeight="1">
      <c r="A658" s="1">
        <v>699.0</v>
      </c>
      <c r="B658" s="3" t="s">
        <v>648</v>
      </c>
      <c r="C658" s="3" t="str">
        <f>IFERROR(__xludf.DUMMYFUNCTION("GOOGLETRANSLATE(B658,""id"",""en"")"),"['signal', 'fix', 'evenly', 'Indonesia', 'Region', 'Telkomsel', 'signal', 'disorder', 'giamana', 'suggestion', 'hope', 'fix', ' signal ',' Seace ',' looking ',' Tetanga ',' Before ']")</f>
        <v>['signal', 'fix', 'evenly', 'Indonesia', 'Region', 'Telkomsel', 'signal', 'disorder', 'giamana', 'suggestion', 'hope', 'fix', ' signal ',' Seace ',' looking ',' Tetanga ',' Before ']</v>
      </c>
      <c r="D658" s="3">
        <v>1.0</v>
      </c>
    </row>
    <row r="659" ht="15.75" customHeight="1">
      <c r="A659" s="1">
        <v>700.0</v>
      </c>
      <c r="B659" s="3" t="s">
        <v>649</v>
      </c>
      <c r="C659" s="3" t="str">
        <f>IFERROR(__xludf.DUMMYFUNCTION("GOOGLETRANSLATE(B659,""id"",""en"")"),"['Good', 'user', 'please', 'package', 'promo', 'manyin', 'thanks']")</f>
        <v>['Good', 'user', 'please', 'package', 'promo', 'manyin', 'thanks']</v>
      </c>
      <c r="D659" s="3">
        <v>5.0</v>
      </c>
    </row>
    <row r="660" ht="15.75" customHeight="1">
      <c r="A660" s="1">
        <v>701.0</v>
      </c>
      <c r="B660" s="3" t="s">
        <v>650</v>
      </c>
      <c r="C660" s="3" t="str">
        <f>IFERROR(__xludf.DUMMYFUNCTION("GOOGLETRANSLATE(B660,""id"",""en"")"),"['makes it easier', 'live']")</f>
        <v>['makes it easier', 'live']</v>
      </c>
      <c r="D660" s="3">
        <v>5.0</v>
      </c>
    </row>
    <row r="661" ht="15.75" customHeight="1">
      <c r="A661" s="1">
        <v>702.0</v>
      </c>
      <c r="B661" s="3" t="s">
        <v>651</v>
      </c>
      <c r="C661" s="3" t="str">
        <f>IFERROR(__xludf.DUMMYFUNCTION("GOOGLETRANSLATE(B661,""id"",""en"")"),"['Good', 'Benget', 'Helping', 'Learning', 'Play', 'Game', 'Buy', 'Unlimited', 'Data', 'Quota', 'Thank you', 'Telkomsel']")</f>
        <v>['Good', 'Benget', 'Helping', 'Learning', 'Play', 'Game', 'Buy', 'Unlimited', 'Data', 'Quota', 'Thank you', 'Telkomsel']</v>
      </c>
      <c r="D661" s="3">
        <v>5.0</v>
      </c>
    </row>
    <row r="662" ht="15.75" customHeight="1">
      <c r="A662" s="1">
        <v>703.0</v>
      </c>
      <c r="B662" s="3" t="s">
        <v>652</v>
      </c>
      <c r="C662" s="3" t="str">
        <f>IFERROR(__xludf.DUMMYFUNCTION("GOOGLETRANSLATE(B662,""id"",""en"")"),"['Unlimited', 'Mak', 'expensive', 'Doang']")</f>
        <v>['Unlimited', 'Mak', 'expensive', 'Doang']</v>
      </c>
      <c r="D662" s="3">
        <v>1.0</v>
      </c>
    </row>
    <row r="663" ht="15.75" customHeight="1">
      <c r="A663" s="1">
        <v>704.0</v>
      </c>
      <c r="B663" s="3" t="s">
        <v>653</v>
      </c>
      <c r="C663" s="3" t="str">
        <f>IFERROR(__xludf.DUMMYFUNCTION("GOOGLETRANSLATE(B663,""id"",""en"")"),"['package', 'internet', 'cheap', 'expensive', 'quality', 'dilapidated', '']")</f>
        <v>['package', 'internet', 'cheap', 'expensive', 'quality', 'dilapidated', '']</v>
      </c>
      <c r="D663" s="3">
        <v>3.0</v>
      </c>
    </row>
    <row r="664" ht="15.75" customHeight="1">
      <c r="A664" s="1">
        <v>705.0</v>
      </c>
      <c r="B664" s="3" t="s">
        <v>654</v>
      </c>
      <c r="C664" s="3" t="str">
        <f>IFERROR(__xludf.DUMMYFUNCTION("GOOGLETRANSLATE(B664,""id"",""en"")"),"['Purchase', 'Package', 'Data', 'Application', 'Update']")</f>
        <v>['Purchase', 'Package', 'Data', 'Application', 'Update']</v>
      </c>
      <c r="D664" s="3">
        <v>1.0</v>
      </c>
    </row>
    <row r="665" ht="15.75" customHeight="1">
      <c r="A665" s="1">
        <v>706.0</v>
      </c>
      <c r="B665" s="3" t="s">
        <v>655</v>
      </c>
      <c r="C665" s="3" t="str">
        <f>IFERROR(__xludf.DUMMYFUNCTION("GOOGLETRANSLATE(B665,""id"",""en"")"),"['Easy', 'Ribet', '']")</f>
        <v>['Easy', 'Ribet', '']</v>
      </c>
      <c r="D665" s="3">
        <v>5.0</v>
      </c>
    </row>
    <row r="666" ht="15.75" customHeight="1">
      <c r="A666" s="1">
        <v>707.0</v>
      </c>
      <c r="B666" s="3" t="s">
        <v>656</v>
      </c>
      <c r="C666" s="3" t="str">
        <f>IFERROR(__xludf.DUMMYFUNCTION("GOOGLETRANSLATE(B666,""id"",""en"")"),"['Severe', 'Telkomsel', 'Difficult', 'Buy', 'Packet']")</f>
        <v>['Severe', 'Telkomsel', 'Difficult', 'Buy', 'Packet']</v>
      </c>
      <c r="D666" s="3">
        <v>1.0</v>
      </c>
    </row>
    <row r="667" ht="15.75" customHeight="1">
      <c r="A667" s="1">
        <v>708.0</v>
      </c>
      <c r="B667" s="3" t="s">
        <v>657</v>
      </c>
      <c r="C667" s="3" t="str">
        <f>IFERROR(__xludf.DUMMYFUNCTION("GOOGLETRANSLATE(B667,""id"",""en"")"),"['Kouta', 'run out', 'sucked', 'pulse']")</f>
        <v>['Kouta', 'run out', 'sucked', 'pulse']</v>
      </c>
      <c r="D667" s="3">
        <v>5.0</v>
      </c>
    </row>
    <row r="668" ht="15.75" customHeight="1">
      <c r="A668" s="1">
        <v>709.0</v>
      </c>
      <c r="B668" s="3" t="s">
        <v>658</v>
      </c>
      <c r="C668" s="3" t="str">
        <f>IFERROR(__xludf.DUMMYFUNCTION("GOOGLETRANSLATE(B668,""id"",""en"")"),"['Times', 'Login', 'FAIL']")</f>
        <v>['Times', 'Login', 'FAIL']</v>
      </c>
      <c r="D668" s="3">
        <v>1.0</v>
      </c>
    </row>
    <row r="669" ht="15.75" customHeight="1">
      <c r="A669" s="1">
        <v>710.0</v>
      </c>
      <c r="B669" s="3" t="s">
        <v>659</v>
      </c>
      <c r="C669" s="3" t="str">
        <f>IFERROR(__xludf.DUMMYFUNCTION("GOOGLETRANSLATE(B669,""id"",""en"")"),"['Telkomsel', 'Sindy', 'Aura', 'Ayu', 'Dewi', 'Samsung', 'Galaxy', ""]")</f>
        <v>['Telkomsel', 'Sindy', 'Aura', 'Ayu', 'Dewi', 'Samsung', 'Galaxy', "]</v>
      </c>
      <c r="D669" s="3">
        <v>5.0</v>
      </c>
    </row>
    <row r="670" ht="15.75" customHeight="1">
      <c r="A670" s="1">
        <v>711.0</v>
      </c>
      <c r="B670" s="3" t="s">
        <v>660</v>
      </c>
      <c r="C670" s="3" t="str">
        <f>IFERROR(__xludf.DUMMYFUNCTION("GOOGLETRANSLATE(B670,""id"",""en"")"),"['take', 'quota', 'extra', 'error']")</f>
        <v>['take', 'quota', 'extra', 'error']</v>
      </c>
      <c r="D670" s="3">
        <v>1.0</v>
      </c>
    </row>
    <row r="671" ht="15.75" customHeight="1">
      <c r="A671" s="1">
        <v>712.0</v>
      </c>
      <c r="B671" s="3" t="s">
        <v>661</v>
      </c>
      <c r="C671" s="3" t="str">
        <f>IFERROR(__xludf.DUMMYFUNCTION("GOOGLETRANSLATE(B671,""id"",""en"")"),"['signal', 'missing']")</f>
        <v>['signal', 'missing']</v>
      </c>
      <c r="D671" s="3">
        <v>1.0</v>
      </c>
    </row>
    <row r="672" ht="15.75" customHeight="1">
      <c r="A672" s="1">
        <v>713.0</v>
      </c>
      <c r="B672" s="3" t="s">
        <v>662</v>
      </c>
      <c r="C672" s="3" t="str">
        <f>IFERROR(__xludf.DUMMYFUNCTION("GOOGLETRANSLATE(B672,""id"",""en"")"),"['application', 'help', 'easy', 'basically', 'success', 'Telkomsel']")</f>
        <v>['application', 'help', 'easy', 'basically', 'success', 'Telkomsel']</v>
      </c>
      <c r="D672" s="3">
        <v>5.0</v>
      </c>
    </row>
    <row r="673" ht="15.75" customHeight="1">
      <c r="A673" s="1">
        <v>714.0</v>
      </c>
      <c r="B673" s="3" t="s">
        <v>663</v>
      </c>
      <c r="C673" s="3" t="str">
        <f>IFERROR(__xludf.DUMMYFUNCTION("GOOGLETRANSLATE(B673,""id"",""en"")"),"['price', '']")</f>
        <v>['price', '']</v>
      </c>
      <c r="D673" s="3">
        <v>5.0</v>
      </c>
    </row>
    <row r="674" ht="15.75" customHeight="1">
      <c r="A674" s="1">
        <v>715.0</v>
      </c>
      <c r="B674" s="3" t="s">
        <v>664</v>
      </c>
      <c r="C674" s="3" t="str">
        <f>IFERROR(__xludf.DUMMYFUNCTION("GOOGLETRANSLATE(B674,""id"",""en"")"),"['', 'Google', 'pixel', 'download', 'gave', 'suggestion', 'clear', 'cache', 'already', 'sampe', 'factory', 'reset', 'tetep ']")</f>
        <v>['', 'Google', 'pixel', 'download', 'gave', 'suggestion', 'clear', 'cache', 'already', 'sampe', 'factory', 'reset', 'tetep ']</v>
      </c>
      <c r="D674" s="3">
        <v>1.0</v>
      </c>
    </row>
    <row r="675" ht="15.75" customHeight="1">
      <c r="A675" s="1">
        <v>716.0</v>
      </c>
      <c r="B675" s="3" t="s">
        <v>665</v>
      </c>
      <c r="C675" s="3" t="str">
        <f>IFERROR(__xludf.DUMMYFUNCTION("GOOGLETRANSLATE(B675,""id"",""en"")"),"['Utamain', 'knyhangan', 'pngguna', 'provider', 'expensive', 'service', 'prah', 'kyk', 'gini', 'jgration', 'jga', 'kdng', ' dead ',' slow ',' pket ',' call ',' jga ',' kdng ',' brmslh ',' quota ',' mltimedia ',' dipake ',' game ',' bbrpa ',' apk ' , 'Game"&amp;"', 'limited', 'KCPTN', 'Package', 'CMBO', 'SKTI', 'Unlimted', 'Divided', 'SGLA', 'LGI', 'Severe', 'Trus',' The package ',' expensive ',' already ',' expensive ',' divided ',' Hedeh ',' Herusain ',' user ',' quota ',' multimedia ',' nggur ',' kepake ',' ud"&amp;"h ' , 'numped', 'smpe', 'tens', 'sad', '']")</f>
        <v>['Utamain', 'knyhangan', 'pngguna', 'provider', 'expensive', 'service', 'prah', 'kyk', 'gini', 'jgration', 'jga', 'kdng', ' dead ',' slow ',' pket ',' call ',' jga ',' kdng ',' brmslh ',' quota ',' mltimedia ',' dipake ',' game ',' bbrpa ',' apk ' , 'Game', 'limited', 'KCPTN', 'Package', 'CMBO', 'SKTI', 'Unlimted', 'Divided', 'SGLA', 'LGI', 'Severe', 'Trus',' The package ',' expensive ',' already ',' expensive ',' divided ',' Hedeh ',' Herusain ',' user ',' quota ',' multimedia ',' nggur ',' kepake ',' udh ' , 'numped', 'smpe', 'tens', 'sad', '']</v>
      </c>
      <c r="D675" s="3">
        <v>1.0</v>
      </c>
    </row>
    <row r="676" ht="15.75" customHeight="1">
      <c r="A676" s="1">
        <v>717.0</v>
      </c>
      <c r="B676" s="3" t="s">
        <v>666</v>
      </c>
      <c r="C676" s="3" t="str">
        <f>IFERROR(__xludf.DUMMYFUNCTION("GOOGLETRANSLATE(B676,""id"",""en"")"),"['Signal', 'slow', 'slow']")</f>
        <v>['Signal', 'slow', 'slow']</v>
      </c>
      <c r="D676" s="3">
        <v>1.0</v>
      </c>
    </row>
    <row r="677" ht="15.75" customHeight="1">
      <c r="A677" s="1">
        <v>719.0</v>
      </c>
      <c r="B677" s="3" t="s">
        <v>343</v>
      </c>
      <c r="C677" s="3" t="str">
        <f>IFERROR(__xludf.DUMMYFUNCTION("GOOGLETRANSLATE(B677,""id"",""en"")"),"['Good', 'like']")</f>
        <v>['Good', 'like']</v>
      </c>
      <c r="D677" s="3">
        <v>5.0</v>
      </c>
    </row>
    <row r="678" ht="15.75" customHeight="1">
      <c r="A678" s="1">
        <v>720.0</v>
      </c>
      <c r="B678" s="3" t="s">
        <v>667</v>
      </c>
      <c r="C678" s="3" t="str">
        <f>IFERROR(__xludf.DUMMYFUNCTION("GOOGLETRANSLATE(B678,""id"",""en"")"),"['Good', 'Network', '']")</f>
        <v>['Good', 'Network', '']</v>
      </c>
      <c r="D678" s="3">
        <v>5.0</v>
      </c>
    </row>
    <row r="679" ht="15.75" customHeight="1">
      <c r="A679" s="1">
        <v>721.0</v>
      </c>
      <c r="B679" s="3" t="s">
        <v>668</v>
      </c>
      <c r="C679" s="3" t="str">
        <f>IFERROR(__xludf.DUMMYFUNCTION("GOOGLETRANSLATE(B679,""id"",""en"")"),"['inspirational', 'satisfied', 'quota', 'expensive', 'expensive']")</f>
        <v>['inspirational', 'satisfied', 'quota', 'expensive', 'expensive']</v>
      </c>
      <c r="D679" s="3">
        <v>5.0</v>
      </c>
    </row>
    <row r="680" ht="15.75" customHeight="1">
      <c r="A680" s="1">
        <v>722.0</v>
      </c>
      <c r="B680" s="3" t="s">
        <v>669</v>
      </c>
      <c r="C680" s="3" t="str">
        <f>IFERROR(__xludf.DUMMYFUNCTION("GOOGLETRANSLATE(B680,""id"",""en"")"),"['good']")</f>
        <v>['good']</v>
      </c>
      <c r="D680" s="3">
        <v>5.0</v>
      </c>
    </row>
    <row r="681" ht="15.75" customHeight="1">
      <c r="A681" s="1">
        <v>723.0</v>
      </c>
      <c r="B681" s="3" t="s">
        <v>670</v>
      </c>
      <c r="C681" s="3" t="str">
        <f>IFERROR(__xludf.DUMMYFUNCTION("GOOGLETRANSLATE(B681,""id"",""en"")"),"['star', 'dlu', 'next', 'love', 'bntang', 'volt']")</f>
        <v>['star', 'dlu', 'next', 'love', 'bntang', 'volt']</v>
      </c>
      <c r="D681" s="3">
        <v>4.0</v>
      </c>
    </row>
    <row r="682" ht="15.75" customHeight="1">
      <c r="A682" s="1">
        <v>724.0</v>
      </c>
      <c r="B682" s="3" t="s">
        <v>671</v>
      </c>
      <c r="C682" s="3" t="str">
        <f>IFERROR(__xludf.DUMMYFUNCTION("GOOGLETRANSLATE(B682,""id"",""en"")"),"['Believe', 'Telkomsel', 'Wear', 'Card', 'Telkomsel']")</f>
        <v>['Believe', 'Telkomsel', 'Wear', 'Card', 'Telkomsel']</v>
      </c>
      <c r="D682" s="3">
        <v>5.0</v>
      </c>
    </row>
    <row r="683" ht="15.75" customHeight="1">
      <c r="A683" s="1">
        <v>726.0</v>
      </c>
      <c r="B683" s="3" t="s">
        <v>672</v>
      </c>
      <c r="C683" s="3" t="str">
        <f>IFERROR(__xludf.DUMMYFUNCTION("GOOGLETRANSLATE(B683,""id"",""en"")"),"['sympathy', 'plus', 'signal', 'wokeeh', 'WLW', 'countryside', 'mountains', 'minus', 'wasteful', 'expensive', ""]")</f>
        <v>['sympathy', 'plus', 'signal', 'wokeeh', 'WLW', 'countryside', 'mountains', 'minus', 'wasteful', 'expensive', "]</v>
      </c>
      <c r="D683" s="3">
        <v>5.0</v>
      </c>
    </row>
    <row r="684" ht="15.75" customHeight="1">
      <c r="A684" s="1">
        <v>727.0</v>
      </c>
      <c r="B684" s="3" t="s">
        <v>673</v>
      </c>
      <c r="C684" s="3" t="str">
        <f>IFERROR(__xludf.DUMMYFUNCTION("GOOGLETRANSLATE(B684,""id"",""en"")"),"['pokonya', 'Bags']")</f>
        <v>['pokonya', 'Bags']</v>
      </c>
      <c r="D684" s="3">
        <v>5.0</v>
      </c>
    </row>
    <row r="685" ht="15.75" customHeight="1">
      <c r="A685" s="1">
        <v>728.0</v>
      </c>
      <c r="B685" s="3" t="s">
        <v>674</v>
      </c>
      <c r="C685" s="3" t="str">
        <f>IFERROR(__xludf.DUMMYFUNCTION("GOOGLETRANSLATE(B685,""id"",""en"")"),"['Network', 'ugly', 'package', 'unlimeted', 'ugly', 'oath', 'original', 'ugly', 'bagan', 'Indosat', 'the network', 'looks',' Date ',' good ',' buy ',' unlimited ',' tip ',' tip ',' ugly ',' ']")</f>
        <v>['Network', 'ugly', 'package', 'unlimeted', 'ugly', 'oath', 'original', 'ugly', 'bagan', 'Indosat', 'the network', 'looks',' Date ',' good ',' buy ',' unlimited ',' tip ',' tip ',' ugly ',' ']</v>
      </c>
      <c r="D685" s="3">
        <v>1.0</v>
      </c>
    </row>
    <row r="686" ht="15.75" customHeight="1">
      <c r="A686" s="1">
        <v>729.0</v>
      </c>
      <c r="B686" s="3" t="s">
        <v>675</v>
      </c>
      <c r="C686" s="3" t="str">
        <f>IFERROR(__xludf.DUMMYFUNCTION("GOOGLETRANSLATE(B686,""id"",""en"")"),"['Telkomsel', 'Heart', 'Life', 'BUMN', 'Indonesia']")</f>
        <v>['Telkomsel', 'Heart', 'Life', 'BUMN', 'Indonesia']</v>
      </c>
      <c r="D686" s="3">
        <v>5.0</v>
      </c>
    </row>
    <row r="687" ht="15.75" customHeight="1">
      <c r="A687" s="1">
        <v>730.0</v>
      </c>
      <c r="B687" s="3" t="s">
        <v>676</v>
      </c>
      <c r="C687" s="3" t="str">
        <f>IFERROR(__xludf.DUMMYFUNCTION("GOOGLETRANSLATE(B687,""id"",""en"")"),"['Good', 'service', 'transaction']")</f>
        <v>['Good', 'service', 'transaction']</v>
      </c>
      <c r="D687" s="3">
        <v>3.0</v>
      </c>
    </row>
    <row r="688" ht="15.75" customHeight="1">
      <c r="A688" s="1">
        <v>731.0</v>
      </c>
      <c r="B688" s="3" t="s">
        <v>408</v>
      </c>
      <c r="C688" s="3" t="str">
        <f>IFERROR(__xludf.DUMMYFUNCTION("GOOGLETRANSLATE(B688,""id"",""en"")"),"['try']")</f>
        <v>['try']</v>
      </c>
      <c r="D688" s="3">
        <v>4.0</v>
      </c>
    </row>
    <row r="689" ht="15.75" customHeight="1">
      <c r="A689" s="1">
        <v>732.0</v>
      </c>
      <c r="B689" s="3" t="s">
        <v>677</v>
      </c>
      <c r="C689" s="3" t="str">
        <f>IFERROR(__xludf.DUMMYFUNCTION("GOOGLETRANSLATE(B689,""id"",""en"")"),"['makes it easier', 'transaction', 'like']")</f>
        <v>['makes it easier', 'transaction', 'like']</v>
      </c>
      <c r="D689" s="3">
        <v>5.0</v>
      </c>
    </row>
    <row r="690" ht="15.75" customHeight="1">
      <c r="A690" s="1">
        <v>733.0</v>
      </c>
      <c r="B690" s="3" t="s">
        <v>678</v>
      </c>
      <c r="C690" s="3" t="str">
        <f>IFERROR(__xludf.DUMMYFUNCTION("GOOGLETRANSLATE(B690,""id"",""en"")"),"['happy', 'fast']")</f>
        <v>['happy', 'fast']</v>
      </c>
      <c r="D690" s="3">
        <v>5.0</v>
      </c>
    </row>
    <row r="691" ht="15.75" customHeight="1">
      <c r="A691" s="1">
        <v>734.0</v>
      </c>
      <c r="B691" s="3" t="s">
        <v>679</v>
      </c>
      <c r="C691" s="3" t="str">
        <f>IFERROR(__xludf.DUMMYFUNCTION("GOOGLETRANSLATE(B691,""id"",""en"")"),"['Thank you', 'Telkomsel', 'Easily', 'Buy', 'Package']")</f>
        <v>['Thank you', 'Telkomsel', 'Easily', 'Buy', 'Package']</v>
      </c>
      <c r="D691" s="3">
        <v>5.0</v>
      </c>
    </row>
    <row r="692" ht="15.75" customHeight="1">
      <c r="A692" s="1">
        <v>735.0</v>
      </c>
      <c r="B692" s="3" t="s">
        <v>680</v>
      </c>
      <c r="C692" s="3" t="str">
        <f>IFERROR(__xludf.DUMMYFUNCTION("GOOGLETRANSLATE(B692,""id"",""en"")"),"['quality', 'product', 'good', 'network', 'okay', 'TPI', 'darling', 'no', 'free', 'youtube']")</f>
        <v>['quality', 'product', 'good', 'network', 'okay', 'TPI', 'darling', 'no', 'free', 'youtube']</v>
      </c>
      <c r="D692" s="3">
        <v>5.0</v>
      </c>
    </row>
    <row r="693" ht="15.75" customHeight="1">
      <c r="A693" s="1">
        <v>737.0</v>
      </c>
      <c r="B693" s="3" t="s">
        <v>681</v>
      </c>
      <c r="C693" s="3" t="str">
        <f>IFERROR(__xludf.DUMMYFUNCTION("GOOGLETRANSLATE(B693,""id"",""en"")"),"['signal', 'Telkomsel', 'ugly', 'widest', 'stable']")</f>
        <v>['signal', 'Telkomsel', 'ugly', 'widest', 'stable']</v>
      </c>
      <c r="D693" s="3">
        <v>1.0</v>
      </c>
    </row>
    <row r="694" ht="15.75" customHeight="1">
      <c r="A694" s="1">
        <v>738.0</v>
      </c>
      <c r="B694" s="3" t="s">
        <v>682</v>
      </c>
      <c r="C694" s="3" t="str">
        <f>IFERROR(__xludf.DUMMYFUNCTION("GOOGLETRANSLATE(B694,""id"",""en"")"),"['', 'Scroll', 'down', 'UDH', 'Good', 'Application', 'Recommended']")</f>
        <v>['', 'Scroll', 'down', 'UDH', 'Good', 'Application', 'Recommended']</v>
      </c>
      <c r="D694" s="3">
        <v>5.0</v>
      </c>
    </row>
    <row r="695" ht="15.75" customHeight="1">
      <c r="A695" s="1">
        <v>739.0</v>
      </c>
      <c r="B695" s="3" t="s">
        <v>683</v>
      </c>
      <c r="C695" s="3" t="str">
        <f>IFERROR(__xludf.DUMMYFUNCTION("GOOGLETRANSLATE(B695,""id"",""en"")"),"['', 'forget']")</f>
        <v>['', 'forget']</v>
      </c>
      <c r="D695" s="3">
        <v>5.0</v>
      </c>
    </row>
    <row r="696" ht="15.75" customHeight="1">
      <c r="A696" s="1">
        <v>740.0</v>
      </c>
      <c r="B696" s="3" t="s">
        <v>684</v>
      </c>
      <c r="C696" s="3" t="str">
        <f>IFERROR(__xludf.DUMMYFUNCTION("GOOGLETRANSLATE(B696,""id"",""en"")"),"['activate', 'card', 'Hello', 'Non', 'Activate', 'Telkomsel', '']")</f>
        <v>['activate', 'card', 'Hello', 'Non', 'Activate', 'Telkomsel', '']</v>
      </c>
      <c r="D696" s="3">
        <v>5.0</v>
      </c>
    </row>
    <row r="697" ht="15.75" customHeight="1">
      <c r="A697" s="1">
        <v>742.0</v>
      </c>
      <c r="B697" s="3" t="s">
        <v>685</v>
      </c>
      <c r="C697" s="3" t="str">
        <f>IFERROR(__xludf.DUMMYFUNCTION("GOOGLETRANSLATE(B697,""id"",""en"")"),"['difficult', 'really', 'entry', 'complicated', 'style', 'use', 'OTP', 'garbage']")</f>
        <v>['difficult', 'really', 'entry', 'complicated', 'style', 'use', 'OTP', 'garbage']</v>
      </c>
      <c r="D697" s="3">
        <v>1.0</v>
      </c>
    </row>
    <row r="698" ht="15.75" customHeight="1">
      <c r="A698" s="1">
        <v>743.0</v>
      </c>
      <c r="B698" s="3" t="s">
        <v>686</v>
      </c>
      <c r="C698" s="3" t="str">
        <f>IFERROR(__xludf.DUMMYFUNCTION("GOOGLETRANSLATE(B698,""id"",""en"")"),"['application', 'complicated', 'letter', 'history', 'purchase', 'active']")</f>
        <v>['application', 'complicated', 'letter', 'history', 'purchase', 'active']</v>
      </c>
      <c r="D698" s="3">
        <v>2.0</v>
      </c>
    </row>
    <row r="699" ht="15.75" customHeight="1">
      <c r="A699" s="1">
        <v>745.0</v>
      </c>
      <c r="B699" s="3" t="s">
        <v>687</v>
      </c>
      <c r="C699" s="3" t="str">
        <f>IFERROR(__xludf.DUMMYFUNCTION("GOOGLETRANSLATE(B699,""id"",""en"")"),"['Good', 'buy', 'package', 'internet', 'easy', 'easy', 'signal', 'thank you']")</f>
        <v>['Good', 'buy', 'package', 'internet', 'easy', 'easy', 'signal', 'thank you']</v>
      </c>
      <c r="D699" s="3">
        <v>5.0</v>
      </c>
    </row>
    <row r="700" ht="15.75" customHeight="1">
      <c r="A700" s="1">
        <v>746.0</v>
      </c>
      <c r="B700" s="3" t="s">
        <v>688</v>
      </c>
      <c r="C700" s="3" t="str">
        <f>IFERROR(__xludf.DUMMYFUNCTION("GOOGLETRANSLATE(B700,""id"",""en"")"),"['quality', 'network', 'bad', 'please', 'fixed', 'network', 'customer', 'moved', 'operator', '']")</f>
        <v>['quality', 'network', 'bad', 'please', 'fixed', 'network', 'customer', 'moved', 'operator', '']</v>
      </c>
      <c r="D700" s="3">
        <v>1.0</v>
      </c>
    </row>
    <row r="701" ht="15.75" customHeight="1">
      <c r="A701" s="1">
        <v>747.0</v>
      </c>
      <c r="B701" s="3" t="s">
        <v>689</v>
      </c>
      <c r="C701" s="3" t="str">
        <f>IFERROR(__xludf.DUMMYFUNCTION("GOOGLETRANSLATE(B701,""id"",""en"")"),"['Steady', 'Estaining', 'Quality', 'Service', '']")</f>
        <v>['Steady', 'Estaining', 'Quality', 'Service', '']</v>
      </c>
      <c r="D701" s="3">
        <v>4.0</v>
      </c>
    </row>
    <row r="702" ht="15.75" customHeight="1">
      <c r="A702" s="1">
        <v>748.0</v>
      </c>
      <c r="B702" s="3" t="s">
        <v>690</v>
      </c>
      <c r="C702" s="3" t="str">
        <f>IFERROR(__xludf.DUMMYFUNCTION("GOOGLETRANSLATE(B702,""id"",""en"")"),"['buy', 'quota', 'enter', 'enter', 'told', 'wait', 'until', 'love', 'star', 'price', 'expensive', 'do "" Services', 'Severe', '']")</f>
        <v>['buy', 'quota', 'enter', 'enter', 'told', 'wait', 'until', 'love', 'star', 'price', 'expensive', 'do " Services', 'Severe', '']</v>
      </c>
      <c r="D702" s="3">
        <v>1.0</v>
      </c>
    </row>
    <row r="703" ht="15.75" customHeight="1">
      <c r="A703" s="1">
        <v>749.0</v>
      </c>
      <c r="B703" s="3" t="s">
        <v>691</v>
      </c>
      <c r="C703" s="3" t="str">
        <f>IFERROR(__xludf.DUMMYFUNCTION("GOOGLETRANSLATE(B703,""id"",""en"")"),"['network', 'slow', 'replace', 'postpaid', 'prepaid', 'card', 'used', 'have', 'network', 'gpp', 'mah', 'slow', ' very']")</f>
        <v>['network', 'slow', 'replace', 'postpaid', 'prepaid', 'card', 'used', 'have', 'network', 'gpp', 'mah', 'slow', ' very']</v>
      </c>
      <c r="D703" s="3">
        <v>1.0</v>
      </c>
    </row>
    <row r="704" ht="15.75" customHeight="1">
      <c r="A704" s="1">
        <v>750.0</v>
      </c>
      <c r="B704" s="3" t="s">
        <v>692</v>
      </c>
      <c r="C704" s="3" t="str">
        <f>IFERROR(__xludf.DUMMYFUNCTION("GOOGLETRANSLATE(B704,""id"",""en"")"),"['many years',' pke ',' sympathy ',' here ',' network ',' expensive ',' doang ',' quota ',' network ',' parahhhhh ',' tasty ',' maen ',' Game ',' Online ',' Telkomsel ',' Sumpikhhh ',' Telkomsel ',' Ngeluarin ',' Jngn ',' Tower ',' Sympathy ',' Eat ',' Ne"&amp;"twork ',' Sympathy ',' Kebag ' , 'Ngernti', 'LGI', 'Cave', '']")</f>
        <v>['many years',' pke ',' sympathy ',' here ',' network ',' expensive ',' doang ',' quota ',' network ',' parahhhhh ',' tasty ',' maen ',' Game ',' Online ',' Telkomsel ',' Sumpikhhh ',' Telkomsel ',' Ngeluarin ',' Jngn ',' Tower ',' Sympathy ',' Eat ',' Network ',' Sympathy ',' Kebag ' , 'Ngernti', 'LGI', 'Cave', '']</v>
      </c>
      <c r="D704" s="3">
        <v>1.0</v>
      </c>
    </row>
    <row r="705" ht="15.75" customHeight="1">
      <c r="A705" s="1">
        <v>751.0</v>
      </c>
      <c r="B705" s="3" t="s">
        <v>693</v>
      </c>
      <c r="C705" s="3" t="str">
        <f>IFERROR(__xludf.DUMMYFUNCTION("GOOGLETRANSLATE(B705,""id"",""en"")"),"['It's easy for', 'check', 'pulse', 'quota', '']")</f>
        <v>['It's easy for', 'check', 'pulse', 'quota', '']</v>
      </c>
      <c r="D705" s="3">
        <v>5.0</v>
      </c>
    </row>
    <row r="706" ht="15.75" customHeight="1">
      <c r="A706" s="1">
        <v>752.0</v>
      </c>
      <c r="B706" s="3" t="s">
        <v>694</v>
      </c>
      <c r="C706" s="3" t="str">
        <f>IFERROR(__xludf.DUMMYFUNCTION("GOOGLETRANSLATE(B706,""id"",""en"")"),"['Kouta', 'expensive', 'bangett']")</f>
        <v>['Kouta', 'expensive', 'bangett']</v>
      </c>
      <c r="D706" s="3">
        <v>1.0</v>
      </c>
    </row>
    <row r="707" ht="15.75" customHeight="1">
      <c r="A707" s="1">
        <v>753.0</v>
      </c>
      <c r="B707" s="3" t="s">
        <v>695</v>
      </c>
      <c r="C707" s="3" t="str">
        <f>IFERROR(__xludf.DUMMYFUNCTION("GOOGLETRANSLATE(B707,""id"",""en"")"),"['knapa', 'buy', 'quota', 'internet', 'unlimited', 'max']")</f>
        <v>['knapa', 'buy', 'quota', 'internet', 'unlimited', 'max']</v>
      </c>
      <c r="D707" s="3">
        <v>1.0</v>
      </c>
    </row>
    <row r="708" ht="15.75" customHeight="1">
      <c r="A708" s="1">
        <v>754.0</v>
      </c>
      <c r="B708" s="3" t="s">
        <v>696</v>
      </c>
      <c r="C708" s="3" t="str">
        <f>IFERROR(__xludf.DUMMYFUNCTION("GOOGLETRANSLATE(B708,""id"",""en"")"),"['APK', 'steady']")</f>
        <v>['APK', 'steady']</v>
      </c>
      <c r="D708" s="3">
        <v>5.0</v>
      </c>
    </row>
    <row r="709" ht="15.75" customHeight="1">
      <c r="A709" s="1">
        <v>755.0</v>
      </c>
      <c r="B709" s="3" t="s">
        <v>697</v>
      </c>
      <c r="C709" s="3" t="str">
        <f>IFERROR(__xludf.DUMMYFUNCTION("GOOGLETRANSLATE(B709,""id"",""en"")"),"['surprised', 'Telkomsel', 'package', 'data', 'byk', 'network', 'signal', 'ugly', 'cut', 'pulse', 'main', 'pulses',' Main ',' Out ',' Telkomsel ',' Disappointed ']")</f>
        <v>['surprised', 'Telkomsel', 'package', 'data', 'byk', 'network', 'signal', 'ugly', 'cut', 'pulse', 'main', 'pulses',' Main ',' Out ',' Telkomsel ',' Disappointed ']</v>
      </c>
      <c r="D709" s="3">
        <v>1.0</v>
      </c>
    </row>
    <row r="710" ht="15.75" customHeight="1">
      <c r="A710" s="1">
        <v>756.0</v>
      </c>
      <c r="B710" s="3" t="s">
        <v>698</v>
      </c>
      <c r="C710" s="3" t="str">
        <f>IFERROR(__xludf.DUMMYFUNCTION("GOOGLETRANSLATE(B710,""id"",""en"")"),"['try', 'APK', 'hope', 'satisfying', ""]")</f>
        <v>['try', 'APK', 'hope', 'satisfying', "]</v>
      </c>
      <c r="D710" s="3">
        <v>4.0</v>
      </c>
    </row>
    <row r="711" ht="15.75" customHeight="1">
      <c r="A711" s="1">
        <v>757.0</v>
      </c>
      <c r="B711" s="3" t="s">
        <v>699</v>
      </c>
      <c r="C711" s="3" t="str">
        <f>IFERROR(__xludf.DUMMYFUNCTION("GOOGLETRANSLATE(B711,""id"",""en"")"),"['Package', 'GB', 'Is there']")</f>
        <v>['Package', 'GB', 'Is there']</v>
      </c>
      <c r="D711" s="3">
        <v>5.0</v>
      </c>
    </row>
    <row r="712" ht="15.75" customHeight="1">
      <c r="A712" s="1">
        <v>758.0</v>
      </c>
      <c r="B712" s="3" t="s">
        <v>700</v>
      </c>
      <c r="C712" s="3" t="str">
        <f>IFERROR(__xludf.DUMMYFUNCTION("GOOGLETRANSLATE(B712,""id"",""en"")"),"['Service', 'Bad', 'really', 'pls',' Cut ',' repayment ',' pls', 'emergency', 'kpn', 'weee', 'telkomsel', 'owe', ' ']")</f>
        <v>['Service', 'Bad', 'really', 'pls',' Cut ',' repayment ',' pls', 'emergency', 'kpn', 'weee', 'telkomsel', 'owe', ' ']</v>
      </c>
      <c r="D712" s="3">
        <v>1.0</v>
      </c>
    </row>
    <row r="713" ht="15.75" customHeight="1">
      <c r="A713" s="1">
        <v>759.0</v>
      </c>
      <c r="B713" s="3" t="s">
        <v>701</v>
      </c>
      <c r="C713" s="3" t="str">
        <f>IFERROR(__xludf.DUMMYFUNCTION("GOOGLETRANSLATE(B713,""id"",""en"")"),"['Telkomsel', 'The', 'Best', 'deh', ""]")</f>
        <v>['Telkomsel', 'The', 'Best', 'deh', "]</v>
      </c>
      <c r="D713" s="3">
        <v>4.0</v>
      </c>
    </row>
    <row r="714" ht="15.75" customHeight="1">
      <c r="A714" s="1">
        <v>760.0</v>
      </c>
      <c r="B714" s="3" t="s">
        <v>702</v>
      </c>
      <c r="C714" s="3" t="str">
        <f>IFERROR(__xludf.DUMMYFUNCTION("GOOGLETRANSLATE(B714,""id"",""en"")"),"['Cool', 'semakn', 'grow']")</f>
        <v>['Cool', 'semakn', 'grow']</v>
      </c>
      <c r="D714" s="3">
        <v>5.0</v>
      </c>
    </row>
    <row r="715" ht="15.75" customHeight="1">
      <c r="A715" s="1">
        <v>761.0</v>
      </c>
      <c r="B715" s="3" t="s">
        <v>703</v>
      </c>
      <c r="C715" s="3" t="str">
        <f>IFERROR(__xludf.DUMMYFUNCTION("GOOGLETRANSLATE(B715,""id"",""en"")"),"['Kasi', 'star', 'bika', 'slow', 'good', 'love', 'star', '']")</f>
        <v>['Kasi', 'star', 'bika', 'slow', 'good', 'love', 'star', '']</v>
      </c>
      <c r="D715" s="3">
        <v>5.0</v>
      </c>
    </row>
    <row r="716" ht="15.75" customHeight="1">
      <c r="A716" s="1">
        <v>763.0</v>
      </c>
      <c r="B716" s="3" t="s">
        <v>704</v>
      </c>
      <c r="C716" s="3" t="str">
        <f>IFERROR(__xludf.DUMMYFUNCTION("GOOGLETRANSLATE(B716,""id"",""en"")"),"['Stepping', 'Satisfied', 'Customer', '']")</f>
        <v>['Stepping', 'Satisfied', 'Customer', '']</v>
      </c>
      <c r="D716" s="3">
        <v>5.0</v>
      </c>
    </row>
    <row r="717" ht="15.75" customHeight="1">
      <c r="A717" s="1">
        <v>764.0</v>
      </c>
      <c r="B717" s="3" t="s">
        <v>705</v>
      </c>
      <c r="C717" s="3" t="str">
        <f>IFERROR(__xludf.DUMMYFUNCTION("GOOGLETRANSLATE(B717,""id"",""en"")"),"['Network', 'Telkomsel', 'Region', 'Merangin', 'ugly', 'user', 'loyal']")</f>
        <v>['Network', 'Telkomsel', 'Region', 'Merangin', 'ugly', 'user', 'loyal']</v>
      </c>
      <c r="D717" s="3">
        <v>2.0</v>
      </c>
    </row>
    <row r="718" ht="15.75" customHeight="1">
      <c r="A718" s="1">
        <v>765.0</v>
      </c>
      <c r="B718" s="3" t="s">
        <v>706</v>
      </c>
      <c r="C718" s="3" t="str">
        <f>IFERROR(__xludf.DUMMYFUNCTION("GOOGLETRANSLATE(B718,""id"",""en"")"),"['Steady', 'Success', 'Telkomsel', 'Boskuh', 'Please', 'Enhanced', 'Quality', 'Signal', ""]")</f>
        <v>['Steady', 'Success', 'Telkomsel', 'Boskuh', 'Please', 'Enhanced', 'Quality', 'Signal', "]</v>
      </c>
      <c r="D718" s="3">
        <v>5.0</v>
      </c>
    </row>
    <row r="719" ht="15.75" customHeight="1">
      <c r="A719" s="1">
        <v>766.0</v>
      </c>
      <c r="B719" s="3" t="s">
        <v>707</v>
      </c>
      <c r="C719" s="3" t="str">
        <f>IFERROR(__xludf.DUMMYFUNCTION("GOOGLETRANSLATE(B719,""id"",""en"")"),"['Please', 'Fix', 'Network', 'Quota', 'Local', 'Maen', 'Pig']")</f>
        <v>['Please', 'Fix', 'Network', 'Quota', 'Local', 'Maen', 'Pig']</v>
      </c>
      <c r="D719" s="3">
        <v>1.0</v>
      </c>
    </row>
    <row r="720" ht="15.75" customHeight="1">
      <c r="A720" s="1">
        <v>767.0</v>
      </c>
      <c r="B720" s="3" t="s">
        <v>708</v>
      </c>
      <c r="C720" s="3" t="str">
        <f>IFERROR(__xludf.DUMMYFUNCTION("GOOGLETRANSLATE(B720,""id"",""en"")"),"['Disappointed', 'Signal', 'Crazy', 'Damaged', 'Damaged', 'APK', 'Telkomsel', 'Damaged', 'Already', 'Update', 'BSA', 'Open', ' broken ',' broken ']")</f>
        <v>['Disappointed', 'Signal', 'Crazy', 'Damaged', 'Damaged', 'APK', 'Telkomsel', 'Damaged', 'Already', 'Update', 'BSA', 'Open', ' broken ',' broken ']</v>
      </c>
      <c r="D720" s="3">
        <v>2.0</v>
      </c>
    </row>
    <row r="721" ht="15.75" customHeight="1">
      <c r="A721" s="1">
        <v>768.0</v>
      </c>
      <c r="B721" s="3" t="s">
        <v>709</v>
      </c>
      <c r="C721" s="3" t="str">
        <f>IFERROR(__xludf.DUMMYFUNCTION("GOOGLETRANSLATE(B721,""id"",""en"")"),"['APK', 'good', 'hope', 'tkmsl', 'mangkin', 'mkkkkkkkkkkkkkkkkk', '']")</f>
        <v>['APK', 'good', 'hope', 'tkmsl', 'mangkin', 'mkkkkkkkkkkkkkkkkk', '']</v>
      </c>
      <c r="D721" s="3">
        <v>5.0</v>
      </c>
    </row>
    <row r="722" ht="15.75" customHeight="1">
      <c r="A722" s="1">
        <v>769.0</v>
      </c>
      <c r="B722" s="3" t="s">
        <v>710</v>
      </c>
      <c r="C722" s="3" t="str">
        <f>IFERROR(__xludf.DUMMYFUNCTION("GOOGLETRANSLATE(B722,""id"",""en"")"),"['Easy', 'promo']")</f>
        <v>['Easy', 'promo']</v>
      </c>
      <c r="D722" s="3">
        <v>5.0</v>
      </c>
    </row>
    <row r="723" ht="15.75" customHeight="1">
      <c r="A723" s="1">
        <v>770.0</v>
      </c>
      <c r="B723" s="3" t="s">
        <v>711</v>
      </c>
      <c r="C723" s="3" t="str">
        <f>IFERROR(__xludf.DUMMYFUNCTION("GOOGLETRANSLATE(B723,""id"",""en"")"),"['Okay']")</f>
        <v>['Okay']</v>
      </c>
      <c r="D723" s="3">
        <v>3.0</v>
      </c>
    </row>
    <row r="724" ht="15.75" customHeight="1">
      <c r="A724" s="1">
        <v>771.0</v>
      </c>
      <c r="B724" s="3" t="s">
        <v>712</v>
      </c>
      <c r="C724" s="3" t="str">
        <f>IFERROR(__xludf.DUMMYFUNCTION("GOOGLETRANSLATE(B724,""id"",""en"")"),"['Paketan', 'expensive', 'error', 'kontolll']")</f>
        <v>['Paketan', 'expensive', 'error', 'kontolll']</v>
      </c>
      <c r="D724" s="3">
        <v>1.0</v>
      </c>
    </row>
    <row r="725" ht="15.75" customHeight="1">
      <c r="A725" s="1">
        <v>772.0</v>
      </c>
      <c r="B725" s="3" t="s">
        <v>713</v>
      </c>
      <c r="C725" s="3" t="str">
        <f>IFERROR(__xludf.DUMMYFUNCTION("GOOGLETRANSLATE(B725,""id"",""en"")"),"['Apasih', 'Telkomsel', 'Open', 'Game', 'Ngelag', 'Open', 'site', 'bokep', 'smooth', 'play', 'me', 'Switch', ' So ']")</f>
        <v>['Apasih', 'Telkomsel', 'Open', 'Game', 'Ngelag', 'Open', 'site', 'bokep', 'smooth', 'play', 'me', 'Switch', ' So ']</v>
      </c>
      <c r="D725" s="3">
        <v>1.0</v>
      </c>
    </row>
    <row r="726" ht="15.75" customHeight="1">
      <c r="A726" s="1">
        <v>773.0</v>
      </c>
      <c r="B726" s="3" t="s">
        <v>714</v>
      </c>
      <c r="C726" s="3" t="str">
        <f>IFERROR(__xludf.DUMMYFUNCTION("GOOGLETRANSLATE(B726,""id"",""en"")"),"['Klau', 'Exchange', 'Points', 'Data', 'Persulit']")</f>
        <v>['Klau', 'Exchange', 'Points', 'Data', 'Persulit']</v>
      </c>
      <c r="D726" s="3">
        <v>4.0</v>
      </c>
    </row>
    <row r="727" ht="15.75" customHeight="1">
      <c r="A727" s="1">
        <v>774.0</v>
      </c>
      <c r="B727" s="3" t="s">
        <v>715</v>
      </c>
      <c r="C727" s="3" t="str">
        <f>IFERROR(__xludf.DUMMYFUNCTION("GOOGLETRANSLATE(B727,""id"",""en"")"),"['Ntap', 'Anyway']")</f>
        <v>['Ntap', 'Anyway']</v>
      </c>
      <c r="D727" s="3">
        <v>5.0</v>
      </c>
    </row>
    <row r="728" ht="15.75" customHeight="1">
      <c r="A728" s="1">
        <v>775.0</v>
      </c>
      <c r="B728" s="3" t="s">
        <v>716</v>
      </c>
      <c r="C728" s="3" t="str">
        <f>IFERROR(__xludf.DUMMYFUNCTION("GOOGLETRANSLATE(B728,""id"",""en"")"),"['Memudka', 'hope', 'in the future', ""]")</f>
        <v>['Memudka', 'hope', 'in the future', "]</v>
      </c>
      <c r="D728" s="3">
        <v>5.0</v>
      </c>
    </row>
    <row r="729" ht="15.75" customHeight="1">
      <c r="A729" s="1">
        <v>776.0</v>
      </c>
      <c r="B729" s="3" t="s">
        <v>717</v>
      </c>
      <c r="C729" s="3" t="str">
        <f>IFERROR(__xludf.DUMMYFUNCTION("GOOGLETRANSLATE(B729,""id"",""en"")"),"['Pause', 'Open', 'Application', '']")</f>
        <v>['Pause', 'Open', 'Application', '']</v>
      </c>
      <c r="D729" s="3">
        <v>1.0</v>
      </c>
    </row>
    <row r="730" ht="15.75" customHeight="1">
      <c r="A730" s="1">
        <v>777.0</v>
      </c>
      <c r="B730" s="3" t="s">
        <v>718</v>
      </c>
      <c r="C730" s="3" t="str">
        <f>IFERROR(__xludf.DUMMYFUNCTION("GOOGLETRANSLATE(B730,""id"",""en"")"),"['regret', 'use', 'Telkomsel', 'feel', 'wear', 'sympathy', 'incorporated', 'Telkomsel']")</f>
        <v>['regret', 'use', 'Telkomsel', 'feel', 'wear', 'sympathy', 'incorporated', 'Telkomsel']</v>
      </c>
      <c r="D730" s="3">
        <v>5.0</v>
      </c>
    </row>
    <row r="731" ht="15.75" customHeight="1">
      <c r="A731" s="1">
        <v>778.0</v>
      </c>
      <c r="B731" s="3" t="s">
        <v>719</v>
      </c>
      <c r="C731" s="3" t="str">
        <f>IFERROR(__xludf.DUMMYFUNCTION("GOOGLETRANSLATE(B731,""id"",""en"")"),"['Package', 'data', 'unlimited', 'max', 'friend', 'friend', 'strange', 'pdhl', 'user', 'loyal', 'telkomsel', 'udh', ' Dri ',' ']")</f>
        <v>['Package', 'data', 'unlimited', 'max', 'friend', 'friend', 'strange', 'pdhl', 'user', 'loyal', 'telkomsel', 'udh', ' Dri ',' ']</v>
      </c>
      <c r="D731" s="3">
        <v>1.0</v>
      </c>
    </row>
    <row r="732" ht="15.75" customHeight="1">
      <c r="A732" s="1">
        <v>779.0</v>
      </c>
      <c r="B732" s="3" t="s">
        <v>720</v>
      </c>
      <c r="C732" s="3" t="str">
        <f>IFERROR(__xludf.DUMMYFUNCTION("GOOGLETRANSLATE(B732,""id"",""en"")"),"['difficult', 'poor', 'NOT', 'access', 'PDHL', 'update']")</f>
        <v>['difficult', 'poor', 'NOT', 'access', 'PDHL', 'update']</v>
      </c>
      <c r="D732" s="3">
        <v>1.0</v>
      </c>
    </row>
    <row r="733" ht="15.75" customHeight="1">
      <c r="A733" s="1">
        <v>780.0</v>
      </c>
      <c r="B733" s="3" t="s">
        <v>721</v>
      </c>
      <c r="C733" s="3" t="str">
        <f>IFERROR(__xludf.DUMMYFUNCTION("GOOGLETRANSLATE(B733,""id"",""en"")"),"['Telkomsel', 'community', 'world', 'judge', 'best', ""]")</f>
        <v>['Telkomsel', 'community', 'world', 'judge', 'best', "]</v>
      </c>
      <c r="D733" s="3">
        <v>2.0</v>
      </c>
    </row>
    <row r="734" ht="15.75" customHeight="1">
      <c r="A734" s="1">
        <v>781.0</v>
      </c>
      <c r="B734" s="3" t="s">
        <v>722</v>
      </c>
      <c r="C734" s="3" t="str">
        <f>IFERROR(__xludf.DUMMYFUNCTION("GOOGLETRANSLATE(B734,""id"",""en"")"),"['Increase', 'Service']")</f>
        <v>['Increase', 'Service']</v>
      </c>
      <c r="D734" s="3">
        <v>3.0</v>
      </c>
    </row>
    <row r="735" ht="15.75" customHeight="1">
      <c r="A735" s="1">
        <v>782.0</v>
      </c>
      <c r="B735" s="3" t="s">
        <v>723</v>
      </c>
      <c r="C735" s="3" t="str">
        <f>IFERROR(__xludf.DUMMYFUNCTION("GOOGLETRANSLATE(B735,""id"",""en"")"),"['knp', 'skrng', 'Telkomsel', 'missing', 'signal', 'pdhal', 'Telkomsel', 'Kenceng', 'Where']")</f>
        <v>['knp', 'skrng', 'Telkomsel', 'missing', 'signal', 'pdhal', 'Telkomsel', 'Kenceng', 'Where']</v>
      </c>
      <c r="D735" s="3">
        <v>3.0</v>
      </c>
    </row>
    <row r="736" ht="15.75" customHeight="1">
      <c r="A736" s="1">
        <v>783.0</v>
      </c>
      <c r="B736" s="3" t="s">
        <v>724</v>
      </c>
      <c r="C736" s="3" t="str">
        <f>IFERROR(__xludf.DUMMYFUNCTION("GOOGLETRANSLATE(B736,""id"",""en"")"),"['APK', 'Bagus']")</f>
        <v>['APK', 'Bagus']</v>
      </c>
      <c r="D736" s="3">
        <v>5.0</v>
      </c>
    </row>
    <row r="737" ht="15.75" customHeight="1">
      <c r="A737" s="1">
        <v>784.0</v>
      </c>
      <c r="B737" s="3" t="s">
        <v>725</v>
      </c>
      <c r="C737" s="3" t="str">
        <f>IFERROR(__xludf.DUMMYFUNCTION("GOOGLETRANSLATE(B737,""id"",""en"")"),"['', 'comment', 'pnya', 'Telkomsel', '']")</f>
        <v>['', 'comment', 'pnya', 'Telkomsel', '']</v>
      </c>
      <c r="D737" s="3">
        <v>5.0</v>
      </c>
    </row>
    <row r="738" ht="15.75" customHeight="1">
      <c r="A738" s="1">
        <v>785.0</v>
      </c>
      <c r="B738" s="3" t="s">
        <v>726</v>
      </c>
      <c r="C738" s="3" t="str">
        <f>IFERROR(__xludf.DUMMYFUNCTION("GOOGLETRANSLATE(B738,""id"",""en"")"),"['Alhamdulillah', 'Hopefully', 'Do', 'Consumers', 'Consumers', '']")</f>
        <v>['Alhamdulillah', 'Hopefully', 'Do', 'Consumers', 'Consumers', '']</v>
      </c>
      <c r="D738" s="3">
        <v>5.0</v>
      </c>
    </row>
    <row r="739" ht="15.75" customHeight="1">
      <c r="A739" s="1">
        <v>786.0</v>
      </c>
      <c r="B739" s="3" t="s">
        <v>244</v>
      </c>
      <c r="C739" s="3" t="str">
        <f>IFERROR(__xludf.DUMMYFUNCTION("GOOGLETRANSLATE(B739,""id"",""en"")"),"['expensive']")</f>
        <v>['expensive']</v>
      </c>
      <c r="D739" s="3">
        <v>4.0</v>
      </c>
    </row>
    <row r="740" ht="15.75" customHeight="1">
      <c r="A740" s="1">
        <v>787.0</v>
      </c>
      <c r="B740" s="3" t="s">
        <v>727</v>
      </c>
      <c r="C740" s="3" t="str">
        <f>IFERROR(__xludf.DUMMYFUNCTION("GOOGLETRANSLATE(B740,""id"",""en"")"),"['Network', 'jeleeeekkkkkkkk']")</f>
        <v>['Network', 'jeleeeekkkkkkkk']</v>
      </c>
      <c r="D740" s="3">
        <v>1.0</v>
      </c>
    </row>
    <row r="741" ht="15.75" customHeight="1">
      <c r="A741" s="1">
        <v>788.0</v>
      </c>
      <c r="B741" s="3" t="s">
        <v>728</v>
      </c>
      <c r="C741" s="3" t="str">
        <f>IFERROR(__xludf.DUMMYFUNCTION("GOOGLETRANSLATE(B741,""id"",""en"")"),"['Bid', 'Package', 'Different', 'Friend', 'Number', 'Telkomsel', 'Bid', 'Package', 'Internet', 'Expensive', 'Expensive', 'friend', ' Cheap ',' cheap ',' customers', 'loyal', 'Telkomsel', 'friend', 'customers',' Telkomsel ',' Please ',' repaired ',' bid ',"&amp;"' internet ',' evenly distributed ' , '']")</f>
        <v>['Bid', 'Package', 'Different', 'Friend', 'Number', 'Telkomsel', 'Bid', 'Package', 'Internet', 'Expensive', 'Expensive', 'friend', ' Cheap ',' cheap ',' customers', 'loyal', 'Telkomsel', 'friend', 'customers',' Telkomsel ',' Please ',' repaired ',' bid ',' internet ',' evenly distributed ' , '']</v>
      </c>
      <c r="D741" s="3">
        <v>1.0</v>
      </c>
    </row>
    <row r="742" ht="15.75" customHeight="1">
      <c r="A742" s="1">
        <v>789.0</v>
      </c>
      <c r="B742" s="3" t="s">
        <v>729</v>
      </c>
      <c r="C742" s="3" t="str">
        <f>IFERROR(__xludf.DUMMYFUNCTION("GOOGLETRANSLATE(B742,""id"",""en"")"),"['Telkomsel', 'Severe', 'buy', 'package', 'data', 'want', 'application', 'Telkomsel', 'expensive', 'difficult', 'buy', 'package', ' critical']")</f>
        <v>['Telkomsel', 'Severe', 'buy', 'package', 'data', 'want', 'application', 'Telkomsel', 'expensive', 'difficult', 'buy', 'package', ' critical']</v>
      </c>
      <c r="D742" s="3">
        <v>5.0</v>
      </c>
    </row>
    <row r="743" ht="15.75" customHeight="1">
      <c r="A743" s="1">
        <v>790.0</v>
      </c>
      <c r="B743" s="3" t="s">
        <v>730</v>
      </c>
      <c r="C743" s="3" t="str">
        <f>IFERROR(__xludf.DUMMYFUNCTION("GOOGLETRANSLATE(B743,""id"",""en"")"),"['Good', 'Network', 'Strong', '']")</f>
        <v>['Good', 'Network', 'Strong', '']</v>
      </c>
      <c r="D743" s="3">
        <v>5.0</v>
      </c>
    </row>
    <row r="744" ht="15.75" customHeight="1">
      <c r="A744" s="1">
        <v>792.0</v>
      </c>
      <c r="B744" s="3" t="s">
        <v>731</v>
      </c>
      <c r="C744" s="3" t="str">
        <f>IFERROR(__xludf.DUMMYFUNCTION("GOOGLETRANSLATE(B744,""id"",""en"")"),"['Magic', 'link', 'sent', 'via', 'cargo', 'sea', 'nyampe', ""]")</f>
        <v>['Magic', 'link', 'sent', 'via', 'cargo', 'sea', 'nyampe', "]</v>
      </c>
      <c r="D744" s="3">
        <v>1.0</v>
      </c>
    </row>
    <row r="745" ht="15.75" customHeight="1">
      <c r="A745" s="1">
        <v>793.0</v>
      </c>
      <c r="B745" s="3" t="s">
        <v>223</v>
      </c>
      <c r="C745" s="3" t="str">
        <f>IFERROR(__xludf.DUMMYFUNCTION("GOOGLETRANSLATE(B745,""id"",""en"")"),"['']")</f>
        <v>['']</v>
      </c>
      <c r="D745" s="3">
        <v>5.0</v>
      </c>
    </row>
    <row r="746" ht="15.75" customHeight="1">
      <c r="A746" s="1">
        <v>794.0</v>
      </c>
      <c r="B746" s="3" t="s">
        <v>732</v>
      </c>
      <c r="C746" s="3" t="str">
        <f>IFERROR(__xludf.DUMMYFUNCTION("GOOGLETRANSLATE(B746,""id"",""en"")"),"['Help', 'Application', 'Telkomsel', 'Hopefully', 'Success', '']")</f>
        <v>['Help', 'Application', 'Telkomsel', 'Hopefully', 'Success', '']</v>
      </c>
      <c r="D746" s="3">
        <v>4.0</v>
      </c>
    </row>
    <row r="747" ht="15.75" customHeight="1">
      <c r="A747" s="1">
        <v>795.0</v>
      </c>
      <c r="B747" s="3" t="s">
        <v>733</v>
      </c>
      <c r="C747" s="3" t="str">
        <f>IFERROR(__xludf.DUMMYFUNCTION("GOOGLETRANSLATE(B747,""id"",""en"")"),"['Network', 'Telkomsel', 'smakin', 'bad', ""]")</f>
        <v>['Network', 'Telkomsel', 'smakin', 'bad', "]</v>
      </c>
      <c r="D747" s="3">
        <v>1.0</v>
      </c>
    </row>
    <row r="748" ht="15.75" customHeight="1">
      <c r="A748" s="1">
        <v>796.0</v>
      </c>
      <c r="B748" s="3" t="s">
        <v>734</v>
      </c>
      <c r="C748" s="3" t="str">
        <f>IFERROR(__xludf.DUMMYFUNCTION("GOOGLETRANSLATE(B748,""id"",""en"")"),"['Application', 'Easy', 'Understand', 'Easy']")</f>
        <v>['Application', 'Easy', 'Understand', 'Easy']</v>
      </c>
      <c r="D748" s="3">
        <v>4.0</v>
      </c>
    </row>
    <row r="749" ht="15.75" customHeight="1">
      <c r="A749" s="1">
        <v>797.0</v>
      </c>
      <c r="B749" s="3" t="s">
        <v>735</v>
      </c>
      <c r="C749" s="3" t="str">
        <f>IFERROR(__xludf.DUMMYFUNCTION("GOOGLETRANSLATE(B749,""id"",""en"")"),"['help']")</f>
        <v>['help']</v>
      </c>
      <c r="D749" s="3">
        <v>5.0</v>
      </c>
    </row>
    <row r="750" ht="15.75" customHeight="1">
      <c r="A750" s="1">
        <v>798.0</v>
      </c>
      <c r="B750" s="3" t="s">
        <v>736</v>
      </c>
      <c r="C750" s="3" t="str">
        <f>IFERROR(__xludf.DUMMYFUNCTION("GOOGLETRANSLATE(B750,""id"",""en"")"),"['Mtanap', 'fast']")</f>
        <v>['Mtanap', 'fast']</v>
      </c>
      <c r="D750" s="3">
        <v>1.0</v>
      </c>
    </row>
    <row r="751" ht="15.75" customHeight="1">
      <c r="A751" s="1">
        <v>800.0</v>
      </c>
      <c r="B751" s="3" t="s">
        <v>737</v>
      </c>
      <c r="C751" s="3" t="str">
        <f>IFERROR(__xludf.DUMMYFUNCTION("GOOGLETRANSLATE(B751,""id"",""en"")"),"['Good', 'really', 'cheap', 'meria']")</f>
        <v>['Good', 'really', 'cheap', 'meria']</v>
      </c>
      <c r="D751" s="3">
        <v>5.0</v>
      </c>
    </row>
    <row r="752" ht="15.75" customHeight="1">
      <c r="A752" s="1">
        <v>801.0</v>
      </c>
      <c r="B752" s="3" t="s">
        <v>738</v>
      </c>
      <c r="C752" s="3" t="str">
        <f>IFERROR(__xludf.DUMMYFUNCTION("GOOGLETRANSLATE(B752,""id"",""en"")"),"['Network', 'Sometimes', 'Weak', 'Please', 'Increase', 'Network']")</f>
        <v>['Network', 'Sometimes', 'Weak', 'Please', 'Increase', 'Network']</v>
      </c>
      <c r="D752" s="3">
        <v>3.0</v>
      </c>
    </row>
    <row r="753" ht="15.75" customHeight="1">
      <c r="A753" s="1">
        <v>802.0</v>
      </c>
      <c r="B753" s="3" t="s">
        <v>739</v>
      </c>
      <c r="C753" s="3" t="str">
        <f>IFERROR(__xludf.DUMMYFUNCTION("GOOGLETRANSLATE(B753,""id"",""en"")"),"['Credit', 'truncated', 'topup', 'subscribe', 'muffin', 'holster']")</f>
        <v>['Credit', 'truncated', 'topup', 'subscribe', 'muffin', 'holster']</v>
      </c>
      <c r="D753" s="3">
        <v>5.0</v>
      </c>
    </row>
    <row r="754" ht="15.75" customHeight="1">
      <c r="A754" s="1">
        <v>803.0</v>
      </c>
      <c r="B754" s="3" t="s">
        <v>740</v>
      </c>
      <c r="C754" s="3" t="str">
        <f>IFERROR(__xludf.DUMMYFUNCTION("GOOGLETRANSLATE(B754,""id"",""en"")"),"['Practical', 'help', ""]")</f>
        <v>['Practical', 'help', "]</v>
      </c>
      <c r="D754" s="3">
        <v>4.0</v>
      </c>
    </row>
    <row r="755" ht="15.75" customHeight="1">
      <c r="A755" s="1">
        <v>804.0</v>
      </c>
      <c r="B755" s="3" t="s">
        <v>80</v>
      </c>
      <c r="C755" s="3" t="str">
        <f>IFERROR(__xludf.DUMMYFUNCTION("GOOGLETRANSLATE(B755,""id"",""en"")"),"['help', '']")</f>
        <v>['help', '']</v>
      </c>
      <c r="D755" s="3">
        <v>5.0</v>
      </c>
    </row>
    <row r="756" ht="15.75" customHeight="1">
      <c r="A756" s="1">
        <v>805.0</v>
      </c>
      <c r="B756" s="3" t="s">
        <v>741</v>
      </c>
      <c r="C756" s="3" t="str">
        <f>IFERROR(__xludf.DUMMYFUNCTION("GOOGLETRANSLATE(B756,""id"",""en"")"),"['Telkomsel', 'APK', 'good', 'features',' ngabusin ',' already ',' enter ',' then ',' enter ',' send ',' link ',' mulu ',' "", 'enter', 'ngabusin', 'link', 'tired', 'card', 'jadi', 'kuotany']")</f>
        <v>['Telkomsel', 'APK', 'good', 'features',' ngabusin ',' already ',' enter ',' then ',' enter ',' send ',' link ',' mulu ',' ", 'enter', 'ngabusin', 'link', 'tired', 'card', 'jadi', 'kuotany']</v>
      </c>
      <c r="D756" s="3">
        <v>3.0</v>
      </c>
    </row>
    <row r="757" ht="15.75" customHeight="1">
      <c r="A757" s="1">
        <v>806.0</v>
      </c>
      <c r="B757" s="3" t="s">
        <v>742</v>
      </c>
      <c r="C757" s="3" t="str">
        <f>IFERROR(__xludf.DUMMYFUNCTION("GOOGLETRANSLATE(B757,""id"",""en"")"),"['network', 'Telkomsel', 'good', 'please', 'repaired', '']")</f>
        <v>['network', 'Telkomsel', 'good', 'please', 'repaired', '']</v>
      </c>
      <c r="D757" s="3">
        <v>2.0</v>
      </c>
    </row>
    <row r="758" ht="15.75" customHeight="1">
      <c r="A758" s="1">
        <v>807.0</v>
      </c>
      <c r="B758" s="3" t="s">
        <v>743</v>
      </c>
      <c r="C758" s="3" t="str">
        <f>IFERROR(__xludf.DUMMYFUNCTION("GOOGLETRANSLATE(B758,""id"",""en"")"),"['Defend', 'Promo', 'Kouta', '']")</f>
        <v>['Defend', 'Promo', 'Kouta', '']</v>
      </c>
      <c r="D758" s="3">
        <v>5.0</v>
      </c>
    </row>
    <row r="759" ht="15.75" customHeight="1">
      <c r="A759" s="1">
        <v>808.0</v>
      </c>
      <c r="B759" s="3" t="s">
        <v>744</v>
      </c>
      <c r="C759" s="3" t="str">
        <f>IFERROR(__xludf.DUMMYFUNCTION("GOOGLETRANSLATE(B759,""id"",""en"")"),"['love', 'star', 'night', 'fill', 'right', 'lgi', 'play', 'game', 'mobile', 'legend', 'road', 'right', ' See ',' Jringan ',' missing ',' then ',' appears', 'Gara', 'Gara', 'Telkomsel', 'Game', 'get', 'AFK', 'Live', 'City' , 'Mount', 'here', 'Network', 'Te"&amp;"lkomsel', 'It's better', 'Change', 'card', 'No matter', 'wlau', 'card', 'Mhal', 'smooth', ' network ',' lost ',' rich ',' it's good ']")</f>
        <v>['love', 'star', 'night', 'fill', 'right', 'lgi', 'play', 'game', 'mobile', 'legend', 'road', 'right', ' See ',' Jringan ',' missing ',' then ',' appears', 'Gara', 'Gara', 'Telkomsel', 'Game', 'get', 'AFK', 'Live', 'City' , 'Mount', 'here', 'Network', 'Telkomsel', 'It's better', 'Change', 'card', 'No matter', 'wlau', 'card', 'Mhal', 'smooth', ' network ',' lost ',' rich ',' it's good ']</v>
      </c>
      <c r="D759" s="3">
        <v>1.0</v>
      </c>
    </row>
    <row r="760" ht="15.75" customHeight="1">
      <c r="A760" s="1">
        <v>809.0</v>
      </c>
      <c r="B760" s="3" t="s">
        <v>745</v>
      </c>
      <c r="C760" s="3" t="str">
        <f>IFERROR(__xludf.DUMMYFUNCTION("GOOGLETRANSLATE(B760,""id"",""en"")"),"['Donk', 'Package', 'Internet']")</f>
        <v>['Donk', 'Package', 'Internet']</v>
      </c>
      <c r="D760" s="3">
        <v>5.0</v>
      </c>
    </row>
    <row r="761" ht="15.75" customHeight="1">
      <c r="A761" s="1">
        <v>810.0</v>
      </c>
      <c r="B761" s="3" t="s">
        <v>746</v>
      </c>
      <c r="C761" s="3" t="str">
        <f>IFERROR(__xludf.DUMMYFUNCTION("GOOGLETRANSLATE(B761,""id"",""en"")"),"['makes it easier', 'in', 'transaction', 'pulse', 'quota', 'internet', 'like', 'the application']")</f>
        <v>['makes it easier', 'in', 'transaction', 'pulse', 'quota', 'internet', 'like', 'the application']</v>
      </c>
      <c r="D761" s="3">
        <v>5.0</v>
      </c>
    </row>
    <row r="762" ht="15.75" customHeight="1">
      <c r="A762" s="1">
        <v>811.0</v>
      </c>
      <c r="B762" s="3" t="s">
        <v>747</v>
      </c>
      <c r="C762" s="3" t="str">
        <f>IFERROR(__xludf.DUMMYFUNCTION("GOOGLETRANSLATE(B762,""id"",""en"")"),"['APK', 'good', 'easy']")</f>
        <v>['APK', 'good', 'easy']</v>
      </c>
      <c r="D762" s="3">
        <v>4.0</v>
      </c>
    </row>
    <row r="763" ht="15.75" customHeight="1">
      <c r="A763" s="1">
        <v>812.0</v>
      </c>
      <c r="B763" s="3" t="s">
        <v>748</v>
      </c>
      <c r="C763" s="3" t="str">
        <f>IFERROR(__xludf.DUMMYFUNCTION("GOOGLETRANSLATE(B763,""id"",""en"")"),"['The price is expensive']")</f>
        <v>['The price is expensive']</v>
      </c>
      <c r="D763" s="3">
        <v>2.0</v>
      </c>
    </row>
    <row r="764" ht="15.75" customHeight="1">
      <c r="A764" s="1">
        <v>813.0</v>
      </c>
      <c r="B764" s="3" t="s">
        <v>749</v>
      </c>
      <c r="C764" s="3" t="str">
        <f>IFERROR(__xludf.DUMMYFUNCTION("GOOGLETRANSLATE(B764,""id"",""en"")"),"['promo', 'package', 'buy', 'package', 'combo', 'GB', 'right', 'buy', 'package', 'missing', 'kasi', 'star']")</f>
        <v>['promo', 'package', 'buy', 'package', 'combo', 'GB', 'right', 'buy', 'package', 'missing', 'kasi', 'star']</v>
      </c>
      <c r="D764" s="3">
        <v>1.0</v>
      </c>
    </row>
    <row r="765" ht="15.75" customHeight="1">
      <c r="A765" s="1">
        <v>814.0</v>
      </c>
      <c r="B765" s="3" t="s">
        <v>750</v>
      </c>
      <c r="C765" s="3" t="str">
        <f>IFERROR(__xludf.DUMMYFUNCTION("GOOGLETRANSLATE(B765,""id"",""en"")"),"['Choice', 'package', 'internet']")</f>
        <v>['Choice', 'package', 'internet']</v>
      </c>
      <c r="D765" s="3">
        <v>1.0</v>
      </c>
    </row>
    <row r="766" ht="15.75" customHeight="1">
      <c r="A766" s="1">
        <v>815.0</v>
      </c>
      <c r="B766" s="3" t="s">
        <v>751</v>
      </c>
      <c r="C766" s="3" t="str">
        <f>IFERROR(__xludf.DUMMYFUNCTION("GOOGLETRANSLATE(B766,""id"",""en"")"),"['Mantapp', 'multiptenize', 'promo', 'user', 'feel at home']")</f>
        <v>['Mantapp', 'multiptenize', 'promo', 'user', 'feel at home']</v>
      </c>
      <c r="D766" s="3">
        <v>5.0</v>
      </c>
    </row>
    <row r="767" ht="15.75" customHeight="1">
      <c r="A767" s="1">
        <v>816.0</v>
      </c>
      <c r="B767" s="3" t="s">
        <v>752</v>
      </c>
      <c r="C767" s="3" t="str">
        <f>IFERROR(__xludf.DUMMYFUNCTION("GOOGLETRANSLATE(B767,""id"",""en"")"),"['Kasi', 'star']")</f>
        <v>['Kasi', 'star']</v>
      </c>
      <c r="D767" s="3">
        <v>4.0</v>
      </c>
    </row>
    <row r="768" ht="15.75" customHeight="1">
      <c r="A768" s="1">
        <v>818.0</v>
      </c>
      <c r="B768" s="3" t="s">
        <v>753</v>
      </c>
      <c r="C768" s="3" t="str">
        <f>IFERROR(__xludf.DUMMYFUNCTION("GOOGLETRANSLATE(B768,""id"",""en"")"),"['Network', 'Navy', '']")</f>
        <v>['Network', 'Navy', '']</v>
      </c>
      <c r="D768" s="3">
        <v>5.0</v>
      </c>
    </row>
    <row r="769" ht="15.75" customHeight="1">
      <c r="A769" s="1">
        <v>820.0</v>
      </c>
      <c r="B769" s="3" t="s">
        <v>754</v>
      </c>
      <c r="C769" s="3" t="str">
        <f>IFERROR(__xludf.DUMMYFUNCTION("GOOGLETRANSLATE(B769,""id"",""en"")"),"['type', 'term', 'package', 'impressed', 'complicated', 'simple']")</f>
        <v>['type', 'term', 'package', 'impressed', 'complicated', 'simple']</v>
      </c>
      <c r="D769" s="3">
        <v>2.0</v>
      </c>
    </row>
    <row r="770" ht="15.75" customHeight="1">
      <c r="A770" s="1">
        <v>821.0</v>
      </c>
      <c r="B770" s="3" t="s">
        <v>755</v>
      </c>
      <c r="C770" s="3" t="str">
        <f>IFERROR(__xludf.DUMMYFUNCTION("GOOGLETRANSLATE(B770,""id"",""en"")"),"['Package', 'cheap']")</f>
        <v>['Package', 'cheap']</v>
      </c>
      <c r="D770" s="3">
        <v>5.0</v>
      </c>
    </row>
    <row r="771" ht="15.75" customHeight="1">
      <c r="A771" s="1">
        <v>823.0</v>
      </c>
      <c r="B771" s="3" t="s">
        <v>122</v>
      </c>
      <c r="C771" s="3" t="str">
        <f>IFERROR(__xludf.DUMMYFUNCTION("GOOGLETRANSLATE(B771,""id"",""en"")"),"['easy']")</f>
        <v>['easy']</v>
      </c>
      <c r="D771" s="3">
        <v>5.0</v>
      </c>
    </row>
    <row r="772" ht="15.75" customHeight="1">
      <c r="A772" s="1">
        <v>824.0</v>
      </c>
      <c r="B772" s="3" t="s">
        <v>756</v>
      </c>
      <c r="C772" s="3" t="str">
        <f>IFERROR(__xludf.DUMMYFUNCTION("GOOGLETRANSLATE(B772,""id"",""en"")"),"['Log', 'pulse']")</f>
        <v>['Log', 'pulse']</v>
      </c>
      <c r="D772" s="3">
        <v>3.0</v>
      </c>
    </row>
    <row r="773" ht="15.75" customHeight="1">
      <c r="A773" s="1">
        <v>825.0</v>
      </c>
      <c r="B773" s="3" t="s">
        <v>757</v>
      </c>
      <c r="C773" s="3" t="str">
        <f>IFERROR(__xludf.DUMMYFUNCTION("GOOGLETRANSLATE(B773,""id"",""en"")"),"['satisfied']")</f>
        <v>['satisfied']</v>
      </c>
      <c r="D773" s="3">
        <v>5.0</v>
      </c>
    </row>
    <row r="774" ht="15.75" customHeight="1">
      <c r="A774" s="1">
        <v>826.0</v>
      </c>
      <c r="B774" s="3" t="s">
        <v>758</v>
      </c>
      <c r="C774" s="3" t="str">
        <f>IFERROR(__xludf.DUMMYFUNCTION("GOOGLETRANSLATE(B774,""id"",""en"")"),"['Upgrade', 'Card', 'USIM', 'Package', 'Package', 'Lost', 'GB', 'Deceived', 'Have', 'Change', 'Pengai', 'Telponin', ' troubling ',' Makai ',' numbers', 'already', 'annual', 'after', 'replace', 'reset', 'use', 'card', 'regret', 'replace', 'USIM' , 'Talikin"&amp;"', 'card', '']")</f>
        <v>['Upgrade', 'Card', 'USIM', 'Package', 'Package', 'Lost', 'GB', 'Deceived', 'Have', 'Change', 'Pengai', 'Telponin', ' troubling ',' Makai ',' numbers', 'already', 'annual', 'after', 'replace', 'reset', 'use', 'card', 'regret', 'replace', 'USIM' , 'Talikin', 'card', '']</v>
      </c>
      <c r="D774" s="3">
        <v>1.0</v>
      </c>
    </row>
    <row r="775" ht="15.75" customHeight="1">
      <c r="A775" s="1">
        <v>827.0</v>
      </c>
      <c r="B775" s="3" t="s">
        <v>759</v>
      </c>
      <c r="C775" s="3" t="str">
        <f>IFERROR(__xludf.DUMMYFUNCTION("GOOGLETRANSLATE(B775,""id"",""en"")"),"['', 'discount', 'price', 'package', 'telephone', 'package', 'data', '']")</f>
        <v>['', 'discount', 'price', 'package', 'telephone', 'package', 'data', '']</v>
      </c>
      <c r="D775" s="3">
        <v>4.0</v>
      </c>
    </row>
    <row r="776" ht="15.75" customHeight="1">
      <c r="A776" s="1">
        <v>828.0</v>
      </c>
      <c r="B776" s="3" t="s">
        <v>760</v>
      </c>
      <c r="C776" s="3" t="str">
        <f>IFERROR(__xludf.DUMMYFUNCTION("GOOGLETRANSLATE(B776,""id"",""en"")"),"['expensive', 'package']")</f>
        <v>['expensive', 'package']</v>
      </c>
      <c r="D776" s="3">
        <v>4.0</v>
      </c>
    </row>
    <row r="777" ht="15.75" customHeight="1">
      <c r="A777" s="1">
        <v>829.0</v>
      </c>
      <c r="B777" s="3" t="s">
        <v>761</v>
      </c>
      <c r="C777" s="3" t="str">
        <f>IFERROR(__xludf.DUMMYFUNCTION("GOOGLETRANSLATE(B777,""id"",""en"")"),"['Love', 'Star', 'Karna', 'Network', 'Telkomsel', 'Papua', 'Good']")</f>
        <v>['Love', 'Star', 'Karna', 'Network', 'Telkomsel', 'Papua', 'Good']</v>
      </c>
      <c r="D777" s="3">
        <v>2.0</v>
      </c>
    </row>
    <row r="778" ht="15.75" customHeight="1">
      <c r="A778" s="1">
        <v>830.0</v>
      </c>
      <c r="B778" s="3" t="s">
        <v>762</v>
      </c>
      <c r="C778" s="3" t="str">
        <f>IFERROR(__xludf.DUMMYFUNCTION("GOOGLETRANSLATE(B778,""id"",""en"")"),"['Seneng', 'Customer', 'Telkomsel']")</f>
        <v>['Seneng', 'Customer', 'Telkomsel']</v>
      </c>
      <c r="D778" s="3">
        <v>5.0</v>
      </c>
    </row>
    <row r="779" ht="15.75" customHeight="1">
      <c r="A779" s="1">
        <v>831.0</v>
      </c>
      <c r="B779" s="3" t="s">
        <v>763</v>
      </c>
      <c r="C779" s="3" t="str">
        <f>IFERROR(__xludf.DUMMYFUNCTION("GOOGLETRANSLATE(B779,""id"",""en"")"),"['like', 'application', 'Telkomsel']")</f>
        <v>['like', 'application', 'Telkomsel']</v>
      </c>
      <c r="D779" s="3">
        <v>5.0</v>
      </c>
    </row>
    <row r="780" ht="15.75" customHeight="1">
      <c r="A780" s="1">
        <v>833.0</v>
      </c>
      <c r="B780" s="3" t="s">
        <v>764</v>
      </c>
      <c r="C780" s="3" t="str">
        <f>IFERROR(__xludf.DUMMYFUNCTION("GOOGLETRANSLATE(B780,""id"",""en"")"),"['hope', 'developing', 'Aamiin', '']")</f>
        <v>['hope', 'developing', 'Aamiin', '']</v>
      </c>
      <c r="D780" s="3">
        <v>5.0</v>
      </c>
    </row>
    <row r="781" ht="15.75" customHeight="1">
      <c r="A781" s="1">
        <v>834.0</v>
      </c>
      <c r="B781" s="3" t="s">
        <v>765</v>
      </c>
      <c r="C781" s="3" t="str">
        <f>IFERROR(__xludf.DUMMYFUNCTION("GOOGLETRANSLATE(B781,""id"",""en"")"),"['Package', 'run out', 'Direct', 'cut', 'subscribe', 'no', '']")</f>
        <v>['Package', 'run out', 'Direct', 'cut', 'subscribe', 'no', '']</v>
      </c>
      <c r="D781" s="3">
        <v>5.0</v>
      </c>
    </row>
    <row r="782" ht="15.75" customHeight="1">
      <c r="A782" s="1">
        <v>835.0</v>
      </c>
      <c r="B782" s="3" t="s">
        <v>766</v>
      </c>
      <c r="C782" s="3" t="str">
        <f>IFERROR(__xludf.DUMMYFUNCTION("GOOGLETRANSLATE(B782,""id"",""en"")"),"['Buy', 'Package', '']")</f>
        <v>['Buy', 'Package', '']</v>
      </c>
      <c r="D782" s="3">
        <v>1.0</v>
      </c>
    </row>
    <row r="783" ht="15.75" customHeight="1">
      <c r="A783" s="1">
        <v>836.0</v>
      </c>
      <c r="B783" s="3" t="s">
        <v>244</v>
      </c>
      <c r="C783" s="3" t="str">
        <f>IFERROR(__xludf.DUMMYFUNCTION("GOOGLETRANSLATE(B783,""id"",""en"")"),"['expensive']")</f>
        <v>['expensive']</v>
      </c>
      <c r="D783" s="3">
        <v>5.0</v>
      </c>
    </row>
    <row r="784" ht="15.75" customHeight="1">
      <c r="A784" s="1">
        <v>837.0</v>
      </c>
      <c r="B784" s="3" t="s">
        <v>767</v>
      </c>
      <c r="C784" s="3" t="str">
        <f>IFERROR(__xludf.DUMMYFUNCTION("GOOGLETRANSLATE(B784,""id"",""en"")"),"['Please', 'Assisted', 'Region', 'Parung', 'Kab', 'Bogor', 'Region', 'Udh', 'Okay', ""]")</f>
        <v>['Please', 'Assisted', 'Region', 'Parung', 'Kab', 'Bogor', 'Region', 'Udh', 'Okay', "]</v>
      </c>
      <c r="D784" s="3">
        <v>4.0</v>
      </c>
    </row>
    <row r="785" ht="15.75" customHeight="1">
      <c r="A785" s="1">
        <v>838.0</v>
      </c>
      <c r="B785" s="3" t="s">
        <v>768</v>
      </c>
      <c r="C785" s="3" t="str">
        <f>IFERROR(__xludf.DUMMYFUNCTION("GOOGLETRANSLATE(B785,""id"",""en"")"),"['quota', 'game', 'used']")</f>
        <v>['quota', 'game', 'used']</v>
      </c>
      <c r="D785" s="3">
        <v>1.0</v>
      </c>
    </row>
    <row r="786" ht="15.75" customHeight="1">
      <c r="A786" s="1">
        <v>839.0</v>
      </c>
      <c r="B786" s="3" t="s">
        <v>769</v>
      </c>
      <c r="C786" s="3" t="str">
        <f>IFERROR(__xludf.DUMMYFUNCTION("GOOGLETRANSLATE(B786,""id"",""en"")"),"['promo', 'easy', 'hilng']")</f>
        <v>['promo', 'easy', 'hilng']</v>
      </c>
      <c r="D786" s="3">
        <v>1.0</v>
      </c>
    </row>
    <row r="787" ht="15.75" customHeight="1">
      <c r="A787" s="1">
        <v>840.0</v>
      </c>
      <c r="B787" s="3" t="s">
        <v>770</v>
      </c>
      <c r="C787" s="3" t="str">
        <f>IFERROR(__xludf.DUMMYFUNCTION("GOOGLETRANSLATE(B787,""id"",""en"")"),"['application', 'Daily', 'checkin', 'blom', 'claim', 'already', 'reset', 'signal', 'Ujan', 'down', 'expensive', 'doang', ' Quality ',' threat ']")</f>
        <v>['application', 'Daily', 'checkin', 'blom', 'claim', 'already', 'reset', 'signal', 'Ujan', 'down', 'expensive', 'doang', ' Quality ',' threat ']</v>
      </c>
      <c r="D787" s="3">
        <v>1.0</v>
      </c>
    </row>
    <row r="788" ht="15.75" customHeight="1">
      <c r="A788" s="1">
        <v>843.0</v>
      </c>
      <c r="B788" s="3" t="s">
        <v>507</v>
      </c>
      <c r="C788" s="3" t="str">
        <f>IFERROR(__xludf.DUMMYFUNCTION("GOOGLETRANSLATE(B788,""id"",""en"")"),"['application', '']")</f>
        <v>['application', '']</v>
      </c>
      <c r="D788" s="3">
        <v>5.0</v>
      </c>
    </row>
    <row r="789" ht="15.75" customHeight="1">
      <c r="A789" s="1">
        <v>844.0</v>
      </c>
      <c r="B789" s="3" t="s">
        <v>771</v>
      </c>
      <c r="C789" s="3" t="str">
        <f>IFERROR(__xludf.DUMMYFUNCTION("GOOGLETRANSLATE(B789,""id"",""en"")"),"['Network', 'satisfying']")</f>
        <v>['Network', 'satisfying']</v>
      </c>
      <c r="D789" s="3">
        <v>3.0</v>
      </c>
    </row>
    <row r="790" ht="15.75" customHeight="1">
      <c r="A790" s="1">
        <v>845.0</v>
      </c>
      <c r="B790" s="3" t="s">
        <v>137</v>
      </c>
      <c r="C790" s="3" t="str">
        <f>IFERROR(__xludf.DUMMYFUNCTION("GOOGLETRANSLATE(B790,""id"",""en"")"),"Of course")</f>
        <v>Of course</v>
      </c>
      <c r="D790" s="3">
        <v>5.0</v>
      </c>
    </row>
    <row r="791" ht="15.75" customHeight="1">
      <c r="A791" s="1">
        <v>847.0</v>
      </c>
      <c r="B791" s="3" t="s">
        <v>772</v>
      </c>
      <c r="C791" s="3" t="str">
        <f>IFERROR(__xludf.DUMMYFUNCTION("GOOGLETRANSLATE(B791,""id"",""en"")"),"['', 'artisan', 'cashier', 'Alfamart', 'entitled', 'Looking', 'Doang', 'Understand']")</f>
        <v>['', 'artisan', 'cashier', 'Alfamart', 'entitled', 'Looking', 'Doang', 'Understand']</v>
      </c>
      <c r="D791" s="3">
        <v>5.0</v>
      </c>
    </row>
    <row r="792" ht="15.75" customHeight="1">
      <c r="A792" s="1">
        <v>848.0</v>
      </c>
      <c r="B792" s="3" t="s">
        <v>773</v>
      </c>
      <c r="C792" s="3" t="str">
        <f>IFERROR(__xludf.DUMMYFUNCTION("GOOGLETRANSLATE(B792,""id"",""en"")"),"['functioning', 'update', 'please', 'maintained', 'service']")</f>
        <v>['functioning', 'update', 'please', 'maintained', 'service']</v>
      </c>
      <c r="D792" s="3">
        <v>5.0</v>
      </c>
    </row>
    <row r="793" ht="15.75" customHeight="1">
      <c r="A793" s="1">
        <v>849.0</v>
      </c>
      <c r="B793" s="3" t="s">
        <v>774</v>
      </c>
      <c r="C793" s="3" t="str">
        <f>IFERROR(__xludf.DUMMYFUNCTION("GOOGLETRANSLATE(B793,""id"",""en"")"),"['lucky', 'really', 'staple']")</f>
        <v>['lucky', 'really', 'staple']</v>
      </c>
      <c r="D793" s="3">
        <v>5.0</v>
      </c>
    </row>
    <row r="794" ht="15.75" customHeight="1">
      <c r="A794" s="1">
        <v>850.0</v>
      </c>
      <c r="B794" s="3" t="s">
        <v>775</v>
      </c>
      <c r="C794" s="3" t="str">
        <f>IFERROR(__xludf.DUMMYFUNCTION("GOOGLETRANSLATE(B794,""id"",""en"")"),"['package', 'sosmed', 'GB', 'lgi', 'open', 'twitter', 'slow', 'kayak', 'road', 'turtle', 'limp', '']")</f>
        <v>['package', 'sosmed', 'GB', 'lgi', 'open', 'twitter', 'slow', 'kayak', 'road', 'turtle', 'limp', '']</v>
      </c>
      <c r="D794" s="3">
        <v>1.0</v>
      </c>
    </row>
    <row r="795" ht="15.75" customHeight="1">
      <c r="A795" s="1">
        <v>851.0</v>
      </c>
      <c r="B795" s="3" t="s">
        <v>776</v>
      </c>
      <c r="C795" s="3" t="str">
        <f>IFERROR(__xludf.DUMMYFUNCTION("GOOGLETRANSLATE(B795,""id"",""en"")"),"['Making', 'Ngada', 'Price', 'Promotion', 'Package', 'Internet']")</f>
        <v>['Making', 'Ngada', 'Price', 'Promotion', 'Package', 'Internet']</v>
      </c>
      <c r="D795" s="3">
        <v>3.0</v>
      </c>
    </row>
    <row r="796" ht="15.75" customHeight="1">
      <c r="A796" s="1">
        <v>852.0</v>
      </c>
      <c r="B796" s="3" t="s">
        <v>777</v>
      </c>
      <c r="C796" s="3" t="str">
        <f>IFERROR(__xludf.DUMMYFUNCTION("GOOGLETRANSLATE(B796,""id"",""en"")"),"['Citizens',' Indonesia ',' Jangn ',' Wear ',' card ',' Telkomsel ',' card ',' expensive ',' signal ',' like ',' ajeng ',' easy ',' Telkomsel ',' fast ',' kabali ']")</f>
        <v>['Citizens',' Indonesia ',' Jangn ',' Wear ',' card ',' Telkomsel ',' card ',' expensive ',' signal ',' like ',' ajeng ',' easy ',' Telkomsel ',' fast ',' kabali ']</v>
      </c>
      <c r="D796" s="3">
        <v>1.0</v>
      </c>
    </row>
    <row r="797" ht="15.75" customHeight="1">
      <c r="A797" s="1">
        <v>853.0</v>
      </c>
      <c r="B797" s="3" t="s">
        <v>778</v>
      </c>
      <c r="C797" s="3" t="str">
        <f>IFERROR(__xludf.DUMMYFUNCTION("GOOGLETRANSLATE(B797,""id"",""en"")"),"['pulse', 'missing', 'history', 'transaction', 'admin', 'play', 'Telkomsel', 'disappointed', 'violated']")</f>
        <v>['pulse', 'missing', 'history', 'transaction', 'admin', 'play', 'Telkomsel', 'disappointed', 'violated']</v>
      </c>
      <c r="D797" s="3">
        <v>1.0</v>
      </c>
    </row>
    <row r="798" ht="15.75" customHeight="1">
      <c r="A798" s="1">
        <v>854.0</v>
      </c>
      <c r="B798" s="3" t="s">
        <v>779</v>
      </c>
      <c r="C798" s="3" t="str">
        <f>IFERROR(__xludf.DUMMYFUNCTION("GOOGLETRANSLATE(B798,""id"",""en"")"),"['like', 'really', 'application', 'help', 'safe', 'trusted', 'gift', 'winner', 'lucky', 'blessing', 'sustenance']")</f>
        <v>['like', 'really', 'application', 'help', 'safe', 'trusted', 'gift', 'winner', 'lucky', 'blessing', 'sustenance']</v>
      </c>
      <c r="D798" s="3">
        <v>5.0</v>
      </c>
    </row>
    <row r="799" ht="15.75" customHeight="1">
      <c r="A799" s="1">
        <v>855.0</v>
      </c>
      <c r="B799" s="3" t="s">
        <v>780</v>
      </c>
      <c r="C799" s="3" t="str">
        <f>IFERROR(__xludf.DUMMYFUNCTION("GOOGLETRANSLATE(B799,""id"",""en"")"),"['Road', 'Direct', 'Purpose', 'You', 'Know', 'That']")</f>
        <v>['Road', 'Direct', 'Purpose', 'You', 'Know', 'That']</v>
      </c>
      <c r="D799" s="3">
        <v>4.0</v>
      </c>
    </row>
    <row r="800" ht="15.75" customHeight="1">
      <c r="A800" s="1">
        <v>856.0</v>
      </c>
      <c r="B800" s="3" t="s">
        <v>781</v>
      </c>
      <c r="C800" s="3" t="str">
        <f>IFERROR(__xludf.DUMMYFUNCTION("GOOGLETRANSLATE(B800,""id"",""en"")"),"['Network', 'Badkkk', 'Ngepush', 'Rank']")</f>
        <v>['Network', 'Badkkk', 'Ngepush', 'Rank']</v>
      </c>
      <c r="D800" s="3">
        <v>1.0</v>
      </c>
    </row>
    <row r="801" ht="15.75" customHeight="1">
      <c r="A801" s="1">
        <v>858.0</v>
      </c>
      <c r="B801" s="3" t="s">
        <v>782</v>
      </c>
      <c r="C801" s="3" t="str">
        <f>IFERROR(__xludf.DUMMYFUNCTION("GOOGLETRANSLATE(B801,""id"",""en"")"),"['sorry', 'mba', 'mas',' please ',' signal ',' fix ',' game ',' lag ',' mulu ',' package ',' GB ',' unlimited ',' Stay ',' unlimited ',' play ',' game ',' delay ',' signal ',' please ',' gini ',' mulu ',' moved ',' provider ',' ']")</f>
        <v>['sorry', 'mba', 'mas',' please ',' signal ',' fix ',' game ',' lag ',' mulu ',' package ',' GB ',' unlimited ',' Stay ',' unlimited ',' play ',' game ',' delay ',' signal ',' please ',' gini ',' mulu ',' moved ',' provider ',' ']</v>
      </c>
      <c r="D801" s="3">
        <v>1.0</v>
      </c>
    </row>
    <row r="802" ht="15.75" customHeight="1">
      <c r="A802" s="1">
        <v>859.0</v>
      </c>
      <c r="B802" s="3" t="s">
        <v>783</v>
      </c>
      <c r="C802" s="3" t="str">
        <f>IFERROR(__xludf.DUMMYFUNCTION("GOOGLETRANSLATE(B802,""id"",""en"")"),"['easy', 'buy', 'quota', 'bonus']")</f>
        <v>['easy', 'buy', 'quota', 'bonus']</v>
      </c>
      <c r="D802" s="3">
        <v>5.0</v>
      </c>
    </row>
    <row r="803" ht="15.75" customHeight="1">
      <c r="A803" s="1">
        <v>860.0</v>
      </c>
      <c r="B803" s="3" t="s">
        <v>784</v>
      </c>
      <c r="C803" s="3" t="str">
        <f>IFERROR(__xludf.DUMMYFUNCTION("GOOGLETRANSLATE(B803,""id"",""en"")"),"['Pay', 'expensive', 'Jaringn', 'Kek', 'EEQ', '']")</f>
        <v>['Pay', 'expensive', 'Jaringn', 'Kek', 'EEQ', '']</v>
      </c>
      <c r="D803" s="3">
        <v>1.0</v>
      </c>
    </row>
    <row r="804" ht="15.75" customHeight="1">
      <c r="A804" s="1">
        <v>861.0</v>
      </c>
      <c r="B804" s="3" t="s">
        <v>785</v>
      </c>
      <c r="C804" s="3" t="str">
        <f>IFERROR(__xludf.DUMMYFUNCTION("GOOGLETRANSLATE(B804,""id"",""en"")"),"['Restore', 'Network', 'Region', 'City', 'Bogor']")</f>
        <v>['Restore', 'Network', 'Region', 'City', 'Bogor']</v>
      </c>
      <c r="D804" s="3">
        <v>5.0</v>
      </c>
    </row>
    <row r="805" ht="15.75" customHeight="1">
      <c r="A805" s="1">
        <v>862.0</v>
      </c>
      <c r="B805" s="3" t="s">
        <v>786</v>
      </c>
      <c r="C805" s="3" t="str">
        <f>IFERROR(__xludf.DUMMYFUNCTION("GOOGLETRANSLATE(B805,""id"",""en"")"),"['application', 'Taeee', 'Telkomsel', 'see', 'leftover', 'quota', 'ggal', 'MLLU', 'the network', 'error']")</f>
        <v>['application', 'Taeee', 'Telkomsel', 'see', 'leftover', 'quota', 'ggal', 'MLLU', 'the network', 'error']</v>
      </c>
      <c r="D805" s="3">
        <v>2.0</v>
      </c>
    </row>
    <row r="806" ht="15.75" customHeight="1">
      <c r="A806" s="1">
        <v>863.0</v>
      </c>
      <c r="B806" s="3" t="s">
        <v>787</v>
      </c>
      <c r="C806" s="3" t="str">
        <f>IFERROR(__xludf.DUMMYFUNCTION("GOOGLETRANSLATE(B806,""id"",""en"")"),"['Malem', 'Disruption', 'Mulu', 'Kaga', 'Maketin', 'How', '']")</f>
        <v>['Malem', 'Disruption', 'Mulu', 'Kaga', 'Maketin', 'How', '']</v>
      </c>
      <c r="D806" s="3">
        <v>1.0</v>
      </c>
    </row>
    <row r="807" ht="15.75" customHeight="1">
      <c r="A807" s="1">
        <v>864.0</v>
      </c>
      <c r="B807" s="3" t="s">
        <v>788</v>
      </c>
      <c r="C807" s="3" t="str">
        <f>IFERROR(__xludf.DUMMYFUNCTION("GOOGLETRANSLATE(B807,""id"",""en"")"),"['Hopefully', 'Signal', 'In the future', '']")</f>
        <v>['Hopefully', 'Signal', 'In the future', '']</v>
      </c>
      <c r="D807" s="3">
        <v>4.0</v>
      </c>
    </row>
    <row r="808" ht="15.75" customHeight="1">
      <c r="A808" s="1">
        <v>865.0</v>
      </c>
      <c r="B808" s="3" t="s">
        <v>789</v>
      </c>
      <c r="C808" s="3" t="str">
        <f>IFERROR(__xludf.DUMMYFUNCTION("GOOGLETRANSLATE(B808,""id"",""en"")"),"['application', 'already', 'knp', 'fill', 'package', '']")</f>
        <v>['application', 'already', 'knp', 'fill', 'package', '']</v>
      </c>
      <c r="D808" s="3">
        <v>1.0</v>
      </c>
    </row>
    <row r="809" ht="15.75" customHeight="1">
      <c r="A809" s="1">
        <v>866.0</v>
      </c>
      <c r="B809" s="3" t="s">
        <v>790</v>
      </c>
      <c r="C809" s="3" t="str">
        <f>IFERROR(__xludf.DUMMYFUNCTION("GOOGLETRANSLATE(B809,""id"",""en"")"),"['signal', 'weak', 'the application', 'like', 'error', ""]")</f>
        <v>['signal', 'weak', 'the application', 'like', 'error', "]</v>
      </c>
      <c r="D809" s="3">
        <v>1.0</v>
      </c>
    </row>
    <row r="810" ht="15.75" customHeight="1">
      <c r="A810" s="1">
        <v>867.0</v>
      </c>
      <c r="B810" s="3" t="s">
        <v>791</v>
      </c>
      <c r="C810" s="3" t="str">
        <f>IFERROR(__xludf.DUMMYFUNCTION("GOOGLETRANSLATE(B810,""id"",""en"")"),"['owe', 'pulse', 'boss']")</f>
        <v>['owe', 'pulse', 'boss']</v>
      </c>
      <c r="D810" s="3">
        <v>5.0</v>
      </c>
    </row>
    <row r="811" ht="15.75" customHeight="1">
      <c r="A811" s="1">
        <v>868.0</v>
      </c>
      <c r="B811" s="3" t="s">
        <v>792</v>
      </c>
      <c r="C811" s="3" t="str">
        <f>IFERROR(__xludf.DUMMYFUNCTION("GOOGLETRANSLATE(B811,""id"",""en"")"),"['Packagein', 'quota', 'error', 'already', 'contents', 'pulse']")</f>
        <v>['Packagein', 'quota', 'error', 'already', 'contents', 'pulse']</v>
      </c>
      <c r="D811" s="3">
        <v>1.0</v>
      </c>
    </row>
    <row r="812" ht="15.75" customHeight="1">
      <c r="A812" s="1">
        <v>869.0</v>
      </c>
      <c r="B812" s="3" t="s">
        <v>793</v>
      </c>
      <c r="C812" s="3" t="str">
        <f>IFERROR(__xludf.DUMMYFUNCTION("GOOGLETRANSLATE(B812,""id"",""en"")"),"['Telkomsel', 'Threat', 'Severe', 'already', 'convenience', 'Telkomsel', 'Switch', 'aaaaaannnnnnnnnnnCCCCCCCCCCCCUUURRRRRRRRRRRRRRRRRRRRRRRRRRRRRRRRRRRRRRRRRRRRRRRRRRRRRRRRRRRRRRRRRRRRRRRRRRRRRRRRRRRRRRRRRRRRRRRRRRRRRRRRRRRRRRRRRRRRRRRRRRRRRRRRRRRRRRRRRRR"&amp;"RRRRRRRRRRRRRRRRRRRRRRRRRRRRRRRRRRRRRRRRRRRRRRRRRRRRRRR")</f>
        <v>['Telkomsel', 'Threat', 'Severe', 'already', 'convenience', 'Telkomsel', 'Switch', 'aaaaaannnnnnnnnnnCCCCCCCCCCCCUUURRRRRRRRRRRRRRRRRRRRRRRRRRRRRRRRRRRRRRRRRRRRRRRRRRRRRRRRRRRRRRRRRRRRRRRRRRRRRRRRRRRRRRRRRRRRRRRRRRRRRRRRRRRRRRRRRRRRRRRRRRRRRRRRRRRRRRRRRRRRRRRRRRRRRRRRRRRRRRRRRRRRRRRRRRRRRRRRRRRRRRRRRRRRRRRRRR</v>
      </c>
      <c r="D812" s="3">
        <v>1.0</v>
      </c>
    </row>
    <row r="813" ht="15.75" customHeight="1">
      <c r="A813" s="1">
        <v>870.0</v>
      </c>
      <c r="B813" s="3" t="s">
        <v>794</v>
      </c>
      <c r="C813" s="3" t="str">
        <f>IFERROR(__xludf.DUMMYFUNCTION("GOOGLETRANSLATE(B813,""id"",""en"")"),"['Sorry', 'disappointed', 'Telkomsel', 'buy', 'package', 'kouta', 'payment', 'ovo', 'balance', 'reduced', 'package', 'kouta', ' enter']")</f>
        <v>['Sorry', 'disappointed', 'Telkomsel', 'buy', 'package', 'kouta', 'payment', 'ovo', 'balance', 'reduced', 'package', 'kouta', ' enter']</v>
      </c>
      <c r="D813" s="3">
        <v>1.0</v>
      </c>
    </row>
    <row r="814" ht="15.75" customHeight="1">
      <c r="A814" s="1">
        <v>871.0</v>
      </c>
      <c r="B814" s="3" t="s">
        <v>795</v>
      </c>
      <c r="C814" s="3" t="str">
        <f>IFERROR(__xludf.DUMMYFUNCTION("GOOGLETRANSLATE(B814,""id"",""en"")"),"['Telkomsel', 'wow', 'really', 'want', 'ngebing', 'quota', 'anything', 'network', 'worst', 'card', 'used to', 'network', ' Best ',' Network ',' Teburuk ', ""]")</f>
        <v>['Telkomsel', 'wow', 'really', 'want', 'ngebing', 'quota', 'anything', 'network', 'worst', 'card', 'used to', 'network', ' Best ',' Network ',' Teburuk ', "]</v>
      </c>
      <c r="D814" s="3">
        <v>1.0</v>
      </c>
    </row>
    <row r="815" ht="15.75" customHeight="1">
      <c r="A815" s="1">
        <v>872.0</v>
      </c>
      <c r="B815" s="3" t="s">
        <v>796</v>
      </c>
      <c r="C815" s="3" t="str">
        <f>IFERROR(__xludf.DUMMYFUNCTION("GOOGLETRANSLATE(B815,""id"",""en"")"),"['Telkomsel', 'Ganguan', 'System', 'Mulu']")</f>
        <v>['Telkomsel', 'Ganguan', 'System', 'Mulu']</v>
      </c>
      <c r="D815" s="3">
        <v>4.0</v>
      </c>
    </row>
    <row r="816" ht="15.75" customHeight="1">
      <c r="A816" s="1">
        <v>873.0</v>
      </c>
      <c r="B816" s="3" t="s">
        <v>797</v>
      </c>
      <c r="C816" s="3" t="str">
        <f>IFERROR(__xludf.DUMMYFUNCTION("GOOGLETRANSLATE(B816,""id"",""en"")"),"['Package', 'subscription', 'missing', 'knp', 'please', 'info', '']")</f>
        <v>['Package', 'subscription', 'missing', 'knp', 'please', 'info', '']</v>
      </c>
      <c r="D816" s="3">
        <v>1.0</v>
      </c>
    </row>
    <row r="817" ht="15.75" customHeight="1">
      <c r="A817" s="1">
        <v>874.0</v>
      </c>
      <c r="B817" s="3" t="s">
        <v>798</v>
      </c>
      <c r="C817" s="3" t="str">
        <f>IFERROR(__xludf.DUMMYFUNCTION("GOOGLETRANSLATE(B817,""id"",""en"")"),"['update', 'kek', 'garbage', 'application', 'buy', 'package', 'difficult']")</f>
        <v>['update', 'kek', 'garbage', 'application', 'buy', 'package', 'difficult']</v>
      </c>
      <c r="D817" s="3">
        <v>1.0</v>
      </c>
    </row>
    <row r="818" ht="15.75" customHeight="1">
      <c r="A818" s="1">
        <v>875.0</v>
      </c>
      <c r="B818" s="3" t="s">
        <v>799</v>
      </c>
      <c r="C818" s="3" t="str">
        <f>IFERROR(__xludf.DUMMYFUNCTION("GOOGLETRANSLATE(B818,""id"",""en"")"),"['promo', 'internet', 'cheap', 'Telkomsel', '']")</f>
        <v>['promo', 'internet', 'cheap', 'Telkomsel', '']</v>
      </c>
      <c r="D818" s="3">
        <v>4.0</v>
      </c>
    </row>
    <row r="819" ht="15.75" customHeight="1">
      <c r="A819" s="1">
        <v>876.0</v>
      </c>
      <c r="B819" s="3" t="s">
        <v>800</v>
      </c>
      <c r="C819" s="3" t="str">
        <f>IFERROR(__xludf.DUMMYFUNCTION("GOOGLETRANSLATE(B819,""id"",""en"")"),"['Tup', 'Game', 'Free', '']")</f>
        <v>['Tup', 'Game', 'Free', '']</v>
      </c>
      <c r="D819" s="3">
        <v>4.0</v>
      </c>
    </row>
    <row r="820" ht="15.75" customHeight="1">
      <c r="A820" s="1">
        <v>877.0</v>
      </c>
      <c r="B820" s="3" t="s">
        <v>801</v>
      </c>
      <c r="C820" s="3" t="str">
        <f>IFERROR(__xludf.DUMMYFUNCTION("GOOGLETRANSLATE(B820,""id"",""en"")"),"['Tuanak', 'card', 'life', 'data', 'internet', 'credit', 'reduced', 'because of', 'cost', 'access', 'internet', 'all' JDI ',' Sucked ',' Credit ',' Please ',' JLS ',' Telkomsel ',' Life ',' Data ',' Way ',' Costs', ""]")</f>
        <v>['Tuanak', 'card', 'life', 'data', 'internet', 'credit', 'reduced', 'because of', 'cost', 'access', 'internet', 'all' JDI ',' Sucked ',' Credit ',' Please ',' JLS ',' Telkomsel ',' Life ',' Data ',' Way ',' Costs', "]</v>
      </c>
      <c r="D820" s="3">
        <v>1.0</v>
      </c>
    </row>
    <row r="821" ht="15.75" customHeight="1">
      <c r="A821" s="1">
        <v>878.0</v>
      </c>
      <c r="B821" s="3" t="s">
        <v>802</v>
      </c>
      <c r="C821" s="3" t="str">
        <f>IFERROR(__xludf.DUMMYFUNCTION("GOOGLETRANSLATE(B821,""id"",""en"")"),"['Semankin', 'Good']")</f>
        <v>['Semankin', 'Good']</v>
      </c>
      <c r="D821" s="3">
        <v>5.0</v>
      </c>
    </row>
    <row r="822" ht="15.75" customHeight="1">
      <c r="A822" s="1">
        <v>879.0</v>
      </c>
      <c r="B822" s="3" t="s">
        <v>803</v>
      </c>
      <c r="C822" s="3" t="str">
        <f>IFERROR(__xludf.DUMMYFUNCTION("GOOGLETRANSLATE(B822,""id"",""en"")"),"['best']")</f>
        <v>['best']</v>
      </c>
      <c r="D822" s="3">
        <v>5.0</v>
      </c>
    </row>
    <row r="823" ht="15.75" customHeight="1">
      <c r="A823" s="1">
        <v>880.0</v>
      </c>
      <c r="B823" s="3" t="s">
        <v>804</v>
      </c>
      <c r="C823" s="3" t="str">
        <f>IFERROR(__xludf.DUMMYFUNCTION("GOOGLETRANSLATE(B823,""id"",""en"")"),"['help']")</f>
        <v>['help']</v>
      </c>
      <c r="D823" s="3">
        <v>5.0</v>
      </c>
    </row>
    <row r="824" ht="15.75" customHeight="1">
      <c r="A824" s="1">
        <v>881.0</v>
      </c>
      <c r="B824" s="3" t="s">
        <v>805</v>
      </c>
      <c r="C824" s="3" t="str">
        <f>IFERROR(__xludf.DUMMYFUNCTION("GOOGLETRANSLATE(B824,""id"",""en"")"),"['Seasoning', 'Severe', 'Network', 'Internet', 'Night', 'Test', 'Open', 'YouTube', 'Muter', 'Muter', 'Bad', 'Network', ' ']")</f>
        <v>['Seasoning', 'Severe', 'Network', 'Internet', 'Night', 'Test', 'Open', 'YouTube', 'Muter', 'Muter', 'Bad', 'Network', ' ']</v>
      </c>
      <c r="D824" s="3">
        <v>1.0</v>
      </c>
    </row>
    <row r="825" ht="15.75" customHeight="1">
      <c r="A825" s="1">
        <v>882.0</v>
      </c>
      <c r="B825" s="3" t="s">
        <v>806</v>
      </c>
      <c r="C825" s="3" t="str">
        <f>IFERROR(__xludf.DUMMYFUNCTION("GOOGLETRANSLATE(B825,""id"",""en"")"),"['Network', 'tatiin', 'little', 'Aceh', 'Down', 'Naek', 'Think', 'Free', 'Card', 'Pay', 'Ngemis',' Asik ',' Complained ',' Development ',' Sampe ',' Judgment ',' Development ',' Bill ',' Late ',' Network ',' Stable ',' Closed ',' Eyes', ""]")</f>
        <v>['Network', 'tatiin', 'little', 'Aceh', 'Down', 'Naek', 'Think', 'Free', 'Card', 'Pay', 'Ngemis',' Asik ',' Complained ',' Development ',' Sampe ',' Judgment ',' Development ',' Bill ',' Late ',' Network ',' Stable ',' Closed ',' Eyes', "]</v>
      </c>
      <c r="D825" s="3">
        <v>1.0</v>
      </c>
    </row>
    <row r="826" ht="15.75" customHeight="1">
      <c r="A826" s="1">
        <v>883.0</v>
      </c>
      <c r="B826" s="3" t="s">
        <v>807</v>
      </c>
      <c r="C826" s="3" t="str">
        <f>IFERROR(__xludf.DUMMYFUNCTION("GOOGLETRANSLATE(B826,""id"",""en"")"),"['Package', 'Satisfied', 'On', 'Satisfied', 'Kalou', 'Price', 'Segini', 'BLN', 'left']")</f>
        <v>['Package', 'Satisfied', 'On', 'Satisfied', 'Kalou', 'Price', 'Segini', 'BLN', 'left']</v>
      </c>
      <c r="D826" s="3">
        <v>2.0</v>
      </c>
    </row>
    <row r="827" ht="15.75" customHeight="1">
      <c r="A827" s="1">
        <v>884.0</v>
      </c>
      <c r="B827" s="3" t="s">
        <v>808</v>
      </c>
      <c r="C827" s="3" t="str">
        <f>IFERROR(__xludf.DUMMYFUNCTION("GOOGLETRANSLATE(B827,""id"",""en"")"),"['lucky']")</f>
        <v>['lucky']</v>
      </c>
      <c r="D827" s="3">
        <v>5.0</v>
      </c>
    </row>
    <row r="828" ht="15.75" customHeight="1">
      <c r="A828" s="1">
        <v>885.0</v>
      </c>
      <c r="B828" s="3" t="s">
        <v>809</v>
      </c>
      <c r="C828" s="3" t="str">
        <f>IFERROR(__xludf.DUMMYFUNCTION("GOOGLETRANSLATE(B828,""id"",""en"")"),"['Main', 'quota', 'multimedia', 'emang', 'gabisa', 'kepake', 'play', 'game', 'dipake', 'apk', 'lemotttttt', 'forgiveness',' Buy ',' Package ',' Quota ',' Multimedia ',' Remnant ',' She ',' Quota ',' Main ',' Buy ',' Remnant ',' Quota ',' Multimedia ',' Ha"&amp;"ngus' , 'That's', 'how', 'Min', 'Harms', 'Rich', 'Gini', ""]")</f>
        <v>['Main', 'quota', 'multimedia', 'emang', 'gabisa', 'kepake', 'play', 'game', 'dipake', 'apk', 'lemotttttt', 'forgiveness',' Buy ',' Package ',' Quota ',' Multimedia ',' Remnant ',' She ',' Quota ',' Main ',' Buy ',' Remnant ',' Quota ',' Multimedia ',' Hangus' , 'That's', 'how', 'Min', 'Harms', 'Rich', 'Gini', "]</v>
      </c>
      <c r="D828" s="3">
        <v>1.0</v>
      </c>
    </row>
    <row r="829" ht="15.75" customHeight="1">
      <c r="A829" s="1">
        <v>886.0</v>
      </c>
      <c r="B829" s="3" t="s">
        <v>810</v>
      </c>
      <c r="C829" s="3" t="str">
        <f>IFERROR(__xludf.DUMMYFUNCTION("GOOGLETRANSLATE(B829,""id"",""en"")"),"['Application', 'updated', 'Severe', 'Application', 'rare', 'kekak', 'plus',' network ',' ugly ',' slow ',' price ',' package ',' expensive ',' according to ',' price ',' package ',' network ',' severe ',' network ',' Telkomsel ',' good ',' ugly ',' netwo"&amp;"rk ']")</f>
        <v>['Application', 'updated', 'Severe', 'Application', 'rare', 'kekak', 'plus',' network ',' ugly ',' slow ',' price ',' package ',' expensive ',' according to ',' price ',' package ',' network ',' severe ',' network ',' Telkomsel ',' good ',' ugly ',' network ']</v>
      </c>
      <c r="D829" s="3">
        <v>1.0</v>
      </c>
    </row>
    <row r="830" ht="15.75" customHeight="1">
      <c r="A830" s="1">
        <v>887.0</v>
      </c>
      <c r="B830" s="3" t="s">
        <v>811</v>
      </c>
      <c r="C830" s="3" t="str">
        <f>IFERROR(__xludf.DUMMYFUNCTION("GOOGLETRANSLATE(B830,""id"",""en"")"),"['HRI', 'HRI', 'Signal', 'ilang', 'Setabil', 'internet', 'Please', 'Fix', 'Daerh', 'Jaktim', 'Cakung']")</f>
        <v>['HRI', 'HRI', 'Signal', 'ilang', 'Setabil', 'internet', 'Please', 'Fix', 'Daerh', 'Jaktim', 'Cakung']</v>
      </c>
      <c r="D830" s="3">
        <v>1.0</v>
      </c>
    </row>
    <row r="831" ht="15.75" customHeight="1">
      <c r="A831" s="1">
        <v>888.0</v>
      </c>
      <c r="B831" s="3" t="s">
        <v>812</v>
      </c>
      <c r="C831" s="3" t="str">
        <f>IFERROR(__xludf.DUMMYFUNCTION("GOOGLETRANSLATE(B831,""id"",""en"")"),"['Original', 'Telkomsel', 'Burikkkkk', 'times',' kek ',' pig ',' already ',' network ',' ugly ',' yesterday ',' buy ',' package ',' Payment ',' Shoppee ',' Pay ',' Enter ',' Filled ',' Credit ',' Cut ']")</f>
        <v>['Original', 'Telkomsel', 'Burikkkkk', 'times',' kek ',' pig ',' already ',' network ',' ugly ',' yesterday ',' buy ',' package ',' Payment ',' Shoppee ',' Pay ',' Enter ',' Filled ',' Credit ',' Cut ']</v>
      </c>
      <c r="D831" s="3">
        <v>1.0</v>
      </c>
    </row>
    <row r="832" ht="15.75" customHeight="1">
      <c r="A832" s="1">
        <v>890.0</v>
      </c>
      <c r="B832" s="3" t="s">
        <v>813</v>
      </c>
      <c r="C832" s="3" t="str">
        <f>IFERROR(__xludf.DUMMYFUNCTION("GOOGLETRANSLATE(B832,""id"",""en"")"),"['Application', 'Useful', '']")</f>
        <v>['Application', 'Useful', '']</v>
      </c>
      <c r="D832" s="3">
        <v>5.0</v>
      </c>
    </row>
    <row r="833" ht="15.75" customHeight="1">
      <c r="A833" s="1">
        <v>891.0</v>
      </c>
      <c r="B833" s="3" t="s">
        <v>814</v>
      </c>
      <c r="C833" s="3" t="str">
        <f>IFERROR(__xludf.DUMMYFUNCTION("GOOGLETRANSLATE(B833,""id"",""en"")"),"['signal', 'full', 'speed', 'beg', 'fix', 'thank you']")</f>
        <v>['signal', 'full', 'speed', 'beg', 'fix', 'thank you']</v>
      </c>
      <c r="D833" s="3">
        <v>1.0</v>
      </c>
    </row>
    <row r="834" ht="15.75" customHeight="1">
      <c r="A834" s="1">
        <v>892.0</v>
      </c>
      <c r="B834" s="3" t="s">
        <v>815</v>
      </c>
      <c r="C834" s="3" t="str">
        <f>IFERROR(__xludf.DUMMYFUNCTION("GOOGLETRANSLATE(B834,""id"",""en"")"),"['Price', 'quota', 'competitive']")</f>
        <v>['Price', 'quota', 'competitive']</v>
      </c>
      <c r="D834" s="3">
        <v>5.0</v>
      </c>
    </row>
    <row r="835" ht="15.75" customHeight="1">
      <c r="A835" s="1">
        <v>893.0</v>
      </c>
      <c r="B835" s="3" t="s">
        <v>816</v>
      </c>
      <c r="C835" s="3" t="str">
        <f>IFERROR(__xludf.DUMMYFUNCTION("GOOGLETRANSLATE(B835,""id"",""en"")"),"['steady', 'Telkomsel', 'good', 'like', 'really', 'application', 'suggestion', 'teer', 'really', 'person', 'features',' unlock ',' Credit ',' Nge ',' Amanin ',' Credit ',' Contents', 'Credit', 'Then', 'Packagein', 'Make', 'WiFi', 'Fear', 'Sumpot', 'Sumpot"&amp;"' , 'Kali', 'Please', 'Developer', 'Think Out', 'Team', 'Telkomsel', 'User', 'Sia', 'Sia', 'Pulses',' ilang ',' Data ',' Cellular ',' THX ',' ']")</f>
        <v>['steady', 'Telkomsel', 'good', 'like', 'really', 'application', 'suggestion', 'teer', 'really', 'person', 'features',' unlock ',' Credit ',' Nge ',' Amanin ',' Credit ',' Contents', 'Credit', 'Then', 'Packagein', 'Make', 'WiFi', 'Fear', 'Sumpot', 'Sumpot' , 'Kali', 'Please', 'Developer', 'Think Out', 'Team', 'Telkomsel', 'User', 'Sia', 'Sia', 'Pulses',' ilang ',' Data ',' Cellular ',' THX ',' ']</v>
      </c>
      <c r="D835" s="3">
        <v>5.0</v>
      </c>
    </row>
    <row r="836" ht="15.75" customHeight="1">
      <c r="A836" s="1">
        <v>894.0</v>
      </c>
      <c r="B836" s="3" t="s">
        <v>817</v>
      </c>
      <c r="C836" s="3" t="str">
        <f>IFERROR(__xludf.DUMMYFUNCTION("GOOGLETRANSLATE(B836,""id"",""en"")"),"['signal', 'Telkomsel', 'bad', 'ngegaming', 'smooth', 'signal', 'bad', 'internet', 'gaming', 'really', 'disappointing', 'please', ' Explanation ',' Pelangement ',' Setia ',' Telkomsel ',' Actual ',' Telkomsel ']")</f>
        <v>['signal', 'Telkomsel', 'bad', 'ngegaming', 'smooth', 'signal', 'bad', 'internet', 'gaming', 'really', 'disappointing', 'please', ' Explanation ',' Pelangement ',' Setia ',' Telkomsel ',' Actual ',' Telkomsel ']</v>
      </c>
      <c r="D836" s="3">
        <v>1.0</v>
      </c>
    </row>
    <row r="837" ht="15.75" customHeight="1">
      <c r="A837" s="1">
        <v>895.0</v>
      </c>
      <c r="B837" s="3" t="s">
        <v>818</v>
      </c>
      <c r="C837" s="3" t="str">
        <f>IFERROR(__xludf.DUMMYFUNCTION("GOOGLETRANSLATE(B837,""id"",""en"")"),"['makes it easier', 'checks', 'pulse', 'quota', 'data']")</f>
        <v>['makes it easier', 'checks', 'pulse', 'quota', 'data']</v>
      </c>
      <c r="D837" s="3">
        <v>5.0</v>
      </c>
    </row>
    <row r="838" ht="15.75" customHeight="1">
      <c r="A838" s="1">
        <v>896.0</v>
      </c>
      <c r="B838" s="3" t="s">
        <v>819</v>
      </c>
      <c r="C838" s="3" t="str">
        <f>IFERROR(__xludf.DUMMYFUNCTION("GOOGLETRANSLATE(B838,""id"",""en"")"),"['Promo', 'expensive', 'expensive']")</f>
        <v>['Promo', 'expensive', 'expensive']</v>
      </c>
      <c r="D838" s="3">
        <v>3.0</v>
      </c>
    </row>
    <row r="839" ht="15.75" customHeight="1">
      <c r="A839" s="1">
        <v>897.0</v>
      </c>
      <c r="B839" s="3" t="s">
        <v>820</v>
      </c>
      <c r="C839" s="3" t="str">
        <f>IFERROR(__xludf.DUMMYFUNCTION("GOOGLETRANSLATE(B839,""id"",""en"")"),"['Helping', 'Check', 'Quota', 'Practical']")</f>
        <v>['Helping', 'Check', 'Quota', 'Practical']</v>
      </c>
      <c r="D839" s="3">
        <v>4.0</v>
      </c>
    </row>
    <row r="840" ht="15.75" customHeight="1">
      <c r="A840" s="1">
        <v>898.0</v>
      </c>
      <c r="B840" s="3" t="s">
        <v>821</v>
      </c>
      <c r="C840" s="3" t="str">
        <f>IFERROR(__xludf.DUMMYFUNCTION("GOOGLETRANSLATE(B840,""id"",""en"")"),"['face', 'sangt', 'mmuaskn']")</f>
        <v>['face', 'sangt', 'mmuaskn']</v>
      </c>
      <c r="D840" s="3">
        <v>5.0</v>
      </c>
    </row>
    <row r="841" ht="15.75" customHeight="1">
      <c r="A841" s="1">
        <v>899.0</v>
      </c>
      <c r="B841" s="3" t="s">
        <v>822</v>
      </c>
      <c r="C841" s="3" t="str">
        <f>IFERROR(__xludf.DUMMYFUNCTION("GOOGLETRANSLATE(B841,""id"",""en"")"),"['Gini', 'gabisa', 'internet', 'banking']")</f>
        <v>['Gini', 'gabisa', 'internet', 'banking']</v>
      </c>
      <c r="D841" s="3">
        <v>1.0</v>
      </c>
    </row>
    <row r="842" ht="15.75" customHeight="1">
      <c r="A842" s="1">
        <v>900.0</v>
      </c>
      <c r="B842" s="3" t="s">
        <v>518</v>
      </c>
      <c r="C842" s="3" t="str">
        <f>IFERROR(__xludf.DUMMYFUNCTION("GOOGLETRANSLATE(B842,""id"",""en"")"),"['hopefully']")</f>
        <v>['hopefully']</v>
      </c>
      <c r="D842" s="3">
        <v>4.0</v>
      </c>
    </row>
    <row r="843" ht="15.75" customHeight="1">
      <c r="A843" s="1">
        <v>901.0</v>
      </c>
      <c r="B843" s="3" t="s">
        <v>823</v>
      </c>
      <c r="C843" s="3" t="str">
        <f>IFERROR(__xludf.DUMMYFUNCTION("GOOGLETRANSLATE(B843,""id"",""en"")"),"['Help', 'easy', 'hope', 'success', 'in the future']")</f>
        <v>['Help', 'easy', 'hope', 'success', 'in the future']</v>
      </c>
      <c r="D843" s="3">
        <v>5.0</v>
      </c>
    </row>
    <row r="844" ht="15.75" customHeight="1">
      <c r="A844" s="1">
        <v>902.0</v>
      </c>
      <c r="B844" s="3" t="s">
        <v>824</v>
      </c>
      <c r="C844" s="3" t="str">
        <f>IFERROR(__xludf.DUMMYFUNCTION("GOOGLETRANSLATE(B844,""id"",""en"")"),"['Telkomsel', 'please', 'customer', 'hit', 'crisis',' network ',' sick ',' heart ',' taste ',' move ',' operator ',' please ',' Tolerance, 'annoying', 'comfort', 'users', 'Network', 'Telkomsel']")</f>
        <v>['Telkomsel', 'please', 'customer', 'hit', 'crisis',' network ',' sick ',' heart ',' taste ',' move ',' operator ',' please ',' Tolerance, 'annoying', 'comfort', 'users', 'Network', 'Telkomsel']</v>
      </c>
      <c r="D844" s="3">
        <v>2.0</v>
      </c>
    </row>
    <row r="845" ht="15.75" customHeight="1">
      <c r="A845" s="1">
        <v>903.0</v>
      </c>
      <c r="B845" s="3" t="s">
        <v>825</v>
      </c>
      <c r="C845" s="3" t="str">
        <f>IFERROR(__xludf.DUMMYFUNCTION("GOOGLETRANSLATE(B845,""id"",""en"")"),"['use', 'Telkomsel', 'disappointed', 'heavy', 'price', 'expensive', 'network', 'Telkomsel', 'point', 'exchange', 'package', 'data', ' sms', 'undia', 'hala', 'win', 'naruk', 'point', 'per week', 'pulse', 'forced', 'card', 'burn', 'loss',' make ' , 'Telkoms"&amp;"el', 'Karna', 'Masi', 'bnyak', 'users', 'Telkomsel', 'Tipun', 'Congratulations', 'Live', 'Telkomsel']")</f>
        <v>['use', 'Telkomsel', 'disappointed', 'heavy', 'price', 'expensive', 'network', 'Telkomsel', 'point', 'exchange', 'package', 'data', ' sms', 'undia', 'hala', 'win', 'naruk', 'point', 'per week', 'pulse', 'forced', 'card', 'burn', 'loss',' make ' , 'Telkomsel', 'Karna', 'Masi', 'bnyak', 'users', 'Telkomsel', 'Tipun', 'Congratulations', 'Live', 'Telkomsel']</v>
      </c>
      <c r="D845" s="3">
        <v>1.0</v>
      </c>
    </row>
    <row r="846" ht="15.75" customHeight="1">
      <c r="A846" s="1">
        <v>904.0</v>
      </c>
      <c r="B846" s="3" t="s">
        <v>826</v>
      </c>
      <c r="C846" s="3" t="str">
        <f>IFERROR(__xludf.DUMMYFUNCTION("GOOGLETRANSLATE(B846,""id"",""en"")"),"['Network', 'Telkomsel', 'Regder', 'District', 'Peranap', 'chaotic', 'network', 'slow', 'please', 'fix', 'trmksih', ""]")</f>
        <v>['Network', 'Telkomsel', 'Regder', 'District', 'Peranap', 'chaotic', 'network', 'slow', 'please', 'fix', 'trmksih', "]</v>
      </c>
      <c r="D846" s="3">
        <v>5.0</v>
      </c>
    </row>
    <row r="847" ht="15.75" customHeight="1">
      <c r="A847" s="1">
        <v>905.0</v>
      </c>
      <c r="B847" s="3" t="s">
        <v>827</v>
      </c>
      <c r="C847" s="3" t="str">
        <f>IFERROR(__xludf.DUMMYFUNCTION("GOOGLETRANSLATE(B847,""id"",""en"")"),"['Please', 'Read', 'Telkomsel', 'Signal', 'Bad', 'Lossi', 'Bener', 'Service', 'Telkomsel']")</f>
        <v>['Please', 'Read', 'Telkomsel', 'Signal', 'Bad', 'Lossi', 'Bener', 'Service', 'Telkomsel']</v>
      </c>
      <c r="D847" s="3">
        <v>1.0</v>
      </c>
    </row>
    <row r="848" ht="15.75" customHeight="1">
      <c r="A848" s="1">
        <v>906.0</v>
      </c>
      <c r="B848" s="3" t="s">
        <v>828</v>
      </c>
      <c r="C848" s="3" t="str">
        <f>IFERROR(__xludf.DUMMYFUNCTION("GOOGLETRANSLATE(B848,""id"",""en"")"),"['Package', 'Doang', 'expensive', 'signal', 'UND']")</f>
        <v>['Package', 'Doang', 'expensive', 'signal', 'UND']</v>
      </c>
      <c r="D848" s="3">
        <v>1.0</v>
      </c>
    </row>
    <row r="849" ht="15.75" customHeight="1">
      <c r="A849" s="1">
        <v>907.0</v>
      </c>
      <c r="B849" s="3" t="s">
        <v>829</v>
      </c>
      <c r="C849" s="3" t="str">
        <f>IFERROR(__xludf.DUMMYFUNCTION("GOOGLETRANSLATE(B849,""id"",""en"")"),"['already', 'complain', 'sensitive', 'already', 'environment', 'solid', 'population', 'user', 'addin', 'quota', 'speed', 'biarin', ' Gulms', 'User', 'as a result', 'Lemoot', 'MAYAL', 'Doang', '']")</f>
        <v>['already', 'complain', 'sensitive', 'already', 'environment', 'solid', 'population', 'user', 'addin', 'quota', 'speed', 'biarin', ' Gulms', 'User', 'as a result', 'Lemoot', 'MAYAL', 'Doang', '']</v>
      </c>
      <c r="D849" s="3">
        <v>1.0</v>
      </c>
    </row>
    <row r="850" ht="15.75" customHeight="1">
      <c r="A850" s="1">
        <v>908.0</v>
      </c>
      <c r="B850" s="3" t="s">
        <v>830</v>
      </c>
      <c r="C850" s="3" t="str">
        <f>IFERROR(__xludf.DUMMYFUNCTION("GOOGLETRANSLATE(B850,""id"",""en"")"),"['Okay', 'really', 'deh', 'gan']")</f>
        <v>['Okay', 'really', 'deh', 'gan']</v>
      </c>
      <c r="D850" s="3">
        <v>5.0</v>
      </c>
    </row>
    <row r="851" ht="15.75" customHeight="1">
      <c r="A851" s="1">
        <v>909.0</v>
      </c>
      <c r="B851" s="3" t="s">
        <v>831</v>
      </c>
      <c r="C851" s="3" t="str">
        <f>IFERROR(__xludf.DUMMYFUNCTION("GOOGLETRANSLATE(B851,""id"",""en"")"),"['Application', 'good', 'easy', 'Please', 'in the future', 'made easier', 'promo', 'promo', 'interesting', 'interesting']")</f>
        <v>['Application', 'good', 'easy', 'Please', 'in the future', 'made easier', 'promo', 'promo', 'interesting', 'interesting']</v>
      </c>
      <c r="D851" s="3">
        <v>5.0</v>
      </c>
    </row>
    <row r="852" ht="15.75" customHeight="1">
      <c r="A852" s="1">
        <v>911.0</v>
      </c>
      <c r="B852" s="3" t="s">
        <v>832</v>
      </c>
      <c r="C852" s="3" t="str">
        <f>IFERROR(__xludf.DUMMYFUNCTION("GOOGLETRANSLATE(B852,""id"",""en"")"),"['likes', 'lag', 'difficult', 'access', 'tribulation', 'user']")</f>
        <v>['likes', 'lag', 'difficult', 'access', 'tribulation', 'user']</v>
      </c>
      <c r="D852" s="3">
        <v>1.0</v>
      </c>
    </row>
    <row r="853" ht="15.75" customHeight="1">
      <c r="A853" s="1">
        <v>912.0</v>
      </c>
      <c r="B853" s="3" t="s">
        <v>833</v>
      </c>
      <c r="C853" s="3" t="str">
        <f>IFERROR(__xludf.DUMMYFUNCTION("GOOGLETRANSLATE(B853,""id"",""en"")"),"['Haloooooo', 'Telkomsel', 'Network', 'ugly', 'rich', 'stay', 'mountain', 'already', 'threat', 'Gara', 'network', 'rich', ' TaiiiiiiIIIIIIIIIIIIIIIIIIIIIIIIIIIIIIIIIIIIIIIIIIIIIIIIIIIIIIIIII'S, 'Promow', 'Liat', 'Reviews', 'users', 'Telkomsel', 'Disappoin"&amp;"ted', 'Gara', 'Network']")</f>
        <v>['Haloooooo', 'Telkomsel', 'Network', 'ugly', 'rich', 'stay', 'mountain', 'already', 'threat', 'Gara', 'network', 'rich', ' TaiiiiiiIIIIIIIIIIIIIIIIIIIIIIIIIIIIIIIIIIIIIIIIIIIIIIIIIIIIIIIIII'S, 'Promow', 'Liat', 'Reviews', 'users', 'Telkomsel', 'Disappointed', 'Gara', 'Network']</v>
      </c>
      <c r="D853" s="3">
        <v>1.0</v>
      </c>
    </row>
    <row r="854" ht="15.75" customHeight="1">
      <c r="A854" s="1">
        <v>913.0</v>
      </c>
      <c r="B854" s="3" t="s">
        <v>834</v>
      </c>
      <c r="C854" s="3" t="str">
        <f>IFERROR(__xludf.DUMMYFUNCTION("GOOGLETRANSLATE(B854,""id"",""en"")"),"['Network', 'lemootttttttttt']")</f>
        <v>['Network', 'lemootttttttttt']</v>
      </c>
      <c r="D854" s="3">
        <v>1.0</v>
      </c>
    </row>
    <row r="855" ht="15.75" customHeight="1">
      <c r="A855" s="1">
        <v>914.0</v>
      </c>
      <c r="B855" s="3" t="s">
        <v>835</v>
      </c>
      <c r="C855" s="3" t="str">
        <f>IFERROR(__xludf.DUMMYFUNCTION("GOOGLETRANSLATE(B855,""id"",""en"")"),"['Hopefully', 'disruption', 'signal', 'Telkomsel', 'fast', 'controlled', 'normal', 'star', 'back', 'star']")</f>
        <v>['Hopefully', 'disruption', 'signal', 'Telkomsel', 'fast', 'controlled', 'normal', 'star', 'back', 'star']</v>
      </c>
      <c r="D855" s="3">
        <v>1.0</v>
      </c>
    </row>
    <row r="856" ht="15.75" customHeight="1">
      <c r="A856" s="1">
        <v>915.0</v>
      </c>
      <c r="B856" s="3" t="s">
        <v>836</v>
      </c>
      <c r="C856" s="3" t="str">
        <f>IFERROR(__xludf.DUMMYFUNCTION("GOOGLETRANSLATE(B856,""id"",""en"")"),"['bad connection']")</f>
        <v>['bad connection']</v>
      </c>
      <c r="D856" s="3">
        <v>1.0</v>
      </c>
    </row>
    <row r="857" ht="15.75" customHeight="1">
      <c r="A857" s="1">
        <v>916.0</v>
      </c>
      <c r="B857" s="3" t="s">
        <v>837</v>
      </c>
      <c r="C857" s="3" t="str">
        <f>IFERROR(__xludf.DUMMYFUNCTION("GOOGLETRANSLATE(B857,""id"",""en"")"),"['Maap', 'tasty', 'ilang', 'tasty', 'that's',' until ',' AFK ',' play ',' game ',' run out ',' ilang ',' signal ',' satisfying ',' quota ',' expensive ',' network ',' rotten ']")</f>
        <v>['Maap', 'tasty', 'ilang', 'tasty', 'that's',' until ',' AFK ',' play ',' game ',' run out ',' ilang ',' signal ',' satisfying ',' quota ',' expensive ',' network ',' rotten ']</v>
      </c>
      <c r="D857" s="3">
        <v>1.0</v>
      </c>
    </row>
    <row r="858" ht="15.75" customHeight="1">
      <c r="A858" s="1">
        <v>917.0</v>
      </c>
      <c r="B858" s="3" t="s">
        <v>838</v>
      </c>
      <c r="C858" s="3" t="str">
        <f>IFERROR(__xludf.DUMMYFUNCTION("GOOGLETRANSLATE(B858,""id"",""en"")"),"['', 'BYK', 'PROMO']")</f>
        <v>['', 'BYK', 'PROMO']</v>
      </c>
      <c r="D858" s="3">
        <v>3.0</v>
      </c>
    </row>
    <row r="859" ht="15.75" customHeight="1">
      <c r="A859" s="1">
        <v>918.0</v>
      </c>
      <c r="B859" s="3" t="s">
        <v>839</v>
      </c>
      <c r="C859" s="3" t="str">
        <f>IFERROR(__xludf.DUMMYFUNCTION("GOOGLETRANSLATE(B859,""id"",""en"")"),"['pulse', 'already', 'contents',' TPI ',' buy ',' pket ',' data ',' leftover ',' pulse ',' strange ',' keelempa ',' package ',' pulses', 'bnyak', 'tpi', 'ckup', 'pulse', 'buy', 'package']")</f>
        <v>['pulse', 'already', 'contents',' TPI ',' buy ',' pket ',' data ',' leftover ',' pulse ',' strange ',' keelempa ',' package ',' pulses', 'bnyak', 'tpi', 'ckup', 'pulse', 'buy', 'package']</v>
      </c>
      <c r="D859" s="3">
        <v>1.0</v>
      </c>
    </row>
    <row r="860" ht="15.75" customHeight="1">
      <c r="A860" s="1">
        <v>919.0</v>
      </c>
      <c r="B860" s="3" t="s">
        <v>840</v>
      </c>
      <c r="C860" s="3" t="str">
        <f>IFERROR(__xludf.DUMMYFUNCTION("GOOGLETRANSLATE(B860,""id"",""en"")"),"['Sometimes', 'like', 'error', 'application']")</f>
        <v>['Sometimes', 'like', 'error', 'application']</v>
      </c>
      <c r="D860" s="3">
        <v>4.0</v>
      </c>
    </row>
    <row r="861" ht="15.75" customHeight="1">
      <c r="A861" s="1">
        <v>920.0</v>
      </c>
      <c r="B861" s="3" t="s">
        <v>841</v>
      </c>
      <c r="C861" s="3" t="str">
        <f>IFERROR(__xludf.DUMMYFUNCTION("GOOGLETRANSLATE(B861,""id"",""en"")"),"['I', 'suggestion', 'use', 'Telkom', 'emotion', 'speed', 'according to', 'price', 'emotion', 'people', 'sin', 'use', ' Telkomsel ',' Karan ',' forced ',' I ',' use ',' Telkomsel ']")</f>
        <v>['I', 'suggestion', 'use', 'Telkom', 'emotion', 'speed', 'according to', 'price', 'emotion', 'people', 'sin', 'use', ' Telkomsel ',' Karan ',' forced ',' I ',' use ',' Telkomsel ']</v>
      </c>
      <c r="D861" s="3">
        <v>1.0</v>
      </c>
    </row>
    <row r="862" ht="15.75" customHeight="1">
      <c r="A862" s="1">
        <v>922.0</v>
      </c>
      <c r="B862" s="3" t="s">
        <v>842</v>
      </c>
      <c r="C862" s="3" t="str">
        <f>IFERROR(__xludf.DUMMYFUNCTION("GOOGLETRANSLATE(B862,""id"",""en"")"),"['Sis', 'Network', 'Please', 'Fast', 'Fix', 'Ntar', 'Jack', 'Pot', ""]")</f>
        <v>['Sis', 'Network', 'Please', 'Fast', 'Fix', 'Ntar', 'Jack', 'Pot', "]</v>
      </c>
      <c r="D862" s="3">
        <v>2.0</v>
      </c>
    </row>
    <row r="863" ht="15.75" customHeight="1">
      <c r="A863" s="1">
        <v>923.0</v>
      </c>
      <c r="B863" s="3" t="s">
        <v>843</v>
      </c>
      <c r="C863" s="3" t="str">
        <f>IFERROR(__xludf.DUMMYFUNCTION("GOOGLETRANSLATE(B863,""id"",""en"")"),"['satisfying', 'little', 'little', 'rating']")</f>
        <v>['satisfying', 'little', 'little', 'rating']</v>
      </c>
      <c r="D863" s="3">
        <v>1.0</v>
      </c>
    </row>
    <row r="864" ht="15.75" customHeight="1">
      <c r="A864" s="1">
        <v>924.0</v>
      </c>
      <c r="B864" s="3" t="s">
        <v>844</v>
      </c>
      <c r="C864" s="3" t="str">
        <f>IFERROR(__xludf.DUMMYFUNCTION("GOOGLETRANSLATE(B864,""id"",""en"")"),"['Alhamdulillah', 'Measually']")</f>
        <v>['Alhamdulillah', 'Measually']</v>
      </c>
      <c r="D864" s="3">
        <v>5.0</v>
      </c>
    </row>
    <row r="865" ht="15.75" customHeight="1">
      <c r="A865" s="1">
        <v>925.0</v>
      </c>
      <c r="B865" s="3" t="s">
        <v>845</v>
      </c>
      <c r="C865" s="3" t="str">
        <f>IFERROR(__xludf.DUMMYFUNCTION("GOOGLETRANSLATE(B865,""id"",""en"")"),"['Network', 'strong']")</f>
        <v>['Network', 'strong']</v>
      </c>
      <c r="D865" s="3">
        <v>5.0</v>
      </c>
    </row>
    <row r="866" ht="15.75" customHeight="1">
      <c r="A866" s="1">
        <v>926.0</v>
      </c>
      <c r="B866" s="3" t="s">
        <v>846</v>
      </c>
      <c r="C866" s="3" t="str">
        <f>IFERROR(__xludf.DUMMYFUNCTION("GOOGLETRANSLATE(B866,""id"",""en"")"),"['Mantul', 'package', 'cheap']")</f>
        <v>['Mantul', 'package', 'cheap']</v>
      </c>
      <c r="D866" s="3">
        <v>5.0</v>
      </c>
    </row>
    <row r="867" ht="15.75" customHeight="1">
      <c r="A867" s="1">
        <v>927.0</v>
      </c>
      <c r="B867" s="3" t="s">
        <v>847</v>
      </c>
      <c r="C867" s="3" t="str">
        <f>IFERROR(__xludf.DUMMYFUNCTION("GOOGLETRANSLATE(B867,""id"",""en"")"),"['Loading', 'at the beginning', 'slow', 'really', '']")</f>
        <v>['Loading', 'at the beginning', 'slow', 'really', '']</v>
      </c>
      <c r="D867" s="3">
        <v>2.0</v>
      </c>
    </row>
    <row r="868" ht="15.75" customHeight="1">
      <c r="A868" s="1">
        <v>928.0</v>
      </c>
      <c r="B868" s="3" t="s">
        <v>848</v>
      </c>
      <c r="C868" s="3" t="str">
        <f>IFERROR(__xludf.DUMMYFUNCTION("GOOGLETRANSLATE(B868,""id"",""en"")"),"['disappointing', 'Telkomsel', 'smooth', 'stay', 'memories']")</f>
        <v>['disappointing', 'Telkomsel', 'smooth', 'stay', 'memories']</v>
      </c>
      <c r="D868" s="3">
        <v>1.0</v>
      </c>
    </row>
    <row r="869" ht="15.75" customHeight="1">
      <c r="A869" s="1">
        <v>929.0</v>
      </c>
      <c r="B869" s="3" t="s">
        <v>849</v>
      </c>
      <c r="C869" s="3" t="str">
        <f>IFERROR(__xludf.DUMMYFUNCTION("GOOGLETRANSLATE(B869,""id"",""en"")"),"['', 'Expand', 'Mulu', 'The network']")</f>
        <v>['', 'Expand', 'Mulu', 'The network']</v>
      </c>
      <c r="D869" s="3">
        <v>1.0</v>
      </c>
    </row>
    <row r="870" ht="15.75" customHeight="1">
      <c r="A870" s="1">
        <v>930.0</v>
      </c>
      <c r="B870" s="3" t="s">
        <v>850</v>
      </c>
      <c r="C870" s="3" t="str">
        <f>IFERROR(__xludf.DUMMYFUNCTION("GOOGLETRANSLATE(B870,""id"",""en"")"),"['Paketan', 'Out', 'TRS', 'Direct', 'Switch', 'Non', 'Package', 'Automatic', 'PLNG', 'Hate', 'Can't', 'Great', ' people ',' lgi ',' no ',' duwit ',' provider ']")</f>
        <v>['Paketan', 'Out', 'TRS', 'Direct', 'Switch', 'Non', 'Package', 'Automatic', 'PLNG', 'Hate', 'Can't', 'Great', ' people ',' lgi ',' no ',' duwit ',' provider ']</v>
      </c>
      <c r="D870" s="3">
        <v>1.0</v>
      </c>
    </row>
    <row r="871" ht="15.75" customHeight="1">
      <c r="A871" s="1">
        <v>931.0</v>
      </c>
      <c r="B871" s="3" t="s">
        <v>851</v>
      </c>
      <c r="C871" s="3" t="str">
        <f>IFERROR(__xludf.DUMMYFUNCTION("GOOGLETRANSLATE(B871,""id"",""en"")"),"['Help', 'efficient', 'buy', 'package', 'just', 'choose', 'application']")</f>
        <v>['Help', 'efficient', 'buy', 'package', 'just', 'choose', 'application']</v>
      </c>
      <c r="D871" s="3">
        <v>5.0</v>
      </c>
    </row>
    <row r="872" ht="15.75" customHeight="1">
      <c r="A872" s="1">
        <v>932.0</v>
      </c>
      <c r="B872" s="3" t="s">
        <v>852</v>
      </c>
      <c r="C872" s="3" t="str">
        <f>IFERROR(__xludf.DUMMYFUNCTION("GOOGLETRANSLATE(B872,""id"",""en"")"),"['Please', 'tsel', 'signal', 'slow', 'package', 'knp', 'slow', 'please', 'fix', 'signal']")</f>
        <v>['Please', 'tsel', 'signal', 'slow', 'package', 'knp', 'slow', 'please', 'fix', 'signal']</v>
      </c>
      <c r="D872" s="3">
        <v>3.0</v>
      </c>
    </row>
    <row r="873" ht="15.75" customHeight="1">
      <c r="A873" s="1">
        <v>933.0</v>
      </c>
      <c r="B873" s="3" t="s">
        <v>853</v>
      </c>
      <c r="C873" s="3" t="str">
        <f>IFERROR(__xludf.DUMMYFUNCTION("GOOGLETRANSLATE(B873,""id"",""en"")"),"['happy', 'application']")</f>
        <v>['happy', 'application']</v>
      </c>
      <c r="D873" s="3">
        <v>1.0</v>
      </c>
    </row>
    <row r="874" ht="15.75" customHeight="1">
      <c r="A874" s="1">
        <v>934.0</v>
      </c>
      <c r="B874" s="3" t="s">
        <v>854</v>
      </c>
      <c r="C874" s="3" t="str">
        <f>IFERROR(__xludf.DUMMYFUNCTION("GOOGLETRANSLATE(B874,""id"",""en"")"),"['Network', 'Telkom', 'fast', 'salute', 'Ama', 'miminnya', 'want', 'slammed', 'head']")</f>
        <v>['Network', 'Telkom', 'fast', 'salute', 'Ama', 'miminnya', 'want', 'slammed', 'head']</v>
      </c>
      <c r="D874" s="3">
        <v>1.0</v>
      </c>
    </row>
    <row r="875" ht="15.75" customHeight="1">
      <c r="A875" s="1">
        <v>935.0</v>
      </c>
      <c r="B875" s="3" t="s">
        <v>855</v>
      </c>
      <c r="C875" s="3" t="str">
        <f>IFERROR(__xludf.DUMMYFUNCTION("GOOGLETRANSLATE(B875,""id"",""en"")"),"['Sad', 'network', 'like', 'error', 'center', 'capital', 'price', 'quota', 'doang', 'ngilk', 'TPI', 'quality', ' network ',' Dii ',' pay attention ',' turn ',' money ',' cepeeet ']")</f>
        <v>['Sad', 'network', 'like', 'error', 'center', 'capital', 'price', 'quota', 'doang', 'ngilk', 'TPI', 'quality', ' network ',' Dii ',' pay attention ',' turn ',' money ',' cepeeet ']</v>
      </c>
      <c r="D875" s="3">
        <v>1.0</v>
      </c>
    </row>
    <row r="876" ht="15.75" customHeight="1">
      <c r="A876" s="1">
        <v>936.0</v>
      </c>
      <c r="B876" s="3" t="s">
        <v>856</v>
      </c>
      <c r="C876" s="3" t="str">
        <f>IFERROR(__xludf.DUMMYFUNCTION("GOOGLETRANSLATE(B876,""id"",""en"")"),"['Transaction', 'fast']")</f>
        <v>['Transaction', 'fast']</v>
      </c>
      <c r="D876" s="3">
        <v>5.0</v>
      </c>
    </row>
    <row r="877" ht="15.75" customHeight="1">
      <c r="A877" s="1">
        <v>937.0</v>
      </c>
      <c r="B877" s="3" t="s">
        <v>857</v>
      </c>
      <c r="C877" s="3" t="str">
        <f>IFERROR(__xludf.DUMMYFUNCTION("GOOGLETRANSLATE(B877,""id"",""en"")"),"['hhhhhhhhh', 'Please', 'repaired', 'the network', 'times',' push ',' rank ',' ping it ',' tasty ',' really ',' oath ',' play ',' Please ',' repaired ',' ']")</f>
        <v>['hhhhhhhhh', 'Please', 'repaired', 'the network', 'times',' push ',' rank ',' ping it ',' tasty ',' really ',' oath ',' play ',' Please ',' repaired ',' ']</v>
      </c>
      <c r="D877" s="3">
        <v>1.0</v>
      </c>
    </row>
    <row r="878" ht="15.75" customHeight="1">
      <c r="A878" s="1">
        <v>938.0</v>
      </c>
      <c r="B878" s="3" t="s">
        <v>858</v>
      </c>
      <c r="C878" s="3" t="str">
        <f>IFERROR(__xludf.DUMMYFUNCTION("GOOGLETRANSLATE(B878,""id"",""en"")"),"['Network', 'slow', 'wooooooyyyyyyyy']")</f>
        <v>['Network', 'slow', 'wooooooyyyyyyyy']</v>
      </c>
      <c r="D878" s="3">
        <v>1.0</v>
      </c>
    </row>
    <row r="879" ht="15.75" customHeight="1">
      <c r="A879" s="1">
        <v>939.0</v>
      </c>
      <c r="B879" s="3" t="s">
        <v>859</v>
      </c>
      <c r="C879" s="3" t="str">
        <f>IFERROR(__xludf.DUMMYFUNCTION("GOOGLETRANSLATE(B879,""id"",""en"")"),"['Tnyata', 'Review', 'Review', 'Quality', 'Weak', 'Shawat', 'Nabsu', 'Kenceng', 'Power', 'Measure', '']")</f>
        <v>['Tnyata', 'Review', 'Review', 'Quality', 'Weak', 'Shawat', 'Nabsu', 'Kenceng', 'Power', 'Measure', '']</v>
      </c>
      <c r="D879" s="3">
        <v>1.0</v>
      </c>
    </row>
    <row r="880" ht="15.75" customHeight="1">
      <c r="A880" s="1">
        <v>940.0</v>
      </c>
      <c r="B880" s="3" t="s">
        <v>860</v>
      </c>
      <c r="C880" s="3" t="str">
        <f>IFERROR(__xludf.DUMMYFUNCTION("GOOGLETRANSLATE(B880,""id"",""en"")"),"['Provider', 'mechanics',' brain ',' Atik ',' signal ',' kaga ',' stable ',' use ',' mechanical ',' mechanical ',' paki ',' mechanical ',' cans', 'can', 'brain', 'fill', 'piggy bank']")</f>
        <v>['Provider', 'mechanics',' brain ',' Atik ',' signal ',' kaga ',' stable ',' use ',' mechanical ',' mechanical ',' paki ',' mechanical ',' cans', 'can', 'brain', 'fill', 'piggy bank']</v>
      </c>
      <c r="D880" s="3">
        <v>1.0</v>
      </c>
    </row>
    <row r="881" ht="15.75" customHeight="1">
      <c r="A881" s="1">
        <v>941.0</v>
      </c>
      <c r="B881" s="3" t="s">
        <v>861</v>
      </c>
      <c r="C881" s="3" t="str">
        <f>IFERROR(__xludf.DUMMYFUNCTION("GOOGLETRANSLATE(B881,""id"",""en"")"),"['Helping', 'Make Easy', 'Needs', 'Customer', 'Telkomsel', '']")</f>
        <v>['Helping', 'Make Easy', 'Needs', 'Customer', 'Telkomsel', '']</v>
      </c>
      <c r="D881" s="3">
        <v>5.0</v>
      </c>
    </row>
    <row r="882" ht="15.75" customHeight="1">
      <c r="A882" s="1">
        <v>942.0</v>
      </c>
      <c r="B882" s="3" t="s">
        <v>862</v>
      </c>
      <c r="C882" s="3" t="str">
        <f>IFERROR(__xludf.DUMMYFUNCTION("GOOGLETRANSLATE(B882,""id"",""en"")"),"['The application', 'Good', '']")</f>
        <v>['The application', 'Good', '']</v>
      </c>
      <c r="D882" s="3">
        <v>5.0</v>
      </c>
    </row>
    <row r="883" ht="15.75" customHeight="1">
      <c r="A883" s="1">
        <v>943.0</v>
      </c>
      <c r="B883" s="3" t="s">
        <v>863</v>
      </c>
      <c r="C883" s="3" t="str">
        <f>IFERROR(__xludf.DUMMYFUNCTION("GOOGLETRANSLATE(B883,""id"",""en"")"),"['Telkomsel', 'bad', 'rich', 'dlu', 'network', 'ska', 'drop', 'lose', 'skarng', ""]")</f>
        <v>['Telkomsel', 'bad', 'rich', 'dlu', 'network', 'ska', 'drop', 'lose', 'skarng', "]</v>
      </c>
      <c r="D883" s="3">
        <v>1.0</v>
      </c>
    </row>
    <row r="884" ht="15.75" customHeight="1">
      <c r="A884" s="1">
        <v>944.0</v>
      </c>
      <c r="B884" s="3" t="s">
        <v>864</v>
      </c>
      <c r="C884" s="3" t="str">
        <f>IFERROR(__xludf.DUMMYFUNCTION("GOOGLETRANSLATE(B884,""id"",""en"")"),"['Hopefully', 'Help', 'Kasi', 'star']")</f>
        <v>['Hopefully', 'Help', 'Kasi', 'star']</v>
      </c>
      <c r="D884" s="3">
        <v>5.0</v>
      </c>
    </row>
    <row r="885" ht="15.75" customHeight="1">
      <c r="A885" s="1">
        <v>946.0</v>
      </c>
      <c r="B885" s="3" t="s">
        <v>803</v>
      </c>
      <c r="C885" s="3" t="str">
        <f>IFERROR(__xludf.DUMMYFUNCTION("GOOGLETRANSLATE(B885,""id"",""en"")"),"['best']")</f>
        <v>['best']</v>
      </c>
      <c r="D885" s="3">
        <v>5.0</v>
      </c>
    </row>
    <row r="886" ht="15.75" customHeight="1">
      <c r="A886" s="1">
        <v>947.0</v>
      </c>
      <c r="B886" s="3" t="s">
        <v>865</v>
      </c>
      <c r="C886" s="3" t="str">
        <f>IFERROR(__xludf.DUMMYFUNCTION("GOOGLETRANSLATE(B886,""id"",""en"")"),"['Pingin', 'Honda', 'Brio']")</f>
        <v>['Pingin', 'Honda', 'Brio']</v>
      </c>
      <c r="D886" s="3">
        <v>5.0</v>
      </c>
    </row>
    <row r="887" ht="15.75" customHeight="1">
      <c r="A887" s="1">
        <v>948.0</v>
      </c>
      <c r="B887" s="3" t="s">
        <v>866</v>
      </c>
      <c r="C887" s="3" t="str">
        <f>IFERROR(__xludf.DUMMYFUNCTION("GOOGLETRANSLATE(B887,""id"",""en"")"),"['confused', 'slow', 'signal', 'in the area', 'home', 'lose', 'speeding', 'card', 'package', 'save', ""]")</f>
        <v>['confused', 'slow', 'signal', 'in the area', 'home', 'lose', 'speeding', 'card', 'package', 'save', "]</v>
      </c>
      <c r="D887" s="3">
        <v>1.0</v>
      </c>
    </row>
    <row r="888" ht="15.75" customHeight="1">
      <c r="A888" s="1">
        <v>949.0</v>
      </c>
      <c r="B888" s="3" t="s">
        <v>867</v>
      </c>
      <c r="C888" s="3" t="str">
        <f>IFERROR(__xludf.DUMMYFUNCTION("GOOGLETRANSLATE(B888,""id"",""en"")"),"['Telkomsel', 'suits',' kayak ',' Taik ',' Change ',' card ',' Telkomsel ',' Telkomsel ',' already ',' expensive ',' network ',' like ',' Taik ',' ']")</f>
        <v>['Telkomsel', 'suits',' kayak ',' Taik ',' Change ',' card ',' Telkomsel ',' Telkomsel ',' already ',' expensive ',' network ',' like ',' Taik ',' ']</v>
      </c>
      <c r="D888" s="3">
        <v>1.0</v>
      </c>
    </row>
    <row r="889" ht="15.75" customHeight="1">
      <c r="A889" s="1">
        <v>950.0</v>
      </c>
      <c r="B889" s="3" t="s">
        <v>868</v>
      </c>
      <c r="C889" s="3" t="str">
        <f>IFERROR(__xludf.DUMMYFUNCTION("GOOGLETRANSLATE(B889,""id"",""en"")"),"['Credit', 'enter', 'Where', 'stray', 'Telkomsel', 'response', 'service', 'slow', ""]")</f>
        <v>['Credit', 'enter', 'Where', 'stray', 'Telkomsel', 'response', 'service', 'slow', "]</v>
      </c>
      <c r="D889" s="3">
        <v>1.0</v>
      </c>
    </row>
    <row r="890" ht="15.75" customHeight="1">
      <c r="A890" s="1">
        <v>951.0</v>
      </c>
      <c r="B890" s="3" t="s">
        <v>869</v>
      </c>
      <c r="C890" s="3" t="str">
        <f>IFERROR(__xludf.DUMMYFUNCTION("GOOGLETRANSLATE(B890,""id"",""en"")"),"['expensive', 'buy', 'package']")</f>
        <v>['expensive', 'buy', 'package']</v>
      </c>
      <c r="D890" s="3">
        <v>2.0</v>
      </c>
    </row>
    <row r="891" ht="15.75" customHeight="1">
      <c r="A891" s="1">
        <v>952.0</v>
      </c>
      <c r="B891" s="3" t="s">
        <v>870</v>
      </c>
      <c r="C891" s="3" t="str">
        <f>IFERROR(__xludf.DUMMYFUNCTION("GOOGLETRANSLATE(B891,""id"",""en"")"),"['Help', 'steady']")</f>
        <v>['Help', 'steady']</v>
      </c>
      <c r="D891" s="3">
        <v>5.0</v>
      </c>
    </row>
    <row r="892" ht="15.75" customHeight="1">
      <c r="A892" s="1">
        <v>953.0</v>
      </c>
      <c r="B892" s="3" t="s">
        <v>871</v>
      </c>
      <c r="C892" s="3" t="str">
        <f>IFERROR(__xludf.DUMMYFUNCTION("GOOGLETRANSLATE(B892,""id"",""en"")"),"['Hello', 'comfortable']")</f>
        <v>['Hello', 'comfortable']</v>
      </c>
      <c r="D892" s="3">
        <v>5.0</v>
      </c>
    </row>
    <row r="893" ht="15.75" customHeight="1">
      <c r="A893" s="1">
        <v>954.0</v>
      </c>
      <c r="B893" s="3" t="s">
        <v>872</v>
      </c>
      <c r="C893" s="3" t="str">
        <f>IFERROR(__xludf.DUMMYFUNCTION("GOOGLETRANSLATE(B893,""id"",""en"")"),"['application', 'help', 'contents', 'package', '']")</f>
        <v>['application', 'help', 'contents', 'package', '']</v>
      </c>
      <c r="D893" s="3">
        <v>5.0</v>
      </c>
    </row>
    <row r="894" ht="15.75" customHeight="1">
      <c r="A894" s="1">
        <v>956.0</v>
      </c>
      <c r="B894" s="3" t="s">
        <v>873</v>
      </c>
      <c r="C894" s="3" t="str">
        <f>IFERROR(__xludf.DUMMYFUNCTION("GOOGLETRANSLATE(B894,""id"",""en"")"),"['Credit', 'Times',' Suck ',' Telkomsel ',' behavior ',' Telkomsel ',' contents', 'thousand', 'leftover', 'thousand', 'nyedot', 'a little', ' nyedot ',' Kek ',' Taik ']")</f>
        <v>['Credit', 'Times',' Suck ',' Telkomsel ',' behavior ',' Telkomsel ',' contents', 'thousand', 'leftover', 'thousand', 'nyedot', 'a little', ' nyedot ',' Kek ',' Taik ']</v>
      </c>
      <c r="D894" s="3">
        <v>1.0</v>
      </c>
    </row>
    <row r="895" ht="15.75" customHeight="1">
      <c r="A895" s="1">
        <v>958.0</v>
      </c>
      <c r="B895" s="3" t="s">
        <v>874</v>
      </c>
      <c r="C895" s="3" t="str">
        <f>IFERROR(__xludf.DUMMYFUNCTION("GOOGLETRANSLATE(B895,""id"",""en"")"),"['', 'times', 'buy', 'package', 'enter', 'as a result', 'money', 'ilang']")</f>
        <v>['', 'times', 'buy', 'package', 'enter', 'as a result', 'money', 'ilang']</v>
      </c>
      <c r="D895" s="3">
        <v>1.0</v>
      </c>
    </row>
    <row r="896" ht="15.75" customHeight="1">
      <c r="A896" s="1">
        <v>959.0</v>
      </c>
      <c r="B896" s="3" t="s">
        <v>875</v>
      </c>
      <c r="C896" s="3" t="str">
        <f>IFERROR(__xludf.DUMMYFUNCTION("GOOGLETRANSLATE(B896,""id"",""en"")"),"['Revealed']")</f>
        <v>['Revealed']</v>
      </c>
      <c r="D896" s="3">
        <v>5.0</v>
      </c>
    </row>
    <row r="897" ht="15.75" customHeight="1">
      <c r="A897" s="1">
        <v>960.0</v>
      </c>
      <c r="B897" s="3" t="s">
        <v>876</v>
      </c>
      <c r="C897" s="3" t="str">
        <f>IFERROR(__xludf.DUMMYFUNCTION("GOOGLETRANSLATE(B897,""id"",""en"")"),"['fix', 'tual', 'evenly', 'lottery', 'number', 'beautiful', 'win', 'people', 'old', 'win', ""]")</f>
        <v>['fix', 'tual', 'evenly', 'lottery', 'number', 'beautiful', 'win', 'people', 'old', 'win', "]</v>
      </c>
      <c r="D897" s="3">
        <v>1.0</v>
      </c>
    </row>
    <row r="898" ht="15.75" customHeight="1">
      <c r="A898" s="1">
        <v>961.0</v>
      </c>
      <c r="B898" s="3" t="s">
        <v>877</v>
      </c>
      <c r="C898" s="3" t="str">
        <f>IFERROR(__xludf.DUMMYFUNCTION("GOOGLETRANSLATE(B898,""id"",""en"")"),"['Good', 'CMA', 'Nukar', 'Points', 'Win', '']")</f>
        <v>['Good', 'CMA', 'Nukar', 'Points', 'Win', '']</v>
      </c>
      <c r="D898" s="3">
        <v>5.0</v>
      </c>
    </row>
    <row r="899" ht="15.75" customHeight="1">
      <c r="A899" s="1">
        <v>962.0</v>
      </c>
      <c r="B899" s="3" t="s">
        <v>518</v>
      </c>
      <c r="C899" s="3" t="str">
        <f>IFERROR(__xludf.DUMMYFUNCTION("GOOGLETRANSLATE(B899,""id"",""en"")"),"['hopefully']")</f>
        <v>['hopefully']</v>
      </c>
      <c r="D899" s="3">
        <v>5.0</v>
      </c>
    </row>
    <row r="900" ht="15.75" customHeight="1">
      <c r="A900" s="1">
        <v>963.0</v>
      </c>
      <c r="B900" s="3" t="s">
        <v>878</v>
      </c>
      <c r="C900" s="3" t="str">
        <f>IFERROR(__xludf.DUMMYFUNCTION("GOOGLETRANSLATE(B900,""id"",""en"")"),"['Love', 'star', 'because' signal ',' lag ',' severe ',' package ',' expensive ',' fix ',' signal ',' dlu ',' love ',' star', '']")</f>
        <v>['Love', 'star', 'because' signal ',' lag ',' severe ',' package ',' expensive ',' fix ',' signal ',' dlu ',' love ',' star', '']</v>
      </c>
      <c r="D900" s="3">
        <v>1.0</v>
      </c>
    </row>
    <row r="901" ht="15.75" customHeight="1">
      <c r="A901" s="1">
        <v>964.0</v>
      </c>
      <c r="B901" s="3" t="s">
        <v>879</v>
      </c>
      <c r="C901" s="3" t="str">
        <f>IFERROR(__xludf.DUMMYFUNCTION("GOOGLETRANSLATE(B901,""id"",""en"")"),"['already', 'package', 'quota', 'expensive', 'network', 'slow', 'the application', 'told', 'update', ""]")</f>
        <v>['already', 'package', 'quota', 'expensive', 'network', 'slow', 'the application', 'told', 'update', "]</v>
      </c>
      <c r="D901" s="3">
        <v>2.0</v>
      </c>
    </row>
    <row r="902" ht="15.75" customHeight="1">
      <c r="A902" s="1">
        <v>965.0</v>
      </c>
      <c r="B902" s="3" t="s">
        <v>880</v>
      </c>
      <c r="C902" s="3" t="str">
        <f>IFERROR(__xludf.DUMMYFUNCTION("GOOGLETRANSLATE(B902,""id"",""en"")"),"['Satisfied', 'use', 'Telkomsel']")</f>
        <v>['Satisfied', 'use', 'Telkomsel']</v>
      </c>
      <c r="D902" s="3">
        <v>5.0</v>
      </c>
    </row>
    <row r="903" ht="15.75" customHeight="1">
      <c r="A903" s="1">
        <v>966.0</v>
      </c>
      <c r="B903" s="3" t="s">
        <v>881</v>
      </c>
      <c r="C903" s="3" t="str">
        <f>IFERROR(__xludf.DUMMYFUNCTION("GOOGLETRANSLATE(B903,""id"",""en"")"),"['Steady', 'free', 'quota']")</f>
        <v>['Steady', 'free', 'quota']</v>
      </c>
      <c r="D903" s="3">
        <v>5.0</v>
      </c>
    </row>
    <row r="904" ht="15.75" customHeight="1">
      <c r="A904" s="1">
        <v>967.0</v>
      </c>
      <c r="B904" s="3" t="s">
        <v>882</v>
      </c>
      <c r="C904" s="3" t="str">
        <f>IFERROR(__xludf.DUMMYFUNCTION("GOOGLETRANSLATE(B904,""id"",""en"")"),"['Senag', 'Telkomsel', 'Skarang', 'home', 'buy', 'package', 'counter', 'Mksih', 'Telkomsel']")</f>
        <v>['Senag', 'Telkomsel', 'Skarang', 'home', 'buy', 'package', 'counter', 'Mksih', 'Telkomsel']</v>
      </c>
      <c r="D904" s="3">
        <v>5.0</v>
      </c>
    </row>
    <row r="905" ht="15.75" customHeight="1">
      <c r="A905" s="1">
        <v>968.0</v>
      </c>
      <c r="B905" s="3" t="s">
        <v>883</v>
      </c>
      <c r="C905" s="3" t="str">
        <f>IFERROR(__xludf.DUMMYFUNCTION("GOOGLETRANSLATE(B905,""id"",""en"")"),"['Signal', 'ugly', 'Mulu', 'Males',' subscribe ',' Telkomsel ',' Gini ',' buy ',' quota ',' loss', 'buy', 'quota', ' Ngellag ']")</f>
        <v>['Signal', 'ugly', 'Mulu', 'Males',' subscribe ',' Telkomsel ',' Gini ',' buy ',' quota ',' loss', 'buy', 'quota', ' Ngellag ']</v>
      </c>
      <c r="D905" s="3">
        <v>1.0</v>
      </c>
    </row>
    <row r="906" ht="15.75" customHeight="1">
      <c r="A906" s="1">
        <v>969.0</v>
      </c>
      <c r="B906" s="3" t="s">
        <v>884</v>
      </c>
      <c r="C906" s="3" t="str">
        <f>IFERROR(__xludf.DUMMYFUNCTION("GOOGLETRANSLATE(B906,""id"",""en"")"),"['Kasi', 'star', 'pulseku', 'like', 'Masi', 'Masi', 'Giga', 'quota', 'gjlas', 'bat', 'please', 'fix']")</f>
        <v>['Kasi', 'star', 'pulseku', 'like', 'Masi', 'Masi', 'Giga', 'quota', 'gjlas', 'bat', 'please', 'fix']</v>
      </c>
      <c r="D906" s="3">
        <v>3.0</v>
      </c>
    </row>
    <row r="907" ht="15.75" customHeight="1">
      <c r="A907" s="1">
        <v>970.0</v>
      </c>
      <c r="B907" s="3" t="s">
        <v>885</v>
      </c>
      <c r="C907" s="3" t="str">
        <f>IFERROR(__xludf.DUMMYFUNCTION("GOOGLETRANSLATE(B907,""id"",""en"")"),"['users',' Telkomsel ',' check ',' card ',' already ',' times', 'slow', 'forgiveness',' job ',' package ',' combo ',' Sakti ',' unlimited ',' divided ',' run out ',' first ',' package ',' main ',' open ',' file ',' sent ',' please ',' fix ',' network ',' "&amp;"switch ' , 'Provider', 'home', 'tsel', 'collapsed', 'star', 'repair']")</f>
        <v>['users',' Telkomsel ',' check ',' card ',' already ',' times', 'slow', 'forgiveness',' job ',' package ',' combo ',' Sakti ',' unlimited ',' divided ',' run out ',' first ',' package ',' main ',' open ',' file ',' sent ',' please ',' fix ',' network ',' switch ' , 'Provider', 'home', 'tsel', 'collapsed', 'star', 'repair']</v>
      </c>
      <c r="D907" s="3">
        <v>1.0</v>
      </c>
    </row>
    <row r="908" ht="15.75" customHeight="1">
      <c r="A908" s="1">
        <v>971.0</v>
      </c>
      <c r="B908" s="3" t="s">
        <v>886</v>
      </c>
      <c r="C908" s="3" t="str">
        <f>IFERROR(__xludf.DUMMYFUNCTION("GOOGLETRANSLATE(B908,""id"",""en"")"),"['Package', 'Call', 'Internet', 'Most expensive', 'Indonesia', 'Network', 'price', 'Excellent', 'Mbledos', ""]")</f>
        <v>['Package', 'Call', 'Internet', 'Most expensive', 'Indonesia', 'Network', 'price', 'Excellent', 'Mbledos', "]</v>
      </c>
      <c r="D908" s="3">
        <v>1.0</v>
      </c>
    </row>
    <row r="909" ht="15.75" customHeight="1">
      <c r="A909" s="1">
        <v>972.0</v>
      </c>
      <c r="B909" s="3" t="s">
        <v>887</v>
      </c>
      <c r="C909" s="3" t="str">
        <f>IFERROR(__xludf.DUMMYFUNCTION("GOOGLETRANSLATE(B909,""id"",""en"")"),"['strange', 'quota', 'expensive', 'slow', 'forgiveness', 'special', 'kayak', 'stay', 'inland', ""]")</f>
        <v>['strange', 'quota', 'expensive', 'slow', 'forgiveness', 'special', 'kayak', 'stay', 'inland', "]</v>
      </c>
      <c r="D909" s="3">
        <v>1.0</v>
      </c>
    </row>
    <row r="910" ht="15.75" customHeight="1">
      <c r="A910" s="1">
        <v>973.0</v>
      </c>
      <c r="B910" s="3" t="s">
        <v>888</v>
      </c>
      <c r="C910" s="3" t="str">
        <f>IFERROR(__xludf.DUMMYFUNCTION("GOOGLETRANSLATE(B910,""id"",""en"")"),"['Application', 'Tulul', 'Signal', 'Full', 'Quota', 'Ready', 'Enter', 'Application']")</f>
        <v>['Application', 'Tulul', 'Signal', 'Full', 'Quota', 'Ready', 'Enter', 'Application']</v>
      </c>
      <c r="D910" s="3">
        <v>1.0</v>
      </c>
    </row>
    <row r="911" ht="15.75" customHeight="1">
      <c r="A911" s="1">
        <v>974.0</v>
      </c>
      <c r="B911" s="3" t="s">
        <v>889</v>
      </c>
      <c r="C911" s="3" t="str">
        <f>IFERROR(__xludf.DUMMYFUNCTION("GOOGLETRANSLATE(B911,""id"",""en"")"),"['Bedbahh', 'Jaringaan', 'Makkiin', 'Lelatt', 'Gara', 'Garaa', 'Disconnect', 'Cable', 'Sea', 'now', 'Benerin', 'The network', ' Sialann ',' ']")</f>
        <v>['Bedbahh', 'Jaringaan', 'Makkiin', 'Lelatt', 'Gara', 'Garaa', 'Disconnect', 'Cable', 'Sea', 'now', 'Benerin', 'The network', ' Sialann ',' ']</v>
      </c>
      <c r="D911" s="3">
        <v>1.0</v>
      </c>
    </row>
    <row r="912" ht="15.75" customHeight="1">
      <c r="A912" s="1">
        <v>975.0</v>
      </c>
      <c r="B912" s="3" t="s">
        <v>890</v>
      </c>
      <c r="C912" s="3" t="str">
        <f>IFERROR(__xludf.DUMMYFUNCTION("GOOGLETRANSLATE(B912,""id"",""en"")"),"['interesting', 'help', ""]")</f>
        <v>['interesting', 'help', "]</v>
      </c>
      <c r="D912" s="3">
        <v>5.0</v>
      </c>
    </row>
    <row r="913" ht="15.75" customHeight="1">
      <c r="A913" s="1">
        <v>976.0</v>
      </c>
      <c r="B913" s="3" t="s">
        <v>891</v>
      </c>
      <c r="C913" s="3" t="str">
        <f>IFERROR(__xludf.DUMMYFUNCTION("GOOGLETRANSLATE(B913,""id"",""en"")"),"['Star', 'love', 'already', 'subscription', 'th', 'here', 'severe', 'pay', 'expensive', 'quality', 'garbage', ""]")</f>
        <v>['Star', 'love', 'already', 'subscription', 'th', 'here', 'severe', 'pay', 'expensive', 'quality', 'garbage', "]</v>
      </c>
      <c r="D913" s="3">
        <v>1.0</v>
      </c>
    </row>
    <row r="914" ht="15.75" customHeight="1">
      <c r="A914" s="1">
        <v>977.0</v>
      </c>
      <c r="B914" s="3" t="s">
        <v>892</v>
      </c>
      <c r="C914" s="3" t="str">
        <f>IFERROR(__xludf.DUMMYFUNCTION("GOOGLETRANSLATE(B914,""id"",""en"")"),"['Telkomsel', 'bankrupt', 'network', 'good', 'threat']")</f>
        <v>['Telkomsel', 'bankrupt', 'network', 'good', 'threat']</v>
      </c>
      <c r="D914" s="3">
        <v>1.0</v>
      </c>
    </row>
    <row r="915" ht="15.75" customHeight="1">
      <c r="A915" s="1">
        <v>978.0</v>
      </c>
      <c r="B915" s="3" t="s">
        <v>893</v>
      </c>
      <c r="C915" s="3" t="str">
        <f>IFERROR(__xludf.DUMMYFUNCTION("GOOGLETRANSLATE(B915,""id"",""en"")"),"['What', 'use', 'data', 'according to', 'description', 'quota', 'maxstream', 'kepakai', 'watch', 'Disney', 'HBO', 'quota', ' Main ',' used ',' ']")</f>
        <v>['What', 'use', 'data', 'according to', 'description', 'quota', 'maxstream', 'kepakai', 'watch', 'Disney', 'HBO', 'quota', ' Main ',' used ',' ']</v>
      </c>
      <c r="D915" s="3">
        <v>1.0</v>
      </c>
    </row>
    <row r="916" ht="15.75" customHeight="1">
      <c r="A916" s="1">
        <v>979.0</v>
      </c>
      <c r="B916" s="3" t="s">
        <v>894</v>
      </c>
      <c r="C916" s="3" t="str">
        <f>IFERROR(__xludf.DUMMYFUNCTION("GOOGLETRANSLATE(B916,""id"",""en"")"),"['Worth', 'buy', 'quota', 'tsel', 'signal', 'worst', 'gabisa', 'play', 'game', 'Yutuban', 'sorry', 'repay', ' network', '']")</f>
        <v>['Worth', 'buy', 'quota', 'tsel', 'signal', 'worst', 'gabisa', 'play', 'game', 'Yutuban', 'sorry', 'repay', ' network', '']</v>
      </c>
      <c r="D916" s="3">
        <v>1.0</v>
      </c>
    </row>
    <row r="917" ht="15.75" customHeight="1">
      <c r="A917" s="1">
        <v>980.0</v>
      </c>
      <c r="B917" s="3" t="s">
        <v>895</v>
      </c>
      <c r="C917" s="3" t="str">
        <f>IFERROR(__xludf.DUMMYFUNCTION("GOOGLETRANSLATE(B917,""id"",""en"")"),"['waw', 'mntap', 'gift', 'dri', 'point', 'staple', 'the', 'Best', 'dech', 'sya', 'ksih', 'bntang', ' ']")</f>
        <v>['waw', 'mntap', 'gift', 'dri', 'point', 'staple', 'the', 'Best', 'dech', 'sya', 'ksih', 'bntang', ' ']</v>
      </c>
      <c r="D917" s="3">
        <v>5.0</v>
      </c>
    </row>
    <row r="918" ht="15.75" customHeight="1">
      <c r="A918" s="1">
        <v>981.0</v>
      </c>
      <c r="B918" s="3" t="s">
        <v>896</v>
      </c>
      <c r="C918" s="3" t="str">
        <f>IFERROR(__xludf.DUMMYFUNCTION("GOOGLETRANSLATE(B918,""id"",""en"")"),"['signal', 'ugly', 'package', 'expensive', 'drizzle', 'little', 'signal', 'ilang', 'package', 'kumplit']")</f>
        <v>['signal', 'ugly', 'package', 'expensive', 'drizzle', 'little', 'signal', 'ilang', 'package', 'kumplit']</v>
      </c>
      <c r="D918" s="3">
        <v>1.0</v>
      </c>
    </row>
    <row r="919" ht="15.75" customHeight="1">
      <c r="A919" s="1">
        <v>982.0</v>
      </c>
      <c r="B919" s="3" t="s">
        <v>897</v>
      </c>
      <c r="C919" s="3" t="str">
        <f>IFERROR(__xludf.DUMMYFUNCTION("GOOGLETRANSLATE(B919,""id"",""en"")"),"['Telkomsel', 'slow', 'The network', 'good', 'PDHL', 'in the city', 'Lho', 'leftover', 'quota', 'forgiveness',' slow ',' fix ',' Byk ',' Move ',' Provider ']")</f>
        <v>['Telkomsel', 'slow', 'The network', 'good', 'PDHL', 'in the city', 'Lho', 'leftover', 'quota', 'forgiveness',' slow ',' fix ',' Byk ',' Move ',' Provider ']</v>
      </c>
      <c r="D919" s="3">
        <v>2.0</v>
      </c>
    </row>
    <row r="920" ht="15.75" customHeight="1">
      <c r="A920" s="1">
        <v>983.0</v>
      </c>
      <c r="B920" s="3" t="s">
        <v>898</v>
      </c>
      <c r="C920" s="3" t="str">
        <f>IFERROR(__xludf.DUMMYFUNCTION("GOOGLETRANSLATE(B920,""id"",""en"")"),"['Sekarsng', 'Network', 'Telkomsel', 'slow', '']")</f>
        <v>['Sekarsng', 'Network', 'Telkomsel', 'slow', '']</v>
      </c>
      <c r="D920" s="3">
        <v>5.0</v>
      </c>
    </row>
    <row r="921" ht="15.75" customHeight="1">
      <c r="A921" s="1">
        <v>984.0</v>
      </c>
      <c r="B921" s="3" t="s">
        <v>899</v>
      </c>
      <c r="C921" s="3" t="str">
        <f>IFERROR(__xludf.DUMMYFUNCTION("GOOGLETRANSLATE(B921,""id"",""en"")"),"['Ngegame', 'Network', 'missing', 'kek', 'doi', 'price', 'understand', 'Please', 'quota', 'divided', 'quota', 'what' do ',' As a result ',' wasted ',' Mending ',' Bansos', 'here', 'strange', 'choice', 'quota', 'Dahla', 'gini', 'mah', 'mending', 'moved' , "&amp;"'Provider', 'Ajaaa']")</f>
        <v>['Ngegame', 'Network', 'missing', 'kek', 'doi', 'price', 'understand', 'Please', 'quota', 'divided', 'quota', 'what' do ',' As a result ',' wasted ',' Mending ',' Bansos', 'here', 'strange', 'choice', 'quota', 'Dahla', 'gini', 'mah', 'mending', 'moved' , 'Provider', 'Ajaaa']</v>
      </c>
      <c r="D921" s="3">
        <v>1.0</v>
      </c>
    </row>
    <row r="922" ht="15.75" customHeight="1">
      <c r="A922" s="1">
        <v>985.0</v>
      </c>
      <c r="B922" s="3" t="s">
        <v>900</v>
      </c>
      <c r="C922" s="3" t="str">
        <f>IFERROR(__xludf.DUMMYFUNCTION("GOOGLETRANSLATE(B922,""id"",""en"")"),"['Tukr', 'Point', 'Package', 'GB', 'Please', 'Dipetulin']")</f>
        <v>['Tukr', 'Point', 'Package', 'GB', 'Please', 'Dipetulin']</v>
      </c>
      <c r="D922" s="3">
        <v>4.0</v>
      </c>
    </row>
    <row r="923" ht="15.75" customHeight="1">
      <c r="A923" s="1">
        <v>986.0</v>
      </c>
      <c r="B923" s="3" t="s">
        <v>901</v>
      </c>
      <c r="C923" s="3" t="str">
        <f>IFERROR(__xludf.DUMMYFUNCTION("GOOGLETRANSLATE(B923,""id"",""en"")"),"['Sunggga', 'dowlot', 'china', 'released', 'UNEK', 'please', 'price', 'package', 'data', 'according to', 'degan', 'quality', ' Masah ',' Lose ',' Degan ',' Package ',' Data ',' Cheap ',' Quality ',' Okay ',' Discard ',' Money ',' Buy ',' Card ',' trs' , '"&amp;"buy', 'package', 'data', 'ehh', 'fit', 'mabar', 'network', 'defect', 'then', 'package', 'data', 'open', ' lag ',' user ',' Customer ',' Telkom ',' Disappointed ',' ']")</f>
        <v>['Sunggga', 'dowlot', 'china', 'released', 'UNEK', 'please', 'price', 'package', 'data', 'according to', 'degan', 'quality', ' Masah ',' Lose ',' Degan ',' Package ',' Data ',' Cheap ',' Quality ',' Okay ',' Discard ',' Money ',' Buy ',' Card ',' trs' , 'buy', 'package', 'data', 'ehh', 'fit', 'mabar', 'network', 'defect', 'then', 'package', 'data', 'open', ' lag ',' user ',' Customer ',' Telkom ',' Disappointed ',' ']</v>
      </c>
      <c r="D923" s="3">
        <v>1.0</v>
      </c>
    </row>
    <row r="924" ht="15.75" customHeight="1">
      <c r="A924" s="1">
        <v>987.0</v>
      </c>
      <c r="B924" s="3" t="s">
        <v>902</v>
      </c>
      <c r="C924" s="3" t="str">
        <f>IFERROR(__xludf.DUMMYFUNCTION("GOOGLETRANSLATE(B924,""id"",""en"")"),"['why', 'pulses', 'missing', 'please', 'heepsan', 'quota', 'taga', 'brother', 'friend', 'missing', ""]")</f>
        <v>['why', 'pulses', 'missing', 'please', 'heepsan', 'quota', 'taga', 'brother', 'friend', 'missing', "]</v>
      </c>
      <c r="D924" s="3">
        <v>2.0</v>
      </c>
    </row>
    <row r="925" ht="15.75" customHeight="1">
      <c r="A925" s="1">
        <v>988.0</v>
      </c>
      <c r="B925" s="3" t="s">
        <v>903</v>
      </c>
      <c r="C925" s="3" t="str">
        <f>IFERROR(__xludf.DUMMYFUNCTION("GOOGLETRANSLATE(B925,""id"",""en"")"),"['Use', 'easy']")</f>
        <v>['Use', 'easy']</v>
      </c>
      <c r="D925" s="3">
        <v>5.0</v>
      </c>
    </row>
    <row r="926" ht="15.75" customHeight="1">
      <c r="A926" s="1">
        <v>989.0</v>
      </c>
      <c r="B926" s="3" t="s">
        <v>904</v>
      </c>
      <c r="C926" s="3" t="str">
        <f>IFERROR(__xludf.DUMMYFUNCTION("GOOGLETRANSLATE(B926,""id"",""en"")"),"['Telkomsel', 'friendly', 'high school', 'use', 'card']")</f>
        <v>['Telkomsel', 'friendly', 'high school', 'use', 'card']</v>
      </c>
      <c r="D926" s="3">
        <v>5.0</v>
      </c>
    </row>
    <row r="927" ht="15.75" customHeight="1">
      <c r="A927" s="1">
        <v>991.0</v>
      </c>
      <c r="B927" s="3" t="s">
        <v>905</v>
      </c>
      <c r="C927" s="3" t="str">
        <f>IFERROR(__xludf.DUMMYFUNCTION("GOOGLETRANSLATE(B927,""id"",""en"")"),"['quota', 'expensive', 'network', 'slow', 'hadeehhh', 'play', 'game', 'lemotttt', 'broken', 'recommended', 'ngegame', 'broken', ' ']")</f>
        <v>['quota', 'expensive', 'network', 'slow', 'hadeehhh', 'play', 'game', 'lemotttt', 'broken', 'recommended', 'ngegame', 'broken', ' ']</v>
      </c>
      <c r="D927" s="3">
        <v>1.0</v>
      </c>
    </row>
    <row r="928" ht="15.75" customHeight="1">
      <c r="A928" s="1">
        <v>992.0</v>
      </c>
      <c r="B928" s="3" t="s">
        <v>906</v>
      </c>
      <c r="C928" s="3" t="str">
        <f>IFERROR(__xludf.DUMMYFUNCTION("GOOGLETRANSLATE(B928,""id"",""en"")"),"['thank', 'love', 'Telkomsel', 'response', 'pulse', 'sorry', 'please', 'fix', 'performance', 'service', 'panic', 'signal', ' Thanks', 'Love', 'Telkomsel', 'Love', 'Bintang', '']")</f>
        <v>['thank', 'love', 'Telkomsel', 'response', 'pulse', 'sorry', 'please', 'fix', 'performance', 'service', 'panic', 'signal', ' Thanks', 'Love', 'Telkomsel', 'Love', 'Bintang', '']</v>
      </c>
      <c r="D928" s="3">
        <v>3.0</v>
      </c>
    </row>
    <row r="929" ht="15.75" customHeight="1">
      <c r="A929" s="1">
        <v>993.0</v>
      </c>
      <c r="B929" s="3" t="s">
        <v>907</v>
      </c>
      <c r="C929" s="3" t="str">
        <f>IFERROR(__xludf.DUMMYFUNCTION("GOOGLETRANSLATE(B929,""id"",""en"")"),"['The network', 'good', 'price', 'package', 'data', 'expensive', '']")</f>
        <v>['The network', 'good', 'price', 'package', 'data', 'expensive', '']</v>
      </c>
      <c r="D929" s="3">
        <v>1.0</v>
      </c>
    </row>
    <row r="930" ht="15.75" customHeight="1">
      <c r="A930" s="1">
        <v>994.0</v>
      </c>
      <c r="B930" s="3" t="s">
        <v>908</v>
      </c>
      <c r="C930" s="3" t="str">
        <f>IFERROR(__xludf.DUMMYFUNCTION("GOOGLETRANSLATE(B930,""id"",""en"")"),"['easy', 'contents', 'quota']")</f>
        <v>['easy', 'contents', 'quota']</v>
      </c>
      <c r="D930" s="3">
        <v>5.0</v>
      </c>
    </row>
    <row r="931" ht="15.75" customHeight="1">
      <c r="A931" s="1">
        <v>995.0</v>
      </c>
      <c r="B931" s="3" t="s">
        <v>909</v>
      </c>
      <c r="C931" s="3" t="str">
        <f>IFERROR(__xludf.DUMMYFUNCTION("GOOGLETRANSLATE(B931,""id"",""en"")"),"['Love', 'Star', 'Sampek', 'Win', 'Lottery', 'Telkomsel', 'Points',' Follow ',' Program ',' Lottery ',' Telkomsel ',' Points', ' Win ',' Star ',' ']")</f>
        <v>['Love', 'Star', 'Sampek', 'Win', 'Lottery', 'Telkomsel', 'Points',' Follow ',' Program ',' Lottery ',' Telkomsel ',' Points', ' Win ',' Star ',' ']</v>
      </c>
      <c r="D931" s="3">
        <v>2.0</v>
      </c>
    </row>
    <row r="932" ht="15.75" customHeight="1">
      <c r="A932" s="1">
        <v>996.0</v>
      </c>
      <c r="B932" s="3" t="s">
        <v>910</v>
      </c>
      <c r="C932" s="3" t="str">
        <f>IFERROR(__xludf.DUMMYFUNCTION("GOOGLETRANSLATE(B932,""id"",""en"")"),"['Ariantositeang', 'sgt']")</f>
        <v>['Ariantositeang', 'sgt']</v>
      </c>
      <c r="D932" s="3">
        <v>5.0</v>
      </c>
    </row>
    <row r="933" ht="15.75" customHeight="1">
      <c r="A933" s="1">
        <v>997.0</v>
      </c>
      <c r="B933" s="3" t="s">
        <v>911</v>
      </c>
      <c r="C933" s="3" t="str">
        <f>IFERROR(__xludf.DUMMYFUNCTION("GOOGLETRANSLATE(B933,""id"",""en"")"),"['Ahamdulillah', 'My APK', 'Good', 'Help']")</f>
        <v>['Ahamdulillah', 'My APK', 'Good', 'Help']</v>
      </c>
      <c r="D933" s="3">
        <v>5.0</v>
      </c>
    </row>
    <row r="934" ht="15.75" customHeight="1">
      <c r="A934" s="1">
        <v>998.0</v>
      </c>
      <c r="B934" s="3" t="s">
        <v>912</v>
      </c>
      <c r="C934" s="3" t="str">
        <f>IFERROR(__xludf.DUMMYFUNCTION("GOOGLETRANSLATE(B934,""id"",""en"")"),"[ 'Bad', 'bad', 'play', 'signal', 'downn', 'telkomsel', 'komtolll', 'lolololollollllllllllllllllllllll', 'it', 'it', 'telkomtol']")</f>
        <v>[ 'Bad', 'bad', 'play', 'signal', 'downn', 'telkomsel', 'komtolll', 'lolololollollllllllllllllllllllll', 'it', 'it', 'telkomtol']</v>
      </c>
      <c r="D934" s="3">
        <v>1.0</v>
      </c>
    </row>
    <row r="935" ht="15.75" customHeight="1">
      <c r="A935" s="1">
        <v>999.0</v>
      </c>
      <c r="B935" s="3" t="s">
        <v>913</v>
      </c>
      <c r="C935" s="3" t="str">
        <f>IFERROR(__xludf.DUMMYFUNCTION("GOOGLETRANSLATE(B935,""id"",""en"")"),"['What', 'good', 'operator', 'network', 'problematic', 'missing', 'lost', 'then', 'network', 'ugly', 'handling', ""]")</f>
        <v>['What', 'good', 'operator', 'network', 'problematic', 'missing', 'lost', 'then', 'network', 'ugly', 'handling', "]</v>
      </c>
      <c r="D935" s="3">
        <v>1.0</v>
      </c>
    </row>
    <row r="936" ht="15.75" customHeight="1">
      <c r="A936" s="1">
        <v>1000.0</v>
      </c>
      <c r="B936" s="3" t="s">
        <v>914</v>
      </c>
      <c r="C936" s="3" t="str">
        <f>IFERROR(__xludf.DUMMYFUNCTION("GOOGLETRANSLATE(B936,""id"",""en"")"),"['Good', 'network', 'like', 'like']")</f>
        <v>['Good', 'network', 'like', 'like']</v>
      </c>
      <c r="D936" s="3">
        <v>5.0</v>
      </c>
    </row>
    <row r="937" ht="15.75" customHeight="1">
      <c r="A937" s="1">
        <v>1001.0</v>
      </c>
      <c r="B937" s="3" t="s">
        <v>915</v>
      </c>
      <c r="C937" s="3" t="str">
        <f>IFERROR(__xludf.DUMMYFUNCTION("GOOGLETRANSLATE(B937,""id"",""en"")"),"['Severe', 'Bener', 'DITLP', 'Operator', 'Offered', 'Card', 'Prepaid', 'Refuses',' Network ',' Signal ',' Lemot ',' Bener ',' Telkomsel ',' Severe ',' Bener ',' ']")</f>
        <v>['Severe', 'Bener', 'DITLP', 'Operator', 'Offered', 'Card', 'Prepaid', 'Refuses',' Network ',' Signal ',' Lemot ',' Bener ',' Telkomsel ',' Severe ',' Bener ',' ']</v>
      </c>
      <c r="D937" s="3">
        <v>1.0</v>
      </c>
    </row>
    <row r="938" ht="15.75" customHeight="1">
      <c r="A938" s="1">
        <v>1002.0</v>
      </c>
      <c r="B938" s="3" t="s">
        <v>916</v>
      </c>
      <c r="C938" s="3" t="str">
        <f>IFERROR(__xludf.DUMMYFUNCTION("GOOGLETRANSLATE(B938,""id"",""en"")"),"['honest', 'user', 'Telkomsel', 'sqya', 'disappointed', 'network', 'slow', 'slow', 'rich', 'mna', 'pectan', 'quota', ' expensive ',' please ',' strengthen ',' network ',' jgan ',' slow ',' rich ',' gini ',' kasian ',' user ',' buy ',' quota ']")</f>
        <v>['honest', 'user', 'Telkomsel', 'sqya', 'disappointed', 'network', 'slow', 'slow', 'rich', 'mna', 'pectan', 'quota', ' expensive ',' please ',' strengthen ',' network ',' jgan ',' slow ',' rich ',' gini ',' kasian ',' user ',' buy ',' quota ']</v>
      </c>
      <c r="D938" s="3">
        <v>5.0</v>
      </c>
    </row>
    <row r="939" ht="15.75" customHeight="1">
      <c r="A939" s="1">
        <v>1003.0</v>
      </c>
      <c r="B939" s="3" t="s">
        <v>917</v>
      </c>
      <c r="C939" s="3" t="str">
        <f>IFERROR(__xludf.DUMMYFUNCTION("GOOGLETRANSLATE(B939,""id"",""en"")"),"['quality', 'awake', 'service', 'prime', 'satisfied', 'sustainable']")</f>
        <v>['quality', 'awake', 'service', 'prime', 'satisfied', 'sustainable']</v>
      </c>
      <c r="D939" s="3">
        <v>5.0</v>
      </c>
    </row>
    <row r="940" ht="15.75" customHeight="1">
      <c r="A940" s="1">
        <v>1005.0</v>
      </c>
      <c r="B940" s="3" t="s">
        <v>918</v>
      </c>
      <c r="C940" s="3" t="str">
        <f>IFERROR(__xludf.DUMMYFUNCTION("GOOGLETRANSLATE(B940,""id"",""en"")"),"['thank', 'love', 'serve']")</f>
        <v>['thank', 'love', 'serve']</v>
      </c>
      <c r="D940" s="3">
        <v>5.0</v>
      </c>
    </row>
    <row r="941" ht="15.75" customHeight="1">
      <c r="A941" s="1">
        <v>1006.0</v>
      </c>
      <c r="B941" s="3" t="s">
        <v>919</v>
      </c>
      <c r="C941" s="3" t="str">
        <f>IFERROR(__xludf.DUMMYFUNCTION("GOOGLETRANSLATE(B941,""id"",""en"")"),"['Sometimes', 'pulses', 'run out']")</f>
        <v>['Sometimes', 'pulses', 'run out']</v>
      </c>
      <c r="D941" s="3">
        <v>5.0</v>
      </c>
    </row>
    <row r="942" ht="15.75" customHeight="1">
      <c r="A942" s="1">
        <v>1007.0</v>
      </c>
      <c r="B942" s="3" t="s">
        <v>920</v>
      </c>
      <c r="C942" s="3" t="str">
        <f>IFERROR(__xludf.DUMMYFUNCTION("GOOGLETRANSLATE(B942,""id"",""en"")"),"['Jos', 'even though', 'signal', 'Aga', 'slow']")</f>
        <v>['Jos', 'even though', 'signal', 'Aga', 'slow']</v>
      </c>
      <c r="D942" s="3">
        <v>5.0</v>
      </c>
    </row>
    <row r="943" ht="15.75" customHeight="1">
      <c r="A943" s="1">
        <v>1008.0</v>
      </c>
      <c r="B943" s="3" t="s">
        <v>81</v>
      </c>
      <c r="C943" s="3" t="str">
        <f>IFERROR(__xludf.DUMMYFUNCTION("GOOGLETRANSLATE(B943,""id"",""en"")"),"['application', 'good']")</f>
        <v>['application', 'good']</v>
      </c>
      <c r="D943" s="3">
        <v>5.0</v>
      </c>
    </row>
    <row r="944" ht="15.75" customHeight="1">
      <c r="A944" s="1">
        <v>1009.0</v>
      </c>
      <c r="B944" s="3" t="s">
        <v>921</v>
      </c>
      <c r="C944" s="3" t="str">
        <f>IFERROR(__xludf.DUMMYFUNCTION("GOOGLETRANSLATE(B944,""id"",""en"")"),"['Telkomsel', 'PLIS', 'User', 'Disappointed', 'Believe', 'APP', 'GB', 'Ministry of Religion', 'Missing', 'Lost', 'The Network', 'Morning', ' night']")</f>
        <v>['Telkomsel', 'PLIS', 'User', 'Disappointed', 'Believe', 'APP', 'GB', 'Ministry of Religion', 'Missing', 'Lost', 'The Network', 'Morning', ' night']</v>
      </c>
      <c r="D944" s="3">
        <v>5.0</v>
      </c>
    </row>
    <row r="945" ht="15.75" customHeight="1">
      <c r="A945" s="1">
        <v>1010.0</v>
      </c>
      <c r="B945" s="3" t="s">
        <v>922</v>
      </c>
      <c r="C945" s="3" t="str">
        <f>IFERROR(__xludf.DUMMYFUNCTION("GOOGLETRANSLATE(B945,""id"",""en"")"),"['Contents',' pulse ',' rb ',' buy ',' quota ',' rb ',' hey ',' cheek ',' run ',' apk ',' mean ',' boss', ' turn ',' Matiin ',' Data ',' Connect ',' wants', 'already', 'signal', 'sometimes',' ugly ',' provider ',' defective ',' luck ',' mending ' , 'Move'"&amp;", 'Gini', ""]")</f>
        <v>['Contents',' pulse ',' rb ',' buy ',' quota ',' rb ',' hey ',' cheek ',' run ',' apk ',' mean ',' boss', ' turn ',' Matiin ',' Data ',' Connect ',' wants', 'already', 'signal', 'sometimes',' ugly ',' provider ',' defective ',' luck ',' mending ' , 'Move', 'Gini', "]</v>
      </c>
      <c r="D945" s="3">
        <v>1.0</v>
      </c>
    </row>
    <row r="946" ht="15.75" customHeight="1">
      <c r="A946" s="1">
        <v>1011.0</v>
      </c>
      <c r="B946" s="3" t="s">
        <v>923</v>
      </c>
      <c r="C946" s="3" t="str">
        <f>IFERROR(__xludf.DUMMYFUNCTION("GOOGLETRANSLATE(B946,""id"",""en"")"),"['Not bad', 'help', 'sometimes', 'error']")</f>
        <v>['Not bad', 'help', 'sometimes', 'error']</v>
      </c>
      <c r="D946" s="3">
        <v>4.0</v>
      </c>
    </row>
    <row r="947" ht="15.75" customHeight="1">
      <c r="A947" s="1">
        <v>1012.0</v>
      </c>
      <c r="B947" s="3" t="s">
        <v>924</v>
      </c>
      <c r="C947" s="3" t="str">
        <f>IFERROR(__xludf.DUMMYFUNCTION("GOOGLETRANSLATE(B947,""id"",""en"")"),"['buy', 'package', 'expensive', 'jrngan', 'stable', 'please', 'increase', 'quality', 'network', 'Telkomsel']")</f>
        <v>['buy', 'package', 'expensive', 'jrngan', 'stable', 'please', 'increase', 'quality', 'network', 'Telkomsel']</v>
      </c>
      <c r="D947" s="3">
        <v>1.0</v>
      </c>
    </row>
    <row r="948" ht="15.75" customHeight="1">
      <c r="A948" s="1">
        <v>1013.0</v>
      </c>
      <c r="B948" s="3" t="s">
        <v>925</v>
      </c>
      <c r="C948" s="3" t="str">
        <f>IFERROR(__xludf.DUMMYFUNCTION("GOOGLETRANSLATE(B948,""id"",""en"")"),"['Application', '']")</f>
        <v>['Application', '']</v>
      </c>
      <c r="D948" s="3">
        <v>5.0</v>
      </c>
    </row>
    <row r="949" ht="15.75" customHeight="1">
      <c r="A949" s="1">
        <v>1014.0</v>
      </c>
      <c r="B949" s="3" t="s">
        <v>926</v>
      </c>
      <c r="C949" s="3" t="str">
        <f>IFERROR(__xludf.DUMMYFUNCTION("GOOGLETRANSLATE(B949,""id"",""en"")"),"['buy', 'pulse', 'buy', 'package', 'data', 'transfer', 'pulse', 'easy']")</f>
        <v>['buy', 'pulse', 'buy', 'package', 'data', 'transfer', 'pulse', 'easy']</v>
      </c>
      <c r="D949" s="3">
        <v>4.0</v>
      </c>
    </row>
    <row r="950" ht="15.75" customHeight="1">
      <c r="A950" s="1">
        <v>1015.0</v>
      </c>
      <c r="B950" s="3" t="s">
        <v>927</v>
      </c>
      <c r="C950" s="3" t="str">
        <f>IFERROR(__xludf.DUMMYFUNCTION("GOOGLETRANSLATE(B950,""id"",""en"")"),"['Disappointed', 'Signal', 'Telkomsel', 'Decreases', 'Drastic', 'Mobility', 'Jakarta', 'Depok', 'Signal', 'Lost', ""]")</f>
        <v>['Disappointed', 'Signal', 'Telkomsel', 'Decreases', 'Drastic', 'Mobility', 'Jakarta', 'Depok', 'Signal', 'Lost', "]</v>
      </c>
      <c r="D950" s="3">
        <v>1.0</v>
      </c>
    </row>
    <row r="951" ht="15.75" customHeight="1">
      <c r="A951" s="1">
        <v>1016.0</v>
      </c>
      <c r="B951" s="3" t="s">
        <v>928</v>
      </c>
      <c r="C951" s="3" t="str">
        <f>IFERROR(__xludf.DUMMYFUNCTION("GOOGLETRANSLATE(B951,""id"",""en"")"),"['Telkomsel', 'signal', 'good', 'please', 'fix']")</f>
        <v>['Telkomsel', 'signal', 'good', 'please', 'fix']</v>
      </c>
      <c r="D951" s="3">
        <v>1.0</v>
      </c>
    </row>
    <row r="952" ht="15.75" customHeight="1">
      <c r="A952" s="1">
        <v>1017.0</v>
      </c>
      <c r="B952" s="3" t="s">
        <v>929</v>
      </c>
      <c r="C952" s="3" t="str">
        <f>IFERROR(__xludf.DUMMYFUNCTION("GOOGLETRANSLATE(B952,""id"",""en"")"),"['Good', 'hope', 'lucky']")</f>
        <v>['Good', 'hope', 'lucky']</v>
      </c>
      <c r="D952" s="3">
        <v>5.0</v>
      </c>
    </row>
    <row r="953" ht="15.75" customHeight="1">
      <c r="A953" s="1">
        <v>1018.0</v>
      </c>
      <c r="B953" s="3" t="s">
        <v>930</v>
      </c>
      <c r="C953" s="3" t="str">
        <f>IFERROR(__xludf.DUMMYFUNCTION("GOOGLETRANSLATE(B953,""id"",""en"")"),"['Cool', 'pokonya']")</f>
        <v>['Cool', 'pokonya']</v>
      </c>
      <c r="D953" s="3">
        <v>5.0</v>
      </c>
    </row>
    <row r="954" ht="15.75" customHeight="1">
      <c r="A954" s="1">
        <v>1019.0</v>
      </c>
      <c r="B954" s="3" t="s">
        <v>931</v>
      </c>
      <c r="C954" s="3" t="str">
        <f>IFERROR(__xludf.DUMMYFUNCTION("GOOGLETRANSLATE(B954,""id"",""en"")"),"['', 'Provider', 'Nusantara', 'Indonesia', 'No', 'Knp', 'here', 'Program', 'Service', 'Good', 'Tangut', 'ugly', 'Network ',' Signal ',' pdhal ',' in the city ',' strange ',' gmn ',' remote ',' have ',' have ',' most ',' imprembering ',' bnyk ',' follow ',"&amp;"' follow ', 'program', 'org', 'gini', 'ngeselin', 'pdhal', 'consider', 'Telkomsel', 'provider', 'good', 'The', 'Best', 'Indonesia', 'complement ',' GPP ',' as', 'input', 'LBH', 'careful', 'LBH', 'Educative', 'JLS', 'Program', '']")</f>
        <v>['', 'Provider', 'Nusantara', 'Indonesia', 'No', 'Knp', 'here', 'Program', 'Service', 'Good', 'Tangut', 'ugly', 'Network ',' Signal ',' pdhal ',' in the city ',' strange ',' gmn ',' remote ',' have ',' have ',' most ',' imprembering ',' bnyk ',' follow ',' follow ', 'program', 'org', 'gini', 'ngeselin', 'pdhal', 'consider', 'Telkomsel', 'provider', 'good', 'The', 'Best', 'Indonesia', 'complement ',' GPP ',' as', 'input', 'LBH', 'careful', 'LBH', 'Educative', 'JLS', 'Program', '']</v>
      </c>
      <c r="D954" s="3">
        <v>1.0</v>
      </c>
    </row>
    <row r="955" ht="15.75" customHeight="1">
      <c r="A955" s="1">
        <v>1021.0</v>
      </c>
      <c r="B955" s="3" t="s">
        <v>932</v>
      </c>
      <c r="C955" s="3" t="str">
        <f>IFERROR(__xludf.DUMMYFUNCTION("GOOGLETRANSLATE(B955,""id"",""en"")"),"['wild boar', 'application', 'warriel']")</f>
        <v>['wild boar', 'application', 'warriel']</v>
      </c>
      <c r="D955" s="3">
        <v>5.0</v>
      </c>
    </row>
    <row r="956" ht="15.75" customHeight="1">
      <c r="A956" s="1">
        <v>1022.0</v>
      </c>
      <c r="B956" s="3" t="s">
        <v>933</v>
      </c>
      <c r="C956" s="3" t="str">
        <f>IFERROR(__xludf.DUMMYFUNCTION("GOOGLETRANSLATE(B956,""id"",""en"")"),"['Mntap', 'then', 'promo', 'kece']")</f>
        <v>['Mntap', 'then', 'promo', 'kece']</v>
      </c>
      <c r="D956" s="3">
        <v>5.0</v>
      </c>
    </row>
    <row r="957" ht="15.75" customHeight="1">
      <c r="A957" s="1">
        <v>1023.0</v>
      </c>
      <c r="B957" s="3" t="s">
        <v>934</v>
      </c>
      <c r="C957" s="3" t="str">
        <f>IFERROR(__xludf.DUMMYFUNCTION("GOOGLETRANSLATE(B957,""id"",""en"")"),"['Good', 'promo']")</f>
        <v>['Good', 'promo']</v>
      </c>
      <c r="D957" s="3">
        <v>5.0</v>
      </c>
    </row>
    <row r="958" ht="15.75" customHeight="1">
      <c r="A958" s="1">
        <v>1024.0</v>
      </c>
      <c r="B958" s="3" t="s">
        <v>935</v>
      </c>
      <c r="C958" s="3" t="str">
        <f>IFERROR(__xludf.DUMMYFUNCTION("GOOGLETRANSLATE(B958,""id"",""en"")"),"['already', 'use', 'Telkomsel', 'BLM', 'DPT', 'LOTING', 'Really', 'Lottery', 'Karna', 'BLM', 'See', 'The proof', ' ']")</f>
        <v>['already', 'use', 'Telkomsel', 'BLM', 'DPT', 'LOTING', 'Really', 'Lottery', 'Karna', 'BLM', 'See', 'The proof', ' ']</v>
      </c>
      <c r="D958" s="3">
        <v>2.0</v>
      </c>
    </row>
    <row r="959" ht="15.75" customHeight="1">
      <c r="A959" s="1">
        <v>1025.0</v>
      </c>
      <c r="B959" s="3" t="s">
        <v>936</v>
      </c>
      <c r="C959" s="3" t="str">
        <f>IFERROR(__xludf.DUMMYFUNCTION("GOOGLETRANSLATE(B959,""id"",""en"")"),"['buy', 'package', 'internet', 'app', 'Telkomsel', 'payment', 'use', 'shopee', 'pay', 'balance', 'reduced', 'package', ' Internet ',' enter ']")</f>
        <v>['buy', 'package', 'internet', 'app', 'Telkomsel', 'payment', 'use', 'shopee', 'pay', 'balance', 'reduced', 'package', ' Internet ',' enter ']</v>
      </c>
      <c r="D959" s="3">
        <v>1.0</v>
      </c>
    </row>
    <row r="960" ht="15.75" customHeight="1">
      <c r="A960" s="1">
        <v>1026.0</v>
      </c>
      <c r="B960" s="3" t="s">
        <v>937</v>
      </c>
      <c r="C960" s="3" t="str">
        <f>IFERROR(__xludf.DUMMYFUNCTION("GOOGLETRANSLATE(B960,""id"",""en"")"),"['Using it']")</f>
        <v>['Using it']</v>
      </c>
      <c r="D960" s="3">
        <v>3.0</v>
      </c>
    </row>
    <row r="961" ht="15.75" customHeight="1">
      <c r="A961" s="1">
        <v>1028.0</v>
      </c>
      <c r="B961" s="3" t="s">
        <v>938</v>
      </c>
      <c r="C961" s="3" t="str">
        <f>IFERROR(__xludf.DUMMYFUNCTION("GOOGLETRANSLATE(B961,""id"",""en"")"),"['Telkomsel', 'help', 'communication', 'in all', 'area', 'Indonesia']")</f>
        <v>['Telkomsel', 'help', 'communication', 'in all', 'area', 'Indonesia']</v>
      </c>
      <c r="D961" s="3">
        <v>5.0</v>
      </c>
    </row>
    <row r="962" ht="15.75" customHeight="1">
      <c r="A962" s="1">
        <v>1029.0</v>
      </c>
      <c r="B962" s="3" t="s">
        <v>939</v>
      </c>
      <c r="C962" s="3" t="str">
        <f>IFERROR(__xludf.DUMMYFUNCTION("GOOGLETRANSLATE(B962,""id"",""en"")"),"['Speed', 'Internet', 'Telkomsel', 'Weakening', 'Lose', 'Provider', 'Yellow', 'Hem', 'Price', 'Package', 'Internet', 'Telkomsel', ' expensive ',' compared to ',' provider ',' expensive ',' doang ',' fast ',' kaga ', ""]")</f>
        <v>['Speed', 'Internet', 'Telkomsel', 'Weakening', 'Lose', 'Provider', 'Yellow', 'Hem', 'Price', 'Package', 'Internet', 'Telkomsel', ' expensive ',' compared to ',' provider ',' expensive ',' doang ',' fast ',' kaga ', "]</v>
      </c>
      <c r="D962" s="3">
        <v>3.0</v>
      </c>
    </row>
    <row r="963" ht="15.75" customHeight="1">
      <c r="A963" s="1">
        <v>1030.0</v>
      </c>
      <c r="B963" s="3" t="s">
        <v>940</v>
      </c>
      <c r="C963" s="3" t="str">
        <f>IFERROR(__xludf.DUMMYFUNCTION("GOOGLETRANSLATE(B963,""id"",""en"")"),"['Contents', 'pulse', 'Yesterday', 'enter']")</f>
        <v>['Contents', 'pulse', 'Yesterday', 'enter']</v>
      </c>
      <c r="D963" s="3">
        <v>1.0</v>
      </c>
    </row>
    <row r="964" ht="15.75" customHeight="1">
      <c r="A964" s="1">
        <v>1031.0</v>
      </c>
      <c r="B964" s="3" t="s">
        <v>941</v>
      </c>
      <c r="C964" s="3" t="str">
        <f>IFERROR(__xludf.DUMMYFUNCTION("GOOGLETRANSLATE(B964,""id"",""en"")"),"['Mari', 'bother', 'Telkom', 'aware']")</f>
        <v>['Mari', 'bother', 'Telkom', 'aware']</v>
      </c>
      <c r="D964" s="3">
        <v>1.0</v>
      </c>
    </row>
    <row r="965" ht="15.75" customHeight="1">
      <c r="A965" s="1">
        <v>1032.0</v>
      </c>
      <c r="B965" s="3" t="s">
        <v>942</v>
      </c>
      <c r="C965" s="3" t="str">
        <f>IFERROR(__xludf.DUMMYFUNCTION("GOOGLETRANSLATE(B965,""id"",""en"")"),"['application', 'buy', 'package', 'complicated', 'reverse', 'menu', 'call', 'dial', 'Telkomsel', 'provider', 'BUMN', 'good', ' Ehh ', ""]")</f>
        <v>['application', 'buy', 'package', 'complicated', 'reverse', 'menu', 'call', 'dial', 'Telkomsel', 'provider', 'BUMN', 'good', ' Ehh ', "]</v>
      </c>
      <c r="D965" s="3">
        <v>1.0</v>
      </c>
    </row>
    <row r="966" ht="15.75" customHeight="1">
      <c r="A966" s="1">
        <v>1033.0</v>
      </c>
      <c r="B966" s="3" t="s">
        <v>943</v>
      </c>
      <c r="C966" s="3" t="str">
        <f>IFERROR(__xludf.DUMMYFUNCTION("GOOGLETRANSLATE(B966,""id"",""en"")"),"['Fly', 'public', 'yesterday', 'date', 'can', 'bonus', 'GB', 'Exchange', 'Points', '']")</f>
        <v>['Fly', 'public', 'yesterday', 'date', 'can', 'bonus', 'GB', 'Exchange', 'Points', '']</v>
      </c>
      <c r="D966" s="3">
        <v>1.0</v>
      </c>
    </row>
    <row r="967" ht="15.75" customHeight="1">
      <c r="A967" s="1">
        <v>1034.0</v>
      </c>
      <c r="B967" s="3" t="s">
        <v>944</v>
      </c>
      <c r="C967" s="3" t="str">
        <f>IFERROR(__xludf.DUMMYFUNCTION("GOOGLETRANSLATE(B967,""id"",""en"")"),"['', 'very', '']")</f>
        <v>['', 'very', '']</v>
      </c>
      <c r="D967" s="3">
        <v>5.0</v>
      </c>
    </row>
    <row r="968" ht="15.75" customHeight="1">
      <c r="A968" s="1">
        <v>1035.0</v>
      </c>
      <c r="B968" s="3" t="s">
        <v>945</v>
      </c>
      <c r="C968" s="3" t="str">
        <f>IFERROR(__xludf.DUMMYFUNCTION("GOOGLETRANSLATE(B968,""id"",""en"")"),"['combo', 'unlimited', 'Telkomsel', 'promo', 'Real', 'package', 'multimedia', 'package', 'main', 'drained', 'limit', 'expiration', ' Package ',' Multi ',' Media ',' Reduced ',' Watch ',' Video ',' Maxtream ',' Games', 'Comfortable', 'Cheated']")</f>
        <v>['combo', 'unlimited', 'Telkomsel', 'promo', 'Real', 'package', 'multimedia', 'package', 'main', 'drained', 'limit', 'expiration', ' Package ',' Multi ',' Media ',' Reduced ',' Watch ',' Video ',' Maxtream ',' Games', 'Comfortable', 'Cheated']</v>
      </c>
      <c r="D968" s="3">
        <v>2.0</v>
      </c>
    </row>
    <row r="969" ht="15.75" customHeight="1">
      <c r="A969" s="1">
        <v>1036.0</v>
      </c>
      <c r="B969" s="3" t="s">
        <v>946</v>
      </c>
      <c r="C969" s="3" t="str">
        <f>IFERROR(__xludf.DUMMYFUNCTION("GOOGLETRANSLATE(B969,""id"",""en"")"),"['Woy', 'Telkomsel', 'Please', 'Signal', 'Increase', 'LGI', 'Quota', 'Expensive', 'TPI', 'Network', 'ugly', 'Selawain', ' Customer ']")</f>
        <v>['Woy', 'Telkomsel', 'Please', 'Signal', 'Increase', 'LGI', 'Quota', 'Expensive', 'TPI', 'Network', 'ugly', 'Selawain', ' Customer ']</v>
      </c>
      <c r="D969" s="3">
        <v>1.0</v>
      </c>
    </row>
    <row r="970" ht="15.75" customHeight="1">
      <c r="A970" s="1">
        <v>1037.0</v>
      </c>
      <c r="B970" s="3" t="s">
        <v>947</v>
      </c>
      <c r="C970" s="3" t="str">
        <f>IFERROR(__xludf.DUMMYFUNCTION("GOOGLETRANSLATE(B970,""id"",""en"")"),"['Application', 'Kerenn', '']")</f>
        <v>['Application', 'Kerenn', '']</v>
      </c>
      <c r="D970" s="3">
        <v>3.0</v>
      </c>
    </row>
    <row r="971" ht="15.75" customHeight="1">
      <c r="A971" s="1">
        <v>1038.0</v>
      </c>
      <c r="B971" s="3" t="s">
        <v>948</v>
      </c>
      <c r="C971" s="3" t="str">
        <f>IFERROR(__xludf.DUMMYFUNCTION("GOOGLETRANSLATE(B971,""id"",""en"")"),"['APKX', 'Good']")</f>
        <v>['APKX', 'Good']</v>
      </c>
      <c r="D971" s="3">
        <v>5.0</v>
      </c>
    </row>
    <row r="972" ht="15.75" customHeight="1">
      <c r="A972" s="1">
        <v>1039.0</v>
      </c>
      <c r="B972" s="3" t="s">
        <v>949</v>
      </c>
      <c r="C972" s="3" t="str">
        <f>IFERROR(__xludf.DUMMYFUNCTION("GOOGLETRANSLATE(B972,""id"",""en"")"),"['Network', 'rotten', 'Seputaran', 'County', 'Siak']")</f>
        <v>['Network', 'rotten', 'Seputaran', 'County', 'Siak']</v>
      </c>
      <c r="D972" s="3">
        <v>1.0</v>
      </c>
    </row>
    <row r="973" ht="15.75" customHeight="1">
      <c r="A973" s="1">
        <v>1040.0</v>
      </c>
      <c r="B973" s="3" t="s">
        <v>950</v>
      </c>
      <c r="C973" s="3" t="str">
        <f>IFERROR(__xludf.DUMMYFUNCTION("GOOGLETRANSLATE(B973,""id"",""en"")"),"['The application', 'mantaaaap', 'bangeeeet', '']")</f>
        <v>['The application', 'mantaaaap', 'bangeeeet', '']</v>
      </c>
      <c r="D973" s="3">
        <v>4.0</v>
      </c>
    </row>
    <row r="974" ht="15.75" customHeight="1">
      <c r="A974" s="1">
        <v>1041.0</v>
      </c>
      <c r="B974" s="3" t="s">
        <v>951</v>
      </c>
      <c r="C974" s="3" t="str">
        <f>IFERROR(__xludf.DUMMYFUNCTION("GOOGLETRANSLATE(B974,""id"",""en"")"),"['Kasi', 'star', 'network', 'stable', '']")</f>
        <v>['Kasi', 'star', 'network', 'stable', '']</v>
      </c>
      <c r="D974" s="3">
        <v>4.0</v>
      </c>
    </row>
    <row r="975" ht="15.75" customHeight="1">
      <c r="A975" s="1">
        <v>1042.0</v>
      </c>
      <c r="B975" s="3" t="s">
        <v>952</v>
      </c>
      <c r="C975" s="3" t="str">
        <f>IFERROR(__xludf.DUMMYFUNCTION("GOOGLETRANSLATE(B975,""id"",""en"")"),"['Please', 'min', 'network', 'fix', 'provider', 'the most expensive', 'network', 'disappointing', '']")</f>
        <v>['Please', 'min', 'network', 'fix', 'provider', 'the most expensive', 'network', 'disappointing', '']</v>
      </c>
      <c r="D975" s="3">
        <v>3.0</v>
      </c>
    </row>
    <row r="976" ht="15.75" customHeight="1">
      <c r="A976" s="1">
        <v>1043.0</v>
      </c>
      <c r="B976" s="3" t="s">
        <v>953</v>
      </c>
      <c r="C976" s="3" t="str">
        <f>IFERROR(__xludf.DUMMYFUNCTION("GOOGLETRANSLATE(B976,""id"",""en"")"),"['comfortable', 'tsel', 'prepaid', 'replace', 'post', 'pay', 'disappointed', 'really', 'package', 'expensive', '']")</f>
        <v>['comfortable', 'tsel', 'prepaid', 'replace', 'post', 'pay', 'disappointed', 'really', 'package', 'expensive', '']</v>
      </c>
      <c r="D976" s="3">
        <v>1.0</v>
      </c>
    </row>
    <row r="977" ht="15.75" customHeight="1">
      <c r="A977" s="1">
        <v>1044.0</v>
      </c>
      <c r="B977" s="3" t="s">
        <v>954</v>
      </c>
      <c r="C977" s="3" t="str">
        <f>IFERROR(__xludf.DUMMYFUNCTION("GOOGLETRANSLATE(B977,""id"",""en"")"),"['updte', 'MLU', 'expensive', 'pketan']")</f>
        <v>['updte', 'MLU', 'expensive', 'pketan']</v>
      </c>
      <c r="D977" s="3">
        <v>1.0</v>
      </c>
    </row>
    <row r="978" ht="15.75" customHeight="1">
      <c r="A978" s="1">
        <v>1045.0</v>
      </c>
      <c r="B978" s="3" t="s">
        <v>955</v>
      </c>
      <c r="C978" s="3" t="str">
        <f>IFERROR(__xludf.DUMMYFUNCTION("GOOGLETRANSLATE(B978,""id"",""en"")"),"['Good', 'Bngt', 'Cobain', ""]")</f>
        <v>['Good', 'Bngt', 'Cobain', "]</v>
      </c>
      <c r="D978" s="3">
        <v>5.0</v>
      </c>
    </row>
    <row r="979" ht="15.75" customHeight="1">
      <c r="A979" s="1">
        <v>1046.0</v>
      </c>
      <c r="B979" s="3" t="s">
        <v>956</v>
      </c>
      <c r="C979" s="3" t="str">
        <f>IFERROR(__xludf.DUMMYFUNCTION("GOOGLETRANSLATE(B979,""id"",""en"")"),"['Telkomsel', 'annoying', 'expirability', 'lhoooo', 'forgiveness',' quota ',' please ',' quota ',' please ',' dumped ',' price ',' fix ',' The sign is']")</f>
        <v>['Telkomsel', 'annoying', 'expirability', 'lhoooo', 'forgiveness',' quota ',' please ',' quota ',' please ',' dumped ',' price ',' fix ',' The sign is']</v>
      </c>
      <c r="D979" s="3">
        <v>1.0</v>
      </c>
    </row>
    <row r="980" ht="15.75" customHeight="1">
      <c r="A980" s="1">
        <v>1047.0</v>
      </c>
      <c r="B980" s="3" t="s">
        <v>957</v>
      </c>
      <c r="C980" s="3" t="str">
        <f>IFERROR(__xludf.DUMMYFUNCTION("GOOGLETRANSLATE(B980,""id"",""en"")"),"['', 'Telkomsel', 'makes it easy', 'payment', 'reach', 'Region', '']")</f>
        <v>['', 'Telkomsel', 'makes it easy', 'payment', 'reach', 'Region', '']</v>
      </c>
      <c r="D980" s="3">
        <v>5.0</v>
      </c>
    </row>
    <row r="981" ht="15.75" customHeight="1">
      <c r="A981" s="1">
        <v>1048.0</v>
      </c>
      <c r="B981" s="3" t="s">
        <v>958</v>
      </c>
      <c r="C981" s="3" t="str">
        <f>IFERROR(__xludf.DUMMYFUNCTION("GOOGLETRANSLATE(B981,""id"",""en"")"),"['Good', 'signal']")</f>
        <v>['Good', 'signal']</v>
      </c>
      <c r="D981" s="3">
        <v>3.0</v>
      </c>
    </row>
    <row r="982" ht="15.75" customHeight="1">
      <c r="A982" s="1">
        <v>1049.0</v>
      </c>
      <c r="B982" s="3" t="s">
        <v>959</v>
      </c>
      <c r="C982" s="3" t="str">
        <f>IFERROR(__xludf.DUMMYFUNCTION("GOOGLETRANSLATE(B982,""id"",""en"")"),"['quota', 'cheap', 'cheap', 'easy', 'check', 'package']")</f>
        <v>['quota', 'cheap', 'cheap', 'easy', 'check', 'package']</v>
      </c>
      <c r="D982" s="3">
        <v>5.0</v>
      </c>
    </row>
    <row r="983" ht="15.75" customHeight="1">
      <c r="A983" s="1">
        <v>1051.0</v>
      </c>
      <c r="B983" s="3" t="s">
        <v>960</v>
      </c>
      <c r="C983" s="3" t="str">
        <f>IFERROR(__xludf.DUMMYFUNCTION("GOOGLETRANSLATE(B983,""id"",""en"")"),"['Balance', 'Shopeepay', 'Cut', 'Package', 'Night', 'Active', 'Telkomsel', 'Cheater']")</f>
        <v>['Balance', 'Shopeepay', 'Cut', 'Package', 'Night', 'Active', 'Telkomsel', 'Cheater']</v>
      </c>
      <c r="D983" s="3">
        <v>1.0</v>
      </c>
    </row>
    <row r="984" ht="15.75" customHeight="1">
      <c r="A984" s="1">
        <v>1052.0</v>
      </c>
      <c r="B984" s="3" t="s">
        <v>961</v>
      </c>
      <c r="C984" s="3" t="str">
        <f>IFERROR(__xludf.DUMMYFUNCTION("GOOGLETRANSLATE(B984,""id"",""en"")"),"['Steady', 'signal', 'Increase', 'quality']")</f>
        <v>['Steady', 'signal', 'Increase', 'quality']</v>
      </c>
      <c r="D984" s="3">
        <v>4.0</v>
      </c>
    </row>
    <row r="985" ht="15.75" customHeight="1">
      <c r="A985" s="1">
        <v>1053.0</v>
      </c>
      <c r="B985" s="3" t="s">
        <v>962</v>
      </c>
      <c r="C985" s="3" t="str">
        <f>IFERROR(__xludf.DUMMYFUNCTION("GOOGLETRANSLATE(B985,""id"",""en"")"),"['Developer', 'Telkomsel', 'Points', 'Tuker', 'Top', 'Mobile', 'Legend', 'Points']")</f>
        <v>['Developer', 'Telkomsel', 'Points', 'Tuker', 'Top', 'Mobile', 'Legend', 'Points']</v>
      </c>
      <c r="D985" s="3">
        <v>2.0</v>
      </c>
    </row>
    <row r="986" ht="15.75" customHeight="1">
      <c r="A986" s="1">
        <v>1054.0</v>
      </c>
      <c r="B986" s="3" t="s">
        <v>963</v>
      </c>
      <c r="C986" s="3" t="str">
        <f>IFERROR(__xludf.DUMMYFUNCTION("GOOGLETRANSLATE(B986,""id"",""en"")"),"['', 'buy', 'package', 'use', 'funds', 'balance', 'funds', 'truncated', 'package', 'enter', 'please', 'process']")</f>
        <v>['', 'buy', 'package', 'use', 'funds', 'balance', 'funds', 'truncated', 'package', 'enter', 'please', 'process']</v>
      </c>
      <c r="D986" s="3">
        <v>1.0</v>
      </c>
    </row>
    <row r="987" ht="15.75" customHeight="1">
      <c r="A987" s="1">
        <v>1055.0</v>
      </c>
      <c r="B987" s="3" t="s">
        <v>964</v>
      </c>
      <c r="C987" s="3" t="str">
        <f>IFERROR(__xludf.DUMMYFUNCTION("GOOGLETRANSLATE(B987,""id"",""en"")"),"['Thank you', 'Telkomsel', 'Customer', 'Lucky', 'expensive', 'Package', 'MOVER', 'Card', 'Telkomsel', 'Package', 'Enter', 'Promo', ' Increases', 'expensive', '']")</f>
        <v>['Thank you', 'Telkomsel', 'Customer', 'Lucky', 'expensive', 'Package', 'MOVER', 'Card', 'Telkomsel', 'Package', 'Enter', 'Promo', ' Increases', 'expensive', '']</v>
      </c>
      <c r="D987" s="3">
        <v>1.0</v>
      </c>
    </row>
    <row r="988" ht="15.75" customHeight="1">
      <c r="A988" s="1">
        <v>1056.0</v>
      </c>
      <c r="B988" s="3" t="s">
        <v>965</v>
      </c>
      <c r="C988" s="3" t="str">
        <f>IFERROR(__xludf.DUMMYFUNCTION("GOOGLETRANSLATE(B988,""id"",""en"")"),"['Thank "",' Love ',' MyTelkomsel ',' Squay ',' Useful ']")</f>
        <v>['Thank ",' Love ',' MyTelkomsel ',' Squay ',' Useful ']</v>
      </c>
      <c r="D988" s="3">
        <v>5.0</v>
      </c>
    </row>
    <row r="989" ht="15.75" customHeight="1">
      <c r="A989" s="1">
        <v>1057.0</v>
      </c>
      <c r="B989" s="3" t="s">
        <v>966</v>
      </c>
      <c r="C989" s="3" t="str">
        <f>IFERROR(__xludf.DUMMYFUNCTION("GOOGLETRANSLATE(B989,""id"",""en"")"),"['Increase', 'stability', 'The network', 'Hopefully', 'Telkomsel', 'Success']")</f>
        <v>['Increase', 'stability', 'The network', 'Hopefully', 'Telkomsel', 'Success']</v>
      </c>
      <c r="D989" s="3">
        <v>5.0</v>
      </c>
    </row>
    <row r="990" ht="15.75" customHeight="1">
      <c r="A990" s="1">
        <v>1058.0</v>
      </c>
      <c r="B990" s="3" t="s">
        <v>967</v>
      </c>
      <c r="C990" s="3" t="str">
        <f>IFERROR(__xludf.DUMMYFUNCTION("GOOGLETRANSLATE(B990,""id"",""en"")"),"['apk', 'kennnnnnn', 'skli', 'knp', 'see', 'see', 'good']")</f>
        <v>['apk', 'kennnnnnn', 'skli', 'knp', 'see', 'see', 'good']</v>
      </c>
      <c r="D990" s="3">
        <v>5.0</v>
      </c>
    </row>
    <row r="991" ht="15.75" customHeight="1">
      <c r="A991" s="1">
        <v>1059.0</v>
      </c>
      <c r="B991" s="3" t="s">
        <v>968</v>
      </c>
      <c r="C991" s="3" t="str">
        <f>IFERROR(__xludf.DUMMYFUNCTION("GOOGLETRANSLATE(B991,""id"",""en"")"),"['', 'opened']")</f>
        <v>['', 'opened']</v>
      </c>
      <c r="D991" s="3">
        <v>5.0</v>
      </c>
    </row>
    <row r="992" ht="15.75" customHeight="1">
      <c r="A992" s="1">
        <v>1060.0</v>
      </c>
      <c r="B992" s="3" t="s">
        <v>969</v>
      </c>
      <c r="C992" s="3" t="str">
        <f>IFERROR(__xludf.DUMMYFUNCTION("GOOGLETRANSLATE(B992,""id"",""en"")"),"['Severe', 'really', 'network', 'Telkomsel', 'stable', 'mending', 'card', 'next door', 'good', 'ugly', 'Telkomsel']")</f>
        <v>['Severe', 'really', 'network', 'Telkomsel', 'stable', 'mending', 'card', 'next door', 'good', 'ugly', 'Telkomsel']</v>
      </c>
      <c r="D992" s="3">
        <v>1.0</v>
      </c>
    </row>
    <row r="993" ht="15.75" customHeight="1">
      <c r="A993" s="1">
        <v>1061.0</v>
      </c>
      <c r="B993" s="3" t="s">
        <v>970</v>
      </c>
      <c r="C993" s="3" t="str">
        <f>IFERROR(__xludf.DUMMYFUNCTION("GOOGLETRANSLATE(B993,""id"",""en"")"),"['Maintain', 'slow', '']")</f>
        <v>['Maintain', 'slow', '']</v>
      </c>
      <c r="D993" s="3">
        <v>3.0</v>
      </c>
    </row>
    <row r="994" ht="15.75" customHeight="1">
      <c r="A994" s="1">
        <v>1062.0</v>
      </c>
      <c r="B994" s="3" t="s">
        <v>971</v>
      </c>
      <c r="C994" s="3" t="str">
        <f>IFERROR(__xludf.DUMMYFUNCTION("GOOGLETRANSLATE(B994,""id"",""en"")"),"['easy', 'fun']")</f>
        <v>['easy', 'fun']</v>
      </c>
      <c r="D994" s="3">
        <v>5.0</v>
      </c>
    </row>
    <row r="995" ht="15.75" customHeight="1">
      <c r="A995" s="1">
        <v>1063.0</v>
      </c>
      <c r="B995" s="3" t="s">
        <v>972</v>
      </c>
      <c r="C995" s="3" t="str">
        <f>IFERROR(__xludf.DUMMYFUNCTION("GOOGLETRANSLATE(B995,""id"",""en"")"),"['hope', 'Increase', 'Dlm', 'Service']")</f>
        <v>['hope', 'Increase', 'Dlm', 'Service']</v>
      </c>
      <c r="D995" s="3">
        <v>5.0</v>
      </c>
    </row>
    <row r="996" ht="15.75" customHeight="1">
      <c r="A996" s="1">
        <v>1064.0</v>
      </c>
      <c r="B996" s="3" t="s">
        <v>973</v>
      </c>
      <c r="C996" s="3" t="str">
        <f>IFERROR(__xludf.DUMMYFUNCTION("GOOGLETRANSLATE(B996,""id"",""en"")"),"['network', 'Telkomsel', 'slow', 'really', 'open', 'application', 'Telkomsel', 'quota', 'hello', 'bln', 'telkomsel', 'reliable' repeated ',' times', 'restart', 'change', 'change', 'mode', 'plane', 'tired', 'also', 'Mulu', 'Please', 'noticed', ""]")</f>
        <v>['network', 'Telkomsel', 'slow', 'really', 'open', 'application', 'Telkomsel', 'quota', 'hello', 'bln', 'telkomsel', 'reliable' repeated ',' times', 'restart', 'change', 'change', 'mode', 'plane', 'tired', 'also', 'Mulu', 'Please', 'noticed', "]</v>
      </c>
      <c r="D996" s="3">
        <v>3.0</v>
      </c>
    </row>
    <row r="997" ht="15.75" customHeight="1">
      <c r="A997" s="1">
        <v>1065.0</v>
      </c>
      <c r="B997" s="3" t="s">
        <v>974</v>
      </c>
      <c r="C997" s="3" t="str">
        <f>IFERROR(__xludf.DUMMYFUNCTION("GOOGLETRANSLATE(B997,""id"",""en"")"),"['staple', 'steady']")</f>
        <v>['staple', 'steady']</v>
      </c>
      <c r="D997" s="3">
        <v>5.0</v>
      </c>
    </row>
    <row r="998" ht="15.75" customHeight="1">
      <c r="A998" s="1">
        <v>1066.0</v>
      </c>
      <c r="B998" s="3" t="s">
        <v>975</v>
      </c>
      <c r="C998" s="3" t="str">
        <f>IFERROR(__xludf.DUMMYFUNCTION("GOOGLETRANSLATE(B998,""id"",""en"")"),"['Anyway', 'business', 'smooth', 'position', 'where', 'situation', ""]")</f>
        <v>['Anyway', 'business', 'smooth', 'position', 'where', 'situation', "]</v>
      </c>
      <c r="D998" s="3">
        <v>5.0</v>
      </c>
    </row>
    <row r="999" ht="15.75" customHeight="1">
      <c r="A999" s="1">
        <v>1067.0</v>
      </c>
      <c r="B999" s="3" t="s">
        <v>976</v>
      </c>
      <c r="C999" s="3" t="str">
        <f>IFERROR(__xludf.DUMMYFUNCTION("GOOGLETRANSLATE(B999,""id"",""en"")"),"['Please', 'card', 'buy', 'update', 'package', 'data', 'cheap', 'little', ""]")</f>
        <v>['Please', 'card', 'buy', 'update', 'package', 'data', 'cheap', 'little', "]</v>
      </c>
      <c r="D999" s="3">
        <v>5.0</v>
      </c>
    </row>
    <row r="1000" ht="15.75" customHeight="1">
      <c r="A1000" s="1">
        <v>1068.0</v>
      </c>
      <c r="B1000" s="3" t="s">
        <v>977</v>
      </c>
      <c r="C1000" s="3" t="str">
        <f>IFERROR(__xludf.DUMMYFUNCTION("GOOGLETRANSLATE(B1000,""id"",""en"")"),"['steady', 'easy', 'application', 'telkomsal', 'buy', 'pulse']")</f>
        <v>['steady', 'easy', 'application', 'telkomsal', 'buy', 'pulse']</v>
      </c>
      <c r="D1000" s="3">
        <v>5.0</v>
      </c>
    </row>
    <row r="1001" ht="15.75" customHeight="1">
      <c r="A1001" s="1">
        <v>1069.0</v>
      </c>
      <c r="B1001" s="3" t="s">
        <v>978</v>
      </c>
      <c r="C1001" s="3" t="str">
        <f>IFERROR(__xludf.DUMMYFUNCTION("GOOGLETRANSLATE(B1001,""id"",""en"")"),"['Lottery']")</f>
        <v>['Lottery']</v>
      </c>
      <c r="D1001" s="3">
        <v>5.0</v>
      </c>
    </row>
    <row r="1002" ht="15.75" customHeight="1">
      <c r="A1002" s="1">
        <v>1070.0</v>
      </c>
      <c r="B1002" s="3" t="s">
        <v>979</v>
      </c>
      <c r="C1002" s="3" t="str">
        <f>IFERROR(__xludf.DUMMYFUNCTION("GOOGLETRANSLATE(B1002,""id"",""en"")"),"['Useful']")</f>
        <v>['Useful']</v>
      </c>
      <c r="D1002" s="3">
        <v>5.0</v>
      </c>
    </row>
    <row r="1003" ht="15.75" customHeight="1">
      <c r="A1003" s="1">
        <v>1071.0</v>
      </c>
      <c r="B1003" s="3" t="s">
        <v>980</v>
      </c>
      <c r="C1003" s="3" t="str">
        <f>IFERROR(__xludf.DUMMYFUNCTION("GOOGLETRANSLATE(B1003,""id"",""en"")"),"['oath', 'COK', 'Signal', 'GMN', 'Min', 'Price', 'Quota', 'Yak', 'Expensive', 'Quality', 'Signal', 'Benerin', ' yak ',' waiting ',' monthly ',' signal ',' Mao ',' price ',' quality ',' signal ',' donk ',' price ',' mending ',' smarfren ',' Telkomsel ' , '"&amp;"ugly', 'really', 'signal', 'rating', 'signal', 'Telkomsel', 'ugly', 'really', 'mending', 'smarfren', 'yak', 'Telkomsel', ' Yak ',' Raying ',' buy ']")</f>
        <v>['oath', 'COK', 'Signal', 'GMN', 'Min', 'Price', 'Quota', 'Yak', 'Expensive', 'Quality', 'Signal', 'Benerin', ' yak ',' waiting ',' monthly ',' signal ',' Mao ',' price ',' quality ',' signal ',' donk ',' price ',' mending ',' smarfren ',' Telkomsel ' , 'ugly', 'really', 'signal', 'rating', 'signal', 'Telkomsel', 'ugly', 'really', 'mending', 'smarfren', 'yak', 'Telkomsel', ' Yak ',' Raying ',' buy ']</v>
      </c>
      <c r="D1003" s="3">
        <v>1.0</v>
      </c>
    </row>
    <row r="1004" ht="15.75" customHeight="1">
      <c r="A1004" s="1">
        <v>1072.0</v>
      </c>
      <c r="B1004" s="3" t="s">
        <v>981</v>
      </c>
      <c r="C1004" s="3" t="str">
        <f>IFERROR(__xludf.DUMMYFUNCTION("GOOGLETRANSLATE(B1004,""id"",""en"")"),"['network', 'internet', 'bad', 'pay', 'expensive', 'expensive', 'signal', 'ilang', 'thank you']")</f>
        <v>['network', 'internet', 'bad', 'pay', 'expensive', 'expensive', 'signal', 'ilang', 'thank you']</v>
      </c>
      <c r="D1004" s="3">
        <v>1.0</v>
      </c>
    </row>
    <row r="1005" ht="15.75" customHeight="1">
      <c r="A1005" s="1">
        <v>1073.0</v>
      </c>
      <c r="B1005" s="3" t="s">
        <v>982</v>
      </c>
      <c r="C1005" s="3" t="str">
        <f>IFERROR(__xludf.DUMMYFUNCTION("GOOGLETRANSLATE(B1005,""id"",""en"")"),"['fast', 'Peoses', 'net', 'fast', '']")</f>
        <v>['fast', 'Peoses', 'net', 'fast', '']</v>
      </c>
      <c r="D1005" s="3">
        <v>5.0</v>
      </c>
    </row>
    <row r="1006" ht="15.75" customHeight="1">
      <c r="A1006" s="1">
        <v>1074.0</v>
      </c>
      <c r="B1006" s="3" t="s">
        <v>735</v>
      </c>
      <c r="C1006" s="3" t="str">
        <f>IFERROR(__xludf.DUMMYFUNCTION("GOOGLETRANSLATE(B1006,""id"",""en"")"),"['help']")</f>
        <v>['help']</v>
      </c>
      <c r="D1006" s="3">
        <v>5.0</v>
      </c>
    </row>
    <row r="1007" ht="15.75" customHeight="1">
      <c r="A1007" s="1">
        <v>1075.0</v>
      </c>
      <c r="B1007" s="3" t="s">
        <v>983</v>
      </c>
      <c r="C1007" s="3" t="str">
        <f>IFERROR(__xludf.DUMMYFUNCTION("GOOGLETRANSLATE(B1007,""id"",""en"")"),"['price', 'package', 'classified', 'expensive', 'hope', 'in the future', 'economical', ""]")</f>
        <v>['price', 'package', 'classified', 'expensive', 'hope', 'in the future', 'economical', "]</v>
      </c>
      <c r="D1007" s="3">
        <v>5.0</v>
      </c>
    </row>
    <row r="1008" ht="15.75" customHeight="1">
      <c r="A1008" s="1">
        <v>1076.0</v>
      </c>
      <c r="B1008" s="3" t="s">
        <v>984</v>
      </c>
      <c r="C1008" s="3" t="str">
        <f>IFERROR(__xludf.DUMMYFUNCTION("GOOGLETRANSLATE(B1008,""id"",""en"")"),"['Free', 'times']")</f>
        <v>['Free', 'times']</v>
      </c>
      <c r="D1008" s="3">
        <v>1.0</v>
      </c>
    </row>
    <row r="1009" ht="15.75" customHeight="1">
      <c r="A1009" s="1">
        <v>1077.0</v>
      </c>
      <c r="B1009" s="3" t="s">
        <v>985</v>
      </c>
      <c r="C1009" s="3" t="str">
        <f>IFERROR(__xludf.DUMMYFUNCTION("GOOGLETRANSLATE(B1009,""id"",""en"")"),"['Burm', 'donlod', 'biary', 'quota', 'geratis']")</f>
        <v>['Burm', 'donlod', 'biary', 'quota', 'geratis']</v>
      </c>
      <c r="D1009" s="3">
        <v>5.0</v>
      </c>
    </row>
    <row r="1010" ht="15.75" customHeight="1">
      <c r="A1010" s="1">
        <v>1078.0</v>
      </c>
      <c r="B1010" s="3" t="s">
        <v>986</v>
      </c>
      <c r="C1010" s="3" t="str">
        <f>IFERROR(__xludf.DUMMYFUNCTION("GOOGLETRANSLATE(B1010,""id"",""en"")"),"['WWE', 'Lite', 'Andro', 'YouTube', 'ISO', 'Archive', 'Suspected', 'Error', 'Data', 'Error', 'Data', 'Error', ' Data ',' error ',' data ',' error ',' data ',' error ',' data ',' error ',' data ',' error ',' data ',' error ',' data ' , 'error', 'data', 'er"&amp;"ror', 'data', 'error', 'data', 'error', 'data', 'error', 'data', 'error', 'data', ' error ',' data ',' error ',' data ',' error ',' data ',' error ',' data ',' error ',' data ',' error ',' data ',' error ' , 'Data', 'error', 'data', 'error', 'data', '']")</f>
        <v>['WWE', 'Lite', 'Andro', 'YouTube', 'ISO', 'Archive', 'Suspected', 'Error', 'Data', 'Error', 'Data', 'Error', ' Data ',' error ',' data ',' error ',' data ',' error ',' data ',' error ',' data ',' error ',' data ',' error ',' data ' , 'error', 'data', 'error', 'data', 'error', 'data', 'error', 'data', 'error', 'data', 'error', 'data', ' error ',' data ',' error ',' data ',' error ',' data ',' error ',' data ',' error ',' data ',' error ',' data ',' error ' , 'Data', 'error', 'data', 'error', 'data', '']</v>
      </c>
      <c r="D1010" s="3">
        <v>5.0</v>
      </c>
    </row>
    <row r="1011" ht="15.75" customHeight="1">
      <c r="A1011" s="1">
        <v>1079.0</v>
      </c>
      <c r="B1011" s="3" t="s">
        <v>987</v>
      </c>
      <c r="C1011" s="3" t="str">
        <f>IFERROR(__xludf.DUMMYFUNCTION("GOOGLETRANSLATE(B1011,""id"",""en"")"),"['pulses', 'hoax', 'sms', 'pulses', 'hoax']")</f>
        <v>['pulses', 'hoax', 'sms', 'pulses', 'hoax']</v>
      </c>
      <c r="D1011" s="3">
        <v>1.0</v>
      </c>
    </row>
    <row r="1012" ht="15.75" customHeight="1">
      <c r="A1012" s="1">
        <v>1080.0</v>
      </c>
      <c r="B1012" s="3" t="s">
        <v>988</v>
      </c>
      <c r="C1012" s="3" t="str">
        <f>IFERROR(__xludf.DUMMYFUNCTION("GOOGLETRANSLATE(B1012,""id"",""en"")"),"['Provider', 'problematic', 'kah', 'sya', 'play', 'game', 'online', 'ping']")</f>
        <v>['Provider', 'problematic', 'kah', 'sya', 'play', 'game', 'online', 'ping']</v>
      </c>
      <c r="D1012" s="3">
        <v>3.0</v>
      </c>
    </row>
    <row r="1013" ht="15.75" customHeight="1">
      <c r="A1013" s="1">
        <v>1081.0</v>
      </c>
      <c r="B1013" s="3" t="s">
        <v>989</v>
      </c>
      <c r="C1013" s="3" t="str">
        <f>IFERROR(__xludf.DUMMYFUNCTION("GOOGLETRANSLATE(B1013,""id"",""en"")"),"['Come', 'Telkomsel', 'Kayak', 'Trash', 'Network', 'Lost', 'Embossed', 'Ngezoom', 'Online', 'Network', 'Lost', 'Oath', ' Telkomsel ',' garbage ',' Sometimes', 'Like', 'Emotion', 'Gara', 'Telkom', 'Kayak', 'Trash', ""]")</f>
        <v>['Come', 'Telkomsel', 'Kayak', 'Trash', 'Network', 'Lost', 'Embossed', 'Ngezoom', 'Online', 'Network', 'Lost', 'Oath', ' Telkomsel ',' garbage ',' Sometimes', 'Like', 'Emotion', 'Gara', 'Telkom', 'Kayak', 'Trash', "]</v>
      </c>
      <c r="D1013" s="3">
        <v>1.0</v>
      </c>
    </row>
    <row r="1014" ht="15.75" customHeight="1">
      <c r="A1014" s="1">
        <v>1082.0</v>
      </c>
      <c r="B1014" s="3" t="s">
        <v>990</v>
      </c>
      <c r="C1014" s="3" t="str">
        <f>IFERROR(__xludf.DUMMYFUNCTION("GOOGLETRANSLATE(B1014,""id"",""en"")"),"['Thanks', 'Convenience', ""]")</f>
        <v>['Thanks', 'Convenience', "]</v>
      </c>
      <c r="D1014" s="3">
        <v>5.0</v>
      </c>
    </row>
    <row r="1015" ht="15.75" customHeight="1">
      <c r="A1015" s="1">
        <v>1083.0</v>
      </c>
      <c r="B1015" s="3" t="s">
        <v>991</v>
      </c>
      <c r="C1015" s="3" t="str">
        <f>IFERROR(__xludf.DUMMYFUNCTION("GOOGLETRANSLATE(B1015,""id"",""en"")"),"['skrg', 'Telkomsel', 'open', 'error', 'must', 'alternating', 'download', 'reset', 'ribet']")</f>
        <v>['skrg', 'Telkomsel', 'open', 'error', 'must', 'alternating', 'download', 'reset', 'ribet']</v>
      </c>
      <c r="D1015" s="3">
        <v>1.0</v>
      </c>
    </row>
    <row r="1016" ht="15.75" customHeight="1">
      <c r="A1016" s="1">
        <v>1084.0</v>
      </c>
      <c r="B1016" s="3" t="s">
        <v>992</v>
      </c>
      <c r="C1016" s="3" t="str">
        <f>IFERROR(__xludf.DUMMYFUNCTION("GOOGLETRANSLATE(B1016,""id"",""en"")"),"['Gampang', 'short']")</f>
        <v>['Gampang', 'short']</v>
      </c>
      <c r="D1016" s="3">
        <v>4.0</v>
      </c>
    </row>
    <row r="1017" ht="15.75" customHeight="1">
      <c r="A1017" s="1">
        <v>1085.0</v>
      </c>
      <c r="B1017" s="3" t="s">
        <v>993</v>
      </c>
      <c r="C1017" s="3" t="str">
        <f>IFERROR(__xludf.DUMMYFUNCTION("GOOGLETRANSLATE(B1017,""id"",""en"")"),"['signal', 'difficult', 'mulu', 'sosmed', 'smooth', 'klw', 'game', 'difficult', 'kek', 'arghhhhh']")</f>
        <v>['signal', 'difficult', 'mulu', 'sosmed', 'smooth', 'klw', 'game', 'difficult', 'kek', 'arghhhhh']</v>
      </c>
      <c r="D1017" s="3">
        <v>2.0</v>
      </c>
    </row>
    <row r="1018" ht="15.75" customHeight="1">
      <c r="A1018" s="1">
        <v>1086.0</v>
      </c>
      <c r="B1018" s="3" t="s">
        <v>994</v>
      </c>
      <c r="C1018" s="3" t="str">
        <f>IFERROR(__xludf.DUMMYFUNCTION("GOOGLETRANSLATE(B1018,""id"",""en"")"),"['Cool', 'promo']")</f>
        <v>['Cool', 'promo']</v>
      </c>
      <c r="D1018" s="3">
        <v>5.0</v>
      </c>
    </row>
    <row r="1019" ht="15.75" customHeight="1">
      <c r="A1019" s="1">
        <v>1087.0</v>
      </c>
      <c r="B1019" s="3" t="s">
        <v>995</v>
      </c>
      <c r="C1019" s="3" t="str">
        <f>IFERROR(__xludf.DUMMYFUNCTION("GOOGLETRANSLATE(B1019,""id"",""en"")"),"['like', 'sucked', 'pulse', 'person']")</f>
        <v>['like', 'sucked', 'pulse', 'person']</v>
      </c>
      <c r="D1019" s="3">
        <v>1.0</v>
      </c>
    </row>
    <row r="1020" ht="15.75" customHeight="1">
      <c r="A1020" s="1">
        <v>1088.0</v>
      </c>
      <c r="B1020" s="3" t="s">
        <v>996</v>
      </c>
      <c r="C1020" s="3" t="str">
        <f>IFERROR(__xludf.DUMMYFUNCTION("GOOGLETRANSLATE(B1020,""id"",""en"")"),"['Tanks', 'Maintain', 'quality', '']")</f>
        <v>['Tanks', 'Maintain', 'quality', '']</v>
      </c>
      <c r="D1020" s="3">
        <v>5.0</v>
      </c>
    </row>
    <row r="1021" ht="15.75" customHeight="1">
      <c r="A1021" s="1">
        <v>1089.0</v>
      </c>
      <c r="B1021" s="3" t="s">
        <v>122</v>
      </c>
      <c r="C1021" s="3" t="str">
        <f>IFERROR(__xludf.DUMMYFUNCTION("GOOGLETRANSLATE(B1021,""id"",""en"")"),"['easy']")</f>
        <v>['easy']</v>
      </c>
      <c r="D1021" s="3">
        <v>5.0</v>
      </c>
    </row>
    <row r="1022" ht="15.75" customHeight="1">
      <c r="A1022" s="1">
        <v>1090.0</v>
      </c>
      <c r="B1022" s="3" t="s">
        <v>997</v>
      </c>
      <c r="C1022" s="3" t="str">
        <f>IFERROR(__xludf.DUMMYFUNCTION("GOOGLETRANSLATE(B1022,""id"",""en"")"),"['Please', 'Sorry', 'MyTelkomsel', 'MyTelkomsel', 'right', 'buy', 'quota', 'quota', 'enter', 'right', 'pesa', 'congratulations',' quota ',' GB ',' kalu ',' quota ',' buy ',' GB ',' pasaya ',' quota ',' GB ',' quota ',' emergency ',' Guwe ',' list ' , 'quo"&amp;"ta', 'emergency', 'buy', 'quota', 'GB', 'quota', 'emergency', 'kebeli', 'automatic', 'regret', 'please', 'oki', ' MyTelkomsel ']")</f>
        <v>['Please', 'Sorry', 'MyTelkomsel', 'MyTelkomsel', 'right', 'buy', 'quota', 'quota', 'enter', 'right', 'pesa', 'congratulations',' quota ',' GB ',' kalu ',' quota ',' buy ',' GB ',' pasaya ',' quota ',' GB ',' quota ',' emergency ',' Guwe ',' list ' , 'quota', 'emergency', 'buy', 'quota', 'GB', 'quota', 'emergency', 'kebeli', 'automatic', 'regret', 'please', 'oki', ' MyTelkomsel ']</v>
      </c>
      <c r="D1022" s="3">
        <v>1.0</v>
      </c>
    </row>
    <row r="1023" ht="15.75" customHeight="1">
      <c r="A1023" s="1">
        <v>1091.0</v>
      </c>
      <c r="B1023" s="3" t="s">
        <v>998</v>
      </c>
      <c r="C1023" s="3" t="str">
        <f>IFERROR(__xludf.DUMMYFUNCTION("GOOGLETRANSLATE(B1023,""id"",""en"")"),"['Sorry', 'Disappointed', 'Quality', 'Signal', 'Telkomsel', 'Select', 'DisplayVelkomsel', 'Karna', 'Famous',' Kwslitas', 'Sinyal', 'Good', ' NOTH ',' backward ',' Quality ',' Tuk ',' Area ',' District ',' Gunungpati ',' Semarang ',' Campurejo ',' Boja ','"&amp;" Please ',' Fix ',' Quality ' , 'Sinyal', 'JNG', 'just', 'price', 'number', 'kwqlitqs', 'number', ""]")</f>
        <v>['Sorry', 'Disappointed', 'Quality', 'Signal', 'Telkomsel', 'Select', 'DisplayVelkomsel', 'Karna', 'Famous',' Kwslitas', 'Sinyal', 'Good', ' NOTH ',' backward ',' Quality ',' Tuk ',' Area ',' District ',' Gunungpati ',' Semarang ',' Campurejo ',' Boja ',' Please ',' Fix ',' Quality ' , 'Sinyal', 'JNG', 'just', 'price', 'number', 'kwqlitqs', 'number', "]</v>
      </c>
      <c r="D1023" s="3">
        <v>3.0</v>
      </c>
    </row>
    <row r="1024" ht="15.75" customHeight="1">
      <c r="A1024" s="1">
        <v>1092.0</v>
      </c>
      <c r="B1024" s="3" t="s">
        <v>999</v>
      </c>
      <c r="C1024" s="3" t="str">
        <f>IFERROR(__xludf.DUMMYFUNCTION("GOOGLETRANSLATE(B1024,""id"",""en"")"),"['Moga', 'Brio']")</f>
        <v>['Moga', 'Brio']</v>
      </c>
      <c r="D1024" s="3">
        <v>5.0</v>
      </c>
    </row>
    <row r="1025" ht="15.75" customHeight="1">
      <c r="A1025" s="1">
        <v>1093.0</v>
      </c>
      <c r="B1025" s="3" t="s">
        <v>1000</v>
      </c>
      <c r="C1025" s="3" t="str">
        <f>IFERROR(__xludf.DUMMYFUNCTION("GOOGLETRANSLATE(B1025,""id"",""en"")"),"['Pray for', 'Telkomsel', 'Hopefully', 'Fast', 'Bankrupt', 'Hadia', 'Amanah', 'Hopefully', 'Fast', 'Given', 'Azab', ""]")</f>
        <v>['Pray for', 'Telkomsel', 'Hopefully', 'Fast', 'Bankrupt', 'Hadia', 'Amanah', 'Hopefully', 'Fast', 'Given', 'Azab', "]</v>
      </c>
      <c r="D1025" s="3">
        <v>1.0</v>
      </c>
    </row>
    <row r="1026" ht="15.75" customHeight="1">
      <c r="A1026" s="1">
        <v>1094.0</v>
      </c>
      <c r="B1026" s="3" t="s">
        <v>1001</v>
      </c>
      <c r="C1026" s="3" t="str">
        <f>IFERROR(__xludf.DUMMYFUNCTION("GOOGLETRANSLATE(B1026,""id"",""en"")"),"['Pliss', 'really', 'Telkomsel', 'Install', 'already', 'Nge', 'lag', 'the application', 'right', 'list', '']")</f>
        <v>['Pliss', 'really', 'Telkomsel', 'Install', 'already', 'Nge', 'lag', 'the application', 'right', 'list', '']</v>
      </c>
      <c r="D1026" s="3">
        <v>1.0</v>
      </c>
    </row>
    <row r="1027" ht="15.75" customHeight="1">
      <c r="A1027" s="1">
        <v>1095.0</v>
      </c>
      <c r="B1027" s="3" t="s">
        <v>1002</v>
      </c>
      <c r="C1027" s="3" t="str">
        <f>IFERROR(__xludf.DUMMYFUNCTION("GOOGLETRANSLATE(B1027,""id"",""en"")"),"['Telkomsel', 'comfortable', 'network', 'Nga', 'doubt', 'Lagih', 'poko', 'mantaf', ""]")</f>
        <v>['Telkomsel', 'comfortable', 'network', 'Nga', 'doubt', 'Lagih', 'poko', 'mantaf', "]</v>
      </c>
      <c r="D1027" s="3">
        <v>4.0</v>
      </c>
    </row>
    <row r="1028" ht="15.75" customHeight="1">
      <c r="A1028" s="1">
        <v>1096.0</v>
      </c>
      <c r="B1028" s="3" t="s">
        <v>1003</v>
      </c>
      <c r="C1028" s="3" t="str">
        <f>IFERROR(__xludf.DUMMYFUNCTION("GOOGLETRANSLATE(B1028,""id"",""en"")"),"['Good', 'Job', 'Telkomsel', 'Application', 'Good']")</f>
        <v>['Good', 'Job', 'Telkomsel', 'Application', 'Good']</v>
      </c>
      <c r="D1028" s="3">
        <v>5.0</v>
      </c>
    </row>
    <row r="1029" ht="15.75" customHeight="1">
      <c r="A1029" s="1">
        <v>1097.0</v>
      </c>
      <c r="B1029" s="3" t="s">
        <v>1004</v>
      </c>
      <c r="C1029" s="3" t="str">
        <f>IFERROR(__xludf.DUMMYFUNCTION("GOOGLETRANSLATE(B1029,""id"",""en"")"),"['Thank you', 'Telkomsel', 'Card', 'Telkomsel', 'Loop']")</f>
        <v>['Thank you', 'Telkomsel', 'Card', 'Telkomsel', 'Loop']</v>
      </c>
      <c r="D1029" s="3">
        <v>5.0</v>
      </c>
    </row>
    <row r="1030" ht="15.75" customHeight="1">
      <c r="A1030" s="1">
        <v>1098.0</v>
      </c>
      <c r="B1030" s="3" t="s">
        <v>80</v>
      </c>
      <c r="C1030" s="3" t="str">
        <f>IFERROR(__xludf.DUMMYFUNCTION("GOOGLETRANSLATE(B1030,""id"",""en"")"),"['help', '']")</f>
        <v>['help', '']</v>
      </c>
      <c r="D1030" s="3">
        <v>5.0</v>
      </c>
    </row>
    <row r="1031" ht="15.75" customHeight="1">
      <c r="A1031" s="1">
        <v>1099.0</v>
      </c>
      <c r="B1031" s="3" t="s">
        <v>374</v>
      </c>
      <c r="C1031" s="3" t="str">
        <f>IFERROR(__xludf.DUMMYFUNCTION("GOOGLETRANSLATE(B1031,""id"",""en"")"),"['Good', 'signal']")</f>
        <v>['Good', 'signal']</v>
      </c>
      <c r="D1031" s="3">
        <v>5.0</v>
      </c>
    </row>
    <row r="1032" ht="15.75" customHeight="1">
      <c r="A1032" s="1">
        <v>1100.0</v>
      </c>
      <c r="B1032" s="3" t="s">
        <v>1005</v>
      </c>
      <c r="C1032" s="3" t="str">
        <f>IFERROR(__xludf.DUMMYFUNCTION("GOOGLETRANSLATE(B1032,""id"",""en"")"),"['like', 'right', 'promo']")</f>
        <v>['like', 'right', 'promo']</v>
      </c>
      <c r="D1032" s="3">
        <v>5.0</v>
      </c>
    </row>
    <row r="1033" ht="15.75" customHeight="1">
      <c r="A1033" s="1">
        <v>1101.0</v>
      </c>
      <c r="B1033" s="3" t="s">
        <v>1006</v>
      </c>
      <c r="C1033" s="3" t="str">
        <f>IFERROR(__xludf.DUMMYFUNCTION("GOOGLETRANSLATE(B1033,""id"",""en"")"),"['Difficult', 'response']")</f>
        <v>['Difficult', 'response']</v>
      </c>
      <c r="D1033" s="3">
        <v>5.0</v>
      </c>
    </row>
    <row r="1034" ht="15.75" customHeight="1">
      <c r="A1034" s="1">
        <v>1103.0</v>
      </c>
      <c r="B1034" s="3" t="s">
        <v>1007</v>
      </c>
      <c r="C1034" s="3" t="str">
        <f>IFERROR(__xludf.DUMMYFUNCTION("GOOGLETRANSLATE(B1034,""id"",""en"")"),"['', 'Deh', 'Telkomsel']")</f>
        <v>['', 'Deh', 'Telkomsel']</v>
      </c>
      <c r="D1034" s="3">
        <v>5.0</v>
      </c>
    </row>
    <row r="1035" ht="15.75" customHeight="1">
      <c r="A1035" s="1">
        <v>1104.0</v>
      </c>
      <c r="B1035" s="3" t="s">
        <v>1008</v>
      </c>
      <c r="C1035" s="3" t="str">
        <f>IFERROR(__xludf.DUMMYFUNCTION("GOOGLETRANSLATE(B1035,""id"",""en"")"),"['Likes', 'Service']")</f>
        <v>['Likes', 'Service']</v>
      </c>
      <c r="D1035" s="3">
        <v>5.0</v>
      </c>
    </row>
    <row r="1036" ht="15.75" customHeight="1">
      <c r="A1036" s="1">
        <v>1105.0</v>
      </c>
      <c r="B1036" s="3" t="s">
        <v>1009</v>
      </c>
      <c r="C1036" s="3" t="str">
        <f>IFERROR(__xludf.DUMMYFUNCTION("GOOGLETRANSLATE(B1036,""id"",""en"")"),"['try', 'how', 'buy', 'package', 'ngojol', 'use', 'vermuk', 'loading', 'right', 'replace', 'card', 'internet', ' orders', 'direct', 'enter', 'try', 'how', 'wait', 'orders',' play ',' smooth ',' Mon ',' Maap ',' what ',' woy ' , 'Telkomsel', 'Telkomsel', '"&amp;"Ngehe', ""]")</f>
        <v>['try', 'how', 'buy', 'package', 'ngojol', 'use', 'vermuk', 'loading', 'right', 'replace', 'card', 'internet', ' orders', 'direct', 'enter', 'try', 'how', 'wait', 'orders',' play ',' smooth ',' Mon ',' Maap ',' what ',' woy ' , 'Telkomsel', 'Telkomsel', 'Ngehe', "]</v>
      </c>
      <c r="D1036" s="3">
        <v>1.0</v>
      </c>
    </row>
    <row r="1037" ht="15.75" customHeight="1">
      <c r="A1037" s="1">
        <v>1106.0</v>
      </c>
      <c r="B1037" s="3" t="s">
        <v>1010</v>
      </c>
      <c r="C1037" s="3" t="str">
        <f>IFERROR(__xludf.DUMMYFUNCTION("GOOGLETRANSLATE(B1037,""id"",""en"")"),"['Manyap', 'promo']")</f>
        <v>['Manyap', 'promo']</v>
      </c>
      <c r="D1037" s="3">
        <v>5.0</v>
      </c>
    </row>
    <row r="1038" ht="15.75" customHeight="1">
      <c r="A1038" s="1">
        <v>1107.0</v>
      </c>
      <c r="B1038" s="3" t="s">
        <v>1011</v>
      </c>
      <c r="C1038" s="3" t="str">
        <f>IFERROR(__xludf.DUMMYFUNCTION("GOOGLETRANSLATE(B1038,""id"",""en"")"),"['signal', 'steady', '']")</f>
        <v>['signal', 'steady', '']</v>
      </c>
      <c r="D1038" s="3">
        <v>5.0</v>
      </c>
    </row>
    <row r="1039" ht="15.75" customHeight="1">
      <c r="A1039" s="1">
        <v>1108.0</v>
      </c>
      <c r="B1039" s="3" t="s">
        <v>1012</v>
      </c>
      <c r="C1039" s="3" t="str">
        <f>IFERROR(__xludf.DUMMYFUNCTION("GOOGLETRANSLATE(B1039,""id"",""en"")"),"['Okay', 'steady']")</f>
        <v>['Okay', 'steady']</v>
      </c>
      <c r="D1039" s="3">
        <v>5.0</v>
      </c>
    </row>
    <row r="1040" ht="15.75" customHeight="1">
      <c r="A1040" s="1">
        <v>1109.0</v>
      </c>
      <c r="B1040" s="3" t="s">
        <v>1013</v>
      </c>
      <c r="C1040" s="3" t="str">
        <f>IFERROR(__xludf.DUMMYFUNCTION("GOOGLETRANSLATE(B1040,""id"",""en"")"),"['Credit', 'used', 'bonus', 'pls', 'direct', 'pls', 'use', '']")</f>
        <v>['Credit', 'used', 'bonus', 'pls', 'direct', 'pls', 'use', '']</v>
      </c>
      <c r="D1040" s="3">
        <v>2.0</v>
      </c>
    </row>
    <row r="1041" ht="15.75" customHeight="1">
      <c r="A1041" s="1">
        <v>1110.0</v>
      </c>
      <c r="B1041" s="3" t="s">
        <v>1014</v>
      </c>
      <c r="C1041" s="3" t="str">
        <f>IFERROR(__xludf.DUMMYFUNCTION("GOOGLETRANSLATE(B1041,""id"",""en"")"),"['Alhamdulillah', 'The network', 'Hopefully', 'In the future', 'Best', 'Service', 'Best', 'Ditelkomsel', ""]")</f>
        <v>['Alhamdulillah', 'The network', 'Hopefully', 'In the future', 'Best', 'Service', 'Best', 'Ditelkomsel', "]</v>
      </c>
      <c r="D1041" s="3">
        <v>5.0</v>
      </c>
    </row>
    <row r="1042" ht="15.75" customHeight="1">
      <c r="A1042" s="1">
        <v>1111.0</v>
      </c>
      <c r="B1042" s="3" t="s">
        <v>1015</v>
      </c>
      <c r="C1042" s="3" t="str">
        <f>IFERROR(__xludf.DUMMYFUNCTION("GOOGLETRANSLATE(B1042,""id"",""en"")"),"['easy', 'help']")</f>
        <v>['easy', 'help']</v>
      </c>
      <c r="D1042" s="3">
        <v>5.0</v>
      </c>
    </row>
    <row r="1043" ht="15.75" customHeight="1">
      <c r="A1043" s="1">
        <v>1112.0</v>
      </c>
      <c r="B1043" s="3" t="s">
        <v>1016</v>
      </c>
      <c r="C1043" s="3" t="str">
        <f>IFERROR(__xludf.DUMMYFUNCTION("GOOGLETRANSLATE(B1043,""id"",""en"")"),"['Steady', 'Hopefully', 'Win', 'Lottery', 'Telkomsel']")</f>
        <v>['Steady', 'Hopefully', 'Win', 'Lottery', 'Telkomsel']</v>
      </c>
      <c r="D1043" s="3">
        <v>5.0</v>
      </c>
    </row>
    <row r="1044" ht="15.75" customHeight="1">
      <c r="A1044" s="1">
        <v>1113.0</v>
      </c>
      <c r="B1044" s="3" t="s">
        <v>1017</v>
      </c>
      <c r="C1044" s="3" t="str">
        <f>IFERROR(__xludf.DUMMYFUNCTION("GOOGLETRANSLATE(B1044,""id"",""en"")"),"['Likeaaa', 'Krna', 'quota', 'promo', '']")</f>
        <v>['Likeaaa', 'Krna', 'quota', 'promo', '']</v>
      </c>
      <c r="D1044" s="3">
        <v>5.0</v>
      </c>
    </row>
    <row r="1045" ht="15.75" customHeight="1">
      <c r="A1045" s="1">
        <v>1114.0</v>
      </c>
      <c r="B1045" s="3" t="s">
        <v>1018</v>
      </c>
      <c r="C1045" s="3" t="str">
        <f>IFERROR(__xludf.DUMMYFUNCTION("GOOGLETRANSLATE(B1045,""id"",""en"")"),"['gada', 'Telkomsel', 'expensive', 'proud', 'sinyall', 'gapernah', 'moanrrrrr', 'bikinnnnnn', 'lostrekkkk', 'makennnnnnnnnnnnnnnnnnnnnnnnnnnnnnnnnnnnnnnnnnnnnnnnnnnnnnnnnnnnnnnnnnnnnnnnnnnnnnnnnnnnnnnnnnnnnnnnnnn")</f>
        <v>['gada', 'Telkomsel', 'expensive', 'proud', 'sinyall', 'gapernah', 'moanrrrrr', 'bikinnnnnn', 'lostrekkkk', 'makennnnnnnnnnnnnnnnnnnnnnnnnnnnnnnnnnnnnnnnnnnnnnnnnnnnnnnnnnnnnnnnnnnnnnnnnnnnnnnnnnnnnnnnnnnnnnnnnnn</v>
      </c>
      <c r="D1045" s="3">
        <v>1.0</v>
      </c>
    </row>
    <row r="1046" ht="15.75" customHeight="1">
      <c r="A1046" s="1">
        <v>1115.0</v>
      </c>
      <c r="B1046" s="3" t="s">
        <v>1019</v>
      </c>
      <c r="C1046" s="3" t="str">
        <f>IFERROR(__xludf.DUMMYFUNCTION("GOOGLETRANSLATE(B1046,""id"",""en"")"),"['Heh', 'internet', 'ugly', 'sometimes', 'good', 'sometimes']")</f>
        <v>['Heh', 'internet', 'ugly', 'sometimes', 'good', 'sometimes']</v>
      </c>
      <c r="D1046" s="3">
        <v>1.0</v>
      </c>
    </row>
    <row r="1047" ht="15.75" customHeight="1">
      <c r="A1047" s="1">
        <v>1117.0</v>
      </c>
      <c r="B1047" s="3" t="s">
        <v>1020</v>
      </c>
      <c r="C1047" s="3" t="str">
        <f>IFERROR(__xludf.DUMMYFUNCTION("GOOGLETRANSLATE(B1047,""id"",""en"")"),"['Tide', 'Package', 'Nga', 'Install', 'Package', 'Card', 'On', 'Package', 'How', 'NFA', 'Very']")</f>
        <v>['Tide', 'Package', 'Nga', 'Install', 'Package', 'Card', 'On', 'Package', 'How', 'NFA', 'Very']</v>
      </c>
      <c r="D1047" s="3">
        <v>1.0</v>
      </c>
    </row>
    <row r="1048" ht="15.75" customHeight="1">
      <c r="A1048" s="1">
        <v>1118.0</v>
      </c>
      <c r="B1048" s="3" t="s">
        <v>1021</v>
      </c>
      <c r="C1048" s="3" t="str">
        <f>IFERROR(__xludf.DUMMYFUNCTION("GOOGLETRANSLATE(B1048,""id"",""en"")"),"['Merspon', 'Customer']")</f>
        <v>['Merspon', 'Customer']</v>
      </c>
      <c r="D1048" s="3">
        <v>1.0</v>
      </c>
    </row>
    <row r="1049" ht="15.75" customHeight="1">
      <c r="A1049" s="1">
        <v>1120.0</v>
      </c>
      <c r="B1049" s="3" t="s">
        <v>374</v>
      </c>
      <c r="C1049" s="3" t="str">
        <f>IFERROR(__xludf.DUMMYFUNCTION("GOOGLETRANSLATE(B1049,""id"",""en"")"),"['Good', 'signal']")</f>
        <v>['Good', 'signal']</v>
      </c>
      <c r="D1049" s="3">
        <v>5.0</v>
      </c>
    </row>
    <row r="1050" ht="15.75" customHeight="1">
      <c r="A1050" s="1">
        <v>1121.0</v>
      </c>
      <c r="B1050" s="3" t="s">
        <v>502</v>
      </c>
      <c r="C1050" s="3" t="str">
        <f>IFERROR(__xludf.DUMMYFUNCTION("GOOGLETRANSLATE(B1050,""id"",""en"")"),"['Good', 'easy']")</f>
        <v>['Good', 'easy']</v>
      </c>
      <c r="D1050" s="3">
        <v>4.0</v>
      </c>
    </row>
    <row r="1051" ht="15.75" customHeight="1">
      <c r="A1051" s="1">
        <v>1122.0</v>
      </c>
      <c r="B1051" s="3" t="s">
        <v>1022</v>
      </c>
      <c r="C1051" s="3" t="str">
        <f>IFERROR(__xludf.DUMMYFUNCTION("GOOGLETRANSLATE(B1051,""id"",""en"")"),"['Application', 'Good', 'Help', 'Thank you', 'Telkomsel']")</f>
        <v>['Application', 'Good', 'Help', 'Thank you', 'Telkomsel']</v>
      </c>
      <c r="D1051" s="3">
        <v>5.0</v>
      </c>
    </row>
    <row r="1052" ht="15.75" customHeight="1">
      <c r="A1052" s="1">
        <v>1123.0</v>
      </c>
      <c r="B1052" s="3" t="s">
        <v>1023</v>
      </c>
      <c r="C1052" s="3" t="str">
        <f>IFERROR(__xludf.DUMMYFUNCTION("GOOGLETRANSLATE(B1052,""id"",""en"")"),"['', 'pulse', 'dipake', 'the application', 'rich', 'garbage', ""]")</f>
        <v>['', 'pulse', 'dipake', 'the application', 'rich', 'garbage', "]</v>
      </c>
      <c r="D1052" s="3">
        <v>1.0</v>
      </c>
    </row>
    <row r="1053" ht="15.75" customHeight="1">
      <c r="A1053" s="1">
        <v>1124.0</v>
      </c>
      <c r="B1053" s="3" t="s">
        <v>1024</v>
      </c>
      <c r="C1053" s="3" t="str">
        <f>IFERROR(__xludf.DUMMYFUNCTION("GOOGLETRANSLATE(B1053,""id"",""en"")"),"['Disappointed', 'Krna', 'Package', 'SLLU', 'Changed']")</f>
        <v>['Disappointed', 'Krna', 'Package', 'SLLU', 'Changed']</v>
      </c>
      <c r="D1053" s="3">
        <v>3.0</v>
      </c>
    </row>
    <row r="1054" ht="15.75" customHeight="1">
      <c r="A1054" s="1">
        <v>1126.0</v>
      </c>
      <c r="B1054" s="3" t="s">
        <v>1025</v>
      </c>
      <c r="C1054" s="3" t="str">
        <f>IFERROR(__xludf.DUMMYFUNCTION("GOOGLETRANSLATE(B1054,""id"",""en"")"),"['already', 'subscription', 'night', 'sucked', 'pulses', 'poor']")</f>
        <v>['already', 'subscription', 'night', 'sucked', 'pulses', 'poor']</v>
      </c>
      <c r="D1054" s="3">
        <v>1.0</v>
      </c>
    </row>
    <row r="1055" ht="15.75" customHeight="1">
      <c r="A1055" s="1">
        <v>1127.0</v>
      </c>
      <c r="B1055" s="3" t="s">
        <v>1026</v>
      </c>
      <c r="C1055" s="3" t="str">
        <f>IFERROR(__xludf.DUMMYFUNCTION("GOOGLETRANSLATE(B1055,""id"",""en"")"),"['Protest', 'Manager', 'CEO', 'Telkomsel', 'Klu', 'promo', 'Read', 'reset', 'Meeting', 'reset', 'right', 'Kaji', ' reset ',' example ',' card ',' hnya ',' buy ',' package ',' call ',' SLI ',' Negri ',' remove ',' funny ',' byk ',' kluarga ' , 'Life', 'Ind"&amp;"onesia', 'Negri', 'Funny', 'pokonya', ""]")</f>
        <v>['Protest', 'Manager', 'CEO', 'Telkomsel', 'Klu', 'promo', 'Read', 'reset', 'Meeting', 'reset', 'right', 'Kaji', ' reset ',' example ',' card ',' hnya ',' buy ',' package ',' call ',' SLI ',' Negri ',' remove ',' funny ',' byk ',' kluarga ' , 'Life', 'Indonesia', 'Negri', 'Funny', 'pokonya', "]</v>
      </c>
      <c r="D1055" s="3">
        <v>1.0</v>
      </c>
    </row>
    <row r="1056" ht="15.75" customHeight="1">
      <c r="A1056" s="1">
        <v>1128.0</v>
      </c>
      <c r="B1056" s="3" t="s">
        <v>1027</v>
      </c>
      <c r="C1056" s="3" t="str">
        <f>IFERROR(__xludf.DUMMYFUNCTION("GOOGLETRANSLATE(B1056,""id"",""en"")"),"['nice']")</f>
        <v>['nice']</v>
      </c>
      <c r="D1056" s="3">
        <v>2.0</v>
      </c>
    </row>
    <row r="1057" ht="15.75" customHeight="1">
      <c r="A1057" s="1">
        <v>1129.0</v>
      </c>
      <c r="B1057" s="3" t="s">
        <v>1028</v>
      </c>
      <c r="C1057" s="3" t="str">
        <f>IFERROR(__xludf.DUMMYFUNCTION("GOOGLETRANSLATE(B1057,""id"",""en"")"),"['updated', 'slow', 'beg', 'repaired']")</f>
        <v>['updated', 'slow', 'beg', 'repaired']</v>
      </c>
      <c r="D1057" s="3">
        <v>1.0</v>
      </c>
    </row>
    <row r="1058" ht="15.75" customHeight="1">
      <c r="A1058" s="1">
        <v>1130.0</v>
      </c>
      <c r="B1058" s="3" t="s">
        <v>1029</v>
      </c>
      <c r="C1058" s="3" t="str">
        <f>IFERROR(__xludf.DUMMYFUNCTION("GOOGLETRANSLATE(B1058,""id"",""en"")"),"['Lose', 'Blue', 'already', 'features',' control ',' pulse ',' mah ',' already ',' quota ',' tetep ',' pulse ',' sumps', ' ']")</f>
        <v>['Lose', 'Blue', 'already', 'features',' control ',' pulse ',' mah ',' already ',' quota ',' tetep ',' pulse ',' sumps', ' ']</v>
      </c>
      <c r="D1058" s="3">
        <v>1.0</v>
      </c>
    </row>
    <row r="1059" ht="15.75" customHeight="1">
      <c r="A1059" s="1">
        <v>1131.0</v>
      </c>
      <c r="B1059" s="3" t="s">
        <v>1030</v>
      </c>
      <c r="C1059" s="3" t="str">
        <f>IFERROR(__xludf.DUMMYFUNCTION("GOOGLETRANSLATE(B1059,""id"",""en"")"),"['Sometimes',' Leleet ',' Sometimes', 'Quota', 'Quota', 'Yutub', 'Media', 'Social', 'PKE', 'Quota', 'Main', 'TRUSSS', ' Please, 'Fix', 'System', 'Discard', 'Quota', 'Main', '']")</f>
        <v>['Sometimes',' Leleet ',' Sometimes', 'Quota', 'Quota', 'Yutub', 'Media', 'Social', 'PKE', 'Quota', 'Main', 'TRUSSS', ' Please, 'Fix', 'System', 'Discard', 'Quota', 'Main', '']</v>
      </c>
      <c r="D1059" s="3">
        <v>3.0</v>
      </c>
    </row>
    <row r="1060" ht="15.75" customHeight="1">
      <c r="A1060" s="1">
        <v>1132.0</v>
      </c>
      <c r="B1060" s="3" t="s">
        <v>1031</v>
      </c>
      <c r="C1060" s="3" t="str">
        <f>IFERROR(__xludf.DUMMYFUNCTION("GOOGLETRANSLATE(B1060,""id"",""en"")"),"['already', 'purchase', 'data', 'money', 'already', 'succeed', 'data', 'nga', 'appear']")</f>
        <v>['already', 'purchase', 'data', 'money', 'already', 'succeed', 'data', 'nga', 'appear']</v>
      </c>
      <c r="D1060" s="3">
        <v>1.0</v>
      </c>
    </row>
    <row r="1061" ht="15.75" customHeight="1">
      <c r="A1061" s="1">
        <v>1133.0</v>
      </c>
      <c r="B1061" s="3" t="s">
        <v>1032</v>
      </c>
      <c r="C1061" s="3" t="str">
        <f>IFERROR(__xludf.DUMMYFUNCTION("GOOGLETRANSLATE(B1061,""id"",""en"")"),"['How', 'Nau', 'use', 'Telkomsel', 'Telkomsel', 'Kouta', 'expensive', 'expensive', 'star', 'Laris',' Collapin ',' price ',' Koutaa ',' min ',' convid ',' work ',' closed ',' no ',' income ',' money ',' please ',' collapse ',' humane ',' eat ',' rice ' , '"&amp;"brain', 'collapsed', 'price', 'please']")</f>
        <v>['How', 'Nau', 'use', 'Telkomsel', 'Telkomsel', 'Kouta', 'expensive', 'expensive', 'star', 'Laris',' Collapin ',' price ',' Koutaa ',' min ',' convid ',' work ',' closed ',' no ',' income ',' money ',' please ',' collapse ',' humane ',' eat ',' rice ' , 'brain', 'collapsed', 'price', 'please']</v>
      </c>
      <c r="D1061" s="3">
        <v>1.0</v>
      </c>
    </row>
    <row r="1062" ht="15.75" customHeight="1">
      <c r="A1062" s="1">
        <v>1134.0</v>
      </c>
      <c r="B1062" s="3" t="s">
        <v>1033</v>
      </c>
      <c r="C1062" s="3" t="str">
        <f>IFERROR(__xludf.DUMMYFUNCTION("GOOGLETRANSLATE(B1062,""id"",""en"")"),"['application', 'Telkomsel', 'newest', 'okay', 'appearance', 'color', 'interesting', '']")</f>
        <v>['application', 'Telkomsel', 'newest', 'okay', 'appearance', 'color', 'interesting', '']</v>
      </c>
      <c r="D1062" s="3">
        <v>5.0</v>
      </c>
    </row>
    <row r="1063" ht="15.75" customHeight="1">
      <c r="A1063" s="1">
        <v>1135.0</v>
      </c>
      <c r="B1063" s="3" t="s">
        <v>1034</v>
      </c>
      <c r="C1063" s="3" t="str">
        <f>IFERROR(__xludf.DUMMYFUNCTION("GOOGLETRANSLATE(B1063,""id"",""en"")"),"['Good', 'help', 'maubelu', 'package']")</f>
        <v>['Good', 'help', 'maubelu', 'package']</v>
      </c>
      <c r="D1063" s="3">
        <v>5.0</v>
      </c>
    </row>
    <row r="1064" ht="15.75" customHeight="1">
      <c r="A1064" s="1">
        <v>1136.0</v>
      </c>
      <c r="B1064" s="3" t="s">
        <v>1035</v>
      </c>
      <c r="C1064" s="3" t="str">
        <f>IFERROR(__xludf.DUMMYFUNCTION("GOOGLETRANSLATE(B1064,""id"",""en"")"),"['Telkomsel', 'emg', 'cool']")</f>
        <v>['Telkomsel', 'emg', 'cool']</v>
      </c>
      <c r="D1064" s="3">
        <v>3.0</v>
      </c>
    </row>
    <row r="1065" ht="15.75" customHeight="1">
      <c r="A1065" s="1">
        <v>1137.0</v>
      </c>
      <c r="B1065" s="3" t="s">
        <v>1036</v>
      </c>
      <c r="C1065" s="3" t="str">
        <f>IFERROR(__xludf.DUMMYFUNCTION("GOOGLETRANSLATE(B1065,""id"",""en"")"),"['star', 'Telkomsel', 'repeated', 'times',' buy ',' package ',' failed ',' activation ',' package ',' process', 'type', 'package', ' Buy ',' Lost ',' buy ',' buy ',' Honest ',' Disappointed ',' Telkomsel ',' Network ',' deteriorated ',' Move ',' Provider "&amp;"',' More ',' Telkom ' ]")</f>
        <v>['star', 'Telkomsel', 'repeated', 'times',' buy ',' package ',' failed ',' activation ',' package ',' process', 'type', 'package', ' Buy ',' Lost ',' buy ',' buy ',' Honest ',' Disappointed ',' Telkomsel ',' Network ',' deteriorated ',' Move ',' Provider ',' More ',' Telkom ' ]</v>
      </c>
      <c r="D1065" s="3">
        <v>1.0</v>
      </c>
    </row>
    <row r="1066" ht="15.75" customHeight="1">
      <c r="A1066" s="1">
        <v>1138.0</v>
      </c>
      <c r="B1066" s="3" t="s">
        <v>1037</v>
      </c>
      <c r="C1066" s="3" t="str">
        <f>IFERROR(__xludf.DUMMYFUNCTION("GOOGLETRANSLATE(B1066,""id"",""en"")"),"['Force', 'Close', 'Google', 'stop', 'Telkomsel', 'stop', 'App', 'another', 'please', 'repaired', ""]")</f>
        <v>['Force', 'Close', 'Google', 'stop', 'Telkomsel', 'stop', 'App', 'another', 'please', 'repaired', "]</v>
      </c>
      <c r="D1066" s="3">
        <v>1.0</v>
      </c>
    </row>
    <row r="1067" ht="15.75" customHeight="1">
      <c r="A1067" s="1">
        <v>1139.0</v>
      </c>
      <c r="B1067" s="3" t="s">
        <v>1038</v>
      </c>
      <c r="C1067" s="3" t="str">
        <f>IFERROR(__xludf.DUMMYFUNCTION("GOOGLETRANSLATE(B1067,""id"",""en"")"),"['application', 'rotten', 'buy', 'package', 'all day', 'enter', 'enter', '']")</f>
        <v>['application', 'rotten', 'buy', 'package', 'all day', 'enter', 'enter', '']</v>
      </c>
      <c r="D1067" s="3">
        <v>1.0</v>
      </c>
    </row>
    <row r="1068" ht="15.75" customHeight="1">
      <c r="A1068" s="1">
        <v>1140.0</v>
      </c>
      <c r="B1068" s="3" t="s">
        <v>1039</v>
      </c>
      <c r="C1068" s="3" t="str">
        <f>IFERROR(__xludf.DUMMYFUNCTION("GOOGLETRANSLATE(B1068,""id"",""en"")"),"['slow']")</f>
        <v>['slow']</v>
      </c>
      <c r="D1068" s="3">
        <v>1.0</v>
      </c>
    </row>
    <row r="1069" ht="15.75" customHeight="1">
      <c r="A1069" s="1">
        <v>1141.0</v>
      </c>
      <c r="B1069" s="3" t="s">
        <v>1040</v>
      </c>
      <c r="C1069" s="3" t="str">
        <f>IFERROR(__xludf.DUMMYFUNCTION("GOOGLETRANSLATE(B1069,""id"",""en"")"),"['card', 'expirability', 'doang', 'network', 'kaga', 'already', 'buy', 'SOUT', 'sok', 'sokan', 'expensive', 'network', ' Minus', 'Basic', 'Telkomsel', 'Enrading', 'Tenempat', 'Price', 'Company', 'Shy', 'Ama']")</f>
        <v>['card', 'expirability', 'doang', 'network', 'kaga', 'already', 'buy', 'SOUT', 'sok', 'sokan', 'expensive', 'network', ' Minus', 'Basic', 'Telkomsel', 'Enrading', 'Tenempat', 'Price', 'Company', 'Shy', 'Ama']</v>
      </c>
      <c r="D1069" s="3">
        <v>1.0</v>
      </c>
    </row>
    <row r="1070" ht="15.75" customHeight="1">
      <c r="A1070" s="1">
        <v>1142.0</v>
      </c>
      <c r="B1070" s="3" t="s">
        <v>1041</v>
      </c>
      <c r="C1070" s="3" t="str">
        <f>IFERROR(__xludf.DUMMYFUNCTION("GOOGLETRANSLATE(B1070,""id"",""en"")"),"['kalok', 'package', 'internet', 'pakek', 'package', 'internet', 'jaikan', 'drained', 'jugak', 'pulse', 'please', 'repaired', ' Credit ',' Package ',' Internet ']")</f>
        <v>['kalok', 'package', 'internet', 'pakek', 'package', 'internet', 'jaikan', 'drained', 'jugak', 'pulse', 'please', 'repaired', ' Credit ',' Package ',' Internet ']</v>
      </c>
      <c r="D1070" s="3">
        <v>1.0</v>
      </c>
    </row>
    <row r="1071" ht="15.75" customHeight="1">
      <c r="A1071" s="1">
        <v>1143.0</v>
      </c>
      <c r="B1071" s="3" t="s">
        <v>1042</v>
      </c>
      <c r="C1071" s="3" t="str">
        <f>IFERROR(__xludf.DUMMYFUNCTION("GOOGLETRANSLATE(B1071,""id"",""en"")"),"['TOP', 'promo', 'cheap', 'donk']")</f>
        <v>['TOP', 'promo', 'cheap', 'donk']</v>
      </c>
      <c r="D1071" s="3">
        <v>5.0</v>
      </c>
    </row>
    <row r="1072" ht="15.75" customHeight="1">
      <c r="A1072" s="1">
        <v>1144.0</v>
      </c>
      <c r="B1072" s="3" t="s">
        <v>1043</v>
      </c>
      <c r="C1072" s="3" t="str">
        <f>IFERROR(__xludf.DUMMYFUNCTION("GOOGLETRANSLATE(B1072,""id"",""en"")"),"['sympathy', 'Telkomsel', 'change', 'policy', 'eat', 'pulse', 'main', 'user', 'forget', 'put', 'pulses',' package ',' Data ',' disables', 'settings',' data ',' on his cellphone ',' Telkomsel ',' BUMN ',' Kadrun ']")</f>
        <v>['sympathy', 'Telkomsel', 'change', 'policy', 'eat', 'pulse', 'main', 'user', 'forget', 'put', 'pulses',' package ',' Data ',' disables', 'settings',' data ',' on his cellphone ',' Telkomsel ',' BUMN ',' Kadrun ']</v>
      </c>
      <c r="D1072" s="3">
        <v>1.0</v>
      </c>
    </row>
    <row r="1073" ht="15.75" customHeight="1">
      <c r="A1073" s="1">
        <v>1145.0</v>
      </c>
      <c r="B1073" s="3" t="s">
        <v>1044</v>
      </c>
      <c r="C1073" s="3" t="str">
        <f>IFERROR(__xludf.DUMMYFUNCTION("GOOGLETRANSLATE(B1073,""id"",""en"")"),"['how', 'access', 'access', 'apk', 'choice', 'quota', 'hadeuuhhhh']")</f>
        <v>['how', 'access', 'access', 'apk', 'choice', 'quota', 'hadeuuhhhh']</v>
      </c>
      <c r="D1073" s="3">
        <v>1.0</v>
      </c>
    </row>
    <row r="1074" ht="15.75" customHeight="1">
      <c r="A1074" s="1">
        <v>1146.0</v>
      </c>
      <c r="B1074" s="3" t="s">
        <v>1045</v>
      </c>
      <c r="C1074" s="3" t="str">
        <f>IFERROR(__xludf.DUMMYFUNCTION("GOOGLETRANSLATE(B1074,""id"",""en"")"),"['Alhamdulillah', 'Wear', 'Telkomsel', 'Communication', 'Current', 'Maintain', '']")</f>
        <v>['Alhamdulillah', 'Wear', 'Telkomsel', 'Communication', 'Current', 'Maintain', '']</v>
      </c>
      <c r="D1074" s="3">
        <v>5.0</v>
      </c>
    </row>
    <row r="1075" ht="15.75" customHeight="1">
      <c r="A1075" s="1">
        <v>1148.0</v>
      </c>
      <c r="B1075" s="3" t="s">
        <v>518</v>
      </c>
      <c r="C1075" s="3" t="str">
        <f>IFERROR(__xludf.DUMMYFUNCTION("GOOGLETRANSLATE(B1075,""id"",""en"")"),"['hopefully']")</f>
        <v>['hopefully']</v>
      </c>
      <c r="D1075" s="3">
        <v>5.0</v>
      </c>
    </row>
    <row r="1076" ht="15.75" customHeight="1">
      <c r="A1076" s="1">
        <v>1149.0</v>
      </c>
      <c r="B1076" s="3" t="s">
        <v>1046</v>
      </c>
      <c r="C1076" s="3" t="str">
        <f>IFERROR(__xludf.DUMMYFUNCTION("GOOGLETRANSLATE(B1076,""id"",""en"")"),"['application', 'makes it easy', 'choose', 'package', 'taken', 'because' available ',' choice ',' Telkomsel ',' easy ',' easy ',' circles ',' ']")</f>
        <v>['application', 'makes it easy', 'choose', 'package', 'taken', 'because' available ',' choice ',' Telkomsel ',' easy ',' easy ',' circles ',' ']</v>
      </c>
      <c r="D1076" s="3">
        <v>5.0</v>
      </c>
    </row>
    <row r="1077" ht="15.75" customHeight="1">
      <c r="A1077" s="1">
        <v>1150.0</v>
      </c>
      <c r="B1077" s="3" t="s">
        <v>1047</v>
      </c>
      <c r="C1077" s="3" t="str">
        <f>IFERROR(__xludf.DUMMYFUNCTION("GOOGLETRANSLATE(B1077,""id"",""en"")"),"['order', 'package', 'emergency', 'active', 'fear', 'event', 'tsb', 'repeat', 'uninstall', 'application', 'afraid', 'deliberate', ' stretched out ',' Tanoa ',' confirm ',' activation ']")</f>
        <v>['order', 'package', 'emergency', 'active', 'fear', 'event', 'tsb', 'repeat', 'uninstall', 'application', 'afraid', 'deliberate', ' stretched out ',' Tanoa ',' confirm ',' activation ']</v>
      </c>
      <c r="D1077" s="3">
        <v>2.0</v>
      </c>
    </row>
    <row r="1078" ht="15.75" customHeight="1">
      <c r="A1078" s="1">
        <v>1151.0</v>
      </c>
      <c r="B1078" s="3" t="s">
        <v>1048</v>
      </c>
      <c r="C1078" s="3" t="str">
        <f>IFERROR(__xludf.DUMMYFUNCTION("GOOGLETRANSLATE(B1078,""id"",""en"")"),"['Intention', 'Application', 'Nyet', 'BANGJE', '']")</f>
        <v>['Intention', 'Application', 'Nyet', 'BANGJE', '']</v>
      </c>
      <c r="D1078" s="3">
        <v>1.0</v>
      </c>
    </row>
    <row r="1079" ht="15.75" customHeight="1">
      <c r="A1079" s="1">
        <v>1152.0</v>
      </c>
      <c r="B1079" s="3" t="s">
        <v>1049</v>
      </c>
      <c r="C1079" s="3" t="str">
        <f>IFERROR(__xludf.DUMMYFUNCTION("GOOGLETRANSLATE(B1079,""id"",""en"")"),"['Package', 'unlimited']")</f>
        <v>['Package', 'unlimited']</v>
      </c>
      <c r="D1079" s="3">
        <v>2.0</v>
      </c>
    </row>
    <row r="1080" ht="15.75" customHeight="1">
      <c r="A1080" s="1">
        <v>1153.0</v>
      </c>
      <c r="B1080" s="3" t="s">
        <v>1050</v>
      </c>
      <c r="C1080" s="3" t="str">
        <f>IFERROR(__xludf.DUMMYFUNCTION("GOOGLETRANSLATE(B1080,""id"",""en"")"),"['Application', 'BURIK', 'LIFE', 'Application', 'Help', ""]")</f>
        <v>['Application', 'BURIK', 'LIFE', 'Application', 'Help', "]</v>
      </c>
      <c r="D1080" s="3">
        <v>5.0</v>
      </c>
    </row>
    <row r="1081" ht="15.75" customHeight="1">
      <c r="A1081" s="1">
        <v>1154.0</v>
      </c>
      <c r="B1081" s="3" t="s">
        <v>1051</v>
      </c>
      <c r="C1081" s="3" t="str">
        <f>IFERROR(__xludf.DUMMYFUNCTION("GOOGLETRANSLATE(B1081,""id"",""en"")"),"['try', '']")</f>
        <v>['try', '']</v>
      </c>
      <c r="D1081" s="3">
        <v>2.0</v>
      </c>
    </row>
    <row r="1082" ht="15.75" customHeight="1">
      <c r="A1082" s="1">
        <v>1155.0</v>
      </c>
      <c r="B1082" s="3" t="s">
        <v>1052</v>
      </c>
      <c r="C1082" s="3" t="str">
        <f>IFERROR(__xludf.DUMMYFUNCTION("GOOGLETRANSLATE(B1082,""id"",""en"")"),"['choice', 'data', 'steady']")</f>
        <v>['choice', 'data', 'steady']</v>
      </c>
      <c r="D1082" s="3">
        <v>5.0</v>
      </c>
    </row>
    <row r="1083" ht="15.75" customHeight="1">
      <c r="A1083" s="1">
        <v>1156.0</v>
      </c>
      <c r="B1083" s="3" t="s">
        <v>1053</v>
      </c>
      <c r="C1083" s="3" t="str">
        <f>IFERROR(__xludf.DUMMYFUNCTION("GOOGLETRANSLATE(B1083,""id"",""en"")"),"['Telkomsel', 'just', 'play', 'Gem', 'signal', 'ngeleg', 'Mulu', 'Sempak', 'Ngepus',' Rank ',' njir ',' signal ',' lag ',' Mulu ',' bangad ',' Jari ',' udh ',' good ',' love ',' star ',' ']")</f>
        <v>['Telkomsel', 'just', 'play', 'Gem', 'signal', 'ngeleg', 'Mulu', 'Sempak', 'Ngepus',' Rank ',' njir ',' signal ',' lag ',' Mulu ',' bangad ',' Jari ',' udh ',' good ',' love ',' star ',' ']</v>
      </c>
      <c r="D1083" s="3">
        <v>1.0</v>
      </c>
    </row>
    <row r="1084" ht="15.75" customHeight="1">
      <c r="A1084" s="1">
        <v>1158.0</v>
      </c>
      <c r="B1084" s="3" t="s">
        <v>1054</v>
      </c>
      <c r="C1084" s="3" t="str">
        <f>IFERROR(__xludf.DUMMYFUNCTION("GOOGLETRANSLATE(B1084,""id"",""en"")"),"['Please', 'Increase', 'Stability', 'Network', 'Min', 'Region', 'Javanese', 'Trims']")</f>
        <v>['Please', 'Increase', 'Stability', 'Network', 'Min', 'Region', 'Javanese', 'Trims']</v>
      </c>
      <c r="D1084" s="3">
        <v>4.0</v>
      </c>
    </row>
    <row r="1085" ht="15.75" customHeight="1">
      <c r="A1085" s="1">
        <v>1159.0</v>
      </c>
      <c r="B1085" s="3" t="s">
        <v>1055</v>
      </c>
      <c r="C1085" s="3" t="str">
        <f>IFERROR(__xludf.DUMMYFUNCTION("GOOGLETRANSLATE(B1085,""id"",""en"")"),"['deh', 'use', 'Telkomsel', 'internet', 'package', 'internet', 'eaten', 'pulse', 'network', 'internet', 'stable', 'lost', ' network ',' process', 'package', 'recomnin', 'deh', 'telkomsel', 'already', 'bother']")</f>
        <v>['deh', 'use', 'Telkomsel', 'internet', 'package', 'internet', 'eaten', 'pulse', 'network', 'internet', 'stable', 'lost', ' network ',' process', 'package', 'recomnin', 'deh', 'telkomsel', 'already', 'bother']</v>
      </c>
      <c r="D1085" s="3">
        <v>1.0</v>
      </c>
    </row>
    <row r="1086" ht="15.75" customHeight="1">
      <c r="A1086" s="1">
        <v>1160.0</v>
      </c>
      <c r="B1086" s="3" t="s">
        <v>122</v>
      </c>
      <c r="C1086" s="3" t="str">
        <f>IFERROR(__xludf.DUMMYFUNCTION("GOOGLETRANSLATE(B1086,""id"",""en"")"),"['easy']")</f>
        <v>['easy']</v>
      </c>
      <c r="D1086" s="3">
        <v>5.0</v>
      </c>
    </row>
    <row r="1087" ht="15.75" customHeight="1">
      <c r="A1087" s="1">
        <v>1161.0</v>
      </c>
      <c r="B1087" s="3" t="s">
        <v>1056</v>
      </c>
      <c r="C1087" s="3" t="str">
        <f>IFERROR(__xludf.DUMMYFUNCTION("GOOGLETRANSLATE(B1087,""id"",""en"")"),"['classy']")</f>
        <v>['classy']</v>
      </c>
      <c r="D1087" s="3">
        <v>5.0</v>
      </c>
    </row>
    <row r="1088" ht="15.75" customHeight="1">
      <c r="A1088" s="1">
        <v>1162.0</v>
      </c>
      <c r="B1088" s="3" t="s">
        <v>1057</v>
      </c>
      <c r="C1088" s="3" t="str">
        <f>IFERROR(__xludf.DUMMYFUNCTION("GOOGLETRANSLATE(B1088,""id"",""en"")"),"['already', 'buy', 'package', 'package', 'package', 'uninited', 'run out', 'buy', 'proof', 'payment', 'jugo', 'embossed']")</f>
        <v>['already', 'buy', 'package', 'package', 'package', 'uninited', 'run out', 'buy', 'proof', 'payment', 'jugo', 'embossed']</v>
      </c>
      <c r="D1088" s="3">
        <v>1.0</v>
      </c>
    </row>
    <row r="1089" ht="15.75" customHeight="1">
      <c r="A1089" s="1">
        <v>1163.0</v>
      </c>
      <c r="B1089" s="3" t="s">
        <v>1058</v>
      </c>
      <c r="C1089" s="3" t="str">
        <f>IFERROR(__xludf.DUMMYFUNCTION("GOOGLETRANSLATE(B1089,""id"",""en"")"),"['Combo', 'Sakti', 'GB', 'Lost', 'No', 'Register', 'Package', 'Move', 'Operator', 'Next to', 'Raying', 'Uda', ' ']")</f>
        <v>['Combo', 'Sakti', 'GB', 'Lost', 'No', 'Register', 'Package', 'Move', 'Operator', 'Next to', 'Raying', 'Uda', ' ']</v>
      </c>
      <c r="D1089" s="3">
        <v>1.0</v>
      </c>
    </row>
    <row r="1090" ht="15.75" customHeight="1">
      <c r="A1090" s="1">
        <v>1164.0</v>
      </c>
      <c r="B1090" s="3" t="s">
        <v>1059</v>
      </c>
      <c r="C1090" s="3" t="str">
        <f>IFERROR(__xludf.DUMMYFUNCTION("GOOGLETRANSLATE(B1090,""id"",""en"")"),"['stupid', 'pulseku', 'direct', 'just', 'filled', '']")</f>
        <v>['stupid', 'pulseku', 'direct', 'just', 'filled', '']</v>
      </c>
      <c r="D1090" s="3">
        <v>1.0</v>
      </c>
    </row>
    <row r="1091" ht="15.75" customHeight="1">
      <c r="A1091" s="1">
        <v>1165.0</v>
      </c>
      <c r="B1091" s="3" t="s">
        <v>1060</v>
      </c>
      <c r="C1091" s="3" t="str">
        <f>IFERROR(__xludf.DUMMYFUNCTION("GOOGLETRANSLATE(B1091,""id"",""en"")"),"['Read', 'Papua', 'Proveder', 'Telkomsel', 'oath', 'Lord', 'Change', 'The card', 'Telkomtol', 'parahh', 'signal', 'ilang', ' Disorders', 'already', 'GTU', 'price', 'package', 'suffocating', 'intention', 'network', 'intention', 'mending', 'Dubarin', 'Kasia"&amp;"n', 'people' , 'Kya', 'medium', 'down', 'area', 'Papua', 'price', 'package', 'expensive', 'service', 'abal', ""]")</f>
        <v>['Read', 'Papua', 'Proveder', 'Telkomsel', 'oath', 'Lord', 'Change', 'The card', 'Telkomtol', 'parahh', 'signal', 'ilang', ' Disorders', 'already', 'GTU', 'price', 'package', 'suffocating', 'intention', 'network', 'intention', 'mending', 'Dubarin', 'Kasian', 'people' , 'Kya', 'medium', 'down', 'area', 'Papua', 'price', 'package', 'expensive', 'service', 'abal', "]</v>
      </c>
      <c r="D1091" s="3">
        <v>5.0</v>
      </c>
    </row>
    <row r="1092" ht="15.75" customHeight="1">
      <c r="A1092" s="1">
        <v>1166.0</v>
      </c>
      <c r="B1092" s="3" t="s">
        <v>1061</v>
      </c>
      <c r="C1092" s="3" t="str">
        <f>IFERROR(__xludf.DUMMYFUNCTION("GOOGLETRANSLATE(B1092,""id"",""en"")"),"['Application', 'Sangay', 'Help', 'Good', '']")</f>
        <v>['Application', 'Sangay', 'Help', 'Good', '']</v>
      </c>
      <c r="D1092" s="3">
        <v>5.0</v>
      </c>
    </row>
    <row r="1093" ht="15.75" customHeight="1">
      <c r="A1093" s="1">
        <v>1167.0</v>
      </c>
      <c r="B1093" s="3" t="s">
        <v>1062</v>
      </c>
      <c r="C1093" s="3" t="str">
        <f>IFERROR(__xludf.DUMMYFUNCTION("GOOGLETRANSLATE(B1093,""id"",""en"")"),"['Good', 'help', 'promo', 'comball']")</f>
        <v>['Good', 'help', 'promo', 'comball']</v>
      </c>
      <c r="D1093" s="3">
        <v>5.0</v>
      </c>
    </row>
    <row r="1094" ht="15.75" customHeight="1">
      <c r="A1094" s="1">
        <v>1169.0</v>
      </c>
      <c r="B1094" s="3" t="s">
        <v>1063</v>
      </c>
      <c r="C1094" s="3" t="str">
        <f>IFERROR(__xludf.DUMMYFUNCTION("GOOGLETRANSLATE(B1094,""id"",""en"")"),"['', 'Tetep', 'Hello', 'because', 'dear', 'number', 'already', 'DRI', 'Disable', 'really', 'oath', 'slow', 'expensive ',' Sungnya ',' fast ',' right ',' follow ',' lottery ',' point ',' kayak ',' prank ',' winner ',' shown ',' ']")</f>
        <v>['', 'Tetep', 'Hello', 'because', 'dear', 'number', 'already', 'DRI', 'Disable', 'really', 'oath', 'slow', 'expensive ',' Sungnya ',' fast ',' right ',' follow ',' lottery ',' point ',' kayak ',' prank ',' winner ',' shown ',' ']</v>
      </c>
      <c r="D1094" s="3">
        <v>1.0</v>
      </c>
    </row>
    <row r="1095" ht="15.75" customHeight="1">
      <c r="A1095" s="1">
        <v>1170.0</v>
      </c>
      <c r="B1095" s="3" t="s">
        <v>1064</v>
      </c>
      <c r="C1095" s="3" t="str">
        <f>IFERROR(__xludf.DUMMYFUNCTION("GOOGLETRANSLATE(B1095,""id"",""en"")"),"['Mntap', 'application', 'SNGT', 'Membran', 'Skli']")</f>
        <v>['Mntap', 'application', 'SNGT', 'Membran', 'Skli']</v>
      </c>
      <c r="D1095" s="3">
        <v>5.0</v>
      </c>
    </row>
    <row r="1096" ht="15.75" customHeight="1">
      <c r="A1096" s="1">
        <v>1171.0</v>
      </c>
      <c r="B1096" s="3" t="s">
        <v>1065</v>
      </c>
      <c r="C1096" s="3" t="str">
        <f>IFERROR(__xludf.DUMMYFUNCTION("GOOGLETRANSLATE(B1096,""id"",""en"")"),"['fill', 'package', 'overnight', 'Telkomsel', 'balance', 'chick', 'package', 'enter']")</f>
        <v>['fill', 'package', 'overnight', 'Telkomsel', 'balance', 'chick', 'package', 'enter']</v>
      </c>
      <c r="D1096" s="3">
        <v>2.0</v>
      </c>
    </row>
    <row r="1097" ht="15.75" customHeight="1">
      <c r="A1097" s="1">
        <v>1172.0</v>
      </c>
      <c r="B1097" s="3" t="s">
        <v>1066</v>
      </c>
      <c r="C1097" s="3" t="str">
        <f>IFERROR(__xludf.DUMMYFUNCTION("GOOGLETRANSLATE(B1097,""id"",""en"")"),"['Child', 'Dajal', 'pig', 'emang', 'daily', 'check', 'reset', 'astuk', 'monkey', ""]")</f>
        <v>['Child', 'Dajal', 'pig', 'emang', 'daily', 'check', 'reset', 'astuk', 'monkey', "]</v>
      </c>
      <c r="D1097" s="3">
        <v>1.0</v>
      </c>
    </row>
    <row r="1098" ht="15.75" customHeight="1">
      <c r="A1098" s="1">
        <v>1173.0</v>
      </c>
      <c r="B1098" s="3" t="s">
        <v>1067</v>
      </c>
      <c r="C1098" s="3" t="str">
        <f>IFERROR(__xludf.DUMMYFUNCTION("GOOGLETRANSLATE(B1098,""id"",""en"")"),"['Pointku', 'exchanged', 'wonder', 'provider', ""]")</f>
        <v>['Pointku', 'exchanged', 'wonder', 'provider', "]</v>
      </c>
      <c r="D1098" s="3">
        <v>1.0</v>
      </c>
    </row>
    <row r="1099" ht="15.75" customHeight="1">
      <c r="A1099" s="1">
        <v>1174.0</v>
      </c>
      <c r="B1099" s="3" t="s">
        <v>1068</v>
      </c>
      <c r="C1099" s="3" t="str">
        <f>IFERROR(__xludf.DUMMYFUNCTION("GOOGLETRANSLATE(B1099,""id"",""en"")"),"['Lake', 'Telkomsel', 'Moving', 'Im', 'Move', 'Telkomsel', 'Most', 'Action', 'Lemot', 'Credit', 'Sumpot', 'Already', ' Package ',' Enter ',' Application ',' Telkomsel ',' Error ',' Telkomsel ',' Tumbang ',' Bye ']")</f>
        <v>['Lake', 'Telkomsel', 'Moving', 'Im', 'Move', 'Telkomsel', 'Most', 'Action', 'Lemot', 'Credit', 'Sumpot', 'Already', ' Package ',' Enter ',' Application ',' Telkomsel ',' Error ',' Telkomsel ',' Tumbang ',' Bye ']</v>
      </c>
      <c r="D1099" s="3">
        <v>1.0</v>
      </c>
    </row>
    <row r="1100" ht="15.75" customHeight="1">
      <c r="A1100" s="1">
        <v>1175.0</v>
      </c>
      <c r="B1100" s="3" t="s">
        <v>1069</v>
      </c>
      <c r="C1100" s="3" t="str">
        <f>IFERROR(__xludf.DUMMYFUNCTION("GOOGLETRANSLATE(B1100,""id"",""en"")"),"['Difficult', 'Baim', 'Mantap']")</f>
        <v>['Difficult', 'Baim', 'Mantap']</v>
      </c>
      <c r="D1100" s="3">
        <v>5.0</v>
      </c>
    </row>
    <row r="1101" ht="15.75" customHeight="1">
      <c r="A1101" s="1">
        <v>1176.0</v>
      </c>
      <c r="B1101" s="3" t="s">
        <v>1070</v>
      </c>
      <c r="C1101" s="3" t="str">
        <f>IFERROR(__xludf.DUMMYFUNCTION("GOOGLETRANSLATE(B1101,""id"",""en"")"),"['Satisfied', 'pokonya']")</f>
        <v>['Satisfied', 'pokonya']</v>
      </c>
      <c r="D1101" s="3">
        <v>5.0</v>
      </c>
    </row>
    <row r="1102" ht="15.75" customHeight="1">
      <c r="A1102" s="1">
        <v>1177.0</v>
      </c>
      <c r="B1102" s="3" t="s">
        <v>80</v>
      </c>
      <c r="C1102" s="3" t="str">
        <f>IFERROR(__xludf.DUMMYFUNCTION("GOOGLETRANSLATE(B1102,""id"",""en"")"),"['help', '']")</f>
        <v>['help', '']</v>
      </c>
      <c r="D1102" s="3">
        <v>5.0</v>
      </c>
    </row>
    <row r="1103" ht="15.75" customHeight="1">
      <c r="A1103" s="1">
        <v>1178.0</v>
      </c>
      <c r="B1103" s="3" t="s">
        <v>1071</v>
      </c>
      <c r="C1103" s="3" t="str">
        <f>IFERROR(__xludf.DUMMYFUNCTION("GOOGLETRANSLATE(B1103,""id"",""en"")"),"['steady', 'package', 'cheap', 'xxixi']")</f>
        <v>['steady', 'package', 'cheap', 'xxixi']</v>
      </c>
      <c r="D1103" s="3">
        <v>5.0</v>
      </c>
    </row>
    <row r="1104" ht="15.75" customHeight="1">
      <c r="A1104" s="1">
        <v>1179.0</v>
      </c>
      <c r="B1104" s="3" t="s">
        <v>1072</v>
      </c>
      <c r="C1104" s="3" t="str">
        <f>IFERROR(__xludf.DUMMYFUNCTION("GOOGLETRANSLATE(B1104,""id"",""en"")"),"['Try', 'dlu', 'good', 'love', 'star', '']")</f>
        <v>['Try', 'dlu', 'good', 'love', 'star', '']</v>
      </c>
      <c r="D1104" s="3">
        <v>4.0</v>
      </c>
    </row>
    <row r="1105" ht="15.75" customHeight="1">
      <c r="A1105" s="1">
        <v>1180.0</v>
      </c>
      <c r="B1105" s="3" t="s">
        <v>1073</v>
      </c>
      <c r="C1105" s="3" t="str">
        <f>IFERROR(__xludf.DUMMYFUNCTION("GOOGLETRANSLATE(B1105,""id"",""en"")"),"['Cashback', 'boong']")</f>
        <v>['Cashback', 'boong']</v>
      </c>
      <c r="D1105" s="3">
        <v>5.0</v>
      </c>
    </row>
    <row r="1106" ht="15.75" customHeight="1">
      <c r="A1106" s="1">
        <v>1181.0</v>
      </c>
      <c r="B1106" s="3" t="s">
        <v>1074</v>
      </c>
      <c r="C1106" s="3" t="str">
        <f>IFERROR(__xludf.DUMMYFUNCTION("GOOGLETRANSLATE(B1106,""id"",""en"")"),"['Try', 'actipin', 'code', 'free', 'phone', 'sms',' byr ',' rupiah ',' code ',' nlpon ',' grtis', 'stlah', ' BYR ',' Grtis', 'SMS', 'BYR', 'Please', 'Aktipkan', ""]")</f>
        <v>['Try', 'actipin', 'code', 'free', 'phone', 'sms',' byr ',' rupiah ',' code ',' nlpon ',' grtis', 'stlah', ' BYR ',' Grtis', 'SMS', 'BYR', 'Please', 'Aktipkan', "]</v>
      </c>
      <c r="D1106" s="3">
        <v>2.0</v>
      </c>
    </row>
    <row r="1107" ht="15.75" customHeight="1">
      <c r="A1107" s="1">
        <v>1182.0</v>
      </c>
      <c r="B1107" s="3" t="s">
        <v>1075</v>
      </c>
      <c r="C1107" s="3" t="str">
        <f>IFERROR(__xludf.DUMMYFUNCTION("GOOGLETRANSLATE(B1107,""id"",""en"")"),"['Mimin', 'please', 'Apprecication', 'Bik', 'Telkimsel', 'comfortable', 'Sampek', 'merugikn', ""]")</f>
        <v>['Mimin', 'please', 'Apprecication', 'Bik', 'Telkimsel', 'comfortable', 'Sampek', 'merugikn', "]</v>
      </c>
      <c r="D1107" s="3">
        <v>5.0</v>
      </c>
    </row>
    <row r="1108" ht="15.75" customHeight="1">
      <c r="A1108" s="1">
        <v>1183.0</v>
      </c>
      <c r="B1108" s="3" t="s">
        <v>1076</v>
      </c>
      <c r="C1108" s="3" t="str">
        <f>IFERROR(__xludf.DUMMYFUNCTION("GOOGLETRANSLATE(B1108,""id"",""en"")"),"['confused']")</f>
        <v>['confused']</v>
      </c>
      <c r="D1108" s="3">
        <v>5.0</v>
      </c>
    </row>
    <row r="1109" ht="15.75" customHeight="1">
      <c r="A1109" s="1">
        <v>1184.0</v>
      </c>
      <c r="B1109" s="3" t="s">
        <v>1077</v>
      </c>
      <c r="C1109" s="3" t="str">
        <f>IFERROR(__xludf.DUMMYFUNCTION("GOOGLETRANSLATE(B1109,""id"",""en"")"),"['Progress', 'Network', 'Cool']")</f>
        <v>['Progress', 'Network', 'Cool']</v>
      </c>
      <c r="D1109" s="3">
        <v>5.0</v>
      </c>
    </row>
    <row r="1110" ht="15.75" customHeight="1">
      <c r="A1110" s="1">
        <v>1185.0</v>
      </c>
      <c r="B1110" s="3" t="s">
        <v>1078</v>
      </c>
      <c r="C1110" s="3" t="str">
        <f>IFERROR(__xludf.DUMMYFUNCTION("GOOGLETRANSLATE(B1110,""id"",""en"")"),"['Belom', 'get', 'Gift', 'Bintu', 'Belom', 'Belom', 'Get', 'Food', 'Results', 'Points']")</f>
        <v>['Belom', 'get', 'Gift', 'Bintu', 'Belom', 'Belom', 'Get', 'Food', 'Results', 'Points']</v>
      </c>
      <c r="D1110" s="3">
        <v>4.0</v>
      </c>
    </row>
    <row r="1111" ht="15.75" customHeight="1">
      <c r="A1111" s="1">
        <v>1186.0</v>
      </c>
      <c r="B1111" s="3" t="s">
        <v>1079</v>
      </c>
      <c r="C1111" s="3" t="str">
        <f>IFERROR(__xludf.DUMMYFUNCTION("GOOGLETRANSLATE(B1111,""id"",""en"")"),"['Network', 'card', 'Hello', 'slow']")</f>
        <v>['Network', 'card', 'Hello', 'slow']</v>
      </c>
      <c r="D1111" s="3">
        <v>4.0</v>
      </c>
    </row>
    <row r="1112" ht="15.75" customHeight="1">
      <c r="A1112" s="1">
        <v>1187.0</v>
      </c>
      <c r="B1112" s="3" t="s">
        <v>1080</v>
      </c>
      <c r="C1112" s="3" t="str">
        <f>IFERROR(__xludf.DUMMYFUNCTION("GOOGLETRANSLATE(B1112,""id"",""en"")"),"['already', 'buy', 'quota', 'combo', 'Sakti', 'payment', 'lewar', 'shopeepay', 'internetnha', 'active', 'contact', 'told', ' Contact ',' Lavizydah ',' CONTAINED ',' Drift ']")</f>
        <v>['already', 'buy', 'quota', 'combo', 'Sakti', 'payment', 'lewar', 'shopeepay', 'internetnha', 'active', 'contact', 'told', ' Contact ',' Lavizydah ',' CONTAINED ',' Drift ']</v>
      </c>
      <c r="D1112" s="3">
        <v>5.0</v>
      </c>
    </row>
    <row r="1113" ht="15.75" customHeight="1">
      <c r="A1113" s="1">
        <v>1188.0</v>
      </c>
      <c r="B1113" s="3" t="s">
        <v>1081</v>
      </c>
      <c r="C1113" s="3" t="str">
        <f>IFERROR(__xludf.DUMMYFUNCTION("GOOGLETRANSLATE(B1113,""id"",""en"")"),"['Extraider', 'Card', 'Telkomsel', 'Application', 'Bad', 'Price', 'Promo', 'Available', 'Hnya', 'Official', 'Quality', 'Jaringn', ' SNGAT ',' LEGAT ',' SONGAT ',' SAILKN ',' MNGUNDUH ',' APK ',' KRNA ',' HRGA ',' Promotions ',' Outstairs ',' Expensive ','"&amp;" Thank "" , 'Love', 'Salaaam', 'Binjaii', ""]")</f>
        <v>['Extraider', 'Card', 'Telkomsel', 'Application', 'Bad', 'Price', 'Promo', 'Available', 'Hnya', 'Official', 'Quality', 'Jaringn', ' SNGAT ',' LEGAT ',' SONGAT ',' SAILKN ',' MNGUNDUH ',' APK ',' KRNA ',' HRGA ',' Promotions ',' Outstairs ',' Expensive ',' Thank " , 'Love', 'Salaaam', 'Binjaii', "]</v>
      </c>
      <c r="D1113" s="3">
        <v>1.0</v>
      </c>
    </row>
    <row r="1114" ht="15.75" customHeight="1">
      <c r="A1114" s="1">
        <v>1189.0</v>
      </c>
      <c r="B1114" s="3" t="s">
        <v>1082</v>
      </c>
      <c r="C1114" s="3" t="str">
        <f>IFERROR(__xludf.DUMMYFUNCTION("GOOGLETRANSLATE(B1114,""id"",""en"")"),"['Cheap', 'fast']")</f>
        <v>['Cheap', 'fast']</v>
      </c>
      <c r="D1114" s="3">
        <v>5.0</v>
      </c>
    </row>
    <row r="1115" ht="15.75" customHeight="1">
      <c r="A1115" s="1">
        <v>1190.0</v>
      </c>
      <c r="B1115" s="3" t="s">
        <v>1083</v>
      </c>
      <c r="C1115" s="3" t="str">
        <f>IFERROR(__xludf.DUMMYFUNCTION("GOOGLETRANSLATE(B1115,""id"",""en"")"),"['Price', 'expensive', 'capacity', 'quota', '']")</f>
        <v>['Price', 'expensive', 'capacity', 'quota', '']</v>
      </c>
      <c r="D1115" s="3">
        <v>3.0</v>
      </c>
    </row>
    <row r="1116" ht="15.75" customHeight="1">
      <c r="A1116" s="1">
        <v>1191.0</v>
      </c>
      <c r="B1116" s="3" t="s">
        <v>1084</v>
      </c>
      <c r="C1116" s="3" t="str">
        <f>IFERROR(__xludf.DUMMYFUNCTION("GOOGLETRANSLATE(B1116,""id"",""en"")"),"['Buy', 'Package', 'Via', 'App', 'Parahhhh']")</f>
        <v>['Buy', 'Package', 'Via', 'App', 'Parahhhh']</v>
      </c>
      <c r="D1116" s="3">
        <v>1.0</v>
      </c>
    </row>
    <row r="1117" ht="15.75" customHeight="1">
      <c r="A1117" s="1">
        <v>1193.0</v>
      </c>
      <c r="B1117" s="3" t="s">
        <v>1085</v>
      </c>
      <c r="C1117" s="3" t="str">
        <f>IFERROR(__xludf.DUMMYFUNCTION("GOOGLETRANSLATE(B1117,""id"",""en"")"),"['application', 'MyTelkomsel', 'version', 'accessed', 'quota', 'internet', 'version', 'newest', 'right', 'run out', 'quota', 'apes',' ',' Must ',' Ribet ',' SMS ',' ']")</f>
        <v>['application', 'MyTelkomsel', 'version', 'accessed', 'quota', 'internet', 'version', 'newest', 'right', 'run out', 'quota', 'apes',' ',' Must ',' Ribet ',' SMS ',' ']</v>
      </c>
      <c r="D1117" s="3">
        <v>1.0</v>
      </c>
    </row>
    <row r="1118" ht="15.75" customHeight="1">
      <c r="A1118" s="1">
        <v>1194.0</v>
      </c>
      <c r="B1118" s="3" t="s">
        <v>1086</v>
      </c>
      <c r="C1118" s="3" t="str">
        <f>IFERROR(__xludf.DUMMYFUNCTION("GOOGLETRANSLATE(B1118,""id"",""en"")"),"['Network', 'good', 'improvement', 'server', 'specific', 'area', 'kau', 'reach']")</f>
        <v>['Network', 'good', 'improvement', 'server', 'specific', 'area', 'kau', 'reach']</v>
      </c>
      <c r="D1118" s="3">
        <v>5.0</v>
      </c>
    </row>
    <row r="1119" ht="15.75" customHeight="1">
      <c r="A1119" s="1">
        <v>1195.0</v>
      </c>
      <c r="B1119" s="3" t="s">
        <v>1087</v>
      </c>
      <c r="C1119" s="3" t="str">
        <f>IFERROR(__xludf.DUMMYFUNCTION("GOOGLETRANSLATE(B1119,""id"",""en"")"),"['Good', 'really', 'the application']")</f>
        <v>['Good', 'really', 'the application']</v>
      </c>
      <c r="D1119" s="3">
        <v>5.0</v>
      </c>
    </row>
    <row r="1120" ht="15.75" customHeight="1">
      <c r="A1120" s="1">
        <v>1196.0</v>
      </c>
      <c r="B1120" s="3" t="s">
        <v>1088</v>
      </c>
      <c r="C1120" s="3" t="str">
        <f>IFERROR(__xludf.DUMMYFUNCTION("GOOGLETRANSLATE(B1120,""id"",""en"")"),"['Satan', 'Telkomsel', 'Signal', 'Lost', 'Select', 'Location']")</f>
        <v>['Satan', 'Telkomsel', 'Signal', 'Lost', 'Select', 'Location']</v>
      </c>
      <c r="D1120" s="3">
        <v>1.0</v>
      </c>
    </row>
    <row r="1121" ht="15.75" customHeight="1">
      <c r="A1121" s="1">
        <v>1197.0</v>
      </c>
      <c r="B1121" s="3" t="s">
        <v>1089</v>
      </c>
      <c r="C1121" s="3" t="str">
        <f>IFERROR(__xludf.DUMMYFUNCTION("GOOGLETRANSLATE(B1121,""id"",""en"")"),"['Just', 'input', 'Exchange', 'Point', 'Click', 'Save', 'Point', 'DPT', 'Telkomsel', 'Transparent', 'Live', 'Live', ' "", 'Sia', 'Exchange', 'Point', 'Minimal', 'Point', 'Exchange', 'quota', 'stingy', 'quota', 'expensive', 'point', 'gift' , 'Tranparent', "&amp;"'Announcement', 'Web', '']")</f>
        <v>['Just', 'input', 'Exchange', 'Point', 'Click', 'Save', 'Point', 'DPT', 'Telkomsel', 'Transparent', 'Live', 'Live', ' ", 'Sia', 'Exchange', 'Point', 'Minimal', 'Point', 'Exchange', 'quota', 'stingy', 'quota', 'expensive', 'point', 'gift' , 'Tranparent', 'Announcement', 'Web', '']</v>
      </c>
      <c r="D1121" s="3">
        <v>3.0</v>
      </c>
    </row>
    <row r="1122" ht="15.75" customHeight="1">
      <c r="A1122" s="1">
        <v>1198.0</v>
      </c>
      <c r="B1122" s="3" t="s">
        <v>1090</v>
      </c>
      <c r="C1122" s="3" t="str">
        <f>IFERROR(__xludf.DUMMYFUNCTION("GOOGLETRANSLATE(B1122,""id"",""en"")"),"['Sad', 'really', 'getting', 'prankk', 'tross', 'please', 'fix', '']")</f>
        <v>['Sad', 'really', 'getting', 'prankk', 'tross', 'please', 'fix', '']</v>
      </c>
      <c r="D1122" s="3">
        <v>1.0</v>
      </c>
    </row>
    <row r="1123" ht="15.75" customHeight="1">
      <c r="A1123" s="1">
        <v>1199.0</v>
      </c>
      <c r="B1123" s="3" t="s">
        <v>1091</v>
      </c>
      <c r="C1123" s="3" t="str">
        <f>IFERROR(__xludf.DUMMYFUNCTION("GOOGLETRANSLATE(B1123,""id"",""en"")"),"['Error', 'trs', 'buy', 'quota']")</f>
        <v>['Error', 'trs', 'buy', 'quota']</v>
      </c>
      <c r="D1123" s="3">
        <v>2.0</v>
      </c>
    </row>
    <row r="1124" ht="15.75" customHeight="1">
      <c r="A1124" s="1">
        <v>1200.0</v>
      </c>
      <c r="B1124" s="3" t="s">
        <v>1092</v>
      </c>
      <c r="C1124" s="3" t="str">
        <f>IFERROR(__xludf.DUMMYFUNCTION("GOOGLETRANSLATE(B1124,""id"",""en"")"),"['transaction', 'do', 'succeed', 'kouta', 'enter', 'please', 'banru', 'folow', '']")</f>
        <v>['transaction', 'do', 'succeed', 'kouta', 'enter', 'please', 'banru', 'folow', '']</v>
      </c>
      <c r="D1124" s="3">
        <v>1.0</v>
      </c>
    </row>
    <row r="1125" ht="15.75" customHeight="1">
      <c r="A1125" s="1">
        <v>1201.0</v>
      </c>
      <c r="B1125" s="3" t="s">
        <v>1093</v>
      </c>
      <c r="C1125" s="3" t="str">
        <f>IFERROR(__xludf.DUMMYFUNCTION("GOOGLETRANSLATE(B1125,""id"",""en"")"),"['buy', 'package', 'internet', 'Telkomsel', 'ganguan', 'system', 'already', 'week', 'buy', 'package', 'tax', 'expensive', ' Ampunnn ',' Telkomsel ',' Bener ',' Ngak ',' community ',' price ',' package ',' expensive ',' quality ',' signal ',' slow ',' dila"&amp;"pidated ',' ampunn ' , 'pehhhhh']")</f>
        <v>['buy', 'package', 'internet', 'Telkomsel', 'ganguan', 'system', 'already', 'week', 'buy', 'package', 'tax', 'expensive', ' Ampunnn ',' Telkomsel ',' Bener ',' Ngak ',' community ',' price ',' package ',' expensive ',' quality ',' signal ',' slow ',' dilapidated ',' ampunn ' , 'pehhhhh']</v>
      </c>
      <c r="D1125" s="3">
        <v>1.0</v>
      </c>
    </row>
    <row r="1126" ht="15.75" customHeight="1">
      <c r="A1126" s="1">
        <v>1202.0</v>
      </c>
      <c r="B1126" s="3" t="s">
        <v>1094</v>
      </c>
      <c r="C1126" s="3" t="str">
        <f>IFERROR(__xludf.DUMMYFUNCTION("GOOGLETRANSLATE(B1126,""id"",""en"")"),"['BSA', 'buy', 'package', 'every time', 'click', 'buy', 'package', 'always', 'printed', 'error', 'system', 'please' Load ',' reset ',' Telkomsel ',' I'll, 'Leave', 'THN', 'Internet', 'Sya', 'reset']")</f>
        <v>['BSA', 'buy', 'package', 'every time', 'click', 'buy', 'package', 'always', 'printed', 'error', 'system', 'please' Load ',' reset ',' Telkomsel ',' I'll, 'Leave', 'THN', 'Internet', 'Sya', 'reset']</v>
      </c>
      <c r="D1126" s="3">
        <v>1.0</v>
      </c>
    </row>
    <row r="1127" ht="15.75" customHeight="1">
      <c r="A1127" s="1">
        <v>1203.0</v>
      </c>
      <c r="B1127" s="3" t="s">
        <v>1095</v>
      </c>
      <c r="C1127" s="3" t="str">
        <f>IFERROR(__xludf.DUMMYFUNCTION("GOOGLETRANSLATE(B1127,""id"",""en"")"),"['Level', 'Network', 'Internet', 'Pelokeok', 'Village']")</f>
        <v>['Level', 'Network', 'Internet', 'Pelokeok', 'Village']</v>
      </c>
      <c r="D1127" s="3">
        <v>5.0</v>
      </c>
    </row>
    <row r="1128" ht="15.75" customHeight="1">
      <c r="A1128" s="1">
        <v>1204.0</v>
      </c>
      <c r="B1128" s="3" t="s">
        <v>1096</v>
      </c>
      <c r="C1128" s="3" t="str">
        <f>IFERROR(__xludf.DUMMYFUNCTION("GOOGLETRANSLATE(B1128,""id"",""en"")"),"['pulse', 'byk']")</f>
        <v>['pulse', 'byk']</v>
      </c>
      <c r="D1128" s="3">
        <v>5.0</v>
      </c>
    </row>
    <row r="1129" ht="15.75" customHeight="1">
      <c r="A1129" s="1">
        <v>1205.0</v>
      </c>
      <c r="B1129" s="3" t="s">
        <v>1097</v>
      </c>
      <c r="C1129" s="3" t="str">
        <f>IFERROR(__xludf.DUMMYFUNCTION("GOOGLETRANSLATE(B1129,""id"",""en"")"),"['BANGJE', 'Credit', 'I', 'Cutting', 'Use', 'WiFi', 'Buy', 'Package', 'Combo', 'Sakti', 'Disruption', 'Package', ' No ',' pulse ',' cut ']")</f>
        <v>['BANGJE', 'Credit', 'I', 'Cutting', 'Use', 'WiFi', 'Buy', 'Package', 'Combo', 'Sakti', 'Disruption', 'Package', ' No ',' pulse ',' cut ']</v>
      </c>
      <c r="D1129" s="3">
        <v>1.0</v>
      </c>
    </row>
    <row r="1130" ht="15.75" customHeight="1">
      <c r="A1130" s="1">
        <v>1206.0</v>
      </c>
      <c r="B1130" s="3" t="s">
        <v>1098</v>
      </c>
      <c r="C1130" s="3" t="str">
        <f>IFERROR(__xludf.DUMMYFUNCTION("GOOGLETRANSLATE(B1130,""id"",""en"")"),"['Sorry', 'bead', 'buy', 'package', 'difficult', 'reload', 'trs', 'gmna', 'solution', 'yaaa', ""]")</f>
        <v>['Sorry', 'bead', 'buy', 'package', 'difficult', 'reload', 'trs', 'gmna', 'solution', 'yaaa', "]</v>
      </c>
      <c r="D1130" s="3">
        <v>2.0</v>
      </c>
    </row>
    <row r="1131" ht="15.75" customHeight="1">
      <c r="A1131" s="1">
        <v>1207.0</v>
      </c>
      <c r="B1131" s="3" t="s">
        <v>1099</v>
      </c>
      <c r="C1131" s="3" t="str">
        <f>IFERROR(__xludf.DUMMYFUNCTION("GOOGLETRANSLATE(B1131,""id"",""en"")"),"['Signal', 'ugly', 'please', 'fix', '']")</f>
        <v>['Signal', 'ugly', 'please', 'fix', '']</v>
      </c>
      <c r="D1131" s="3">
        <v>4.0</v>
      </c>
    </row>
    <row r="1132" ht="15.75" customHeight="1">
      <c r="A1132" s="1">
        <v>1208.0</v>
      </c>
      <c r="B1132" s="3" t="s">
        <v>1100</v>
      </c>
      <c r="C1132" s="3" t="str">
        <f>IFERROR(__xludf.DUMMYFUNCTION("GOOGLETRANSLATE(B1132,""id"",""en"")"),"['buy', 'package', 'run out', 'hour', 'how', 'Telkom', ""]")</f>
        <v>['buy', 'package', 'run out', 'hour', 'how', 'Telkom', "]</v>
      </c>
      <c r="D1132" s="3">
        <v>3.0</v>
      </c>
    </row>
    <row r="1133" ht="15.75" customHeight="1">
      <c r="A1133" s="1">
        <v>1209.0</v>
      </c>
      <c r="B1133" s="3" t="s">
        <v>1101</v>
      </c>
      <c r="C1133" s="3" t="str">
        <f>IFERROR(__xludf.DUMMYFUNCTION("GOOGLETRANSLATE(B1133,""id"",""en"")"),"['fun', 'info', 'update', 'promo', 'interesting']")</f>
        <v>['fun', 'info', 'update', 'promo', 'interesting']</v>
      </c>
      <c r="D1133" s="3">
        <v>5.0</v>
      </c>
    </row>
    <row r="1134" ht="15.75" customHeight="1">
      <c r="A1134" s="1">
        <v>1210.0</v>
      </c>
      <c r="B1134" s="3" t="s">
        <v>1102</v>
      </c>
      <c r="C1134" s="3" t="str">
        <f>IFERROR(__xludf.DUMMYFUNCTION("GOOGLETRANSLATE(B1134,""id"",""en"")"),"['Telkomsel', 'easy', 'fast']")</f>
        <v>['Telkomsel', 'easy', 'fast']</v>
      </c>
      <c r="D1134" s="3">
        <v>5.0</v>
      </c>
    </row>
    <row r="1135" ht="15.75" customHeight="1">
      <c r="A1135" s="1">
        <v>1211.0</v>
      </c>
      <c r="B1135" s="3" t="s">
        <v>424</v>
      </c>
      <c r="C1135" s="3" t="str">
        <f>IFERROR(__xludf.DUMMYFUNCTION("GOOGLETRANSLATE(B1135,""id"",""en"")"),"['fast']")</f>
        <v>['fast']</v>
      </c>
      <c r="D1135" s="3">
        <v>5.0</v>
      </c>
    </row>
    <row r="1136" ht="15.75" customHeight="1">
      <c r="A1136" s="1">
        <v>1212.0</v>
      </c>
      <c r="B1136" s="3" t="s">
        <v>1103</v>
      </c>
      <c r="C1136" s="3" t="str">
        <f>IFERROR(__xludf.DUMMYFUNCTION("GOOGLETRANSLATE(B1136,""id"",""en"")"),"['Practical', 'Ribet']")</f>
        <v>['Practical', 'Ribet']</v>
      </c>
      <c r="D1136" s="3">
        <v>5.0</v>
      </c>
    </row>
    <row r="1137" ht="15.75" customHeight="1">
      <c r="A1137" s="1">
        <v>1213.0</v>
      </c>
      <c r="B1137" s="3" t="s">
        <v>1104</v>
      </c>
      <c r="C1137" s="3" t="str">
        <f>IFERROR(__xludf.DUMMYFUNCTION("GOOGLETRANSLATE(B1137,""id"",""en"")"),"['Buy', 'Combo', 'Sakti', 'Network', 'Leet', '']")</f>
        <v>['Buy', 'Combo', 'Sakti', 'Network', 'Leet', '']</v>
      </c>
      <c r="D1137" s="3">
        <v>1.0</v>
      </c>
    </row>
    <row r="1138" ht="15.75" customHeight="1">
      <c r="A1138" s="1">
        <v>1214.0</v>
      </c>
      <c r="B1138" s="3" t="s">
        <v>1105</v>
      </c>
      <c r="C1138" s="3" t="str">
        <f>IFERROR(__xludf.DUMMYFUNCTION("GOOGLETRANSLATE(B1138,""id"",""en"")"),"['Whatever', 'Buy', 'Package', 'Loading']")</f>
        <v>['Whatever', 'Buy', 'Package', 'Loading']</v>
      </c>
      <c r="D1138" s="3">
        <v>1.0</v>
      </c>
    </row>
    <row r="1139" ht="15.75" customHeight="1">
      <c r="A1139" s="1">
        <v>1215.0</v>
      </c>
      <c r="B1139" s="3" t="s">
        <v>1106</v>
      </c>
      <c r="C1139" s="3" t="str">
        <f>IFERROR(__xludf.DUMMYFUNCTION("GOOGLETRANSLATE(B1139,""id"",""en"")"),"['application', 'idiot', 'buy', 'quota', 'gopay', 'already', 'cheek', 'gopay', 'quota', 'enter', 'enter', 'until' Sekareng ',' chat ',' customer ',' service ',' bot ',' application ',' pulp ']")</f>
        <v>['application', 'idiot', 'buy', 'quota', 'gopay', 'already', 'cheek', 'gopay', 'quota', 'enter', 'enter', 'until' Sekareng ',' chat ',' customer ',' service ',' bot ',' application ',' pulp ']</v>
      </c>
      <c r="D1139" s="3">
        <v>1.0</v>
      </c>
    </row>
    <row r="1140" ht="15.75" customHeight="1">
      <c r="A1140" s="1">
        <v>1216.0</v>
      </c>
      <c r="B1140" s="3" t="s">
        <v>1107</v>
      </c>
      <c r="C1140" s="3" t="str">
        <f>IFERROR(__xludf.DUMMYFUNCTION("GOOGLETRANSLATE(B1140,""id"",""en"")"),"['application', 'opened', 'sucked', 'quota', 'internet', 'spt', 'download', 'hrs',' force ',' close ',' bnr ',' stop ',' ']")</f>
        <v>['application', 'opened', 'sucked', 'quota', 'internet', 'spt', 'download', 'hrs',' force ',' close ',' bnr ',' stop ',' ']</v>
      </c>
      <c r="D1140" s="3">
        <v>2.0</v>
      </c>
    </row>
    <row r="1141" ht="15.75" customHeight="1">
      <c r="A1141" s="1">
        <v>1218.0</v>
      </c>
      <c r="B1141" s="3" t="s">
        <v>1108</v>
      </c>
      <c r="C1141" s="3" t="str">
        <f>IFERROR(__xludf.DUMMYFUNCTION("GOOGLETRANSLATE(B1141,""id"",""en"")"),"['quota', 'omg', 'bought']")</f>
        <v>['quota', 'omg', 'bought']</v>
      </c>
      <c r="D1141" s="3">
        <v>3.0</v>
      </c>
    </row>
    <row r="1142" ht="15.75" customHeight="1">
      <c r="A1142" s="1">
        <v>1219.0</v>
      </c>
      <c r="B1142" s="3" t="s">
        <v>1109</v>
      </c>
      <c r="C1142" s="3" t="str">
        <f>IFERROR(__xludf.DUMMYFUNCTION("GOOGLETRANSLATE(B1142,""id"",""en"")"),"['Telkomsel', 'signal', 'powerful', 'bales',' chat ',' signal ',' nyesel ',' fill ',' quota ',' expensive ',' expensive ',' signal ',' Leetnya ',' Snail ',' ']")</f>
        <v>['Telkomsel', 'signal', 'powerful', 'bales',' chat ',' signal ',' nyesel ',' fill ',' quota ',' expensive ',' expensive ',' signal ',' Leetnya ',' Snail ',' ']</v>
      </c>
      <c r="D1142" s="3">
        <v>1.0</v>
      </c>
    </row>
    <row r="1143" ht="15.75" customHeight="1">
      <c r="A1143" s="1">
        <v>1220.0</v>
      </c>
      <c r="B1143" s="3" t="s">
        <v>1110</v>
      </c>
      <c r="C1143" s="3" t="str">
        <f>IFERROR(__xludf.DUMMYFUNCTION("GOOGLETRANSLATE(B1143,""id"",""en"")"),"['bad network']")</f>
        <v>['bad network']</v>
      </c>
      <c r="D1143" s="3">
        <v>3.0</v>
      </c>
    </row>
    <row r="1144" ht="15.75" customHeight="1">
      <c r="A1144" s="1">
        <v>1221.0</v>
      </c>
      <c r="B1144" s="3" t="s">
        <v>1111</v>
      </c>
      <c r="C1144" s="3" t="str">
        <f>IFERROR(__xludf.DUMMYFUNCTION("GOOGLETRANSLATE(B1144,""id"",""en"")"),"['woi', 'prasaan', 'buy', 'pulse', 'already', 'abis',' uda ',' package ',' writing ',' sorry ',' times', 'plis',' Please, 'right', 'Student', 'Online', 'Trgrussy', '']")</f>
        <v>['woi', 'prasaan', 'buy', 'pulse', 'already', 'abis',' uda ',' package ',' writing ',' sorry ',' times', 'plis',' Please, 'right', 'Student', 'Online', 'Trgrussy', '']</v>
      </c>
      <c r="D1144" s="3">
        <v>1.0</v>
      </c>
    </row>
    <row r="1145" ht="15.75" customHeight="1">
      <c r="A1145" s="1">
        <v>1222.0</v>
      </c>
      <c r="B1145" s="3" t="s">
        <v>1112</v>
      </c>
      <c r="C1145" s="3" t="str">
        <f>IFERROR(__xludf.DUMMYFUNCTION("GOOGLETRANSLATE(B1145,""id"",""en"")"),"['Satisfied', 'Telkom', 'Network', 'Bad', 'Play', 'Game', 'Ping', 'Red', 'Already', 'That's',' Really ',' Network ',' whatever', '']")</f>
        <v>['Satisfied', 'Telkom', 'Network', 'Bad', 'Play', 'Game', 'Ping', 'Red', 'Already', 'That's',' Really ',' Network ',' whatever', '']</v>
      </c>
      <c r="D1145" s="3">
        <v>1.0</v>
      </c>
    </row>
    <row r="1146" ht="15.75" customHeight="1">
      <c r="A1146" s="1">
        <v>1223.0</v>
      </c>
      <c r="B1146" s="3" t="s">
        <v>1113</v>
      </c>
      <c r="C1146" s="3" t="str">
        <f>IFERROR(__xludf.DUMMYFUNCTION("GOOGLETRANSLATE(B1146,""id"",""en"")"),"['Network', 'stable', 'provider', 'Indonesia', '']")</f>
        <v>['Network', 'stable', 'provider', 'Indonesia', '']</v>
      </c>
      <c r="D1146" s="3">
        <v>5.0</v>
      </c>
    </row>
    <row r="1147" ht="15.75" customHeight="1">
      <c r="A1147" s="1">
        <v>1224.0</v>
      </c>
      <c r="B1147" s="3" t="s">
        <v>1114</v>
      </c>
      <c r="C1147" s="3" t="str">
        <f>IFERROR(__xludf.DUMMYFUNCTION("GOOGLETRANSLATE(B1147,""id"",""en"")"),"['The network', 'internet', 'like', 'ngilank', 'open', 'application', 'mytelkomsel', 'kenceng', '']")</f>
        <v>['The network', 'internet', 'like', 'ngilank', 'open', 'application', 'mytelkomsel', 'kenceng', '']</v>
      </c>
      <c r="D1147" s="3">
        <v>5.0</v>
      </c>
    </row>
    <row r="1148" ht="15.75" customHeight="1">
      <c r="A1148" s="1">
        <v>1225.0</v>
      </c>
      <c r="B1148" s="3" t="s">
        <v>1115</v>
      </c>
      <c r="C1148" s="3" t="str">
        <f>IFERROR(__xludf.DUMMYFUNCTION("GOOGLETRANSLATE(B1148,""id"",""en"")"),"['application', 'garbage', 'Reedem', 'Point', 'complicated', 'lock', 'pulse', 'quota', 'run out', 'pulse', 'direct', 'sucked', ' Rarely ',' solution ',' provider ',' most expensive ',' management ',' bad ',' poor ', ""]")</f>
        <v>['application', 'garbage', 'Reedem', 'Point', 'complicated', 'lock', 'pulse', 'quota', 'run out', 'pulse', 'direct', 'sucked', ' Rarely ',' solution ',' provider ',' most expensive ',' management ',' bad ',' poor ', "]</v>
      </c>
      <c r="D1148" s="3">
        <v>1.0</v>
      </c>
    </row>
    <row r="1149" ht="15.75" customHeight="1">
      <c r="A1149" s="1">
        <v>1226.0</v>
      </c>
      <c r="B1149" s="3" t="s">
        <v>1116</v>
      </c>
      <c r="C1149" s="3" t="str">
        <f>IFERROR(__xludf.DUMMYFUNCTION("GOOGLETRANSLATE(B1149,""id"",""en"")"),"['Sprti', 'BNYK', 'Different', 'Promo', 'Reality', '']")</f>
        <v>['Sprti', 'BNYK', 'Different', 'Promo', 'Reality', '']</v>
      </c>
      <c r="D1149" s="3">
        <v>1.0</v>
      </c>
    </row>
    <row r="1150" ht="15.75" customHeight="1">
      <c r="A1150" s="1">
        <v>1227.0</v>
      </c>
      <c r="B1150" s="3" t="s">
        <v>1117</v>
      </c>
      <c r="C1150" s="3" t="str">
        <f>IFERROR(__xludf.DUMMYFUNCTION("GOOGLETRANSLATE(B1150,""id"",""en"")"),"['Telkomsel', 'download', 'application', 'Hbes',' donlot ',' quota ',' ngk ',' hrs', 'donlot', 'lgi', 'pig', 'maker', ' Application ',' Ngabil ',' Data ',' Byk ',' Donlot ']")</f>
        <v>['Telkomsel', 'download', 'application', 'Hbes',' donlot ',' quota ',' ngk ',' hrs', 'donlot', 'lgi', 'pig', 'maker', ' Application ',' Ngabil ',' Data ',' Byk ',' Donlot ']</v>
      </c>
      <c r="D1150" s="3">
        <v>1.0</v>
      </c>
    </row>
    <row r="1151" ht="15.75" customHeight="1">
      <c r="A1151" s="1">
        <v>1228.0</v>
      </c>
      <c r="B1151" s="3" t="s">
        <v>1118</v>
      </c>
      <c r="C1151" s="3" t="str">
        <f>IFERROR(__xludf.DUMMYFUNCTION("GOOGLETRANSLATE(B1151,""id"",""en"")"),"['Application', 'Purchase', 'Package', 'Internet', 'Error', '']")</f>
        <v>['Application', 'Purchase', 'Package', 'Internet', 'Error', '']</v>
      </c>
      <c r="D1151" s="3">
        <v>1.0</v>
      </c>
    </row>
    <row r="1152" ht="15.75" customHeight="1">
      <c r="A1152" s="1">
        <v>1229.0</v>
      </c>
      <c r="B1152" s="3" t="s">
        <v>1119</v>
      </c>
      <c r="C1152" s="3" t="str">
        <f>IFERROR(__xludf.DUMMYFUNCTION("GOOGLETRANSLATE(B1152,""id"",""en"")"),"['Parahh', 'just', 'SUCCESS', 'Buy', 'Package', 'Internet', 'Pay', 'Link', 'Package', 'Internet', 'Belom', 'Active', ' Until ',' Telkomsel ']")</f>
        <v>['Parahh', 'just', 'SUCCESS', 'Buy', 'Package', 'Internet', 'Pay', 'Link', 'Package', 'Internet', 'Belom', 'Active', ' Until ',' Telkomsel ']</v>
      </c>
      <c r="D1152" s="3">
        <v>1.0</v>
      </c>
    </row>
    <row r="1153" ht="15.75" customHeight="1">
      <c r="A1153" s="1">
        <v>1230.0</v>
      </c>
      <c r="B1153" s="3" t="s">
        <v>1120</v>
      </c>
      <c r="C1153" s="3" t="str">
        <f>IFERROR(__xludf.DUMMYFUNCTION("GOOGLETRANSLATE(B1153,""id"",""en"")"),"['cave', 'buy', 'package', 'error', 'system', 'mulu', ""]")</f>
        <v>['cave', 'buy', 'package', 'error', 'system', 'mulu', "]</v>
      </c>
      <c r="D1153" s="3">
        <v>3.0</v>
      </c>
    </row>
    <row r="1154" ht="15.75" customHeight="1">
      <c r="A1154" s="1">
        <v>1231.0</v>
      </c>
      <c r="B1154" s="3" t="s">
        <v>1121</v>
      </c>
      <c r="C1154" s="3" t="str">
        <f>IFERROR(__xludf.DUMMYFUNCTION("GOOGLETRANSLATE(B1154,""id"",""en"")"),"['Telkomsel', 'Ngeapain', 'gave', 'Point', 'Exchange', 'Point', 'Banyk', 'Exchange', 'Vocer', 'GB', 'Failed', 'Point', ' Sedng ',' Nukar ',' just ',' Need ',' Point ',' ilang ',' Customer ',' Woi ',' Nipu ',' Mulu ']")</f>
        <v>['Telkomsel', 'Ngeapain', 'gave', 'Point', 'Exchange', 'Point', 'Banyk', 'Exchange', 'Vocer', 'GB', 'Failed', 'Point', ' Sedng ',' Nukar ',' just ',' Need ',' Point ',' ilang ',' Customer ',' Woi ',' Nipu ',' Mulu ']</v>
      </c>
      <c r="D1154" s="3">
        <v>1.0</v>
      </c>
    </row>
    <row r="1155" ht="15.75" customHeight="1">
      <c r="A1155" s="1">
        <v>1232.0</v>
      </c>
      <c r="B1155" s="3" t="s">
        <v>1122</v>
      </c>
      <c r="C1155" s="3" t="str">
        <f>IFERROR(__xludf.DUMMYFUNCTION("GOOGLETRANSLATE(B1155,""id"",""en"")"),"['lost', 'signal', 'right', 'online', '']")</f>
        <v>['lost', 'signal', 'right', 'online', '']</v>
      </c>
      <c r="D1155" s="3">
        <v>1.0</v>
      </c>
    </row>
    <row r="1156" ht="15.75" customHeight="1">
      <c r="A1156" s="1">
        <v>1233.0</v>
      </c>
      <c r="B1156" s="3" t="s">
        <v>1123</v>
      </c>
      <c r="C1156" s="3" t="str">
        <f>IFERROR(__xludf.DUMMYFUNCTION("GOOGLETRANSLATE(B1156,""id"",""en"")"),"['Steady', 'Anyway']")</f>
        <v>['Steady', 'Anyway']</v>
      </c>
      <c r="D1156" s="3">
        <v>5.0</v>
      </c>
    </row>
    <row r="1157" ht="15.75" customHeight="1">
      <c r="A1157" s="1">
        <v>1234.0</v>
      </c>
      <c r="B1157" s="3" t="s">
        <v>1124</v>
      </c>
      <c r="C1157" s="3" t="str">
        <f>IFERROR(__xludf.DUMMYFUNCTION("GOOGLETRANSLATE(B1157,""id"",""en"")"),"['contents', 'package', 'balance', 'ovo', 'truncated', 'enter', 'enter', 'chat', 'veronica', 'machine']")</f>
        <v>['contents', 'package', 'balance', 'ovo', 'truncated', 'enter', 'enter', 'chat', 'veronica', 'machine']</v>
      </c>
      <c r="D1157" s="3">
        <v>1.0</v>
      </c>
    </row>
    <row r="1158" ht="15.75" customHeight="1">
      <c r="A1158" s="1">
        <v>1235.0</v>
      </c>
      <c r="B1158" s="3" t="s">
        <v>137</v>
      </c>
      <c r="C1158" s="3" t="str">
        <f>IFERROR(__xludf.DUMMYFUNCTION("GOOGLETRANSLATE(B1158,""id"",""en"")"),"Of course")</f>
        <v>Of course</v>
      </c>
      <c r="D1158" s="3">
        <v>5.0</v>
      </c>
    </row>
    <row r="1159" ht="15.75" customHeight="1">
      <c r="A1159" s="1">
        <v>1236.0</v>
      </c>
      <c r="B1159" s="3" t="s">
        <v>925</v>
      </c>
      <c r="C1159" s="3" t="str">
        <f>IFERROR(__xludf.DUMMYFUNCTION("GOOGLETRANSLATE(B1159,""id"",""en"")"),"['Application', '']")</f>
        <v>['Application', '']</v>
      </c>
      <c r="D1159" s="3">
        <v>5.0</v>
      </c>
    </row>
    <row r="1160" ht="15.75" customHeight="1">
      <c r="A1160" s="1">
        <v>1237.0</v>
      </c>
      <c r="B1160" s="3" t="s">
        <v>1125</v>
      </c>
      <c r="C1160" s="3" t="str">
        <f>IFERROR(__xludf.DUMMYFUNCTION("GOOGLETRANSLATE(B1160,""id"",""en"")"),"['Application', 'Useful', 'Buy', 'Package', 'Balance', 'Cut', 'Package', 'Enter', 'Wait', 'Day']")</f>
        <v>['Application', 'Useful', 'Buy', 'Package', 'Balance', 'Cut', 'Package', 'Enter', 'Wait', 'Day']</v>
      </c>
      <c r="D1160" s="3">
        <v>1.0</v>
      </c>
    </row>
    <row r="1161" ht="15.75" customHeight="1">
      <c r="A1161" s="1">
        <v>1238.0</v>
      </c>
      <c r="B1161" s="3" t="s">
        <v>1126</v>
      </c>
      <c r="C1161" s="3" t="str">
        <f>IFERROR(__xludf.DUMMYFUNCTION("GOOGLETRANSLATE(B1161,""id"",""en"")"),"['Package', 'Combo', 'Sakti', 'Max', 'Access']")</f>
        <v>['Package', 'Combo', 'Sakti', 'Max', 'Access']</v>
      </c>
      <c r="D1161" s="3">
        <v>1.0</v>
      </c>
    </row>
    <row r="1162" ht="15.75" customHeight="1">
      <c r="A1162" s="1">
        <v>1239.0</v>
      </c>
      <c r="B1162" s="3" t="s">
        <v>1127</v>
      </c>
      <c r="C1162" s="3" t="str">
        <f>IFERROR(__xludf.DUMMYFUNCTION("GOOGLETRANSLATE(B1162,""id"",""en"")"),"['buy', 'Package', 'MyTelkomsel', 'Pay', 'Use', 'Linkaja', 'Saldo', 'Cutting', 'Package', 'Data', 'Enter', 'Disappointed', ' Need ',' connection ',' internet ',' contact ',' email ',' action ',' balance ',' return ',' purchase ',' reset ', ""]")</f>
        <v>['buy', 'Package', 'MyTelkomsel', 'Pay', 'Use', 'Linkaja', 'Saldo', 'Cutting', 'Package', 'Data', 'Enter', 'Disappointed', ' Need ',' connection ',' internet ',' contact ',' email ',' action ',' balance ',' return ',' purchase ',' reset ', "]</v>
      </c>
      <c r="D1162" s="3">
        <v>1.0</v>
      </c>
    </row>
    <row r="1163" ht="15.75" customHeight="1">
      <c r="A1163" s="1">
        <v>1240.0</v>
      </c>
      <c r="B1163" s="3" t="s">
        <v>1128</v>
      </c>
      <c r="C1163" s="3" t="str">
        <f>IFERROR(__xludf.DUMMYFUNCTION("GOOGLETRANSLATE(B1163,""id"",""en"")"),"['bad', 'error', 'purchase', 'package', 'internet', 'smooth', 'service', 'menu', 'application', 'function']")</f>
        <v>['bad', 'error', 'purchase', 'package', 'internet', 'smooth', 'service', 'menu', 'application', 'function']</v>
      </c>
      <c r="D1163" s="3">
        <v>1.0</v>
      </c>
    </row>
    <row r="1164" ht="15.75" customHeight="1">
      <c r="A1164" s="1">
        <v>1241.0</v>
      </c>
      <c r="B1164" s="3" t="s">
        <v>1129</v>
      </c>
      <c r="C1164" s="3" t="str">
        <f>IFERROR(__xludf.DUMMYFUNCTION("GOOGLETRANSLATE(B1164,""id"",""en"")"),"['Disappointed', 'Application', 'Buy', 'Package', 'Application', 'Taik']")</f>
        <v>['Disappointed', 'Application', 'Buy', 'Package', 'Application', 'Taik']</v>
      </c>
      <c r="D1164" s="3">
        <v>1.0</v>
      </c>
    </row>
    <row r="1165" ht="15.75" customHeight="1">
      <c r="A1165" s="1">
        <v>1242.0</v>
      </c>
      <c r="B1165" s="3" t="s">
        <v>1130</v>
      </c>
      <c r="C1165" s="3" t="str">
        <f>IFERROR(__xludf.DUMMYFUNCTION("GOOGLETRANSLATE(B1165,""id"",""en"")"),"['LEG', 'Responding', 'Buy', 'Package', 'Internet', 'Enter', 'Credit', 'Cut "",' Expensive ',' Doang ',' TPI ',' Performance ',' Leet ']")</f>
        <v>['LEG', 'Responding', 'Buy', 'Package', 'Internet', 'Enter', 'Credit', 'Cut ",' Expensive ',' Doang ',' TPI ',' Performance ',' Leet ']</v>
      </c>
      <c r="D1165" s="3">
        <v>1.0</v>
      </c>
    </row>
    <row r="1166" ht="15.75" customHeight="1">
      <c r="A1166" s="1">
        <v>1243.0</v>
      </c>
      <c r="B1166" s="3" t="s">
        <v>1131</v>
      </c>
      <c r="C1166" s="3" t="str">
        <f>IFERROR(__xludf.DUMMYFUNCTION("GOOGLETRANSLATE(B1166,""id"",""en"")"),"['Cool', 'Prizes', 'Fantastic', 'Bangeet', '']")</f>
        <v>['Cool', 'Prizes', 'Fantastic', 'Bangeet', '']</v>
      </c>
      <c r="D1166" s="3">
        <v>5.0</v>
      </c>
    </row>
    <row r="1167" ht="15.75" customHeight="1">
      <c r="A1167" s="1">
        <v>1244.0</v>
      </c>
      <c r="B1167" s="3" t="s">
        <v>1132</v>
      </c>
      <c r="C1167" s="3" t="str">
        <f>IFERROR(__xludf.DUMMYFUNCTION("GOOGLETRANSLATE(B1167,""id"",""en"")"),"['buy', 'package', 'error', 'system']")</f>
        <v>['buy', 'package', 'error', 'system']</v>
      </c>
      <c r="D1167" s="3">
        <v>1.0</v>
      </c>
    </row>
    <row r="1168" ht="15.75" customHeight="1">
      <c r="A1168" s="1">
        <v>1245.0</v>
      </c>
      <c r="B1168" s="3" t="s">
        <v>1133</v>
      </c>
      <c r="C1168" s="3" t="str">
        <f>IFERROR(__xludf.DUMMYFUNCTION("GOOGLETRANSLATE(B1168,""id"",""en"")"),"['Sorry', 'min', 'disappointed', 'really', 'already', 'app', 'open', 'just', 'input', 'min', 'useful', 'fix', ' the app ',' type ',' constrained ',' anything ',' pecuma ',' really ',' fante ',' gorge ',' promo ',' app ',' opened ',' restat ',' what's' , '"&amp;"Sorry', 'Min', 'considered', 'Ignore', 'Customer', 'Telkomsel', 'MyTelkomsel', 'Thank', 'Love']")</f>
        <v>['Sorry', 'min', 'disappointed', 'really', 'already', 'app', 'open', 'just', 'input', 'min', 'useful', 'fix', ' the app ',' type ',' constrained ',' anything ',' pecuma ',' really ',' fante ',' gorge ',' promo ',' app ',' opened ',' restat ',' what's' , 'Sorry', 'Min', 'considered', 'Ignore', 'Customer', 'Telkomsel', 'MyTelkomsel', 'Thank', 'Love']</v>
      </c>
      <c r="D1168" s="3">
        <v>1.0</v>
      </c>
    </row>
    <row r="1169" ht="15.75" customHeight="1">
      <c r="A1169" s="1">
        <v>1246.0</v>
      </c>
      <c r="B1169" s="3" t="s">
        <v>1134</v>
      </c>
      <c r="C1169" s="3" t="str">
        <f>IFERROR(__xludf.DUMMYFUNCTION("GOOGLETRANSLATE(B1169,""id"",""en"")"),"['Wow', 'Application', 'Good', '']")</f>
        <v>['Wow', 'Application', 'Good', '']</v>
      </c>
      <c r="D1169" s="3">
        <v>5.0</v>
      </c>
    </row>
    <row r="1170" ht="15.75" customHeight="1">
      <c r="A1170" s="1">
        <v>1247.0</v>
      </c>
      <c r="B1170" s="3" t="s">
        <v>1135</v>
      </c>
      <c r="C1170" s="3" t="str">
        <f>IFERROR(__xludf.DUMMYFUNCTION("GOOGLETRANSLATE(B1170,""id"",""en"")"),"['Good', 'Increase', 'Quality', 'signal', '']")</f>
        <v>['Good', 'Increase', 'Quality', 'signal', '']</v>
      </c>
      <c r="D1170" s="3">
        <v>5.0</v>
      </c>
    </row>
    <row r="1171" ht="15.75" customHeight="1">
      <c r="A1171" s="1">
        <v>1248.0</v>
      </c>
      <c r="B1171" s="3" t="s">
        <v>1136</v>
      </c>
      <c r="C1171" s="3" t="str">
        <f>IFERROR(__xludf.DUMMYFUNCTION("GOOGLETRANSLATE(B1171,""id"",""en"")"),"['buy', 'pulse', 'pay', 'appears', 'message', 'sorry', 'error', 'system', 'repeated', 'msh', 'solution', ""]")</f>
        <v>['buy', 'pulse', 'pay', 'appears', 'message', 'sorry', 'error', 'system', 'repeated', 'msh', 'solution', "]</v>
      </c>
      <c r="D1171" s="3">
        <v>4.0</v>
      </c>
    </row>
    <row r="1172" ht="15.75" customHeight="1">
      <c r="A1172" s="1">
        <v>1249.0</v>
      </c>
      <c r="B1172" s="3" t="s">
        <v>1137</v>
      </c>
      <c r="C1172" s="3" t="str">
        <f>IFERROR(__xludf.DUMMYFUNCTION("GOOGLETRANSLATE(B1172,""id"",""en"")"),"['Help', 'provide', 'choice', 'purchase', 'package', 'promo']")</f>
        <v>['Help', 'provide', 'choice', 'purchase', 'package', 'promo']</v>
      </c>
      <c r="D1172" s="3">
        <v>5.0</v>
      </c>
    </row>
    <row r="1173" ht="15.75" customHeight="1">
      <c r="A1173" s="1">
        <v>1250.0</v>
      </c>
      <c r="B1173" s="3" t="s">
        <v>122</v>
      </c>
      <c r="C1173" s="3" t="str">
        <f>IFERROR(__xludf.DUMMYFUNCTION("GOOGLETRANSLATE(B1173,""id"",""en"")"),"['easy']")</f>
        <v>['easy']</v>
      </c>
      <c r="D1173" s="3">
        <v>5.0</v>
      </c>
    </row>
    <row r="1174" ht="15.75" customHeight="1">
      <c r="A1174" s="1">
        <v>1251.0</v>
      </c>
      <c r="B1174" s="3" t="s">
        <v>1138</v>
      </c>
      <c r="C1174" s="3" t="str">
        <f>IFERROR(__xludf.DUMMYFUNCTION("GOOGLETRANSLATE(B1174,""id"",""en"")"),"['APK', 'good', 'easy', 'TPI', 'obstacles', 'link']")</f>
        <v>['APK', 'good', 'easy', 'TPI', 'obstacles', 'link']</v>
      </c>
      <c r="D1174" s="3">
        <v>5.0</v>
      </c>
    </row>
    <row r="1175" ht="15.75" customHeight="1">
      <c r="A1175" s="1">
        <v>1252.0</v>
      </c>
      <c r="B1175" s="3" t="s">
        <v>1139</v>
      </c>
      <c r="C1175" s="3" t="str">
        <f>IFERROR(__xludf.DUMMYFUNCTION("GOOGLETRANSLATE(B1175,""id"",""en"")"),"['Buy', 'Package', 'Internet', 'Combo', 'Sakti', 'GB', '']")</f>
        <v>['Buy', 'Package', 'Internet', 'Combo', 'Sakti', 'GB', '']</v>
      </c>
      <c r="D1175" s="3">
        <v>2.0</v>
      </c>
    </row>
    <row r="1176" ht="15.75" customHeight="1">
      <c r="A1176" s="1">
        <v>1253.0</v>
      </c>
      <c r="B1176" s="3" t="s">
        <v>1140</v>
      </c>
      <c r="C1176" s="3" t="str">
        <f>IFERROR(__xludf.DUMMYFUNCTION("GOOGLETRANSLATE(B1176,""id"",""en"")"),"['Price', 'expensive', 'quality', 'network', 'abal', ""]")</f>
        <v>['Price', 'expensive', 'quality', 'network', 'abal', "]</v>
      </c>
      <c r="D1176" s="3">
        <v>1.0</v>
      </c>
    </row>
    <row r="1177" ht="15.75" customHeight="1">
      <c r="A1177" s="1">
        <v>1254.0</v>
      </c>
      <c r="B1177" s="3" t="s">
        <v>1141</v>
      </c>
      <c r="C1177" s="3" t="str">
        <f>IFERROR(__xludf.DUMMYFUNCTION("GOOGLETRANSLATE(B1177,""id"",""en"")"),"['Like', 'Karna', 'simple', 'easy']")</f>
        <v>['Like', 'Karna', 'simple', 'easy']</v>
      </c>
      <c r="D1177" s="3">
        <v>5.0</v>
      </c>
    </row>
    <row r="1178" ht="15.75" customHeight="1">
      <c r="A1178" s="1">
        <v>1255.0</v>
      </c>
      <c r="B1178" s="3" t="s">
        <v>1142</v>
      </c>
      <c r="C1178" s="3" t="str">
        <f>IFERROR(__xludf.DUMMYFUNCTION("GOOGLETRANSLATE(B1178,""id"",""en"")"),"['Watch Out', 'Package', 'Trap', 'Abis', 'GB', ""]")</f>
        <v>['Watch Out', 'Package', 'Trap', 'Abis', 'GB', "]</v>
      </c>
      <c r="D1178" s="3">
        <v>1.0</v>
      </c>
    </row>
    <row r="1179" ht="15.75" customHeight="1">
      <c r="A1179" s="1">
        <v>1256.0</v>
      </c>
      <c r="B1179" s="3" t="s">
        <v>1143</v>
      </c>
      <c r="C1179" s="3" t="str">
        <f>IFERROR(__xludf.DUMMYFUNCTION("GOOGLETRANSLATE(B1179,""id"",""en"")"),"['package', 'data', 'ojol', 'all', 'operator', 'call', 'data', 'aga', 'cheap', 'held']")</f>
        <v>['package', 'data', 'ojol', 'all', 'operator', 'call', 'data', 'aga', 'cheap', 'held']</v>
      </c>
      <c r="D1179" s="3">
        <v>4.0</v>
      </c>
    </row>
    <row r="1180" ht="15.75" customHeight="1">
      <c r="A1180" s="1">
        <v>1257.0</v>
      </c>
      <c r="B1180" s="3" t="s">
        <v>1144</v>
      </c>
      <c r="C1180" s="3" t="str">
        <f>IFERROR(__xludf.DUMMYFUNCTION("GOOGLETRANSLATE(B1180,""id"",""en"")"),"['garbage', 'battered', 'network', 'ilang', '']")</f>
        <v>['garbage', 'battered', 'network', 'ilang', '']</v>
      </c>
      <c r="D1180" s="3">
        <v>1.0</v>
      </c>
    </row>
    <row r="1181" ht="15.75" customHeight="1">
      <c r="A1181" s="1">
        <v>1258.0</v>
      </c>
      <c r="B1181" s="3" t="s">
        <v>1145</v>
      </c>
      <c r="C1181" s="3" t="str">
        <f>IFERROR(__xludf.DUMMYFUNCTION("GOOGLETRANSLATE(B1181,""id"",""en"")"),"['Knpa', 'Nda', 'buy', 'package', 'Cman', 'pulseku', 'chick', '']")</f>
        <v>['Knpa', 'Nda', 'buy', 'package', 'Cman', 'pulseku', 'chick', '']</v>
      </c>
      <c r="D1181" s="3">
        <v>1.0</v>
      </c>
    </row>
    <row r="1182" ht="15.75" customHeight="1">
      <c r="A1182" s="1">
        <v>1260.0</v>
      </c>
      <c r="B1182" s="3" t="s">
        <v>1146</v>
      </c>
      <c r="C1182" s="3" t="str">
        <f>IFERROR(__xludf.DUMMYFUNCTION("GOOGLETRANSLATE(B1182,""id"",""en"")"),"['Congratulations',' Morning ',' Sis', 'Purchase', 'Package', 'Data', 'Enter', 'Night', 'Buy', 'Mytekomsel', 'Payment', 'Through', ' shopeepay ',' package ',' worth ',' enter ',' balance ',' reduced ',' thank you ',' Please ',' help ',' ']")</f>
        <v>['Congratulations',' Morning ',' Sis', 'Purchase', 'Package', 'Data', 'Enter', 'Night', 'Buy', 'Mytekomsel', 'Payment', 'Through', ' shopeepay ',' package ',' worth ',' enter ',' balance ',' reduced ',' thank you ',' Please ',' help ',' ']</v>
      </c>
      <c r="D1182" s="3">
        <v>1.0</v>
      </c>
    </row>
    <row r="1183" ht="15.75" customHeight="1">
      <c r="A1183" s="1">
        <v>1261.0</v>
      </c>
      <c r="B1183" s="3" t="s">
        <v>558</v>
      </c>
      <c r="C1183" s="3" t="str">
        <f>IFERROR(__xludf.DUMMYFUNCTION("GOOGLETRANSLATE(B1183,""id"",""en"")"),"['useful']")</f>
        <v>['useful']</v>
      </c>
      <c r="D1183" s="3">
        <v>5.0</v>
      </c>
    </row>
    <row r="1184" ht="15.75" customHeight="1">
      <c r="A1184" s="1">
        <v>1262.0</v>
      </c>
      <c r="B1184" s="3" t="s">
        <v>1147</v>
      </c>
      <c r="C1184" s="3" t="str">
        <f>IFERROR(__xludf.DUMMYFUNCTION("GOOGLETRANSLATE(B1184,""id"",""en"")"),"['use', 'Telkomsel', 'transmitter', 'village', 'remote', 'residents',' use ',' services', 'Telkomsel', 'please', 'hold', 'transmitter', ' The signal ',' Genting ',' Plantation ',' Pasak ',' Talawang ',' Kapuas', 'West', 'Thanks']")</f>
        <v>['use', 'Telkomsel', 'transmitter', 'village', 'remote', 'residents',' use ',' services', 'Telkomsel', 'please', 'hold', 'transmitter', ' The signal ',' Genting ',' Plantation ',' Pasak ',' Talawang ',' Kapuas', 'West', 'Thanks']</v>
      </c>
      <c r="D1184" s="3">
        <v>1.0</v>
      </c>
    </row>
    <row r="1185" ht="15.75" customHeight="1">
      <c r="A1185" s="1">
        <v>1263.0</v>
      </c>
      <c r="B1185" s="3" t="s">
        <v>1148</v>
      </c>
      <c r="C1185" s="3" t="str">
        <f>IFERROR(__xludf.DUMMYFUNCTION("GOOGLETRANSLATE(B1185,""id"",""en"")"),"['Increase', 'quality', 'application', 'easy', 'parent', 'aged', 'yrs']")</f>
        <v>['Increase', 'quality', 'application', 'easy', 'parent', 'aged', 'yrs']</v>
      </c>
      <c r="D1185" s="3">
        <v>3.0</v>
      </c>
    </row>
    <row r="1186" ht="15.75" customHeight="1">
      <c r="A1186" s="1">
        <v>1264.0</v>
      </c>
      <c r="B1186" s="3" t="s">
        <v>1149</v>
      </c>
      <c r="C1186" s="3" t="str">
        <f>IFERROR(__xludf.DUMMYFUNCTION("GOOGLETRANSLATE(B1186,""id"",""en"")"),"['Telkomsel', 'Fix', 'System', 'Buy', 'Package', 'Combo', 'Sakti', 'Max', 'Buy', 'Error', 'System']")</f>
        <v>['Telkomsel', 'Fix', 'System', 'Buy', 'Package', 'Combo', 'Sakti', 'Max', 'Buy', 'Error', 'System']</v>
      </c>
      <c r="D1186" s="3">
        <v>2.0</v>
      </c>
    </row>
    <row r="1187" ht="15.75" customHeight="1">
      <c r="A1187" s="1">
        <v>1265.0</v>
      </c>
      <c r="B1187" s="3" t="s">
        <v>1150</v>
      </c>
      <c r="C1187" s="3" t="str">
        <f>IFERROR(__xludf.DUMMYFUNCTION("GOOGLETRANSLATE(B1187,""id"",""en"")"),"['user', 'loyal', 'get', 'price', 'package', 'cheap', 'cheap', 'card', '']")</f>
        <v>['user', 'loyal', 'get', 'price', 'package', 'cheap', 'cheap', 'card', '']</v>
      </c>
      <c r="D1187" s="3">
        <v>1.0</v>
      </c>
    </row>
    <row r="1188" ht="15.75" customHeight="1">
      <c r="A1188" s="1">
        <v>1266.0</v>
      </c>
      <c r="B1188" s="3" t="s">
        <v>1151</v>
      </c>
      <c r="C1188" s="3" t="str">
        <f>IFERROR(__xludf.DUMMYFUNCTION("GOOGLETRANSLATE(B1188,""id"",""en"")"),"['contents',' pulse ',' rb ',' kepake ',' package ',' emergency ',' rb ',' check ',' right ',' left ',' rb ',' check ',' minutes', 'direct', 'leftover', 'silver', 'repeated', 'times',' event ',' data ',' active ',' right ',' robbery ',' smooth ',' severe "&amp;"' , 'really', 'severe', 'really', 'message', 'followed up', 'Telkomsel', 'severe', 'really']")</f>
        <v>['contents',' pulse ',' rb ',' kepake ',' package ',' emergency ',' rb ',' check ',' right ',' left ',' rb ',' check ',' minutes', 'direct', 'leftover', 'silver', 'repeated', 'times',' event ',' data ',' active ',' right ',' robbery ',' smooth ',' severe ' , 'really', 'severe', 'really', 'message', 'followed up', 'Telkomsel', 'severe', 'really']</v>
      </c>
      <c r="D1188" s="3">
        <v>1.0</v>
      </c>
    </row>
    <row r="1189" ht="15.75" customHeight="1">
      <c r="A1189" s="1">
        <v>1267.0</v>
      </c>
      <c r="B1189" s="3" t="s">
        <v>1152</v>
      </c>
      <c r="C1189" s="3" t="str">
        <f>IFERROR(__xludf.DUMMYFUNCTION("GOOGLETRANSLATE(B1189,""id"",""en"")"),"['Telkomsel', 'please', 'network', 'fix', 'money', 'buyer', 'network', 'urus',' buy ',' expensive ',' expensive ',' network ',' Leet ',' Lost ', ""]")</f>
        <v>['Telkomsel', 'please', 'network', 'fix', 'money', 'buyer', 'network', 'urus',' buy ',' expensive ',' expensive ',' network ',' Leet ',' Lost ', "]</v>
      </c>
      <c r="D1189" s="3">
        <v>1.0</v>
      </c>
    </row>
    <row r="1190" ht="15.75" customHeight="1">
      <c r="A1190" s="1">
        <v>1268.0</v>
      </c>
      <c r="B1190" s="3" t="s">
        <v>1153</v>
      </c>
      <c r="C1190" s="3" t="str">
        <f>IFERROR(__xludf.DUMMYFUNCTION("GOOGLETRANSLATE(B1190,""id"",""en"")"),"['Telkomsel', 'gada', 'progress',' that's', 'ugly', 'really', 'speed', 'network', 'a year', 'package', 'data', 'price', ' No "", 'worth', 'speed', 'ugly', 'pol']")</f>
        <v>['Telkomsel', 'gada', 'progress',' that's', 'ugly', 'really', 'speed', 'network', 'a year', 'package', 'data', 'price', ' No ", 'worth', 'speed', 'ugly', 'pol']</v>
      </c>
      <c r="D1190" s="3">
        <v>1.0</v>
      </c>
    </row>
    <row r="1191" ht="15.75" customHeight="1">
      <c r="A1191" s="1">
        <v>1269.0</v>
      </c>
      <c r="B1191" s="3" t="s">
        <v>1154</v>
      </c>
      <c r="C1191" s="3" t="str">
        <f>IFERROR(__xludf.DUMMYFUNCTION("GOOGLETRANSLATE(B1191,""id"",""en"")"),"['Package', 'Internet', 'bought']")</f>
        <v>['Package', 'Internet', 'bought']</v>
      </c>
      <c r="D1191" s="3">
        <v>1.0</v>
      </c>
    </row>
    <row r="1192" ht="15.75" customHeight="1">
      <c r="A1192" s="1">
        <v>1270.0</v>
      </c>
      <c r="B1192" s="3" t="s">
        <v>1155</v>
      </c>
      <c r="C1192" s="3" t="str">
        <f>IFERROR(__xludf.DUMMYFUNCTION("GOOGLETRANSLATE(B1192,""id"",""en"")"),"['buy', 'package', 'Via', 'Ovo', 'balance', 'reduced', 'package', 'report', 'Veronika', 'response', 'umpteenth', 'times',' Telkomsel ',' Disappointed ',' Customer ',' BANGKE ',' as possible ',' Confirm ', ""]")</f>
        <v>['buy', 'package', 'Via', 'Ovo', 'balance', 'reduced', 'package', 'report', 'Veronika', 'response', 'umpteenth', 'times',' Telkomsel ',' Disappointed ',' Customer ',' BANGKE ',' as possible ',' Confirm ', "]</v>
      </c>
      <c r="D1192" s="3">
        <v>1.0</v>
      </c>
    </row>
    <row r="1193" ht="15.75" customHeight="1">
      <c r="A1193" s="1">
        <v>1271.0</v>
      </c>
      <c r="B1193" s="3" t="s">
        <v>1156</v>
      </c>
      <c r="C1193" s="3" t="str">
        <f>IFERROR(__xludf.DUMMYFUNCTION("GOOGLETRANSLATE(B1193,""id"",""en"")"),"['best friend']")</f>
        <v>['best friend']</v>
      </c>
      <c r="D1193" s="3">
        <v>4.0</v>
      </c>
    </row>
    <row r="1194" ht="15.75" customHeight="1">
      <c r="A1194" s="1">
        <v>1272.0</v>
      </c>
      <c r="B1194" s="3" t="s">
        <v>1157</v>
      </c>
      <c r="C1194" s="3" t="str">
        <f>IFERROR(__xludf.DUMMYFUNCTION("GOOGLETRANSLATE(B1194,""id"",""en"")"),"['Good', 'APL']")</f>
        <v>['Good', 'APL']</v>
      </c>
      <c r="D1194" s="3">
        <v>5.0</v>
      </c>
    </row>
    <row r="1195" ht="15.75" customHeight="1">
      <c r="A1195" s="1">
        <v>1273.0</v>
      </c>
      <c r="B1195" s="3" t="s">
        <v>1158</v>
      </c>
      <c r="C1195" s="3" t="str">
        <f>IFERROR(__xludf.DUMMYFUNCTION("GOOGLETRANSLATE(B1195,""id"",""en"")"),"['compatible', 'Android', '']")</f>
        <v>['compatible', 'Android', '']</v>
      </c>
      <c r="D1195" s="3">
        <v>1.0</v>
      </c>
    </row>
    <row r="1196" ht="15.75" customHeight="1">
      <c r="A1196" s="1">
        <v>1274.0</v>
      </c>
      <c r="B1196" s="3" t="s">
        <v>1159</v>
      </c>
      <c r="C1196" s="3" t="str">
        <f>IFERROR(__xludf.DUMMYFUNCTION("GOOGLETRANSLATE(B1196,""id"",""en"")"),"['Hey', 'Telkomsel', 'semalem', 'buy', 'Package', 'Combo', 'Sakti', 'GB', 'Price', 'RB', 'Payment', 'Shopepay', ' The quota ',' BLM ',' entered ',' last night ',' smpe ',' UDH ',' contact ',' Gabisa ',' gabisa ',' money ',' reverse ',' rb ',' iklasin ' , "&amp;"'Rb', 'intention', 'buy', 'package', 'money', 'ilang', 'please', 'help', 'gmn', 'delicious', 'finish', ""]")</f>
        <v>['Hey', 'Telkomsel', 'semalem', 'buy', 'Package', 'Combo', 'Sakti', 'GB', 'Price', 'RB', 'Payment', 'Shopepay', ' The quota ',' BLM ',' entered ',' last night ',' smpe ',' UDH ',' contact ',' Gabisa ',' gabisa ',' money ',' reverse ',' rb ',' iklasin ' , 'Rb', 'intention', 'buy', 'package', 'money', 'ilang', 'please', 'help', 'gmn', 'delicious', 'finish', "]</v>
      </c>
      <c r="D1196" s="3">
        <v>1.0</v>
      </c>
    </row>
    <row r="1197" ht="15.75" customHeight="1">
      <c r="A1197" s="1">
        <v>1275.0</v>
      </c>
      <c r="B1197" s="3" t="s">
        <v>1160</v>
      </c>
      <c r="C1197" s="3" t="str">
        <f>IFERROR(__xludf.DUMMYFUNCTION("GOOGLETRANSLATE(B1197,""id"",""en"")"),"['The network', 'Disappointed', '']")</f>
        <v>['The network', 'Disappointed', '']</v>
      </c>
      <c r="D1197" s="3">
        <v>1.0</v>
      </c>
    </row>
    <row r="1198" ht="15.75" customHeight="1">
      <c r="A1198" s="1">
        <v>1277.0</v>
      </c>
      <c r="B1198" s="3" t="s">
        <v>1161</v>
      </c>
      <c r="C1198" s="3" t="str">
        <f>IFERROR(__xludf.DUMMYFUNCTION("GOOGLETRANSLATE(B1198,""id"",""en"")"),"['Good', 'appreciated', 'complaints', 'consumers']")</f>
        <v>['Good', 'appreciated', 'complaints', 'consumers']</v>
      </c>
      <c r="D1198" s="3">
        <v>5.0</v>
      </c>
    </row>
    <row r="1199" ht="15.75" customHeight="1">
      <c r="A1199" s="1">
        <v>1278.0</v>
      </c>
      <c r="B1199" s="3" t="s">
        <v>1162</v>
      </c>
      <c r="C1199" s="3" t="str">
        <f>IFERROR(__xludf.DUMMYFUNCTION("GOOGLETRANSLATE(B1199,""id"",""en"")"),"['Please', 'signal', 'stable', 'right', 'push', 'rank', 'like', 'ngelag', 'tower', 'Telkomsel', 'beside', 'home', ' Ngellag ',' right ',' War ',' signal ',' like ',' red ',' Mulu ',' please ',' repaired ', ""]")</f>
        <v>['Please', 'signal', 'stable', 'right', 'push', 'rank', 'like', 'ngelag', 'tower', 'Telkomsel', 'beside', 'home', ' Ngellag ',' right ',' War ',' signal ',' like ',' red ',' Mulu ',' please ',' repaired ', "]</v>
      </c>
      <c r="D1199" s="3">
        <v>2.0</v>
      </c>
    </row>
    <row r="1200" ht="15.75" customHeight="1">
      <c r="A1200" s="1">
        <v>1279.0</v>
      </c>
      <c r="B1200" s="3" t="s">
        <v>1163</v>
      </c>
      <c r="C1200" s="3" t="str">
        <f>IFERROR(__xludf.DUMMYFUNCTION("GOOGLETRANSLATE(B1200,""id"",""en"")"),"['Not bad', 'help', 'internet', 'functions', 'darling', '']")</f>
        <v>['Not bad', 'help', 'internet', 'functions', 'darling', '']</v>
      </c>
      <c r="D1200" s="3">
        <v>4.0</v>
      </c>
    </row>
    <row r="1201" ht="15.75" customHeight="1">
      <c r="A1201" s="1">
        <v>1280.0</v>
      </c>
      <c r="B1201" s="3" t="s">
        <v>1164</v>
      </c>
      <c r="C1201" s="3" t="str">
        <f>IFERROR(__xludf.DUMMYFUNCTION("GOOGLETRANSLATE(B1201,""id"",""en"")"),"['times', 'update', 'buy', 'package', 'writing', 'repeat', '']")</f>
        <v>['times', 'update', 'buy', 'package', 'writing', 'repeat', '']</v>
      </c>
      <c r="D1201" s="3">
        <v>1.0</v>
      </c>
    </row>
    <row r="1202" ht="15.75" customHeight="1">
      <c r="A1202" s="1">
        <v>1281.0</v>
      </c>
      <c r="B1202" s="3" t="s">
        <v>1165</v>
      </c>
      <c r="C1202" s="3" t="str">
        <f>IFERROR(__xludf.DUMMYFUNCTION("GOOGLETRANSLATE(B1202,""id"",""en"")"),"['already', 'no', 'lottery', 'sorry']")</f>
        <v>['already', 'no', 'lottery', 'sorry']</v>
      </c>
      <c r="D1202" s="3">
        <v>3.0</v>
      </c>
    </row>
    <row r="1203" ht="15.75" customHeight="1">
      <c r="A1203" s="1">
        <v>1283.0</v>
      </c>
      <c r="B1203" s="3" t="s">
        <v>1166</v>
      </c>
      <c r="C1203" s="3" t="str">
        <f>IFERROR(__xludf.DUMMYFUNCTION("GOOGLETRANSLATE(B1203,""id"",""en"")"),"['quota', 'GB', 'used', 'social', 'media', 'credit', 'missing', '']")</f>
        <v>['quota', 'GB', 'used', 'social', 'media', 'credit', 'missing', '']</v>
      </c>
      <c r="D1203" s="3">
        <v>1.0</v>
      </c>
    </row>
    <row r="1204" ht="15.75" customHeight="1">
      <c r="A1204" s="1">
        <v>1284.0</v>
      </c>
      <c r="B1204" s="3" t="s">
        <v>1167</v>
      </c>
      <c r="C1204" s="3" t="str">
        <f>IFERROR(__xludf.DUMMYFUNCTION("GOOGLETRANSLATE(B1204,""id"",""en"")"),"['Simple', 'good', 'easy']")</f>
        <v>['Simple', 'good', 'easy']</v>
      </c>
      <c r="D1204" s="3">
        <v>5.0</v>
      </c>
    </row>
    <row r="1205" ht="15.75" customHeight="1">
      <c r="A1205" s="1">
        <v>1285.0</v>
      </c>
      <c r="B1205" s="3" t="s">
        <v>1168</v>
      </c>
      <c r="C1205" s="3" t="str">
        <f>IFERROR(__xludf.DUMMYFUNCTION("GOOGLETRANSLATE(B1205,""id"",""en"")"),"['news', 'cable', 'optics', 'bwh', 'sea', 'tsel', 'functioning', 'normal', '']")</f>
        <v>['news', 'cable', 'optics', 'bwh', 'sea', 'tsel', 'functioning', 'normal', '']</v>
      </c>
      <c r="D1205" s="3">
        <v>5.0</v>
      </c>
    </row>
    <row r="1206" ht="15.75" customHeight="1">
      <c r="A1206" s="1">
        <v>1286.0</v>
      </c>
      <c r="B1206" s="3" t="s">
        <v>1169</v>
      </c>
      <c r="C1206" s="3" t="str">
        <f>IFERROR(__xludf.DUMMYFUNCTION("GOOGLETRANSLATE(B1206,""id"",""en"")"),"['Thank God', 'era', 'Digital', 'Telkomsel', 'Forward', 'Leading', 'Suport', 'Technology', 'Sky', 'Indonesia', 'Yan', 'Yan', ' Ber ',' Insight ',' Technology ',' ']")</f>
        <v>['Thank God', 'era', 'Digital', 'Telkomsel', 'Forward', 'Leading', 'Suport', 'Technology', 'Sky', 'Indonesia', 'Yan', 'Yan', ' Ber ',' Insight ',' Technology ',' ']</v>
      </c>
      <c r="D1206" s="3">
        <v>5.0</v>
      </c>
    </row>
    <row r="1207" ht="15.75" customHeight="1">
      <c r="A1207" s="1">
        <v>1287.0</v>
      </c>
      <c r="B1207" s="3" t="s">
        <v>1170</v>
      </c>
      <c r="C1207" s="3" t="str">
        <f>IFERROR(__xludf.DUMMYFUNCTION("GOOGLETRANSLATE(B1207,""id"",""en"")"),"['Please', 'reproduced', 'promo', 'internet']")</f>
        <v>['Please', 'reproduced', 'promo', 'internet']</v>
      </c>
      <c r="D1207" s="3">
        <v>5.0</v>
      </c>
    </row>
    <row r="1208" ht="15.75" customHeight="1">
      <c r="A1208" s="1">
        <v>1288.0</v>
      </c>
      <c r="B1208" s="3" t="s">
        <v>1171</v>
      </c>
      <c r="C1208" s="3" t="str">
        <f>IFERROR(__xludf.DUMMYFUNCTION("GOOGLETRANSLATE(B1208,""id"",""en"")"),"['BLI', 'PKET', 'Data']")</f>
        <v>['BLI', 'PKET', 'Data']</v>
      </c>
      <c r="D1208" s="3">
        <v>1.0</v>
      </c>
    </row>
    <row r="1209" ht="15.75" customHeight="1">
      <c r="A1209" s="1">
        <v>1289.0</v>
      </c>
      <c r="B1209" s="3" t="s">
        <v>1172</v>
      </c>
      <c r="C1209" s="3" t="str">
        <f>IFERROR(__xludf.DUMMYFUNCTION("GOOGLETRANSLATE(B1209,""id"",""en"")"),"['min', 'buy', 'package', 'quota', 'internet', 'method', 'payment', 'gopay', 'package', 'quota', 'internet', 'enter', ' balance ',' Gopay ',' Cut ',' Deceived ']")</f>
        <v>['min', 'buy', 'package', 'quota', 'internet', 'method', 'payment', 'gopay', 'package', 'quota', 'internet', 'enter', ' balance ',' Gopay ',' Cut ',' Deceived ']</v>
      </c>
      <c r="D1209" s="3">
        <v>1.0</v>
      </c>
    </row>
    <row r="1210" ht="15.75" customHeight="1">
      <c r="A1210" s="1">
        <v>1290.0</v>
      </c>
      <c r="B1210" s="3" t="s">
        <v>1173</v>
      </c>
      <c r="C1210" s="3" t="str">
        <f>IFERROR(__xludf.DUMMYFUNCTION("GOOGLETRANSLATE(B1210,""id"",""en"")"),"['Bgus', 'promo', 'package']")</f>
        <v>['Bgus', 'promo', 'package']</v>
      </c>
      <c r="D1210" s="3">
        <v>5.0</v>
      </c>
    </row>
    <row r="1211" ht="15.75" customHeight="1">
      <c r="A1211" s="1">
        <v>1292.0</v>
      </c>
      <c r="B1211" s="3" t="s">
        <v>1174</v>
      </c>
      <c r="C1211" s="3" t="str">
        <f>IFERROR(__xludf.DUMMYFUNCTION("GOOGLETRANSLATE(B1211,""id"",""en"")"),"['Price', 'expensive', 'The network', 'stable', 'Main', 'Game', 'Mending', 'Operator', 'AXIS', 'Indosat', ""]")</f>
        <v>['Price', 'expensive', 'The network', 'stable', 'Main', 'Game', 'Mending', 'Operator', 'AXIS', 'Indosat', "]</v>
      </c>
      <c r="D1211" s="3">
        <v>1.0</v>
      </c>
    </row>
    <row r="1212" ht="15.75" customHeight="1">
      <c r="A1212" s="1">
        <v>1293.0</v>
      </c>
      <c r="B1212" s="3" t="s">
        <v>1175</v>
      </c>
      <c r="C1212" s="3" t="str">
        <f>IFERROR(__xludf.DUMMYFUNCTION("GOOGLETRANSLATE(B1212,""id"",""en"")"),"['function', 'help', 'cheap', '']")</f>
        <v>['function', 'help', 'cheap', '']</v>
      </c>
      <c r="D1212" s="3">
        <v>4.0</v>
      </c>
    </row>
    <row r="1213" ht="15.75" customHeight="1">
      <c r="A1213" s="1">
        <v>1294.0</v>
      </c>
      <c r="B1213" s="3" t="s">
        <v>1176</v>
      </c>
      <c r="C1213" s="3" t="str">
        <f>IFERROR(__xludf.DUMMYFUNCTION("GOOGLETRANSLATE(B1213,""id"",""en"")"),"['Update']")</f>
        <v>['Update']</v>
      </c>
      <c r="D1213" s="3">
        <v>5.0</v>
      </c>
    </row>
    <row r="1214" ht="15.75" customHeight="1">
      <c r="A1214" s="1">
        <v>1295.0</v>
      </c>
      <c r="B1214" s="3" t="s">
        <v>1177</v>
      </c>
      <c r="C1214" s="3" t="str">
        <f>IFERROR(__xludf.DUMMYFUNCTION("GOOGLETRANSLATE(B1214,""id"",""en"")"),"['Sad', 'Telkomsel', 'here', 'network', 'slow', 'price', 'package', 'expensive', 'hurry', 'provider', 'next door', 'price', ' Package ',' cheap ',' cheap ',' ']")</f>
        <v>['Sad', 'Telkomsel', 'here', 'network', 'slow', 'price', 'package', 'expensive', 'hurry', 'provider', 'next door', 'price', ' Package ',' cheap ',' cheap ',' ']</v>
      </c>
      <c r="D1214" s="3">
        <v>1.0</v>
      </c>
    </row>
    <row r="1215" ht="15.75" customHeight="1">
      <c r="A1215" s="1">
        <v>1296.0</v>
      </c>
      <c r="B1215" s="3" t="s">
        <v>1178</v>
      </c>
      <c r="C1215" s="3" t="str">
        <f>IFERROR(__xludf.DUMMYFUNCTION("GOOGLETRANSLATE(B1215,""id"",""en"")"),"['satisfying', 'already', 'expensive', 'network', 'slow', 'error', 'package', 'internet', 'run out', 'direct', 'play', 'suck', ' Credit ',' Notification ',' Notification ',' Tekomsel ',' SMS ',' Pulses', 'Out', 'Credit', 'Out', 'Announced', 'Package', 'In"&amp;"ternet', 'Out' , 'Funny', 'Tekomsel', 'Nyari', 'Untung', '']")</f>
        <v>['satisfying', 'already', 'expensive', 'network', 'slow', 'error', 'package', 'internet', 'run out', 'direct', 'play', 'suck', ' Credit ',' Notification ',' Notification ',' Tekomsel ',' SMS ',' Pulses', 'Out', 'Credit', 'Out', 'Announced', 'Package', 'Internet', 'Out' , 'Funny', 'Tekomsel', 'Nyari', 'Untung', '']</v>
      </c>
      <c r="D1215" s="3">
        <v>1.0</v>
      </c>
    </row>
    <row r="1216" ht="15.75" customHeight="1">
      <c r="A1216" s="1">
        <v>1297.0</v>
      </c>
      <c r="B1216" s="3" t="s">
        <v>1179</v>
      </c>
      <c r="C1216" s="3" t="str">
        <f>IFERROR(__xludf.DUMMYFUNCTION("GOOGLETRANSLATE(B1216,""id"",""en"")"),"['upset', 'That's', 'respect', 'donk', 'your customer', 'hurt', ""]")</f>
        <v>['upset', 'That's', 'respect', 'donk', 'your customer', 'hurt', "]</v>
      </c>
      <c r="D1216" s="3">
        <v>3.0</v>
      </c>
    </row>
    <row r="1217" ht="15.75" customHeight="1">
      <c r="A1217" s="1">
        <v>1298.0</v>
      </c>
      <c r="B1217" s="3" t="s">
        <v>1180</v>
      </c>
      <c r="C1217" s="3" t="str">
        <f>IFERROR(__xludf.DUMMYFUNCTION("GOOGLETRANSLATE(B1217,""id"",""en"")"),"['Application', 'Good', 'User', 'Provider', 'Telkomsel', ""]")</f>
        <v>['Application', 'Good', 'User', 'Provider', 'Telkomsel', "]</v>
      </c>
      <c r="D1217" s="3">
        <v>5.0</v>
      </c>
    </row>
    <row r="1218" ht="15.75" customHeight="1">
      <c r="A1218" s="1">
        <v>1299.0</v>
      </c>
      <c r="B1218" s="3" t="s">
        <v>1181</v>
      </c>
      <c r="C1218" s="3" t="str">
        <f>IFERROR(__xludf.DUMMYFUNCTION("GOOGLETRANSLATE(B1218,""id"",""en"")"),"['signal', 'Where', 'thereaa', 'bestkk']")</f>
        <v>['signal', 'Where', 'thereaa', 'bestkk']</v>
      </c>
      <c r="D1218" s="3">
        <v>5.0</v>
      </c>
    </row>
    <row r="1219" ht="15.75" customHeight="1">
      <c r="A1219" s="1">
        <v>1300.0</v>
      </c>
      <c r="B1219" s="3" t="s">
        <v>1182</v>
      </c>
      <c r="C1219" s="3" t="str">
        <f>IFERROR(__xludf.DUMMYFUNCTION("GOOGLETRANSLATE(B1219,""id"",""en"")"),"['', 'quota', 'family', 'package', 'main', 'run out', 'quota', 'multimedia', 'leftover', 'GB', 'yesterday', 'GB', 'applies ',' Package ',' please ',' fix ']")</f>
        <v>['', 'quota', 'family', 'package', 'main', 'run out', 'quota', 'multimedia', 'leftover', 'GB', 'yesterday', 'GB', 'applies ',' Package ',' please ',' fix ']</v>
      </c>
      <c r="D1219" s="3">
        <v>2.0</v>
      </c>
    </row>
    <row r="1220" ht="15.75" customHeight="1">
      <c r="A1220" s="1">
        <v>1301.0</v>
      </c>
      <c r="B1220" s="3" t="s">
        <v>1183</v>
      </c>
      <c r="C1220" s="3" t="str">
        <f>IFERROR(__xludf.DUMMYFUNCTION("GOOGLETRANSLATE(B1220,""id"",""en"")"),"['Try', 'Purchase', 'Package', 'Detgetode', 'Payment', 'Shopeepay', 'Balance', 'Cut', 'Package', 'Visit', 'Enter', 'Number', ' reports', 'via', 'bit', 'Veronica', 'repairs',' reports', 'via', 'email', 'response', 'expensive', 'service', 'it seems',' worth"&amp;" ' , '']")</f>
        <v>['Try', 'Purchase', 'Package', 'Detgetode', 'Payment', 'Shopeepay', 'Balance', 'Cut', 'Package', 'Visit', 'Enter', 'Number', ' reports', 'via', 'bit', 'Veronica', 'repairs',' reports', 'via', 'email', 'response', 'expensive', 'service', 'it seems',' worth ' , '']</v>
      </c>
      <c r="D1220" s="3">
        <v>1.0</v>
      </c>
    </row>
    <row r="1221" ht="15.75" customHeight="1">
      <c r="A1221" s="1">
        <v>1302.0</v>
      </c>
      <c r="B1221" s="3" t="s">
        <v>1184</v>
      </c>
      <c r="C1221" s="3" t="str">
        <f>IFERROR(__xludf.DUMMYFUNCTION("GOOGLETRANSLATE(B1221,""id"",""en"")"),"['Telkomsel', '']")</f>
        <v>['Telkomsel', '']</v>
      </c>
      <c r="D1221" s="3">
        <v>4.0</v>
      </c>
    </row>
    <row r="1222" ht="15.75" customHeight="1">
      <c r="A1222" s="1">
        <v>1303.0</v>
      </c>
      <c r="B1222" s="3" t="s">
        <v>1185</v>
      </c>
      <c r="C1222" s="3" t="str">
        <f>IFERROR(__xludf.DUMMYFUNCTION("GOOGLETRANSLATE(B1222,""id"",""en"")"),"['Hey', 'Telkomsel', 'buy', 'Paketan', 'Hey']")</f>
        <v>['Hey', 'Telkomsel', 'buy', 'Paketan', 'Hey']</v>
      </c>
      <c r="D1222" s="3">
        <v>1.0</v>
      </c>
    </row>
    <row r="1223" ht="15.75" customHeight="1">
      <c r="A1223" s="1">
        <v>1304.0</v>
      </c>
      <c r="B1223" s="3" t="s">
        <v>1186</v>
      </c>
      <c r="C1223" s="3" t="str">
        <f>IFERROR(__xludf.DUMMYFUNCTION("GOOGLETRANSLATE(B1223,""id"",""en"")"),"['disappointing', 'contents',' package ',' mytelkomsel ',' payment ',' funds', 'transaction', 'succeed', 'balance', 'funds',' truncated ',' kouta ',' Enter ',' account ',' ']")</f>
        <v>['disappointing', 'contents',' package ',' mytelkomsel ',' payment ',' funds', 'transaction', 'succeed', 'balance', 'funds',' truncated ',' kouta ',' Enter ',' account ',' ']</v>
      </c>
      <c r="D1223" s="3">
        <v>1.0</v>
      </c>
    </row>
    <row r="1224" ht="15.75" customHeight="1">
      <c r="A1224" s="1">
        <v>1305.0</v>
      </c>
      <c r="B1224" s="3" t="s">
        <v>1187</v>
      </c>
      <c r="C1224" s="3" t="str">
        <f>IFERROR(__xludf.DUMMYFUNCTION("GOOGLETRANSLATE(B1224,""id"",""en"")"),"['Credit', 'contents', 'contents', 'package', 'JEK', 'GB', 'Credit', 'Server', 'LIAT', 'ISI', 'Credit', ""]")</f>
        <v>['Credit', 'contents', 'contents', 'package', 'JEK', 'GB', 'Credit', 'Server', 'LIAT', 'ISI', 'Credit', "]</v>
      </c>
      <c r="D1224" s="3">
        <v>1.0</v>
      </c>
    </row>
    <row r="1225" ht="15.75" customHeight="1">
      <c r="A1225" s="1">
        <v>1306.0</v>
      </c>
      <c r="B1225" s="3" t="s">
        <v>1188</v>
      </c>
      <c r="C1225" s="3" t="str">
        <f>IFERROR(__xludf.DUMMYFUNCTION("GOOGLETRANSLATE(B1225,""id"",""en"")"),"['Good', 'package', 'cheap', '']")</f>
        <v>['Good', 'package', 'cheap', '']</v>
      </c>
      <c r="D1225" s="3">
        <v>5.0</v>
      </c>
    </row>
    <row r="1226" ht="15.75" customHeight="1">
      <c r="A1226" s="1">
        <v>1307.0</v>
      </c>
      <c r="B1226" s="3" t="s">
        <v>1189</v>
      </c>
      <c r="C1226" s="3" t="str">
        <f>IFERROR(__xludf.DUMMYFUNCTION("GOOGLETRANSLATE(B1226,""id"",""en"")"),"['Figure', 'pulses', 'thousand', 'right', 'open', 'application', 'missing', 'thousand', 'idiot']")</f>
        <v>['Figure', 'pulses', 'thousand', 'right', 'open', 'application', 'missing', 'thousand', 'idiot']</v>
      </c>
      <c r="D1226" s="3">
        <v>1.0</v>
      </c>
    </row>
    <row r="1227" ht="15.75" customHeight="1">
      <c r="A1227" s="1">
        <v>1308.0</v>
      </c>
      <c r="B1227" s="3" t="s">
        <v>1190</v>
      </c>
      <c r="C1227" s="3" t="str">
        <f>IFERROR(__xludf.DUMMYFUNCTION("GOOGLETRANSLATE(B1227,""id"",""en"")"),"['Exchange', 'pulse', 'no', 'points']")</f>
        <v>['Exchange', 'pulse', 'no', 'points']</v>
      </c>
      <c r="D1227" s="3">
        <v>5.0</v>
      </c>
    </row>
    <row r="1228" ht="15.75" customHeight="1">
      <c r="A1228" s="1">
        <v>1309.0</v>
      </c>
      <c r="B1228" s="3" t="s">
        <v>1191</v>
      </c>
      <c r="C1228" s="3" t="str">
        <f>IFERROR(__xludf.DUMMYFUNCTION("GOOGLETRANSLATE(B1228,""id"",""en"")"),"['Update', 'Login', 'Manual', 'Pay', 'Purchase', 'Package', 'Error', 'System', 'Delete', 'Application', 'Difficulties']")</f>
        <v>['Update', 'Login', 'Manual', 'Pay', 'Purchase', 'Package', 'Error', 'System', 'Delete', 'Application', 'Difficulties']</v>
      </c>
      <c r="D1228" s="3">
        <v>1.0</v>
      </c>
    </row>
    <row r="1229" ht="15.75" customHeight="1">
      <c r="A1229" s="1">
        <v>1310.0</v>
      </c>
      <c r="B1229" s="3" t="s">
        <v>1192</v>
      </c>
      <c r="C1229" s="3" t="str">
        <f>IFERROR(__xludf.DUMMYFUNCTION("GOOGLETRANSLATE(B1229,""id"",""en"")"),"['Update', 'buy', 'Package', 'System', 'Error', 'Sebellll', 'Deh', ""]")</f>
        <v>['Update', 'buy', 'Package', 'System', 'Error', 'Sebellll', 'Deh', "]</v>
      </c>
      <c r="D1229" s="3">
        <v>3.0</v>
      </c>
    </row>
    <row r="1230" ht="15.75" customHeight="1">
      <c r="A1230" s="1">
        <v>1311.0</v>
      </c>
      <c r="B1230" s="3" t="s">
        <v>1193</v>
      </c>
      <c r="C1230" s="3" t="str">
        <f>IFERROR(__xludf.DUMMYFUNCTION("GOOGLETRANSLATE(B1230,""id"",""en"")"),"['user', 'depends', 'socialization', 'real', '']")</f>
        <v>['user', 'depends', 'socialization', 'real', '']</v>
      </c>
      <c r="D1230" s="3">
        <v>4.0</v>
      </c>
    </row>
    <row r="1231" ht="15.75" customHeight="1">
      <c r="A1231" s="1">
        <v>1312.0</v>
      </c>
      <c r="B1231" s="3" t="s">
        <v>1194</v>
      </c>
      <c r="C1231" s="3" t="str">
        <f>IFERROR(__xludf.DUMMYFUNCTION("GOOGLETRANSLATE(B1231,""id"",""en"")"),"['Telkomsel', 'Singnal', 'Good', 'anywhere', ""]")</f>
        <v>['Telkomsel', 'Singnal', 'Good', 'anywhere', "]</v>
      </c>
      <c r="D1231" s="3">
        <v>5.0</v>
      </c>
    </row>
    <row r="1232" ht="15.75" customHeight="1">
      <c r="A1232" s="1">
        <v>1313.0</v>
      </c>
      <c r="B1232" s="3" t="s">
        <v>1195</v>
      </c>
      <c r="C1232" s="3" t="str">
        <f>IFERROR(__xludf.DUMMYFUNCTION("GOOGLETRANSLATE(B1232,""id"",""en"")"),"['buy', 'package', 'Sometimes', 'Fail', 'continued']")</f>
        <v>['buy', 'package', 'Sometimes', 'Fail', 'continued']</v>
      </c>
      <c r="D1232" s="3">
        <v>1.0</v>
      </c>
    </row>
    <row r="1233" ht="15.75" customHeight="1">
      <c r="A1233" s="1">
        <v>1314.0</v>
      </c>
      <c r="B1233" s="3" t="s">
        <v>1196</v>
      </c>
      <c r="C1233" s="3" t="str">
        <f>IFERROR(__xludf.DUMMYFUNCTION("GOOGLETRANSLATE(B1233,""id"",""en"")"),"['Package', 'Combo', 'Sakti', 'Package', 'Cheerful', 'Lost', 'Buy', 'Lazy', 'Telkomsel', ""]")</f>
        <v>['Package', 'Combo', 'Sakti', 'Package', 'Cheerful', 'Lost', 'Buy', 'Lazy', 'Telkomsel', "]</v>
      </c>
      <c r="D1233" s="3">
        <v>2.0</v>
      </c>
    </row>
    <row r="1234" ht="15.75" customHeight="1">
      <c r="A1234" s="1">
        <v>1315.0</v>
      </c>
      <c r="B1234" s="3" t="s">
        <v>1197</v>
      </c>
      <c r="C1234" s="3" t="str">
        <f>IFERROR(__xludf.DUMMYFUNCTION("GOOGLETRANSLATE(B1234,""id"",""en"")"),"['Telkomsel', 'yaaa', 'buy', 'package', 'data', 'payment', 'success',' package ',' data ',' entered ',' yesterday ',' pulse ',' Like ',' missed ',' swallowed ',' earth ',' quota ',' lotkkkk ',' complen ',' answerBb ',' Telkomsel ',' ']")</f>
        <v>['Telkomsel', 'yaaa', 'buy', 'package', 'data', 'payment', 'success',' package ',' data ',' entered ',' yesterday ',' pulse ',' Like ',' missed ',' swallowed ',' earth ',' quota ',' lotkkkk ',' complen ',' answerBb ',' Telkomsel ',' ']</v>
      </c>
      <c r="D1234" s="3">
        <v>1.0</v>
      </c>
    </row>
    <row r="1235" ht="15.75" customHeight="1">
      <c r="A1235" s="1">
        <v>1316.0</v>
      </c>
      <c r="B1235" s="3" t="s">
        <v>1198</v>
      </c>
      <c r="C1235" s="3" t="str">
        <f>IFERROR(__xludf.DUMMYFUNCTION("GOOGLETRANSLATE(B1235,""id"",""en"")"),"['application', 'idiot', 'buy', 'package', 'kaga', 'enter', 'ampe', 'times',' balance ',' udh ',' chat ',' chat ',' Telkomsel ',' bot ',' ']")</f>
        <v>['application', 'idiot', 'buy', 'package', 'kaga', 'enter', 'ampe', 'times',' balance ',' udh ',' chat ',' chat ',' Telkomsel ',' bot ',' ']</v>
      </c>
      <c r="D1235" s="3">
        <v>1.0</v>
      </c>
    </row>
    <row r="1236" ht="15.75" customHeight="1">
      <c r="A1236" s="1">
        <v>1317.0</v>
      </c>
      <c r="B1236" s="3" t="s">
        <v>1199</v>
      </c>
      <c r="C1236" s="3" t="str">
        <f>IFERROR(__xludf.DUMMYFUNCTION("GOOGLETRANSLATE(B1236,""id"",""en"")"),"['easy', 'safe', 'promo']")</f>
        <v>['easy', 'safe', 'promo']</v>
      </c>
      <c r="D1236" s="3">
        <v>5.0</v>
      </c>
    </row>
    <row r="1237" ht="15.75" customHeight="1">
      <c r="A1237" s="1">
        <v>1318.0</v>
      </c>
      <c r="B1237" s="3" t="s">
        <v>1200</v>
      </c>
      <c r="C1237" s="3" t="str">
        <f>IFERROR(__xludf.DUMMYFUNCTION("GOOGLETRANSLATE(B1237,""id"",""en"")"),"['Love', 'cheap', 'star', '']")</f>
        <v>['Love', 'cheap', 'star', '']</v>
      </c>
      <c r="D1237" s="3">
        <v>5.0</v>
      </c>
    </row>
    <row r="1238" ht="15.75" customHeight="1">
      <c r="A1238" s="1">
        <v>1319.0</v>
      </c>
      <c r="B1238" s="3" t="s">
        <v>1201</v>
      </c>
      <c r="C1238" s="3" t="str">
        <f>IFERROR(__xludf.DUMMYFUNCTION("GOOGLETRANSLATE(B1238,""id"",""en"")"),"['difficult', 'buy', 'package', 'application', 'package', 'Telkomsel', 'package', 'watch', 'doang', 'package', 'monthly', ' Internet ',' Telkomsel ',' expensive ',' internet ',' compared to ',' poor ', ""]")</f>
        <v>['difficult', 'buy', 'package', 'application', 'package', 'Telkomsel', 'package', 'watch', 'doang', 'package', 'monthly', ' Internet ',' Telkomsel ',' expensive ',' internet ',' compared to ',' poor ', "]</v>
      </c>
      <c r="D1238" s="3">
        <v>1.0</v>
      </c>
    </row>
    <row r="1239" ht="15.75" customHeight="1">
      <c r="A1239" s="1">
        <v>1320.0</v>
      </c>
      <c r="B1239" s="3" t="s">
        <v>1184</v>
      </c>
      <c r="C1239" s="3" t="str">
        <f>IFERROR(__xludf.DUMMYFUNCTION("GOOGLETRANSLATE(B1239,""id"",""en"")"),"['Telkomsel', '']")</f>
        <v>['Telkomsel', '']</v>
      </c>
      <c r="D1239" s="3">
        <v>5.0</v>
      </c>
    </row>
    <row r="1240" ht="15.75" customHeight="1">
      <c r="A1240" s="1">
        <v>1321.0</v>
      </c>
      <c r="B1240" s="3" t="s">
        <v>1202</v>
      </c>
      <c r="C1240" s="3" t="str">
        <f>IFERROR(__xludf.DUMMYFUNCTION("GOOGLETRANSLATE(B1240,""id"",""en"")"),"['Telkomsel', 'dead', 'lights', 'delicious', 'play', 'game', 'rotten', 'times', 'signal']")</f>
        <v>['Telkomsel', 'dead', 'lights', 'delicious', 'play', 'game', 'rotten', 'times', 'signal']</v>
      </c>
      <c r="D1240" s="3">
        <v>2.0</v>
      </c>
    </row>
    <row r="1241" ht="15.75" customHeight="1">
      <c r="A1241" s="1">
        <v>1322.0</v>
      </c>
      <c r="B1241" s="3" t="s">
        <v>1203</v>
      </c>
      <c r="C1241" s="3" t="str">
        <f>IFERROR(__xludf.DUMMYFUNCTION("GOOGLETRANSLATE(B1241,""id"",""en"")"),"['interesting', 'thank you', 'gift', 'gift', 'interesting', 'hope', 'lucky']")</f>
        <v>['interesting', 'thank you', 'gift', 'gift', 'interesting', 'hope', 'lucky']</v>
      </c>
      <c r="D1241" s="3">
        <v>5.0</v>
      </c>
    </row>
    <row r="1242" ht="15.75" customHeight="1">
      <c r="A1242" s="1">
        <v>1323.0</v>
      </c>
      <c r="B1242" s="3" t="s">
        <v>1204</v>
      </c>
      <c r="C1242" s="3" t="str">
        <f>IFERROR(__xludf.DUMMYFUNCTION("GOOGLETRANSLATE(B1242,""id"",""en"")"),"['Anjirrrrrrrrrrrr', 'Download', 'told', 'enter', 'number', 'Try', 'enter', 'number', 'no', 'already', 'really', 'fill', ' signs', 'red', 'told', 'repeated', 'how', ""]")</f>
        <v>['Anjirrrrrrrrrrrr', 'Download', 'told', 'enter', 'number', 'Try', 'enter', 'number', 'no', 'already', 'really', 'fill', ' signs', 'red', 'told', 'repeated', 'how', "]</v>
      </c>
      <c r="D1242" s="3">
        <v>2.0</v>
      </c>
    </row>
    <row r="1243" ht="15.75" customHeight="1">
      <c r="A1243" s="1">
        <v>1324.0</v>
      </c>
      <c r="B1243" s="3" t="s">
        <v>1205</v>
      </c>
      <c r="C1243" s="3" t="str">
        <f>IFERROR(__xludf.DUMMYFUNCTION("GOOGLETRANSLATE(B1243,""id"",""en"")"),"['Disruption', 'Error', 'etc.']")</f>
        <v>['Disruption', 'Error', 'etc.']</v>
      </c>
      <c r="D1243" s="3">
        <v>3.0</v>
      </c>
    </row>
    <row r="1244" ht="15.75" customHeight="1">
      <c r="A1244" s="1">
        <v>1325.0</v>
      </c>
      <c r="B1244" s="3" t="s">
        <v>1206</v>
      </c>
      <c r="C1244" s="3" t="str">
        <f>IFERROR(__xludf.DUMMYFUNCTION("GOOGLETRANSLATE(B1244,""id"",""en"")"),"['Lottery', 'Points', 'Telkomsel', 'Real', '']")</f>
        <v>['Lottery', 'Points', 'Telkomsel', 'Real', '']</v>
      </c>
      <c r="D1244" s="3">
        <v>1.0</v>
      </c>
    </row>
    <row r="1245" ht="15.75" customHeight="1">
      <c r="A1245" s="1">
        <v>1326.0</v>
      </c>
      <c r="B1245" s="3" t="s">
        <v>1207</v>
      </c>
      <c r="C1245" s="3" t="str">
        <f>IFERROR(__xludf.DUMMYFUNCTION("GOOGLETRANSLATE(B1245,""id"",""en"")"),"['Option', 'Internet', 'Rb']")</f>
        <v>['Option', 'Internet', 'Rb']</v>
      </c>
      <c r="D1245" s="3">
        <v>3.0</v>
      </c>
    </row>
    <row r="1246" ht="15.75" customHeight="1">
      <c r="A1246" s="1">
        <v>1327.0</v>
      </c>
      <c r="B1246" s="3" t="s">
        <v>1208</v>
      </c>
      <c r="C1246" s="3" t="str">
        <f>IFERROR(__xludf.DUMMYFUNCTION("GOOGLETRANSLATE(B1246,""id"",""en"")"),"['Comment', 'Customer', 'Telkomsel', 'Disappointment', 'Read', 'Hadehhh', 'Proud', 'As a result', 'disappointing', 'Priority', 'convenience', 'Customer', ' ']")</f>
        <v>['Comment', 'Customer', 'Telkomsel', 'Disappointment', 'Read', 'Hadehhh', 'Proud', 'As a result', 'disappointing', 'Priority', 'convenience', 'Customer', ' ']</v>
      </c>
      <c r="D1246" s="3">
        <v>1.0</v>
      </c>
    </row>
    <row r="1247" ht="15.75" customHeight="1">
      <c r="A1247" s="1">
        <v>1328.0</v>
      </c>
      <c r="B1247" s="3" t="s">
        <v>1209</v>
      </c>
      <c r="C1247" s="3" t="str">
        <f>IFERROR(__xludf.DUMMYFUNCTION("GOOGLETRANSLATE(B1247,""id"",""en"")"),"['Severe', 'Telkomsel', 'network', 'slow', 'smooth', 'rich', 'package', 'run out', 'pulse', 'sumps',' package ',' run out ',' NOTICE ',' Credit ',' Sumpot ',' paraaaaaahhhhhhhhh ']")</f>
        <v>['Severe', 'Telkomsel', 'network', 'slow', 'smooth', 'rich', 'package', 'run out', 'pulse', 'sumps',' package ',' run out ',' NOTICE ',' Credit ',' Sumpot ',' paraaaaaahhhhhhhhh ']</v>
      </c>
      <c r="D1247" s="3">
        <v>1.0</v>
      </c>
    </row>
    <row r="1248" ht="15.75" customHeight="1">
      <c r="A1248" s="1">
        <v>1329.0</v>
      </c>
      <c r="B1248" s="3" t="s">
        <v>1210</v>
      </c>
      <c r="C1248" s="3" t="str">
        <f>IFERROR(__xludf.DUMMYFUNCTION("GOOGLETRANSLATE(B1248,""id"",""en"")"),"['Rare', 'Open', 'Males', 'Open', 'Told', 'Ingini', 'Forced', 'Assessment', 'Review', '']")</f>
        <v>['Rare', 'Open', 'Males', 'Open', 'Told', 'Ingini', 'Forced', 'Assessment', 'Review', '']</v>
      </c>
      <c r="D1248" s="3">
        <v>2.0</v>
      </c>
    </row>
    <row r="1249" ht="15.75" customHeight="1">
      <c r="A1249" s="1">
        <v>1330.0</v>
      </c>
      <c r="B1249" s="3" t="s">
        <v>1211</v>
      </c>
      <c r="C1249" s="3" t="str">
        <f>IFERROR(__xludf.DUMMYFUNCTION("GOOGLETRANSLATE(B1249,""id"",""en"")"),"['Telkomsel', 'Please', 'Sorry', 'Pulse', 'Lost']")</f>
        <v>['Telkomsel', 'Please', 'Sorry', 'Pulse', 'Lost']</v>
      </c>
      <c r="D1249" s="3">
        <v>1.0</v>
      </c>
    </row>
    <row r="1250" ht="15.75" customHeight="1">
      <c r="A1250" s="1">
        <v>1331.0</v>
      </c>
      <c r="B1250" s="3" t="s">
        <v>1212</v>
      </c>
      <c r="C1250" s="3" t="str">
        <f>IFERROR(__xludf.DUMMYFUNCTION("GOOGLETRANSLATE(B1250,""id"",""en"")"),"['satisfying', 'Feature']")</f>
        <v>['satisfying', 'Feature']</v>
      </c>
      <c r="D1250" s="3">
        <v>5.0</v>
      </c>
    </row>
    <row r="1251" ht="15.75" customHeight="1">
      <c r="A1251" s="1">
        <v>1333.0</v>
      </c>
      <c r="B1251" s="3" t="s">
        <v>1213</v>
      </c>
      <c r="C1251" s="3" t="str">
        <f>IFERROR(__xludf.DUMMYFUNCTION("GOOGLETRANSLATE(B1251,""id"",""en"")"),"['weeeee', 'error', 'system', 'plan', 'buy', 'package', 'app', 'cheap', 'kantel', 'hadehhhh', 'buy', 'voucher', ' expensive ',' rebuen ',' lucky ',' thousands', ""]")</f>
        <v>['weeeee', 'error', 'system', 'plan', 'buy', 'package', 'app', 'cheap', 'kantel', 'hadehhhh', 'buy', 'voucher', ' expensive ',' rebuen ',' lucky ',' thousands', "]</v>
      </c>
      <c r="D1251" s="3">
        <v>3.0</v>
      </c>
    </row>
    <row r="1252" ht="15.75" customHeight="1">
      <c r="A1252" s="1">
        <v>1334.0</v>
      </c>
      <c r="B1252" s="3" t="s">
        <v>1214</v>
      </c>
      <c r="C1252" s="3" t="str">
        <f>IFERROR(__xludf.DUMMYFUNCTION("GOOGLETRANSLATE(B1252,""id"",""en"")"),"['Jos', 'steady', 'just']")</f>
        <v>['Jos', 'steady', 'just']</v>
      </c>
      <c r="D1252" s="3">
        <v>5.0</v>
      </c>
    </row>
    <row r="1253" ht="15.75" customHeight="1">
      <c r="A1253" s="1">
        <v>1335.0</v>
      </c>
      <c r="B1253" s="3" t="s">
        <v>1215</v>
      </c>
      <c r="C1253" s="3" t="str">
        <f>IFERROR(__xludf.DUMMYFUNCTION("GOOGLETRANSLATE(B1253,""id"",""en"")"),"['service', 'help', 'consumer']")</f>
        <v>['service', 'help', 'consumer']</v>
      </c>
      <c r="D1253" s="3">
        <v>5.0</v>
      </c>
    </row>
    <row r="1254" ht="15.75" customHeight="1">
      <c r="A1254" s="1">
        <v>1336.0</v>
      </c>
      <c r="B1254" s="3" t="s">
        <v>1216</v>
      </c>
      <c r="C1254" s="3" t="str">
        <f>IFERROR(__xludf.DUMMYFUNCTION("GOOGLETRANSLATE(B1254,""id"",""en"")"),"['Purchase', 'pulse', 'package', 'data', 'easy', '']")</f>
        <v>['Purchase', 'pulse', 'package', 'data', 'easy', '']</v>
      </c>
      <c r="D1254" s="3">
        <v>5.0</v>
      </c>
    </row>
    <row r="1255" ht="15.75" customHeight="1">
      <c r="A1255" s="1">
        <v>1337.0</v>
      </c>
      <c r="B1255" s="3" t="s">
        <v>1217</v>
      </c>
      <c r="C1255" s="3" t="str">
        <f>IFERROR(__xludf.DUMMYFUNCTION("GOOGLETRANSLATE(B1255,""id"",""en"")"),"['Open', 'application', 'update', 'pdhal', 'download', 'please', 'repair', ""]")</f>
        <v>['Open', 'application', 'update', 'pdhal', 'download', 'please', 'repair', "]</v>
      </c>
      <c r="D1255" s="3">
        <v>3.0</v>
      </c>
    </row>
    <row r="1256" ht="15.75" customHeight="1">
      <c r="A1256" s="1">
        <v>1338.0</v>
      </c>
      <c r="B1256" s="3" t="s">
        <v>1218</v>
      </c>
      <c r="C1256" s="3" t="str">
        <f>IFERROR(__xludf.DUMMYFUNCTION("GOOGLETRANSLATE(B1256,""id"",""en"")"),"['Steady', 'Telkomsel', 'Look', 'Easy', 'Simple']")</f>
        <v>['Steady', 'Telkomsel', 'Look', 'Easy', 'Simple']</v>
      </c>
      <c r="D1256" s="3">
        <v>5.0</v>
      </c>
    </row>
    <row r="1257" ht="15.75" customHeight="1">
      <c r="A1257" s="1">
        <v>1339.0</v>
      </c>
      <c r="B1257" s="3" t="s">
        <v>1219</v>
      </c>
      <c r="C1257" s="3" t="str">
        <f>IFERROR(__xludf.DUMMYFUNCTION("GOOGLETRANSLATE(B1257,""id"",""en"")"),"['application', 'easy', 'interactive']")</f>
        <v>['application', 'easy', 'interactive']</v>
      </c>
      <c r="D1257" s="3">
        <v>5.0</v>
      </c>
    </row>
    <row r="1258" ht="15.75" customHeight="1">
      <c r="A1258" s="1">
        <v>1341.0</v>
      </c>
      <c r="B1258" s="3" t="s">
        <v>1220</v>
      </c>
      <c r="C1258" s="3" t="str">
        <f>IFERROR(__xludf.DUMMYFUNCTION("GOOGLETRANSLATE(B1258,""id"",""en"")"),"['buy', 'pulse', 'thousand', 'balance', 'balance', 'link', 'cut', 'buy', 'thousand', 'balance', 'link', 'cut', ' Credit ',' enter ',' ']")</f>
        <v>['buy', 'pulse', 'thousand', 'balance', 'balance', 'link', 'cut', 'buy', 'thousand', 'balance', 'link', 'cut', ' Credit ',' enter ',' ']</v>
      </c>
      <c r="D1258" s="3">
        <v>2.0</v>
      </c>
    </row>
    <row r="1259" ht="15.75" customHeight="1">
      <c r="A1259" s="1">
        <v>1342.0</v>
      </c>
      <c r="B1259" s="3" t="s">
        <v>1221</v>
      </c>
      <c r="C1259" s="3" t="str">
        <f>IFERROR(__xludf.DUMMYFUNCTION("GOOGLETRANSLATE(B1259,""id"",""en"")"),"['Satisfied', 'card', 'Hello', 'Telkomsel']")</f>
        <v>['Satisfied', 'card', 'Hello', 'Telkomsel']</v>
      </c>
      <c r="D1259" s="3">
        <v>5.0</v>
      </c>
    </row>
    <row r="1260" ht="15.75" customHeight="1">
      <c r="A1260" s="1">
        <v>1343.0</v>
      </c>
      <c r="B1260" s="3" t="s">
        <v>1222</v>
      </c>
      <c r="C1260" s="3" t="str">
        <f>IFERROR(__xludf.DUMMYFUNCTION("GOOGLETRANSLATE(B1260,""id"",""en"")"),"['package', 'quota', 'buy', 'list', 'package', 'expensive', 'pulse', 'rb', 'buy', 'promo', 'access',' replace ',' Provider ',' ']")</f>
        <v>['package', 'quota', 'buy', 'list', 'package', 'expensive', 'pulse', 'rb', 'buy', 'promo', 'access',' replace ',' Provider ',' ']</v>
      </c>
      <c r="D1260" s="3">
        <v>1.0</v>
      </c>
    </row>
    <row r="1261" ht="15.75" customHeight="1">
      <c r="A1261" s="1">
        <v>1344.0</v>
      </c>
      <c r="B1261" s="3" t="s">
        <v>1223</v>
      </c>
      <c r="C1261" s="3" t="str">
        <f>IFERROR(__xludf.DUMMYFUNCTION("GOOGLETRANSLATE(B1261,""id"",""en"")"),"['Wiw', 'steady', 'APL', 'hurry', 'Download', '']")</f>
        <v>['Wiw', 'steady', 'APL', 'hurry', 'Download', '']</v>
      </c>
      <c r="D1261" s="3">
        <v>4.0</v>
      </c>
    </row>
    <row r="1262" ht="15.75" customHeight="1">
      <c r="A1262" s="1">
        <v>1345.0</v>
      </c>
      <c r="B1262" s="3" t="s">
        <v>1224</v>
      </c>
      <c r="C1262" s="3" t="str">
        <f>IFERROR(__xludf.DUMMYFUNCTION("GOOGLETRANSLATE(B1262,""id"",""en"")"),"['woi', 'udh', 'expensive', 'network', 'ssh', 'watch', 'youtube', 'muter', 'mulu', 'open', 'tiktok', 'watch', ' Story ',' play ',' games', 'down', 'expensive', 'price', 'quota', 'GB', 'skrng', 'GB', 'skrng', 'pandemic', 'CRI' , 'money', 'ssh', 'mahalin', "&amp;"'stupid', 'dhlh', 'understand', 'cri', 'money', 'ssh', 'please', 'expensive', ' network ',' delicious', 'GPP', 'expensive', 'network', 'slow', 'please', 'expensive', 'quota', ""]")</f>
        <v>['woi', 'udh', 'expensive', 'network', 'ssh', 'watch', 'youtube', 'muter', 'mulu', 'open', 'tiktok', 'watch', ' Story ',' play ',' games', 'down', 'expensive', 'price', 'quota', 'GB', 'skrng', 'GB', 'skrng', 'pandemic', 'CRI' , 'money', 'ssh', 'mahalin', 'stupid', 'dhlh', 'understand', 'cri', 'money', 'ssh', 'please', 'expensive', ' network ',' delicious', 'GPP', 'expensive', 'network', 'slow', 'please', 'expensive', 'quota', "]</v>
      </c>
      <c r="D1262" s="3">
        <v>1.0</v>
      </c>
    </row>
    <row r="1263" ht="15.75" customHeight="1">
      <c r="A1263" s="1">
        <v>1346.0</v>
      </c>
      <c r="B1263" s="3" t="s">
        <v>1225</v>
      </c>
      <c r="C1263" s="3" t="str">
        <f>IFERROR(__xludf.DUMMYFUNCTION("GOOGLETRANSLATE(B1263,""id"",""en"")"),"['makes it easier', 'buy', 'Package', 'Offer', '']")</f>
        <v>['makes it easier', 'buy', 'Package', 'Offer', '']</v>
      </c>
      <c r="D1263" s="3">
        <v>5.0</v>
      </c>
    </row>
    <row r="1264" ht="15.75" customHeight="1">
      <c r="A1264" s="1">
        <v>1347.0</v>
      </c>
      <c r="B1264" s="3" t="s">
        <v>600</v>
      </c>
      <c r="C1264" s="3" t="str">
        <f>IFERROR(__xludf.DUMMYFUNCTION("GOOGLETRANSLATE(B1264,""id"",""en"")"),"['Application', 'Good', '']")</f>
        <v>['Application', 'Good', '']</v>
      </c>
      <c r="D1264" s="3">
        <v>5.0</v>
      </c>
    </row>
    <row r="1265" ht="15.75" customHeight="1">
      <c r="A1265" s="1">
        <v>1348.0</v>
      </c>
      <c r="B1265" s="3" t="s">
        <v>1226</v>
      </c>
      <c r="C1265" s="3" t="str">
        <f>IFERROR(__xludf.DUMMYFUNCTION("GOOGLETRANSLATE(B1265,""id"",""en"")"),"['application', 'provider', 'complete', 'function', '']")</f>
        <v>['application', 'provider', 'complete', 'function', '']</v>
      </c>
      <c r="D1265" s="3">
        <v>5.0</v>
      </c>
    </row>
    <row r="1266" ht="15.75" customHeight="1">
      <c r="A1266" s="1">
        <v>1349.0</v>
      </c>
      <c r="B1266" s="3" t="s">
        <v>1227</v>
      </c>
      <c r="C1266" s="3" t="str">
        <f>IFERROR(__xludf.DUMMYFUNCTION("GOOGLETRANSLATE(B1266,""id"",""en"")"),"['Telkomsel', 'My Area', 'Like', 'Lost', 'Lost', 'Sousal', 'Problem', 'Comfortable', 'Thank you', '']")</f>
        <v>['Telkomsel', 'My Area', 'Like', 'Lost', 'Lost', 'Sousal', 'Problem', 'Comfortable', 'Thank you', '']</v>
      </c>
      <c r="D1266" s="3">
        <v>3.0</v>
      </c>
    </row>
    <row r="1267" ht="15.75" customHeight="1">
      <c r="A1267" s="1">
        <v>1350.0</v>
      </c>
      <c r="B1267" s="3" t="s">
        <v>1228</v>
      </c>
      <c r="C1267" s="3" t="str">
        <f>IFERROR(__xludf.DUMMYFUNCTION("GOOGLETRANSLATE(B1267,""id"",""en"")"),"['Lally', 'promo', 'love', 'sympathy']")</f>
        <v>['Lally', 'promo', 'love', 'sympathy']</v>
      </c>
      <c r="D1267" s="3">
        <v>5.0</v>
      </c>
    </row>
    <row r="1268" ht="15.75" customHeight="1">
      <c r="A1268" s="1">
        <v>1351.0</v>
      </c>
      <c r="B1268" s="3" t="s">
        <v>1229</v>
      </c>
      <c r="C1268" s="3" t="str">
        <f>IFERROR(__xludf.DUMMYFUNCTION("GOOGLETRANSLATE(B1268,""id"",""en"")"),"['card', 'package', 'cheap', 'use', 'katu', 'cry', 'indosiar']")</f>
        <v>['card', 'package', 'cheap', 'use', 'katu', 'cry', 'indosiar']</v>
      </c>
      <c r="D1268" s="3">
        <v>5.0</v>
      </c>
    </row>
    <row r="1269" ht="15.75" customHeight="1">
      <c r="A1269" s="1">
        <v>1352.0</v>
      </c>
      <c r="B1269" s="3" t="s">
        <v>1230</v>
      </c>
      <c r="C1269" s="3" t="str">
        <f>IFERROR(__xludf.DUMMYFUNCTION("GOOGLETRANSLATE(B1269,""id"",""en"")"),"['Mah', 'Telkomsel', 'I hope', 'Jaya', 'Kian', 'populat']")</f>
        <v>['Mah', 'Telkomsel', 'I hope', 'Jaya', 'Kian', 'populat']</v>
      </c>
      <c r="D1269" s="3">
        <v>4.0</v>
      </c>
    </row>
    <row r="1270" ht="15.75" customHeight="1">
      <c r="A1270" s="1">
        <v>1353.0</v>
      </c>
      <c r="B1270" s="3" t="s">
        <v>1231</v>
      </c>
      <c r="C1270" s="3" t="str">
        <f>IFERROR(__xludf.DUMMYFUNCTION("GOOGLETRANSLATE(B1270,""id"",""en"")"),"['Good', 'Telkomsel']")</f>
        <v>['Good', 'Telkomsel']</v>
      </c>
      <c r="D1270" s="3">
        <v>5.0</v>
      </c>
    </row>
    <row r="1271" ht="15.75" customHeight="1">
      <c r="A1271" s="1">
        <v>1355.0</v>
      </c>
      <c r="B1271" s="3" t="s">
        <v>1232</v>
      </c>
      <c r="C1271" s="3" t="str">
        <f>IFERROR(__xludf.DUMMYFUNCTION("GOOGLETRANSLATE(B1271,""id"",""en"")"),"['Sorry', 'Reduce', 'Star', 'Signal', 'Like', 'Ngehank', 'Causes',' Credit ',' Main ',' Cutting ',' Automatic ',' Telkomsel ',' icon ',' signal ',' full ',' changed ',' assessment ',' ']")</f>
        <v>['Sorry', 'Reduce', 'Star', 'Signal', 'Like', 'Ngehank', 'Causes',' Credit ',' Main ',' Cutting ',' Automatic ',' Telkomsel ',' icon ',' signal ',' full ',' changed ',' assessment ',' ']</v>
      </c>
      <c r="D1271" s="3">
        <v>2.0</v>
      </c>
    </row>
    <row r="1272" ht="15.75" customHeight="1">
      <c r="A1272" s="1">
        <v>1356.0</v>
      </c>
      <c r="B1272" s="3" t="s">
        <v>1233</v>
      </c>
      <c r="C1272" s="3" t="str">
        <f>IFERROR(__xludf.DUMMYFUNCTION("GOOGLETRANSLATE(B1272,""id"",""en"")"),"['Damn', 'Lansung', 'Sumpot', 'Out', 'Credit', 'Cave', 'Ngak', 'Can', 'Trusted', ""]")</f>
        <v>['Damn', 'Lansung', 'Sumpot', 'Out', 'Credit', 'Cave', 'Ngak', 'Can', 'Trusted', "]</v>
      </c>
      <c r="D1272" s="3">
        <v>1.0</v>
      </c>
    </row>
    <row r="1273" ht="15.75" customHeight="1">
      <c r="A1273" s="1">
        <v>1357.0</v>
      </c>
      <c r="B1273" s="3" t="s">
        <v>1234</v>
      </c>
      <c r="C1273" s="3" t="str">
        <f>IFERROR(__xludf.DUMMYFUNCTION("GOOGLETRANSLATE(B1273,""id"",""en"")"),"['loyal', 'Telkomsel', '']")</f>
        <v>['loyal', 'Telkomsel', '']</v>
      </c>
      <c r="D1273" s="3">
        <v>5.0</v>
      </c>
    </row>
    <row r="1274" ht="15.75" customHeight="1">
      <c r="A1274" s="1">
        <v>1358.0</v>
      </c>
      <c r="B1274" s="3" t="s">
        <v>1235</v>
      </c>
      <c r="C1274" s="3" t="str">
        <f>IFERROR(__xludf.DUMMYFUNCTION("GOOGLETRANSLATE(B1274,""id"",""en"")"),"['Hopefully', 'Telkomsel', 'Disconnect', 'Connect', 'The Cable', 'Greetings', 'Healthy', ""]")</f>
        <v>['Hopefully', 'Telkomsel', 'Disconnect', 'Connect', 'The Cable', 'Greetings', 'Healthy', "]</v>
      </c>
      <c r="D1274" s="3">
        <v>5.0</v>
      </c>
    </row>
    <row r="1275" ht="15.75" customHeight="1">
      <c r="A1275" s="1">
        <v>1359.0</v>
      </c>
      <c r="B1275" s="3" t="s">
        <v>1236</v>
      </c>
      <c r="C1275" s="3" t="str">
        <f>IFERROR(__xludf.DUMMYFUNCTION("GOOGLETRANSLATE(B1275,""id"",""en"")"),"['Steady', 'help']")</f>
        <v>['Steady', 'help']</v>
      </c>
      <c r="D1275" s="3">
        <v>5.0</v>
      </c>
    </row>
    <row r="1276" ht="15.75" customHeight="1">
      <c r="A1276" s="1">
        <v>1360.0</v>
      </c>
      <c r="B1276" s="3" t="s">
        <v>1237</v>
      </c>
      <c r="C1276" s="3" t="str">
        <f>IFERROR(__xludf.DUMMYFUNCTION("GOOGLETRANSLATE(B1276,""id"",""en"")"),"['Sorry', 'application', 'missed', 'contents', 'package', 'ngak', 'enter', 'fraud', 'application']")</f>
        <v>['Sorry', 'application', 'missed', 'contents', 'package', 'ngak', 'enter', 'fraud', 'application']</v>
      </c>
      <c r="D1276" s="3">
        <v>1.0</v>
      </c>
    </row>
    <row r="1277" ht="15.75" customHeight="1">
      <c r="A1277" s="1">
        <v>1361.0</v>
      </c>
      <c r="B1277" s="3" t="s">
        <v>1238</v>
      </c>
      <c r="C1277" s="3" t="str">
        <f>IFERROR(__xludf.DUMMYFUNCTION("GOOGLETRANSLATE(B1277,""id"",""en"")"),"['Disappointed', 'Performance', 'Network', 'Telkomsel', 'Decreases',' Customer ',' Bold ',' Pay ',' Expensive ',' Network ',' Good ',' Network ',' bad', '']")</f>
        <v>['Disappointed', 'Performance', 'Network', 'Telkomsel', 'Decreases',' Customer ',' Bold ',' Pay ',' Expensive ',' Network ',' Good ',' Network ',' bad', '']</v>
      </c>
      <c r="D1277" s="3">
        <v>1.0</v>
      </c>
    </row>
    <row r="1278" ht="15.75" customHeight="1">
      <c r="A1278" s="1">
        <v>1362.0</v>
      </c>
      <c r="B1278" s="3" t="s">
        <v>1239</v>
      </c>
      <c r="C1278" s="3" t="str">
        <f>IFERROR(__xludf.DUMMYFUNCTION("GOOGLETRANSLATE(B1278,""id"",""en"")"),"['Model', 'Contents', 'Package', 'Kom', 'Disruption', 'Sampe', 'Strange']")</f>
        <v>['Model', 'Contents', 'Package', 'Kom', 'Disruption', 'Sampe', 'Strange']</v>
      </c>
      <c r="D1278" s="3">
        <v>4.0</v>
      </c>
    </row>
    <row r="1279" ht="15.75" customHeight="1">
      <c r="A1279" s="1">
        <v>1363.0</v>
      </c>
      <c r="B1279" s="3" t="s">
        <v>1240</v>
      </c>
      <c r="C1279" s="3" t="str">
        <f>IFERROR(__xludf.DUMMYFUNCTION("GOOGLETRANSLATE(B1279,""id"",""en"")"),"['Contents',' quota ',' GB ',' KNPA ',' enter ',' quota ',' already ',' success', 'payment', 'contents',' pulse ',' enter ',' even though ',' already ',' Cut ',' balance ',' now ',' contents', 'rb', 'pulse', 'enter', 'kmna', 'woyyy', 'money', 'ilang' , 'E"&amp;"nter', 'KMNA', 'pulse']")</f>
        <v>['Contents',' quota ',' GB ',' KNPA ',' enter ',' quota ',' already ',' success', 'payment', 'contents',' pulse ',' enter ',' even though ',' already ',' Cut ',' balance ',' now ',' contents', 'rb', 'pulse', 'enter', 'kmna', 'woyyy', 'money', 'ilang' , 'Enter', 'KMNA', 'pulse']</v>
      </c>
      <c r="D1279" s="3">
        <v>1.0</v>
      </c>
    </row>
    <row r="1280" ht="15.75" customHeight="1">
      <c r="A1280" s="1">
        <v>1364.0</v>
      </c>
      <c r="B1280" s="3" t="s">
        <v>1241</v>
      </c>
      <c r="C1280" s="3" t="str">
        <f>IFERROR(__xludf.DUMMYFUNCTION("GOOGLETRANSLATE(B1280,""id"",""en"")"),"['Telkom', 'Error']")</f>
        <v>['Telkom', 'Error']</v>
      </c>
      <c r="D1280" s="3">
        <v>2.0</v>
      </c>
    </row>
    <row r="1281" ht="15.75" customHeight="1">
      <c r="A1281" s="1">
        <v>1366.0</v>
      </c>
      <c r="B1281" s="3" t="s">
        <v>1242</v>
      </c>
      <c r="C1281" s="3" t="str">
        <f>IFERROR(__xludf.DUMMYFUNCTION("GOOGLETRANSLATE(B1281,""id"",""en"")"),"['Muffs']")</f>
        <v>['Muffs']</v>
      </c>
      <c r="D1281" s="3">
        <v>1.0</v>
      </c>
    </row>
    <row r="1282" ht="15.75" customHeight="1">
      <c r="A1282" s="1">
        <v>1367.0</v>
      </c>
      <c r="B1282" s="3" t="s">
        <v>1243</v>
      </c>
      <c r="C1282" s="3" t="str">
        <f>IFERROR(__xludf.DUMMYFUNCTION("GOOGLETRANSLATE(B1282,""id"",""en"")"),"['Bismillah', 'hope', 'winner']")</f>
        <v>['Bismillah', 'hope', 'winner']</v>
      </c>
      <c r="D1282" s="3">
        <v>5.0</v>
      </c>
    </row>
    <row r="1283" ht="15.75" customHeight="1">
      <c r="A1283" s="1">
        <v>1368.0</v>
      </c>
      <c r="B1283" s="3" t="s">
        <v>1244</v>
      </c>
      <c r="C1283" s="3" t="str">
        <f>IFERROR(__xludf.DUMMYFUNCTION("GOOGLETRANSLATE(B1283,""id"",""en"")"),"['buy', 'package', 'clock', 'balance', 'box', 'cut', 'package', 'active', 'Telkomsel', ""]")</f>
        <v>['buy', 'package', 'clock', 'balance', 'box', 'cut', 'package', 'active', 'Telkomsel', "]</v>
      </c>
      <c r="D1283" s="3">
        <v>2.0</v>
      </c>
    </row>
    <row r="1284" ht="15.75" customHeight="1">
      <c r="A1284" s="1">
        <v>1369.0</v>
      </c>
      <c r="B1284" s="3" t="s">
        <v>1245</v>
      </c>
      <c r="C1284" s="3" t="str">
        <f>IFERROR(__xludf.DUMMYFUNCTION("GOOGLETRANSLATE(B1284,""id"",""en"")"),"['feeling', 'error', 'deh', '']")</f>
        <v>['feeling', 'error', 'deh', '']</v>
      </c>
      <c r="D1284" s="3">
        <v>3.0</v>
      </c>
    </row>
    <row r="1285" ht="15.75" customHeight="1">
      <c r="A1285" s="1">
        <v>1370.0</v>
      </c>
      <c r="B1285" s="3" t="s">
        <v>1246</v>
      </c>
      <c r="C1285" s="3" t="str">
        <f>IFERROR(__xludf.DUMMYFUNCTION("GOOGLETRANSLATE(B1285,""id"",""en"")"),"['buy', 'package', 'application', 'enter', 'cut', 'balance', 'contact', 'nyut', 'bot']")</f>
        <v>['buy', 'package', 'application', 'enter', 'cut', 'balance', 'contact', 'nyut', 'bot']</v>
      </c>
      <c r="D1285" s="3">
        <v>1.0</v>
      </c>
    </row>
    <row r="1286" ht="15.75" customHeight="1">
      <c r="A1286" s="1">
        <v>1371.0</v>
      </c>
      <c r="B1286" s="3" t="s">
        <v>1247</v>
      </c>
      <c r="C1286" s="3" t="str">
        <f>IFERROR(__xludf.DUMMYFUNCTION("GOOGLETRANSLATE(B1286,""id"",""en"")"),"['Star', 'Talk', ""]")</f>
        <v>['Star', 'Talk', "]</v>
      </c>
      <c r="D1286" s="3">
        <v>5.0</v>
      </c>
    </row>
    <row r="1287" ht="15.75" customHeight="1">
      <c r="A1287" s="1">
        <v>1372.0</v>
      </c>
      <c r="B1287" s="3" t="s">
        <v>1248</v>
      </c>
      <c r="C1287" s="3" t="str">
        <f>IFERROR(__xludf.DUMMYFUNCTION("GOOGLETRANSLATE(B1287,""id"",""en"")"),"['user', 'hope', 'application', 'useful']")</f>
        <v>['user', 'hope', 'application', 'useful']</v>
      </c>
      <c r="D1287" s="3">
        <v>4.0</v>
      </c>
    </row>
    <row r="1288" ht="15.75" customHeight="1">
      <c r="A1288" s="1">
        <v>1373.0</v>
      </c>
      <c r="B1288" s="3" t="s">
        <v>1249</v>
      </c>
      <c r="C1288" s="3" t="str">
        <f>IFERROR(__xludf.DUMMYFUNCTION("GOOGLETRANSLATE(B1288,""id"",""en"")"),"['pulse', 'suck', 'notification', 'buy', 'quota', 'night', 'clock', 'pulse', 'sucked', 'notification', 'explanation', 'service', ' Value ',' disappointed ',' service ',' Telkomsel ',' cheater ']")</f>
        <v>['pulse', 'suck', 'notification', 'buy', 'quota', 'night', 'clock', 'pulse', 'sucked', 'notification', 'explanation', 'service', ' Value ',' disappointed ',' service ',' Telkomsel ',' cheater ']</v>
      </c>
      <c r="D1288" s="3">
        <v>1.0</v>
      </c>
    </row>
    <row r="1289" ht="15.75" customHeight="1">
      <c r="A1289" s="1">
        <v>1374.0</v>
      </c>
      <c r="B1289" s="3" t="s">
        <v>1250</v>
      </c>
      <c r="C1289" s="3" t="str">
        <f>IFERROR(__xludf.DUMMYFUNCTION("GOOGLETRANSLATE(B1289,""id"",""en"")"),"['Help', 'quota', 'dying']")</f>
        <v>['Help', 'quota', 'dying']</v>
      </c>
      <c r="D1289" s="3">
        <v>5.0</v>
      </c>
    </row>
    <row r="1290" ht="15.75" customHeight="1">
      <c r="A1290" s="1">
        <v>1375.0</v>
      </c>
      <c r="B1290" s="3" t="s">
        <v>1251</v>
      </c>
      <c r="C1290" s="3" t="str">
        <f>IFERROR(__xludf.DUMMYFUNCTION("GOOGLETRANSLATE(B1290,""id"",""en"")"),"['Mantul', 'staple', ""]")</f>
        <v>['Mantul', 'staple', "]</v>
      </c>
      <c r="D1290" s="3">
        <v>5.0</v>
      </c>
    </row>
    <row r="1291" ht="15.75" customHeight="1">
      <c r="A1291" s="1">
        <v>1376.0</v>
      </c>
      <c r="B1291" s="3" t="s">
        <v>1252</v>
      </c>
      <c r="C1291" s="3" t="str">
        <f>IFERROR(__xludf.DUMMYFUNCTION("GOOGLETRANSLATE(B1291,""id"",""en"")"),"['Severe', 'Telkomsel', 'buy', 'package', 'combo', 'say it', 'pulses',' pulses', 'pulse', 'pulse', 'horror', 'see', ' System ',' See ',' ']")</f>
        <v>['Severe', 'Telkomsel', 'buy', 'package', 'combo', 'say it', 'pulses',' pulses', 'pulse', 'pulse', 'horror', 'see', ' System ',' See ',' ']</v>
      </c>
      <c r="D1291" s="3">
        <v>2.0</v>
      </c>
    </row>
    <row r="1292" ht="15.75" customHeight="1">
      <c r="A1292" s="1">
        <v>1377.0</v>
      </c>
      <c r="B1292" s="3" t="s">
        <v>1253</v>
      </c>
      <c r="C1292" s="3" t="str">
        <f>IFERROR(__xludf.DUMMYFUNCTION("GOOGLETRANSLATE(B1292,""id"",""en"")"),"['Telkomsel', 'network', 'slow', 'Telkomsel', 'GPP', 'expensive', 'network', 'good', 'disappointed', 'really', 'network', 'Telkomsel', ' Now ',' Switch ',' Yellow ',' Package ',' Cheap ',' Network ',' Good ',' Fix ',' Run ',' Customer ',' Telkomsel ', ""]")</f>
        <v>['Telkomsel', 'network', 'slow', 'Telkomsel', 'GPP', 'expensive', 'network', 'good', 'disappointed', 'really', 'network', 'Telkomsel', ' Now ',' Switch ',' Yellow ',' Package ',' Cheap ',' Network ',' Good ',' Fix ',' Run ',' Customer ',' Telkomsel ', "]</v>
      </c>
      <c r="D1292" s="3">
        <v>1.0</v>
      </c>
    </row>
    <row r="1293" ht="15.75" customHeight="1">
      <c r="A1293" s="1">
        <v>1378.0</v>
      </c>
      <c r="B1293" s="3" t="s">
        <v>1254</v>
      </c>
      <c r="C1293" s="3" t="str">
        <f>IFERROR(__xludf.DUMMYFUNCTION("GOOGLETRANSLATE(B1293,""id"",""en"")"),"['Leet', 'Open', 'MyTelkomsel', '']")</f>
        <v>['Leet', 'Open', 'MyTelkomsel', '']</v>
      </c>
      <c r="D1293" s="3">
        <v>5.0</v>
      </c>
    </row>
    <row r="1294" ht="15.75" customHeight="1">
      <c r="A1294" s="1">
        <v>1379.0</v>
      </c>
      <c r="B1294" s="3" t="s">
        <v>1255</v>
      </c>
      <c r="C1294" s="3" t="str">
        <f>IFERROR(__xludf.DUMMYFUNCTION("GOOGLETRANSLATE(B1294,""id"",""en"")"),"['disappointing', 'slow', 'quota', 'wasteful', 'unlimitied', 'quota', 'main', 'run out', '']")</f>
        <v>['disappointing', 'slow', 'quota', 'wasteful', 'unlimitied', 'quota', 'main', 'run out', '']</v>
      </c>
      <c r="D1294" s="3">
        <v>1.0</v>
      </c>
    </row>
    <row r="1295" ht="15.75" customHeight="1">
      <c r="A1295" s="1">
        <v>1380.0</v>
      </c>
      <c r="B1295" s="3" t="s">
        <v>1256</v>
      </c>
      <c r="C1295" s="3" t="str">
        <f>IFERROR(__xludf.DUMMYFUNCTION("GOOGLETRANSLATE(B1295,""id"",""en"")"),"['Severe', 'signal', 'already', 'kayak', 'price', 'expensive', 'ngelag', 'severe', 'muter', 'mulu', 'kek', 'snail', ' Kouta ',' Abis', 'Angus',' Best ',' LM ',' LM ',' Signal ',' No ',' Already ',' Card ',' Cave ',' Patahin ', ""]")</f>
        <v>['Severe', 'signal', 'already', 'kayak', 'price', 'expensive', 'ngelag', 'severe', 'muter', 'mulu', 'kek', 'snail', ' Kouta ',' Abis', 'Angus',' Best ',' LM ',' LM ',' Signal ',' No ',' Already ',' Card ',' Cave ',' Patahin ', "]</v>
      </c>
      <c r="D1295" s="3">
        <v>1.0</v>
      </c>
    </row>
    <row r="1296" ht="15.75" customHeight="1">
      <c r="A1296" s="1">
        <v>1381.0</v>
      </c>
      <c r="B1296" s="3" t="s">
        <v>1257</v>
      </c>
      <c r="C1296" s="3" t="str">
        <f>IFERROR(__xludf.DUMMYFUNCTION("GOOGLETRANSLATE(B1296,""id"",""en"")"),"['signal', 'Kenceng', 'Voice']")</f>
        <v>['signal', 'Kenceng', 'Voice']</v>
      </c>
      <c r="D1296" s="3">
        <v>4.0</v>
      </c>
    </row>
    <row r="1297" ht="15.75" customHeight="1">
      <c r="A1297" s="1">
        <v>1382.0</v>
      </c>
      <c r="B1297" s="3" t="s">
        <v>127</v>
      </c>
      <c r="C1297" s="3" t="str">
        <f>IFERROR(__xludf.DUMMYFUNCTION("GOOGLETRANSLATE(B1297,""id"",""en"")"),"['Package', 'Internet', 'expensive']")</f>
        <v>['Package', 'Internet', 'expensive']</v>
      </c>
      <c r="D1297" s="3">
        <v>4.0</v>
      </c>
    </row>
    <row r="1298" ht="15.75" customHeight="1">
      <c r="A1298" s="1">
        <v>1383.0</v>
      </c>
      <c r="B1298" s="3" t="s">
        <v>1258</v>
      </c>
      <c r="C1298" s="3" t="str">
        <f>IFERROR(__xludf.DUMMYFUNCTION("GOOGLETRANSLATE(B1298,""id"",""en"")"),"['suitable', 'use', 'card', 'Telkomsel', 'area', 'stay']")</f>
        <v>['suitable', 'use', 'card', 'Telkomsel', 'area', 'stay']</v>
      </c>
      <c r="D1298" s="3">
        <v>5.0</v>
      </c>
    </row>
    <row r="1299" ht="15.75" customHeight="1">
      <c r="A1299" s="1">
        <v>1384.0</v>
      </c>
      <c r="B1299" s="3" t="s">
        <v>1259</v>
      </c>
      <c r="C1299" s="3" t="str">
        <f>IFERROR(__xludf.DUMMYFUNCTION("GOOGLETRANSLATE(B1299,""id"",""en"")"),"['', 'times',' transactions', 'payment', 'via', 'shope', 'success',' tsel ',' notif ',' high school ',' skli ',' transaction ',' succeed ',' disappear ',' balance ',' shopepay ',' poor ',' tsel ',' ']")</f>
        <v>['', 'times',' transactions', 'payment', 'via', 'shope', 'success',' tsel ',' notif ',' high school ',' skli ',' transaction ',' succeed ',' disappear ',' balance ',' shopepay ',' poor ',' tsel ',' ']</v>
      </c>
      <c r="D1299" s="3">
        <v>1.0</v>
      </c>
    </row>
    <row r="1300" ht="15.75" customHeight="1">
      <c r="A1300" s="1">
        <v>1385.0</v>
      </c>
      <c r="B1300" s="3" t="s">
        <v>1260</v>
      </c>
      <c r="C1300" s="3" t="str">
        <f>IFERROR(__xludf.DUMMYFUNCTION("GOOGLETRANSLATE(B1300,""id"",""en"")"),"['Not bad', 'Helpful', 'Sometimes', 'Signal', 'Telkomsel', 'Lost', 'Use', 'Maen', 'Game', 'Online', 'lag', ""]")</f>
        <v>['Not bad', 'Helpful', 'Sometimes', 'Signal', 'Telkomsel', 'Lost', 'Use', 'Maen', 'Game', 'Online', 'lag', "]</v>
      </c>
      <c r="D1300" s="3">
        <v>4.0</v>
      </c>
    </row>
    <row r="1301" ht="15.75" customHeight="1">
      <c r="A1301" s="1">
        <v>1386.0</v>
      </c>
      <c r="B1301" s="3" t="s">
        <v>1261</v>
      </c>
      <c r="C1301" s="3" t="str">
        <f>IFERROR(__xludf.DUMMYFUNCTION("GOOGLETRANSLATE(B1301,""id"",""en"")"),"['Kirain', 'update', 'good', 'ugly', 'like', 'enter', 'tell', 'connection', 'internet', 'data', 'activity', 'what', ' PDAH ',' PKE ',' TSEL ',' Network ',' APK ',' abal ',' abal ',' update ',' apk ',' efficient ',' thorough ',' customer ',' satisfied ' , "&amp;"'Satisfied', 'happy', 'good', 'profitable', '']")</f>
        <v>['Kirain', 'update', 'good', 'ugly', 'like', 'enter', 'tell', 'connection', 'internet', 'data', 'activity', 'what', ' PDAH ',' PKE ',' TSEL ',' Network ',' APK ',' abal ',' abal ',' update ',' apk ',' efficient ',' thorough ',' customer ',' satisfied ' , 'Satisfied', 'happy', 'good', 'profitable', '']</v>
      </c>
      <c r="D1301" s="3">
        <v>2.0</v>
      </c>
    </row>
    <row r="1302" ht="15.75" customHeight="1">
      <c r="A1302" s="1">
        <v>1387.0</v>
      </c>
      <c r="B1302" s="3" t="s">
        <v>1262</v>
      </c>
      <c r="C1302" s="3" t="str">
        <f>IFERROR(__xludf.DUMMYFUNCTION("GOOGLETRANSLATE(B1302,""id"",""en"")"),"['Masuppp', 'help']")</f>
        <v>['Masuppp', 'help']</v>
      </c>
      <c r="D1302" s="3">
        <v>5.0</v>
      </c>
    </row>
    <row r="1303" ht="15.75" customHeight="1">
      <c r="A1303" s="1">
        <v>1388.0</v>
      </c>
      <c r="B1303" s="3" t="s">
        <v>1263</v>
      </c>
      <c r="C1303" s="3" t="str">
        <f>IFERROR(__xludf.DUMMYFUNCTION("GOOGLETRANSLATE(B1303,""id"",""en"")"),"['Hopefully', 'application', 'Success', 'application', 'uses']")</f>
        <v>['Hopefully', 'application', 'Success', 'application', 'uses']</v>
      </c>
      <c r="D1303" s="3">
        <v>5.0</v>
      </c>
    </row>
    <row r="1304" ht="15.75" customHeight="1">
      <c r="A1304" s="1">
        <v>1389.0</v>
      </c>
      <c r="B1304" s="3" t="s">
        <v>1264</v>
      </c>
      <c r="C1304" s="3" t="str">
        <f>IFERROR(__xludf.DUMMYFUNCTION("GOOGLETRANSLATE(B1304,""id"",""en"")"),"['Error', 'gabisa', 'buy', 'quota', 'payment', 'shopeepay', 'restricted', 'minimum', 'purchase', ""]")</f>
        <v>['Error', 'gabisa', 'buy', 'quota', 'payment', 'shopeepay', 'restricted', 'minimum', 'purchase', "]</v>
      </c>
      <c r="D1304" s="3">
        <v>1.0</v>
      </c>
    </row>
    <row r="1305" ht="15.75" customHeight="1">
      <c r="A1305" s="1">
        <v>1390.0</v>
      </c>
      <c r="B1305" s="3" t="s">
        <v>1265</v>
      </c>
      <c r="C1305" s="3" t="str">
        <f>IFERROR(__xludf.DUMMYFUNCTION("GOOGLETRANSLATE(B1305,""id"",""en"")"),"['Geretet', 'Make', 'Telkomsel', 'skrg', 'oath', 'gamer', 'threat', 'rank', 'play', 'provider', 'udh', 'emotion', ' Telkomsel ',' skrg ',' UDH ',' Switch ',' Provider ',' Imagine ',' Try ',' Emotion ',' Game ',' eehh ',' Network ',' ilang ',' oath ' , 'ch"&amp;"aotic', 'Telkomsel']")</f>
        <v>['Geretet', 'Make', 'Telkomsel', 'skrg', 'oath', 'gamer', 'threat', 'rank', 'play', 'provider', 'udh', 'emotion', ' Telkomsel ',' skrg ',' UDH ',' Switch ',' Provider ',' Imagine ',' Try ',' Emotion ',' Game ',' eehh ',' Network ',' ilang ',' oath ' , 'chaotic', 'Telkomsel']</v>
      </c>
      <c r="D1305" s="3">
        <v>1.0</v>
      </c>
    </row>
    <row r="1306" ht="15.75" customHeight="1">
      <c r="A1306" s="1">
        <v>1391.0</v>
      </c>
      <c r="B1306" s="3" t="s">
        <v>1266</v>
      </c>
      <c r="C1306" s="3" t="str">
        <f>IFERROR(__xludf.DUMMYFUNCTION("GOOGLETRANSLATE(B1306,""id"",""en"")"),"['fail', 'buy', 'package', 'internet']")</f>
        <v>['fail', 'buy', 'package', 'internet']</v>
      </c>
      <c r="D1306" s="3">
        <v>2.0</v>
      </c>
    </row>
    <row r="1307" ht="15.75" customHeight="1">
      <c r="A1307" s="1">
        <v>1392.0</v>
      </c>
      <c r="B1307" s="3" t="s">
        <v>1267</v>
      </c>
      <c r="C1307" s="3" t="str">
        <f>IFERROR(__xludf.DUMMYFUNCTION("GOOGLETRANSLATE(B1307,""id"",""en"")"),"['Margnon']")</f>
        <v>['Margnon']</v>
      </c>
      <c r="D1307" s="3">
        <v>4.0</v>
      </c>
    </row>
    <row r="1308" ht="15.75" customHeight="1">
      <c r="A1308" s="1">
        <v>1393.0</v>
      </c>
      <c r="B1308" s="3" t="s">
        <v>1268</v>
      </c>
      <c r="C1308" s="3" t="str">
        <f>IFERROR(__xludf.DUMMYFUNCTION("GOOGLETRANSLATE(B1308,""id"",""en"")"),"['Success', 'Telkomsel']")</f>
        <v>['Success', 'Telkomsel']</v>
      </c>
      <c r="D1308" s="3">
        <v>5.0</v>
      </c>
    </row>
    <row r="1309" ht="15.75" customHeight="1">
      <c r="A1309" s="1">
        <v>1394.0</v>
      </c>
      <c r="B1309" s="3" t="s">
        <v>1269</v>
      </c>
      <c r="C1309" s="3" t="str">
        <f>IFERROR(__xludf.DUMMYFUNCTION("GOOGLETRANSLATE(B1309,""id"",""en"")"),"['repaired', 'network', '']")</f>
        <v>['repaired', 'network', '']</v>
      </c>
      <c r="D1309" s="3">
        <v>1.0</v>
      </c>
    </row>
    <row r="1310" ht="15.75" customHeight="1">
      <c r="A1310" s="1">
        <v>1395.0</v>
      </c>
      <c r="B1310" s="3" t="s">
        <v>1270</v>
      </c>
      <c r="C1310" s="3" t="str">
        <f>IFERROR(__xludf.DUMMYFUNCTION("GOOGLETRANSLATE(B1310,""id"",""en"")"),"['', 'Network', 'rotten', 'quota', 'list', 'pulses', 'kepotng', '']")</f>
        <v>['', 'Network', 'rotten', 'quota', 'list', 'pulses', 'kepotng', '']</v>
      </c>
      <c r="D1310" s="3">
        <v>1.0</v>
      </c>
    </row>
    <row r="1311" ht="15.75" customHeight="1">
      <c r="A1311" s="1">
        <v>1396.0</v>
      </c>
      <c r="B1311" s="3" t="s">
        <v>1271</v>
      </c>
      <c r="C1311" s="3" t="str">
        <f>IFERROR(__xludf.DUMMYFUNCTION("GOOGLETRANSLATE(B1311,""id"",""en"")"),"['Steady', 'spirit', 'Jaya', 'Love', 'Donk', 'Skali', 'Skali', 'Kalimantan', 'Lottery', 'Hepi', 'Island', 'Java', ' Then ',' trimakasih ', ""]")</f>
        <v>['Steady', 'spirit', 'Jaya', 'Love', 'Donk', 'Skali', 'Skali', 'Kalimantan', 'Lottery', 'Hepi', 'Island', 'Java', ' Then ',' trimakasih ', "]</v>
      </c>
      <c r="D1311" s="3">
        <v>5.0</v>
      </c>
    </row>
    <row r="1312" ht="15.75" customHeight="1">
      <c r="A1312" s="1">
        <v>1397.0</v>
      </c>
      <c r="B1312" s="3" t="s">
        <v>1272</v>
      </c>
      <c r="C1312" s="3" t="str">
        <f>IFERROR(__xludf.DUMMYFUNCTION("GOOGLETRANSLATE(B1312,""id"",""en"")"),"['Stay', 'city', 'network', 'slow', 'kayak', 'snail']")</f>
        <v>['Stay', 'city', 'network', 'slow', 'kayak', 'snail']</v>
      </c>
      <c r="D1312" s="3">
        <v>5.0</v>
      </c>
    </row>
    <row r="1313" ht="15.75" customHeight="1">
      <c r="A1313" s="1">
        <v>1398.0</v>
      </c>
      <c r="B1313" s="3" t="s">
        <v>1273</v>
      </c>
      <c r="C1313" s="3" t="str">
        <f>IFERROR(__xludf.DUMMYFUNCTION("GOOGLETRANSLATE(B1313,""id"",""en"")"),"['Easy', 'Peroses']")</f>
        <v>['Easy', 'Peroses']</v>
      </c>
      <c r="D1313" s="3">
        <v>5.0</v>
      </c>
    </row>
    <row r="1314" ht="15.75" customHeight="1">
      <c r="A1314" s="1">
        <v>1400.0</v>
      </c>
      <c r="B1314" s="3" t="s">
        <v>1274</v>
      </c>
      <c r="C1314" s="3" t="str">
        <f>IFERROR(__xludf.DUMMYFUNCTION("GOOGLETRANSLATE(B1314,""id"",""en"")"),"['Payment', 'Link', 'Failed', 'Shoope', 'Failed', 'Balance', 'Different', 'Data', 'Sent', 'Please', 'Followed']")</f>
        <v>['Payment', 'Link', 'Failed', 'Shoope', 'Failed', 'Balance', 'Different', 'Data', 'Sent', 'Please', 'Followed']</v>
      </c>
      <c r="D1314" s="3">
        <v>1.0</v>
      </c>
    </row>
    <row r="1315" ht="15.75" customHeight="1">
      <c r="A1315" s="1">
        <v>1401.0</v>
      </c>
      <c r="B1315" s="3" t="s">
        <v>1275</v>
      </c>
      <c r="C1315" s="3" t="str">
        <f>IFERROR(__xludf.DUMMYFUNCTION("GOOGLETRANSLATE(B1315,""id"",""en"")"),"['Assalamualaikum', 'min', 'package', 'enter', 'buy', 'buy', 'times',' GB ',' via ',' Gopay ',' package ',' entry ',' Admin ',' ']")</f>
        <v>['Assalamualaikum', 'min', 'package', 'enter', 'buy', 'buy', 'times',' GB ',' via ',' Gopay ',' package ',' entry ',' Admin ',' ']</v>
      </c>
      <c r="D1315" s="3">
        <v>1.0</v>
      </c>
    </row>
    <row r="1316" ht="15.75" customHeight="1">
      <c r="A1316" s="1">
        <v>1402.0</v>
      </c>
      <c r="B1316" s="3" t="s">
        <v>1276</v>
      </c>
      <c r="C1316" s="3" t="str">
        <f>IFERROR(__xludf.DUMMYFUNCTION("GOOGLETRANSLATE(B1316,""id"",""en"")"),"['pulse', 'filled', 'promo', 'nongol', 'turn', 'filled', 'ilang', 'sympathy', 'sympathy', 'phpin', 'custamer', 'left', ' Gini ',' Fix ',' Service ',' Network ',' Severe ',' Love ']")</f>
        <v>['pulse', 'filled', 'promo', 'nongol', 'turn', 'filled', 'ilang', 'sympathy', 'sympathy', 'phpin', 'custamer', 'left', ' Gini ',' Fix ',' Service ',' Network ',' Severe ',' Love ']</v>
      </c>
      <c r="D1316" s="3">
        <v>1.0</v>
      </c>
    </row>
    <row r="1317" ht="15.75" customHeight="1">
      <c r="A1317" s="1">
        <v>1403.0</v>
      </c>
      <c r="B1317" s="3" t="s">
        <v>1277</v>
      </c>
      <c r="C1317" s="3" t="str">
        <f>IFERROR(__xludf.DUMMYFUNCTION("GOOGLETRANSLATE(B1317,""id"",""en"")"),"['buy', 'package', 'data', 'disorder', 'forced', 'person', 'pulse', 'internet']")</f>
        <v>['buy', 'package', 'data', 'disorder', 'forced', 'person', 'pulse', 'internet']</v>
      </c>
      <c r="D1317" s="3">
        <v>1.0</v>
      </c>
    </row>
    <row r="1318" ht="15.75" customHeight="1">
      <c r="A1318" s="1">
        <v>1404.0</v>
      </c>
      <c r="B1318" s="3" t="s">
        <v>1278</v>
      </c>
      <c r="C1318" s="3" t="str">
        <f>IFERROR(__xludf.DUMMYFUNCTION("GOOGLETRANSLATE(B1318,""id"",""en"")"),"['slow', '']")</f>
        <v>['slow', '']</v>
      </c>
      <c r="D1318" s="3">
        <v>1.0</v>
      </c>
    </row>
    <row r="1319" ht="15.75" customHeight="1">
      <c r="A1319" s="1">
        <v>1405.0</v>
      </c>
      <c r="B1319" s="3" t="s">
        <v>1279</v>
      </c>
      <c r="C1319" s="3" t="str">
        <f>IFERROR(__xludf.DUMMYFUNCTION("GOOGLETRANSLATE(B1319,""id"",""en"")"),"['gymna', 'Telkomsel', 'Sya', 'buy', 'pket', 'internet', 'paying', 'lwat', 'shopeepay', 'balance', 'chick', 'TPI', ' The quota ',' msuk ',' blikin ',' balance ',' sya ',' tod ']")</f>
        <v>['gymna', 'Telkomsel', 'Sya', 'buy', 'pket', 'internet', 'paying', 'lwat', 'shopeepay', 'balance', 'chick', 'TPI', ' The quota ',' msuk ',' blikin ',' balance ',' sya ',' tod ']</v>
      </c>
      <c r="D1319" s="3">
        <v>1.0</v>
      </c>
    </row>
    <row r="1320" ht="15.75" customHeight="1">
      <c r="A1320" s="1">
        <v>1406.0</v>
      </c>
      <c r="B1320" s="3" t="s">
        <v>1280</v>
      </c>
      <c r="C1320" s="3" t="str">
        <f>IFERROR(__xludf.DUMMYFUNCTION("GOOGLETRANSLATE(B1320,""id"",""en"")"),"['Telkomsel', 'steady']")</f>
        <v>['Telkomsel', 'steady']</v>
      </c>
      <c r="D1320" s="3">
        <v>5.0</v>
      </c>
    </row>
    <row r="1321" ht="15.75" customHeight="1">
      <c r="A1321" s="1">
        <v>1407.0</v>
      </c>
      <c r="B1321" s="3" t="s">
        <v>1281</v>
      </c>
      <c r="C1321" s="3" t="str">
        <f>IFERROR(__xludf.DUMMYFUNCTION("GOOGLETRANSLATE(B1321,""id"",""en"")"),"['price', 'expensive', 'dbarengin', 'quality', 'signal', 'disorder', ""]")</f>
        <v>['price', 'expensive', 'dbarengin', 'quality', 'signal', 'disorder', "]</v>
      </c>
      <c r="D1321" s="3">
        <v>1.0</v>
      </c>
    </row>
    <row r="1322" ht="15.75" customHeight="1">
      <c r="A1322" s="1">
        <v>1408.0</v>
      </c>
      <c r="B1322" s="3" t="s">
        <v>1282</v>
      </c>
      <c r="C1322" s="3" t="str">
        <f>IFERROR(__xludf.DUMMYFUNCTION("GOOGLETRANSLATE(B1322,""id"",""en"")"),"['Suggestion', 'fill in', 'quota', 'Wait', 'until', 'Abis',' quota ',' like ',' intentionally ',' network ',' made ',' slow ',' Nyedot ',' pulses', 'little', 'Not bad', '']")</f>
        <v>['Suggestion', 'fill in', 'quota', 'Wait', 'until', 'Abis',' quota ',' like ',' intentionally ',' network ',' made ',' slow ',' Nyedot ',' pulses', 'little', 'Not bad', '']</v>
      </c>
      <c r="D1322" s="3">
        <v>1.0</v>
      </c>
    </row>
    <row r="1323" ht="15.75" customHeight="1">
      <c r="A1323" s="1">
        <v>1409.0</v>
      </c>
      <c r="B1323" s="3" t="s">
        <v>1283</v>
      </c>
      <c r="C1323" s="3" t="str">
        <f>IFERROR(__xludf.DUMMYFUNCTION("GOOGLETRANSLATE(B1323,""id"",""en"")"),"['Comfortable', 'expensive']")</f>
        <v>['Comfortable', 'expensive']</v>
      </c>
      <c r="D1323" s="3">
        <v>4.0</v>
      </c>
    </row>
    <row r="1324" ht="15.75" customHeight="1">
      <c r="A1324" s="1">
        <v>1410.0</v>
      </c>
      <c r="B1324" s="3" t="s">
        <v>1284</v>
      </c>
      <c r="C1324" s="3" t="str">
        <f>IFERROR(__xludf.DUMMYFUNCTION("GOOGLETRANSLATE(B1324,""id"",""en"")"),"['application', 'gaguna', 'pulse', 'sumps',' error ',' buy ',' package ',' data ',' please ',' repair ',' system ',' error ',' Application ',' People ',' dizzy ',' ']")</f>
        <v>['application', 'gaguna', 'pulse', 'sumps',' error ',' buy ',' package ',' data ',' please ',' repair ',' system ',' error ',' Application ',' People ',' dizzy ',' ']</v>
      </c>
      <c r="D1324" s="3">
        <v>1.0</v>
      </c>
    </row>
    <row r="1325" ht="15.75" customHeight="1">
      <c r="A1325" s="1">
        <v>1411.0</v>
      </c>
      <c r="B1325" s="3" t="s">
        <v>1285</v>
      </c>
      <c r="C1325" s="3" t="str">
        <f>IFERROR(__xludf.DUMMYFUNCTION("GOOGLETRANSLATE(B1325,""id"",""en"")"),"['Help', 'process', 'development', 'Indonesia']")</f>
        <v>['Help', 'process', 'development', 'Indonesia']</v>
      </c>
      <c r="D1325" s="3">
        <v>4.0</v>
      </c>
    </row>
    <row r="1326" ht="15.75" customHeight="1">
      <c r="A1326" s="1">
        <v>1412.0</v>
      </c>
      <c r="B1326" s="3" t="s">
        <v>1286</v>
      </c>
      <c r="C1326" s="3" t="str">
        <f>IFERROR(__xludf.DUMMYFUNCTION("GOOGLETRANSLATE(B1326,""id"",""en"")"),"['Buy', 'Package', 'YouTube', 'Enter', 'Where', 'Money', '']")</f>
        <v>['Buy', 'Package', 'YouTube', 'Enter', 'Where', 'Money', '']</v>
      </c>
      <c r="D1326" s="3">
        <v>1.0</v>
      </c>
    </row>
    <row r="1327" ht="15.75" customHeight="1">
      <c r="A1327" s="1">
        <v>1413.0</v>
      </c>
      <c r="B1327" s="3" t="s">
        <v>1287</v>
      </c>
      <c r="C1327" s="3" t="str">
        <f>IFERROR(__xludf.DUMMYFUNCTION("GOOGLETRANSLATE(B1327,""id"",""en"")"),"['knpa', 'sayah', 'tituuk', 'tuker', 'point', 'get', 'mulu', 'grace', 'krtu', 'syah', 'contents', 'nmbh']")</f>
        <v>['knpa', 'sayah', 'tituuk', 'tuker', 'point', 'get', 'mulu', 'grace', 'krtu', 'syah', 'contents', 'nmbh']</v>
      </c>
      <c r="D1327" s="3">
        <v>5.0</v>
      </c>
    </row>
    <row r="1328" ht="15.75" customHeight="1">
      <c r="A1328" s="1">
        <v>1414.0</v>
      </c>
      <c r="B1328" s="3" t="s">
        <v>1288</v>
      </c>
      <c r="C1328" s="3" t="str">
        <f>IFERROR(__xludf.DUMMYFUNCTION("GOOGLETRANSLATE(B1328,""id"",""en"")"),"['Mutentah', 'Satisfied', 'Hopefully', 'In the Fth', '']")</f>
        <v>['Mutentah', 'Satisfied', 'Hopefully', 'In the Fth', '']</v>
      </c>
      <c r="D1328" s="3">
        <v>5.0</v>
      </c>
    </row>
    <row r="1329" ht="15.75" customHeight="1">
      <c r="A1329" s="1">
        <v>1415.0</v>
      </c>
      <c r="B1329" s="3" t="s">
        <v>1289</v>
      </c>
      <c r="C1329" s="3" t="str">
        <f>IFERROR(__xludf.DUMMYFUNCTION("GOOGLETRANSLATE(B1329,""id"",""en"")"),"['balance', 'funds',' truncated ',' quota ',' buy ',' enter ',' destination ',' buy ',' quota ',' told ',' waiting ',' daily ',' Taikk ',' ']")</f>
        <v>['balance', 'funds',' truncated ',' quota ',' buy ',' enter ',' destination ',' buy ',' quota ',' told ',' waiting ',' daily ',' Taikk ',' ']</v>
      </c>
      <c r="D1329" s="3">
        <v>1.0</v>
      </c>
    </row>
    <row r="1330" ht="15.75" customHeight="1">
      <c r="A1330" s="1">
        <v>1416.0</v>
      </c>
      <c r="B1330" s="3" t="s">
        <v>1290</v>
      </c>
      <c r="C1330" s="3" t="str">
        <f>IFERROR(__xludf.DUMMYFUNCTION("GOOGLETRANSLATE(B1330,""id"",""en"")"),"['Bug', 'Posts',' Details', 'Package', 'Data', 'Combo', 'Sakti', 'Because', 'YouTube', 'Zoom', 'Replace', 'Severe', ' ']")</f>
        <v>['Bug', 'Posts',' Details', 'Package', 'Data', 'Combo', 'Sakti', 'Because', 'YouTube', 'Zoom', 'Replace', 'Severe', ' ']</v>
      </c>
      <c r="D1330" s="3">
        <v>1.0</v>
      </c>
    </row>
    <row r="1331" ht="15.75" customHeight="1">
      <c r="A1331" s="1">
        <v>1417.0</v>
      </c>
      <c r="B1331" s="3" t="s">
        <v>1291</v>
      </c>
      <c r="C1331" s="3" t="str">
        <f>IFERROR(__xludf.DUMMYFUNCTION("GOOGLETRANSLATE(B1331,""id"",""en"")"),"['woy', 'how', 'buy', 'package', 'expensive', 'expensive', 'entry', 'balance', 'ilang', 'what', 'responsibility', '']")</f>
        <v>['woy', 'how', 'buy', 'package', 'expensive', 'expensive', 'entry', 'balance', 'ilang', 'what', 'responsibility', '']</v>
      </c>
      <c r="D1331" s="3">
        <v>1.0</v>
      </c>
    </row>
    <row r="1332" ht="15.75" customHeight="1">
      <c r="A1332" s="1">
        <v>1418.0</v>
      </c>
      <c r="B1332" s="3" t="s">
        <v>1292</v>
      </c>
      <c r="C1332" s="3" t="str">
        <f>IFERROR(__xludf.DUMMYFUNCTION("GOOGLETRANSLATE(B1332,""id"",""en"")"),"['great', 'blm', 'pay', 'use', 'balance', 'fund']")</f>
        <v>['great', 'blm', 'pay', 'use', 'balance', 'fund']</v>
      </c>
      <c r="D1332" s="3">
        <v>5.0</v>
      </c>
    </row>
    <row r="1333" ht="15.75" customHeight="1">
      <c r="A1333" s="1">
        <v>1419.0</v>
      </c>
      <c r="B1333" s="3" t="s">
        <v>1293</v>
      </c>
      <c r="C1333" s="3" t="str">
        <f>IFERROR(__xludf.DUMMYFUNCTION("GOOGLETRANSLATE(B1333,""id"",""en"")"),"['Veronikya', 'rich', 'talk', 'bod', 'read', 'udh', 'understand', 'right', 'Connect', 'custumer', 'awaited', 'wait', ' The custumer ',' ']")</f>
        <v>['Veronikya', 'rich', 'talk', 'bod', 'read', 'udh', 'understand', 'right', 'Connect', 'custumer', 'awaited', 'wait', ' The custumer ',' ']</v>
      </c>
      <c r="D1333" s="3">
        <v>3.0</v>
      </c>
    </row>
    <row r="1334" ht="15.75" customHeight="1">
      <c r="A1334" s="1">
        <v>1420.0</v>
      </c>
      <c r="B1334" s="3" t="s">
        <v>1294</v>
      </c>
      <c r="C1334" s="3" t="str">
        <f>IFERROR(__xludf.DUMMYFUNCTION("GOOGLETRANSLATE(B1334,""id"",""en"")"),"['check out', 'repeated', 'already']")</f>
        <v>['check out', 'repeated', 'already']</v>
      </c>
      <c r="D1334" s="3">
        <v>2.0</v>
      </c>
    </row>
    <row r="1335" ht="15.75" customHeight="1">
      <c r="A1335" s="1">
        <v>1421.0</v>
      </c>
      <c r="B1335" s="3" t="s">
        <v>1295</v>
      </c>
      <c r="C1335" s="3" t="str">
        <f>IFERROR(__xludf.DUMMYFUNCTION("GOOGLETRANSLATE(B1335,""id"",""en"")"),"['koq', 'missing', 'screen', 'main']")</f>
        <v>['koq', 'missing', 'screen', 'main']</v>
      </c>
      <c r="D1335" s="3">
        <v>3.0</v>
      </c>
    </row>
    <row r="1336" ht="15.75" customHeight="1">
      <c r="A1336" s="1">
        <v>1422.0</v>
      </c>
      <c r="B1336" s="3" t="s">
        <v>1296</v>
      </c>
      <c r="C1336" s="3" t="str">
        <f>IFERROR(__xludf.DUMMYFUNCTION("GOOGLETRANSLATE(B1336,""id"",""en"")"),"['MyTelkomsel', 'Best', 'Use', 'Telkomsel', 'Communication', 'Family', 'Comfortable', 'Current', 'Trima', 'Love', 'Telkomsel']")</f>
        <v>['MyTelkomsel', 'Best', 'Use', 'Telkomsel', 'Communication', 'Family', 'Comfortable', 'Current', 'Trima', 'Love', 'Telkomsel']</v>
      </c>
      <c r="D1336" s="3">
        <v>5.0</v>
      </c>
    </row>
    <row r="1337" ht="15.75" customHeight="1">
      <c r="A1337" s="1">
        <v>1423.0</v>
      </c>
      <c r="B1337" s="3" t="s">
        <v>1297</v>
      </c>
      <c r="C1337" s="3" t="str">
        <f>IFERROR(__xludf.DUMMYFUNCTION("GOOGLETRANSLATE(B1337,""id"",""en"")"),"['Kapok', 'card', 'Hello', 'UDH', 'limit', 'usage', 'stop', 'bkln', 'angus', 'card', 'stress', ""]")</f>
        <v>['Kapok', 'card', 'Hello', 'UDH', 'limit', 'usage', 'stop', 'bkln', 'angus', 'card', 'stress', "]</v>
      </c>
      <c r="D1337" s="3">
        <v>1.0</v>
      </c>
    </row>
    <row r="1338" ht="15.75" customHeight="1">
      <c r="A1338" s="1">
        <v>1424.0</v>
      </c>
      <c r="B1338" s="3" t="s">
        <v>1298</v>
      </c>
      <c r="C1338" s="3" t="str">
        <f>IFERROR(__xludf.DUMMYFUNCTION("GOOGLETRANSLATE(B1338,""id"",""en"")"),"['ugly', 'network', 'ugly', 'price', 'ugly', 'severe']")</f>
        <v>['ugly', 'network', 'ugly', 'price', 'ugly', 'severe']</v>
      </c>
      <c r="D1338" s="3">
        <v>1.0</v>
      </c>
    </row>
    <row r="1339" ht="15.75" customHeight="1">
      <c r="A1339" s="1">
        <v>1425.0</v>
      </c>
      <c r="B1339" s="3" t="s">
        <v>1299</v>
      </c>
      <c r="C1339" s="3" t="str">
        <f>IFERROR(__xludf.DUMMYFUNCTION("GOOGLETRANSLATE(B1339,""id"",""en"")"),"['Kluality', 'application', 'bad']")</f>
        <v>['Kluality', 'application', 'bad']</v>
      </c>
      <c r="D1339" s="3">
        <v>1.0</v>
      </c>
    </row>
    <row r="1340" ht="15.75" customHeight="1">
      <c r="A1340" s="1">
        <v>1426.0</v>
      </c>
      <c r="B1340" s="3" t="s">
        <v>1300</v>
      </c>
      <c r="C1340" s="3" t="str">
        <f>IFERROR(__xludf.DUMMYFUNCTION("GOOGLETRANSLATE(B1340,""id"",""en"")"),"['buy', 'quota', 'tranquility', 'main', 'udh', 'buy', 'via', 'gopay', 'enter', 'try', 'enter', 'balance', ' Gopay, 'reduced', 'quota', 'enter']")</f>
        <v>['buy', 'quota', 'tranquility', 'main', 'udh', 'buy', 'via', 'gopay', 'enter', 'try', 'enter', 'balance', ' Gopay, 'reduced', 'quota', 'enter']</v>
      </c>
      <c r="D1340" s="3">
        <v>1.0</v>
      </c>
    </row>
    <row r="1341" ht="15.75" customHeight="1">
      <c r="A1341" s="1">
        <v>1427.0</v>
      </c>
      <c r="B1341" s="3" t="s">
        <v>1301</v>
      </c>
      <c r="C1341" s="3" t="str">
        <f>IFERROR(__xludf.DUMMYFUNCTION("GOOGLETRANSLATE(B1341,""id"",""en"")"),"['Mantulllll', 'Bintang', 'Talk', ""]")</f>
        <v>['Mantulllll', 'Bintang', 'Talk', "]</v>
      </c>
      <c r="D1341" s="3">
        <v>5.0</v>
      </c>
    </row>
    <row r="1342" ht="15.75" customHeight="1">
      <c r="A1342" s="1">
        <v>1428.0</v>
      </c>
      <c r="B1342" s="3" t="s">
        <v>1302</v>
      </c>
      <c r="C1342" s="3" t="str">
        <f>IFERROR(__xludf.DUMMYFUNCTION("GOOGLETRANSLATE(B1342,""id"",""en"")"),"['Min', 'yaa', 'number', 'code', 'verification', 'number', 'Telkomsel', 'visits', 'appears']")</f>
        <v>['Min', 'yaa', 'number', 'code', 'verification', 'number', 'Telkomsel', 'visits', 'appears']</v>
      </c>
      <c r="D1342" s="3">
        <v>2.0</v>
      </c>
    </row>
    <row r="1343" ht="15.75" customHeight="1">
      <c r="A1343" s="1">
        <v>1429.0</v>
      </c>
      <c r="B1343" s="3" t="s">
        <v>1303</v>
      </c>
      <c r="C1343" s="3" t="str">
        <f>IFERROR(__xludf.DUMMYFUNCTION("GOOGLETRANSLATE(B1343,""id"",""en"")"),"['Credit', 'auto', 'used', 'package', 'internet', 'entered', 'minute', 'broke', 'internet', 'used', 'pulses',' please ',' Telkomsel ',' Fox ',' Disappointed ',' ']")</f>
        <v>['Credit', 'auto', 'used', 'package', 'internet', 'entered', 'minute', 'broke', 'internet', 'used', 'pulses',' please ',' Telkomsel ',' Fox ',' Disappointed ',' ']</v>
      </c>
      <c r="D1343" s="3">
        <v>1.0</v>
      </c>
    </row>
    <row r="1344" ht="15.75" customHeight="1">
      <c r="A1344" s="1">
        <v>1430.0</v>
      </c>
      <c r="B1344" s="3" t="s">
        <v>1304</v>
      </c>
      <c r="C1344" s="3" t="str">
        <f>IFERROR(__xludf.DUMMYFUNCTION("GOOGLETRANSLATE(B1344,""id"",""en"")"),"['Please', 'improved', 'signal', 'network', 'internet']")</f>
        <v>['Please', 'improved', 'signal', 'network', 'internet']</v>
      </c>
      <c r="D1344" s="3">
        <v>3.0</v>
      </c>
    </row>
    <row r="1345" ht="15.75" customHeight="1">
      <c r="A1345" s="1">
        <v>1431.0</v>
      </c>
      <c r="B1345" s="3" t="s">
        <v>1305</v>
      </c>
      <c r="C1345" s="3" t="str">
        <f>IFERROR(__xludf.DUMMYFUNCTION("GOOGLETRANSLATE(B1345,""id"",""en"")"),"['Package', 'Nelfon', 'a month', 'Karahoa', 'ilangin']")</f>
        <v>['Package', 'Nelfon', 'a month', 'Karahoa', 'ilangin']</v>
      </c>
      <c r="D1345" s="3">
        <v>3.0</v>
      </c>
    </row>
    <row r="1346" ht="15.75" customHeight="1">
      <c r="A1346" s="1">
        <v>1433.0</v>
      </c>
      <c r="B1346" s="3" t="s">
        <v>1306</v>
      </c>
      <c r="C1346" s="3" t="str">
        <f>IFERROR(__xludf.DUMMYFUNCTION("GOOGLETRANSLATE(B1346,""id"",""en"")"),"['Good', 'signal', 'boross']")</f>
        <v>['Good', 'signal', 'boross']</v>
      </c>
      <c r="D1346" s="3">
        <v>5.0</v>
      </c>
    </row>
    <row r="1347" ht="15.75" customHeight="1">
      <c r="A1347" s="1">
        <v>1434.0</v>
      </c>
      <c r="B1347" s="3" t="s">
        <v>1307</v>
      </c>
      <c r="C1347" s="3" t="str">
        <f>IFERROR(__xludf.DUMMYFUNCTION("GOOGLETRANSLATE(B1347,""id"",""en"")"),"['Service', 'slow']")</f>
        <v>['Service', 'slow']</v>
      </c>
      <c r="D1347" s="3">
        <v>1.0</v>
      </c>
    </row>
    <row r="1348" ht="15.75" customHeight="1">
      <c r="A1348" s="1">
        <v>1435.0</v>
      </c>
      <c r="B1348" s="3" t="s">
        <v>1308</v>
      </c>
      <c r="C1348" s="3" t="str">
        <f>IFERROR(__xludf.DUMMYFUNCTION("GOOGLETRANSLATE(B1348,""id"",""en"")"),"['Severe', 'signal', 'menting', 'Come', 'Change', 'Card', 'Telkomsel', 'Severe', 'Sinyal']")</f>
        <v>['Severe', 'signal', 'menting', 'Come', 'Change', 'Card', 'Telkomsel', 'Severe', 'Sinyal']</v>
      </c>
      <c r="D1348" s="3">
        <v>1.0</v>
      </c>
    </row>
    <row r="1349" ht="15.75" customHeight="1">
      <c r="A1349" s="1">
        <v>1436.0</v>
      </c>
      <c r="B1349" s="3" t="s">
        <v>1309</v>
      </c>
      <c r="C1349" s="3" t="str">
        <f>IFERROR(__xludf.DUMMYFUNCTION("GOOGLETRANSLATE(B1349,""id"",""en"")"),"['loyal', 'Telkomsel', 'liver', 'heart', 'Dec', 'hope', 'win', 'his draw', 'use', 'card', 'Telkomsel', 'in every' ']")</f>
        <v>['loyal', 'Telkomsel', 'liver', 'heart', 'Dec', 'hope', 'win', 'his draw', 'use', 'card', 'Telkomsel', 'in every' ']</v>
      </c>
      <c r="D1349" s="3">
        <v>5.0</v>
      </c>
    </row>
    <row r="1350" ht="15.75" customHeight="1">
      <c r="A1350" s="1">
        <v>1437.0</v>
      </c>
      <c r="B1350" s="3" t="s">
        <v>1310</v>
      </c>
      <c r="C1350" s="3" t="str">
        <f>IFERROR(__xludf.DUMMYFUNCTION("GOOGLETRANSLATE(B1350,""id"",""en"")"),"['Bonus', 'Package', 'Unlimited', 'YouTube', 'Abis', 'Bounds', 'YouTube', 'Abis', 'Lost', 'Bonua', 'YouTube', 'Disabled']")</f>
        <v>['Bonus', 'Package', 'Unlimited', 'YouTube', 'Abis', 'Bounds', 'YouTube', 'Abis', 'Lost', 'Bonua', 'YouTube', 'Disabled']</v>
      </c>
      <c r="D1350" s="3">
        <v>1.0</v>
      </c>
    </row>
    <row r="1351" ht="15.75" customHeight="1">
      <c r="A1351" s="1">
        <v>1438.0</v>
      </c>
      <c r="B1351" s="3" t="s">
        <v>1311</v>
      </c>
      <c r="C1351" s="3" t="str">
        <f>IFERROR(__xludf.DUMMYFUNCTION("GOOGLETRANSLATE(B1351,""id"",""en"")"),"['mah', 'ngadin', 'promo', 'told', 'update', 'application', 'mytelkomsel', 'do "",' sue ',' really ',' gift ',' mah ',' rich ',' Sang ',' yeah ',' can ',' car ',' brio ',' can ',' motor ',' cbr ',' can ',' eh ',' told ',' update ' , 'then', 'told', 'Pay',"&amp;" 'Points', 'Really', 'Customer', 'loyal', 'Telkomsel', 'yrs', 'comment', ""]")</f>
        <v>['mah', 'ngadin', 'promo', 'told', 'update', 'application', 'mytelkomsel', 'do ",' sue ',' really ',' gift ',' mah ',' rich ',' Sang ',' yeah ',' can ',' car ',' brio ',' can ',' motor ',' cbr ',' can ',' eh ',' told ',' update ' , 'then', 'told', 'Pay', 'Points', 'Really', 'Customer', 'loyal', 'Telkomsel', 'yrs', 'comment', "]</v>
      </c>
      <c r="D1351" s="3">
        <v>1.0</v>
      </c>
    </row>
    <row r="1352" ht="15.75" customHeight="1">
      <c r="A1352" s="1">
        <v>1439.0</v>
      </c>
      <c r="B1352" s="3" t="s">
        <v>1312</v>
      </c>
      <c r="C1352" s="3" t="str">
        <f>IFERROR(__xludf.DUMMYFUNCTION("GOOGLETRANSLATE(B1352,""id"",""en"")"),"['cry', 'buy', 'package', 'data', 'expensive', 'expensive', 'village', 'feel', 'forest', 'jungle', ""]")</f>
        <v>['cry', 'buy', 'package', 'data', 'expensive', 'expensive', 'village', 'feel', 'forest', 'jungle', "]</v>
      </c>
      <c r="D1352" s="3">
        <v>1.0</v>
      </c>
    </row>
    <row r="1353" ht="15.75" customHeight="1">
      <c r="A1353" s="1">
        <v>1440.0</v>
      </c>
      <c r="B1353" s="3" t="s">
        <v>1313</v>
      </c>
      <c r="C1353" s="3" t="str">
        <f>IFERROR(__xludf.DUMMYFUNCTION("GOOGLETRANSLATE(B1353,""id"",""en"")"),"['ampe', 'sim', 'card', 'telkom', 'cell', 'non', 'telkom', 'cell', 'domiciled', 'Telkomsel', 'ugly', 'signal', ' Application ',' Speed ​​',' Signal ',' City ',' Tower ',' Please ',' Telkomsel ',' repay ',' Signal ',' Telkomsel ',' Good ',' now ',' sell ' "&amp;", 'ugly', 'signal', 'BURIK', 'operator', 'BYK', 'lying', 'consumer', 'Telkomsel', 'advanced', 'consumer', 'please', 'fix', ' doing business', 'please', 'dredge', 'profit']")</f>
        <v>['ampe', 'sim', 'card', 'telkom', 'cell', 'non', 'telkom', 'cell', 'domiciled', 'Telkomsel', 'ugly', 'signal', ' Application ',' Speed ​​',' Signal ',' City ',' Tower ',' Please ',' Telkomsel ',' repay ',' Signal ',' Telkomsel ',' Good ',' now ',' sell ' , 'ugly', 'signal', 'BURIK', 'operator', 'BYK', 'lying', 'consumer', 'Telkomsel', 'advanced', 'consumer', 'please', 'fix', ' doing business', 'please', 'dredge', 'profit']</v>
      </c>
      <c r="D1353" s="3">
        <v>3.0</v>
      </c>
    </row>
    <row r="1354" ht="15.75" customHeight="1">
      <c r="A1354" s="1">
        <v>1441.0</v>
      </c>
      <c r="B1354" s="3" t="s">
        <v>1314</v>
      </c>
      <c r="C1354" s="3" t="str">
        <f>IFERROR(__xludf.DUMMYFUNCTION("GOOGLETRANSLATE(B1354,""id"",""en"")"),"['Telkomsel', 'pig', 'me', 'buy', 'package', 'expensive', 'signal', 'setabilia', ""]")</f>
        <v>['Telkomsel', 'pig', 'me', 'buy', 'package', 'expensive', 'signal', 'setabilia', "]</v>
      </c>
      <c r="D1354" s="3">
        <v>1.0</v>
      </c>
    </row>
    <row r="1355" ht="15.75" customHeight="1">
      <c r="A1355" s="1">
        <v>1442.0</v>
      </c>
      <c r="B1355" s="3" t="s">
        <v>1315</v>
      </c>
      <c r="C1355" s="3" t="str">
        <f>IFERROR(__xludf.DUMMYFUNCTION("GOOGLETRANSLATE(B1355,""id"",""en"")"),"['Likes', 'MyTelkomsel']")</f>
        <v>['Likes', 'MyTelkomsel']</v>
      </c>
      <c r="D1355" s="3">
        <v>5.0</v>
      </c>
    </row>
    <row r="1356" ht="15.75" customHeight="1">
      <c r="A1356" s="1">
        <v>1443.0</v>
      </c>
      <c r="B1356" s="3" t="s">
        <v>1316</v>
      </c>
      <c r="C1356" s="3" t="str">
        <f>IFERROR(__xludf.DUMMYFUNCTION("GOOGLETRANSLATE(B1356,""id"",""en"")"),"['Good', 'service']")</f>
        <v>['Good', 'service']</v>
      </c>
      <c r="D1356" s="3">
        <v>5.0</v>
      </c>
    </row>
    <row r="1357" ht="15.75" customHeight="1">
      <c r="A1357" s="1">
        <v>1444.0</v>
      </c>
      <c r="B1357" s="3" t="s">
        <v>1317</v>
      </c>
      <c r="C1357" s="3" t="str">
        <f>IFERROR(__xludf.DUMMYFUNCTION("GOOGLETRANSLATE(B1357,""id"",""en"")"),"['App', 'Help', 'Thank you', ""]")</f>
        <v>['App', 'Help', 'Thank you', "]</v>
      </c>
      <c r="D1357" s="3">
        <v>5.0</v>
      </c>
    </row>
    <row r="1358" ht="15.75" customHeight="1">
      <c r="A1358" s="1">
        <v>1446.0</v>
      </c>
      <c r="B1358" s="3" t="s">
        <v>1318</v>
      </c>
      <c r="C1358" s="3" t="str">
        <f>IFERROR(__xludf.DUMMYFUNCTION("GOOGLETRANSLATE(B1358,""id"",""en"")"),"['Telkomsel', 'Kayak', 'Telkomsel', 'Delicious',' Speed ​​',' Kenceng ',' Lemootttt ',' forgiveness', 'already', 'Paketan', 'expensive', 'Hadeh', ' ']")</f>
        <v>['Telkomsel', 'Kayak', 'Telkomsel', 'Delicious',' Speed ​​',' Kenceng ',' Lemootttt ',' forgiveness', 'already', 'Paketan', 'expensive', 'Hadeh', ' ']</v>
      </c>
      <c r="D1358" s="3">
        <v>1.0</v>
      </c>
    </row>
    <row r="1359" ht="15.75" customHeight="1">
      <c r="A1359" s="1">
        <v>1447.0</v>
      </c>
      <c r="B1359" s="3" t="s">
        <v>1319</v>
      </c>
      <c r="C1359" s="3" t="str">
        <f>IFERROR(__xludf.DUMMYFUNCTION("GOOGLETRANSLATE(B1359,""id"",""en"")"),"['network', 'Telkomsel', 'slow', 'really', 'internet', 'difficult', 'package', 'data', 'signal', 'good', 'slow', 'comfortable', ' Pakek ',' Telkomsel ',' Customer ',' Telkomsel ',' Setia ',' Disappointed ']")</f>
        <v>['network', 'Telkomsel', 'slow', 'really', 'internet', 'difficult', 'package', 'data', 'signal', 'good', 'slow', 'comfortable', ' Pakek ',' Telkomsel ',' Customer ',' Telkomsel ',' Setia ',' Disappointed ']</v>
      </c>
      <c r="D1359" s="3">
        <v>3.0</v>
      </c>
    </row>
    <row r="1360" ht="15.75" customHeight="1">
      <c r="A1360" s="1">
        <v>1448.0</v>
      </c>
      <c r="B1360" s="3" t="s">
        <v>1320</v>
      </c>
      <c r="C1360" s="3" t="str">
        <f>IFERROR(__xludf.DUMMYFUNCTION("GOOGLETRANSLATE(B1360,""id"",""en"")"),"['chaotic', 'signal', 'bapuk', 'dead', 'lights',' signal ',' feeling ',' kga ',' signal ',' ngellag ',' then ',' kacauuuuuuuuuuuuuuuuuuuuuuuuuuuuuuuuuuuuuuuuuuuuuuuuuuuuuuuuuuuuuu")</f>
        <v>['chaotic', 'signal', 'bapuk', 'dead', 'lights',' signal ',' feeling ',' kga ',' signal ',' ngellag ',' then ',' kacauuuuuuuuuuuuuuuuuuuuuuuuuuuuuuuuuuuuuuuuuuuuuuuuuuuuuuuuuuuuuu</v>
      </c>
      <c r="D1360" s="3">
        <v>1.0</v>
      </c>
    </row>
    <row r="1361" ht="15.75" customHeight="1">
      <c r="A1361" s="1">
        <v>1449.0</v>
      </c>
      <c r="B1361" s="3" t="s">
        <v>1321</v>
      </c>
      <c r="C1361" s="3" t="str">
        <f>IFERROR(__xludf.DUMMYFUNCTION("GOOGLETRANSLATE(B1361,""id"",""en"")"),"['signal', 'wherever']")</f>
        <v>['signal', 'wherever']</v>
      </c>
      <c r="D1361" s="3">
        <v>5.0</v>
      </c>
    </row>
    <row r="1362" ht="15.75" customHeight="1">
      <c r="A1362" s="1">
        <v>1450.0</v>
      </c>
      <c r="B1362" s="3" t="s">
        <v>1322</v>
      </c>
      <c r="C1362" s="3" t="str">
        <f>IFERROR(__xludf.DUMMYFUNCTION("GOOGLETRANSLATE(B1362,""id"",""en"")"),"['', 'Tower', 'Tower', 'Telkomsel', 'dead', 'lights', 'direct', 'missing', 'network', 'wkwkwk']")</f>
        <v>['', 'Tower', 'Tower', 'Telkomsel', 'dead', 'lights', 'direct', 'missing', 'network', 'wkwkwk']</v>
      </c>
      <c r="D1362" s="3">
        <v>1.0</v>
      </c>
    </row>
    <row r="1363" ht="15.75" customHeight="1">
      <c r="A1363" s="1">
        <v>1451.0</v>
      </c>
      <c r="B1363" s="3" t="s">
        <v>1323</v>
      </c>
      <c r="C1363" s="3" t="str">
        <f>IFERROR(__xludf.DUMMYFUNCTION("GOOGLETRANSLATE(B1363,""id"",""en"")"),"['Help', 'Please', 'Telkomsel', 'Bermitly', 'Heart', 'Dlm', 'Promo', 'Package', 'Combo', 'Tlpn', 'Cheap', 'Meriah', ' Hehehe ',' proposal ', ""]")</f>
        <v>['Help', 'Please', 'Telkomsel', 'Bermitly', 'Heart', 'Dlm', 'Promo', 'Package', 'Combo', 'Tlpn', 'Cheap', 'Meriah', ' Hehehe ',' proposal ', "]</v>
      </c>
      <c r="D1363" s="3">
        <v>5.0</v>
      </c>
    </row>
    <row r="1364" ht="15.75" customHeight="1">
      <c r="A1364" s="1">
        <v>1453.0</v>
      </c>
      <c r="B1364" s="3" t="s">
        <v>1324</v>
      </c>
      <c r="C1364" s="3" t="str">
        <f>IFERROR(__xludf.DUMMYFUNCTION("GOOGLETRANSLATE(B1364,""id"",""en"")"),"['', 'love', 'star', '']")</f>
        <v>['', 'love', 'star', '']</v>
      </c>
      <c r="D1364" s="3">
        <v>5.0</v>
      </c>
    </row>
    <row r="1365" ht="15.75" customHeight="1">
      <c r="A1365" s="1">
        <v>1454.0</v>
      </c>
      <c r="B1365" s="3" t="s">
        <v>1325</v>
      </c>
      <c r="C1365" s="3" t="str">
        <f>IFERROR(__xludf.DUMMYFUNCTION("GOOGLETRANSLATE(B1365,""id"",""en"")"),"['Anyinngggg', 'Telkomsel', 'expensive', 'right', 'package', 'kmrin', 'take', 'package', 'take', 'lost', 'Telkomsel', 'poor', ' ']")</f>
        <v>['Anyinngggg', 'Telkomsel', 'expensive', 'right', 'package', 'kmrin', 'take', 'package', 'take', 'lost', 'Telkomsel', 'poor', ' ']</v>
      </c>
      <c r="D1365" s="3">
        <v>1.0</v>
      </c>
    </row>
    <row r="1366" ht="15.75" customHeight="1">
      <c r="A1366" s="1">
        <v>1455.0</v>
      </c>
      <c r="B1366" s="3" t="s">
        <v>1326</v>
      </c>
      <c r="C1366" s="3" t="str">
        <f>IFERROR(__xludf.DUMMYFUNCTION("GOOGLETRANSLATE(B1366,""id"",""en"")"),"['price', 'package', 'special', 'Telkomsel', 'expensive', 'according to', 'capacity', 'please', 'price', 'pket', 'data', 'down']")</f>
        <v>['price', 'package', 'special', 'Telkomsel', 'expensive', 'according to', 'capacity', 'please', 'price', 'pket', 'data', 'down']</v>
      </c>
      <c r="D1366" s="3">
        <v>2.0</v>
      </c>
    </row>
    <row r="1367" ht="15.75" customHeight="1">
      <c r="A1367" s="1">
        <v>1456.0</v>
      </c>
      <c r="B1367" s="3" t="s">
        <v>1327</v>
      </c>
      <c r="C1367" s="3" t="str">
        <f>IFERROR(__xludf.DUMMYFUNCTION("GOOGLETRANSLATE(B1367,""id"",""en"")"),"['hope', 'signal', 'smooth', 'Jaya']")</f>
        <v>['hope', 'signal', 'smooth', 'Jaya']</v>
      </c>
      <c r="D1367" s="3">
        <v>5.0</v>
      </c>
    </row>
    <row r="1368" ht="15.75" customHeight="1">
      <c r="A1368" s="1">
        <v>1458.0</v>
      </c>
      <c r="B1368" s="3" t="s">
        <v>1328</v>
      </c>
      <c r="C1368" s="3" t="str">
        <f>IFERROR(__xludf.DUMMYFUNCTION("GOOGLETRANSLATE(B1368,""id"",""en"")"),"['Help', 'service']")</f>
        <v>['Help', 'service']</v>
      </c>
      <c r="D1368" s="3">
        <v>4.0</v>
      </c>
    </row>
    <row r="1369" ht="15.75" customHeight="1">
      <c r="A1369" s="1">
        <v>1459.0</v>
      </c>
      <c r="B1369" s="3" t="s">
        <v>80</v>
      </c>
      <c r="C1369" s="3" t="str">
        <f>IFERROR(__xludf.DUMMYFUNCTION("GOOGLETRANSLATE(B1369,""id"",""en"")"),"['help', '']")</f>
        <v>['help', '']</v>
      </c>
      <c r="D1369" s="3">
        <v>4.0</v>
      </c>
    </row>
    <row r="1370" ht="15.75" customHeight="1">
      <c r="A1370" s="1">
        <v>1460.0</v>
      </c>
      <c r="B1370" s="3" t="s">
        <v>1329</v>
      </c>
      <c r="C1370" s="3" t="str">
        <f>IFERROR(__xludf.DUMMYFUNCTION("GOOGLETRANSLATE(B1370,""id"",""en"")"),"['quota', 'expensive', 'compared to', 'provider', 'poor', 'left behind', 'user', 'promo', 'no', 'promo', 'expensive', ""]")</f>
        <v>['quota', 'expensive', 'compared to', 'provider', 'poor', 'left behind', 'user', 'promo', 'no', 'promo', 'expensive', "]</v>
      </c>
      <c r="D1370" s="3">
        <v>1.0</v>
      </c>
    </row>
    <row r="1371" ht="15.75" customHeight="1">
      <c r="A1371" s="1">
        <v>1461.0</v>
      </c>
      <c r="B1371" s="3" t="s">
        <v>1330</v>
      </c>
      <c r="C1371" s="3" t="str">
        <f>IFERROR(__xludf.DUMMYFUNCTION("GOOGLETRANSLATE(B1371,""id"",""en"")"),"['signal', 'DIDLM', 'home', '']")</f>
        <v>['signal', 'DIDLM', 'home', '']</v>
      </c>
      <c r="D1371" s="3">
        <v>3.0</v>
      </c>
    </row>
    <row r="1372" ht="15.75" customHeight="1">
      <c r="A1372" s="1">
        <v>1462.0</v>
      </c>
      <c r="B1372" s="3" t="s">
        <v>1331</v>
      </c>
      <c r="C1372" s="3" t="str">
        <f>IFERROR(__xludf.DUMMYFUNCTION("GOOGLETRANSLATE(B1372,""id"",""en"")"),"['easy', 'used', 'price', 'cheap', 'buy', 'package', 'internet']")</f>
        <v>['easy', 'used', 'price', 'cheap', 'buy', 'package', 'internet']</v>
      </c>
      <c r="D1372" s="3">
        <v>5.0</v>
      </c>
    </row>
    <row r="1373" ht="15.75" customHeight="1">
      <c r="A1373" s="1">
        <v>1463.0</v>
      </c>
      <c r="B1373" s="3" t="s">
        <v>1332</v>
      </c>
      <c r="C1373" s="3" t="str">
        <f>IFERROR(__xludf.DUMMYFUNCTION("GOOGLETRANSLATE(B1373,""id"",""en"")"),"['Lemot', 'buy', 'package', 'game', 'difficult', 'connects',' buy ',' quota ',' combo ',' Sakti ',' unlimited ',' bonus', ' quota ',' multimedia ',' package ',' mainly ',' run out ',' bonus', 'road', 'dibedain', 'network', 'main', 'ama', 'bonus',' feels' "&amp;", 'cheated']")</f>
        <v>['Lemot', 'buy', 'package', 'game', 'difficult', 'connects',' buy ',' quota ',' combo ',' Sakti ',' unlimited ',' bonus', ' quota ',' multimedia ',' package ',' mainly ',' run out ',' bonus', 'road', 'dibedain', 'network', 'main', 'ama', 'bonus',' feels' , 'cheated']</v>
      </c>
      <c r="D1373" s="3">
        <v>5.0</v>
      </c>
    </row>
    <row r="1374" ht="15.75" customHeight="1">
      <c r="A1374" s="1">
        <v>1464.0</v>
      </c>
      <c r="B1374" s="3" t="s">
        <v>1333</v>
      </c>
      <c r="C1374" s="3" t="str">
        <f>IFERROR(__xludf.DUMMYFUNCTION("GOOGLETRANSLATE(B1374,""id"",""en"")"),"['network', 'Kek', 'how', 'difficult', 'package', 'a month', 'Suff', 'cave', 'anything', 'Daanan', 'Difficult', ' please ',' fix ',' send ',' doang ',' difficult ',' failed ']")</f>
        <v>['network', 'Kek', 'how', 'difficult', 'package', 'a month', 'Suff', 'cave', 'anything', 'Daanan', 'Difficult', ' please ',' fix ',' send ',' doang ',' difficult ',' failed ']</v>
      </c>
      <c r="D1374" s="3">
        <v>1.0</v>
      </c>
    </row>
    <row r="1375" ht="15.75" customHeight="1">
      <c r="A1375" s="1">
        <v>1465.0</v>
      </c>
      <c r="B1375" s="3" t="s">
        <v>1334</v>
      </c>
      <c r="C1375" s="3" t="str">
        <f>IFERROR(__xludf.DUMMYFUNCTION("GOOGLETRANSLATE(B1375,""id"",""en"")"),"['travel', 'City', 'mainstay', 'Signal', 'Telkomsel', 'Best', 'Lakok', 'Village', '']")</f>
        <v>['travel', 'City', 'mainstay', 'Signal', 'Telkomsel', 'Best', 'Lakok', 'Village', '']</v>
      </c>
      <c r="D1375" s="3">
        <v>5.0</v>
      </c>
    </row>
    <row r="1376" ht="15.75" customHeight="1">
      <c r="A1376" s="1">
        <v>1466.0</v>
      </c>
      <c r="B1376" s="3" t="s">
        <v>1335</v>
      </c>
      <c r="C1376" s="3" t="str">
        <f>IFERROR(__xludf.DUMMYFUNCTION("GOOGLETRANSLATE(B1376,""id"",""en"")"),"['service', 'bad', 'told', 'Wait', 'call', 'repair', 'liver', 'activate', 'quota', 'local', 'Telkomsel', 'quota', ' Local ',' Recorded ',' Enabled ',' Region ',' Different ',' Activates', 'Compensation', 'Alias',' Loss', '']")</f>
        <v>['service', 'bad', 'told', 'Wait', 'call', 'repair', 'liver', 'activate', 'quota', 'local', 'Telkomsel', 'quota', ' Local ',' Recorded ',' Enabled ',' Region ',' Different ',' Activates', 'Compensation', 'Alias',' Loss', '']</v>
      </c>
      <c r="D1376" s="3">
        <v>1.0</v>
      </c>
    </row>
    <row r="1377" ht="15.75" customHeight="1">
      <c r="A1377" s="1">
        <v>1467.0</v>
      </c>
      <c r="B1377" s="3" t="s">
        <v>1336</v>
      </c>
      <c r="C1377" s="3" t="str">
        <f>IFERROR(__xludf.DUMMYFUNCTION("GOOGLETRANSLATE(B1377,""id"",""en"")"),"['Network', 'UDH', 'ugly', 'really']")</f>
        <v>['Network', 'UDH', 'ugly', 'really']</v>
      </c>
      <c r="D1377" s="3">
        <v>2.0</v>
      </c>
    </row>
    <row r="1378" ht="15.75" customHeight="1">
      <c r="A1378" s="1">
        <v>1468.0</v>
      </c>
      <c r="B1378" s="3" t="s">
        <v>1337</v>
      </c>
      <c r="C1378" s="3" t="str">
        <f>IFERROR(__xludf.DUMMYFUNCTION("GOOGLETRANSLATE(B1378,""id"",""en"")"),"['Network', 'kek', 'pig', 'price', 'kek']")</f>
        <v>['Network', 'kek', 'pig', 'price', 'kek']</v>
      </c>
      <c r="D1378" s="3">
        <v>1.0</v>
      </c>
    </row>
    <row r="1379" ht="15.75" customHeight="1">
      <c r="A1379" s="1">
        <v>1469.0</v>
      </c>
      <c r="B1379" s="3" t="s">
        <v>1338</v>
      </c>
      <c r="C1379" s="3" t="str">
        <f>IFERROR(__xludf.DUMMYFUNCTION("GOOGLETRANSLATE(B1379,""id"",""en"")"),"['expensive', 'Doang', 'Network', 'Leet', 'Kek', 'Taiikk']")</f>
        <v>['expensive', 'Doang', 'Network', 'Leet', 'Kek', 'Taiikk']</v>
      </c>
      <c r="D1379" s="3">
        <v>1.0</v>
      </c>
    </row>
    <row r="1380" ht="15.75" customHeight="1">
      <c r="A1380" s="1">
        <v>1470.0</v>
      </c>
      <c r="B1380" s="3" t="s">
        <v>1339</v>
      </c>
      <c r="C1380" s="3" t="str">
        <f>IFERROR(__xludf.DUMMYFUNCTION("GOOGLETRANSLATE(B1380,""id"",""en"")"),"['Trimakasih', 'Telkomsel', 'pocket', 'empty', 'ngak', 'kwatir', 'Telkomsel', '']")</f>
        <v>['Trimakasih', 'Telkomsel', 'pocket', 'empty', 'ngak', 'kwatir', 'Telkomsel', '']</v>
      </c>
      <c r="D1380" s="3">
        <v>5.0</v>
      </c>
    </row>
    <row r="1381" ht="15.75" customHeight="1">
      <c r="A1381" s="1">
        <v>1471.0</v>
      </c>
      <c r="B1381" s="3" t="s">
        <v>1340</v>
      </c>
      <c r="C1381" s="3" t="str">
        <f>IFERROR(__xludf.DUMMYFUNCTION("GOOGLETRANSLATE(B1381,""id"",""en"")"),"['Telkomsel', 'convenience', 'information', 'products', 'products', 'Telkomsel', 'bonus', 'pulses', 'quota', 'promo', 'promo', 'Telkomsel']")</f>
        <v>['Telkomsel', 'convenience', 'information', 'products', 'products', 'Telkomsel', 'bonus', 'pulses', 'quota', 'promo', 'promo', 'Telkomsel']</v>
      </c>
      <c r="D1381" s="3">
        <v>5.0</v>
      </c>
    </row>
    <row r="1382" ht="15.75" customHeight="1">
      <c r="A1382" s="1">
        <v>1472.0</v>
      </c>
      <c r="B1382" s="3" t="s">
        <v>1341</v>
      </c>
      <c r="C1382" s="3" t="str">
        <f>IFERROR(__xludf.DUMMYFUNCTION("GOOGLETRANSLATE(B1382,""id"",""en"")"),"['difficult']")</f>
        <v>['difficult']</v>
      </c>
      <c r="D1382" s="3">
        <v>1.0</v>
      </c>
    </row>
    <row r="1383" ht="15.75" customHeight="1">
      <c r="A1383" s="1">
        <v>1473.0</v>
      </c>
      <c r="B1383" s="3" t="s">
        <v>1342</v>
      </c>
      <c r="C1383" s="3" t="str">
        <f>IFERROR(__xludf.DUMMYFUNCTION("GOOGLETRANSLATE(B1383,""id"",""en"")"),"['package', 'quota', 'internet', 'multimedia', 'How good', 'good', 'quota', 'multimedia', 'use', 'waiting', 'quota', 'internet', ' hbs', 'use', 'quota', 'multimedia', 'shg', 'quota', 'internet', 'used']")</f>
        <v>['package', 'quota', 'internet', 'multimedia', 'How good', 'good', 'quota', 'multimedia', 'use', 'waiting', 'quota', 'internet', ' hbs', 'use', 'quota', 'multimedia', 'shg', 'quota', 'internet', 'used']</v>
      </c>
      <c r="D1383" s="3">
        <v>4.0</v>
      </c>
    </row>
    <row r="1384" ht="15.75" customHeight="1">
      <c r="A1384" s="1">
        <v>1474.0</v>
      </c>
      <c r="B1384" s="3" t="s">
        <v>1343</v>
      </c>
      <c r="C1384" s="3" t="str">
        <f>IFERROR(__xludf.DUMMYFUNCTION("GOOGLETRANSLATE(B1384,""id"",""en"")"),"['mantaaaaappp', 'transaction', 'buy', 'package', 'data', 'lbh', 'easy', '']")</f>
        <v>['mantaaaaappp', 'transaction', 'buy', 'package', 'data', 'lbh', 'easy', '']</v>
      </c>
      <c r="D1384" s="3">
        <v>5.0</v>
      </c>
    </row>
    <row r="1385" ht="15.75" customHeight="1">
      <c r="A1385" s="1">
        <v>1475.0</v>
      </c>
      <c r="B1385" s="3" t="s">
        <v>1344</v>
      </c>
      <c r="C1385" s="3" t="str">
        <f>IFERROR(__xludf.DUMMYFUNCTION("GOOGLETRANSLATE(B1385,""id"",""en"")"),"['Good', 'application']")</f>
        <v>['Good', 'application']</v>
      </c>
      <c r="D1385" s="3">
        <v>5.0</v>
      </c>
    </row>
    <row r="1386" ht="15.75" customHeight="1">
      <c r="A1386" s="1">
        <v>1476.0</v>
      </c>
      <c r="B1386" s="3" t="s">
        <v>1345</v>
      </c>
      <c r="C1386" s="3" t="str">
        <f>IFERROR(__xludf.DUMMYFUNCTION("GOOGLETRANSLATE(B1386,""id"",""en"")"),"['easy', 'wherever', 'application', 'MyTelkomsel']")</f>
        <v>['easy', 'wherever', 'application', 'MyTelkomsel']</v>
      </c>
      <c r="D1386" s="3">
        <v>5.0</v>
      </c>
    </row>
    <row r="1387" ht="15.75" customHeight="1">
      <c r="A1387" s="1">
        <v>1477.0</v>
      </c>
      <c r="B1387" s="3" t="s">
        <v>1346</v>
      </c>
      <c r="C1387" s="3" t="str">
        <f>IFERROR(__xludf.DUMMYFUNCTION("GOOGLETRANSLATE(B1387,""id"",""en"")"),"['extraordinary', 'satisfying']")</f>
        <v>['extraordinary', 'satisfying']</v>
      </c>
      <c r="D1387" s="3">
        <v>5.0</v>
      </c>
    </row>
    <row r="1388" ht="15.75" customHeight="1">
      <c r="A1388" s="1">
        <v>1478.0</v>
      </c>
      <c r="B1388" s="3" t="s">
        <v>735</v>
      </c>
      <c r="C1388" s="3" t="str">
        <f>IFERROR(__xludf.DUMMYFUNCTION("GOOGLETRANSLATE(B1388,""id"",""en"")"),"['help']")</f>
        <v>['help']</v>
      </c>
      <c r="D1388" s="3">
        <v>5.0</v>
      </c>
    </row>
    <row r="1389" ht="15.75" customHeight="1">
      <c r="A1389" s="1">
        <v>1479.0</v>
      </c>
      <c r="B1389" s="3" t="s">
        <v>1347</v>
      </c>
      <c r="C1389" s="3" t="str">
        <f>IFERROR(__xludf.DUMMYFUNCTION("GOOGLETRANSLATE(B1389,""id"",""en"")"),"['Hello', 'kak', 'admin', 'package', 'flash', 'omitted', 'knapa', 'pdahal', 'pket', 'favorite', 'thank you', ""]")</f>
        <v>['Hello', 'kak', 'admin', 'package', 'flash', 'omitted', 'knapa', 'pdahal', 'pket', 'favorite', 'thank you', "]</v>
      </c>
      <c r="D1389" s="3">
        <v>1.0</v>
      </c>
    </row>
    <row r="1390" ht="15.75" customHeight="1">
      <c r="A1390" s="1">
        <v>1480.0</v>
      </c>
      <c r="B1390" s="3" t="s">
        <v>1348</v>
      </c>
      <c r="C1390" s="3" t="str">
        <f>IFERROR(__xludf.DUMMYFUNCTION("GOOGLETRANSLATE(B1390,""id"",""en"")"),"['Safety', 'Save', 'Spraw', 'Its', 'Money', 'Still', 'Helping', 'This', 'Appl', 'The', 'Best']")</f>
        <v>['Safety', 'Save', 'Spraw', 'Its', 'Money', 'Still', 'Helping', 'This', 'Appl', 'The', 'Best']</v>
      </c>
      <c r="D1390" s="3">
        <v>5.0</v>
      </c>
    </row>
    <row r="1391" ht="15.75" customHeight="1">
      <c r="A1391" s="1">
        <v>1481.0</v>
      </c>
      <c r="B1391" s="3" t="s">
        <v>1349</v>
      </c>
      <c r="C1391" s="3" t="str">
        <f>IFERROR(__xludf.DUMMYFUNCTION("GOOGLETRANSLATE(B1391,""id"",""en"")"),"['Login', 'Many', 'times', 'quota', 'internet', 'locally', 'no', 'dipake', 'notification', 'no']")</f>
        <v>['Login', 'Many', 'times', 'quota', 'internet', 'locally', 'no', 'dipake', 'notification', 'no']</v>
      </c>
      <c r="D1391" s="3">
        <v>4.0</v>
      </c>
    </row>
    <row r="1392" ht="15.75" customHeight="1">
      <c r="A1392" s="1">
        <v>1482.0</v>
      </c>
      <c r="B1392" s="3" t="s">
        <v>1350</v>
      </c>
      <c r="C1392" s="3" t="str">
        <f>IFERROR(__xludf.DUMMYFUNCTION("GOOGLETRANSLATE(B1392,""id"",""en"")"),"['Package', 'Doang', 'expensive', 'network', 'ugly']")</f>
        <v>['Package', 'Doang', 'expensive', 'network', 'ugly']</v>
      </c>
      <c r="D1392" s="3">
        <v>1.0</v>
      </c>
    </row>
    <row r="1393" ht="15.75" customHeight="1">
      <c r="A1393" s="1">
        <v>1483.0</v>
      </c>
      <c r="B1393" s="3" t="s">
        <v>1351</v>
      </c>
      <c r="C1393" s="3" t="str">
        <f>IFERROR(__xludf.DUMMYFUNCTION("GOOGLETRANSLATE(B1393,""id"",""en"")"),"['already', 'reporting', 'signal', 'area', 'change', 'add', 'bad', 'network', 'widest', 'Indonesia', 'hoax', 'report', ' Consumers', 'fast', 'response', 'yes',' yes', 'action', ""]")</f>
        <v>['already', 'reporting', 'signal', 'area', 'change', 'add', 'bad', 'network', 'widest', 'Indonesia', 'hoax', 'report', ' Consumers', 'fast', 'response', 'yes',' yes', 'action', "]</v>
      </c>
      <c r="D1393" s="3">
        <v>1.0</v>
      </c>
    </row>
    <row r="1394" ht="15.75" customHeight="1">
      <c r="A1394" s="1">
        <v>1484.0</v>
      </c>
      <c r="B1394" s="3" t="s">
        <v>1352</v>
      </c>
      <c r="C1394" s="3" t="str">
        <f>IFERROR(__xludf.DUMMYFUNCTION("GOOGLETRANSLATE(B1394,""id"",""en"")"),"['ugly', 'signal', 'pallet', 'data', 'expensive', 'signal', 'rotten', '']")</f>
        <v>['ugly', 'signal', 'pallet', 'data', 'expensive', 'signal', 'rotten', '']</v>
      </c>
      <c r="D1394" s="3">
        <v>1.0</v>
      </c>
    </row>
    <row r="1395" ht="15.75" customHeight="1">
      <c r="A1395" s="1">
        <v>1485.0</v>
      </c>
      <c r="B1395" s="3" t="s">
        <v>1353</v>
      </c>
      <c r="C1395" s="3" t="str">
        <f>IFERROR(__xludf.DUMMYFUNCTION("GOOGLETRANSLATE(B1395,""id"",""en"")"),"['comfort', 'interact', 'care', 'consumers', 'comfort', '']")</f>
        <v>['comfort', 'interact', 'care', 'consumers', 'comfort', '']</v>
      </c>
      <c r="D1395" s="3">
        <v>5.0</v>
      </c>
    </row>
    <row r="1396" ht="15.75" customHeight="1">
      <c r="A1396" s="1">
        <v>1486.0</v>
      </c>
      <c r="B1396" s="3" t="s">
        <v>1354</v>
      </c>
      <c r="C1396" s="3" t="str">
        <f>IFERROR(__xludf.DUMMYFUNCTION("GOOGLETRANSLATE(B1396,""id"",""en"")"),"['Telkomsel', 'Mantulll', 'Level']")</f>
        <v>['Telkomsel', 'Mantulll', 'Level']</v>
      </c>
      <c r="D1396" s="3">
        <v>5.0</v>
      </c>
    </row>
    <row r="1397" ht="15.75" customHeight="1">
      <c r="A1397" s="1">
        <v>1487.0</v>
      </c>
      <c r="B1397" s="3" t="s">
        <v>1355</v>
      </c>
      <c r="C1397" s="3" t="str">
        <f>IFERROR(__xludf.DUMMYFUNCTION("GOOGLETRANSLATE(B1397,""id"",""en"")"),"['Connection', 'fast']")</f>
        <v>['Connection', 'fast']</v>
      </c>
      <c r="D1397" s="3">
        <v>1.0</v>
      </c>
    </row>
    <row r="1398" ht="15.75" customHeight="1">
      <c r="A1398" s="1">
        <v>1488.0</v>
      </c>
      <c r="B1398" s="3" t="s">
        <v>1356</v>
      </c>
      <c r="C1398" s="3" t="str">
        <f>IFERROR(__xludf.DUMMYFUNCTION("GOOGLETRANSLATE(B1398,""id"",""en"")"),"['Application', 'Telkomsel', 'Loding', 'Wheel', 'Klw', 'Klw', 'Bener', 'Jngn', 'Change', 'Mending', 'OK', 'TPI', ' FORMAIN ',' UDH ',' LMA ',' SMNTI ',' GNTI ',' SMPI ',' SKRG ',' TPI ',' JWBAN ',' OPRATOR ',' Telkomsel ',' SorryFF ',' continued ' , 'BKNn"&amp;"ya', 'fast', 'search', 'solution']")</f>
        <v>['Application', 'Telkomsel', 'Loding', 'Wheel', 'Klw', 'Klw', 'Bener', 'Jngn', 'Change', 'Mending', 'OK', 'TPI', ' FORMAIN ',' UDH ',' LMA ',' SMNTI ',' GNTI ',' SMPI ',' SKRG ',' TPI ',' JWBAN ',' OPRATOR ',' Telkomsel ',' SorryFF ',' continued ' , 'BKNnya', 'fast', 'search', 'solution']</v>
      </c>
      <c r="D1398" s="3">
        <v>1.0</v>
      </c>
    </row>
    <row r="1399" ht="15.75" customHeight="1">
      <c r="A1399" s="1">
        <v>1489.0</v>
      </c>
      <c r="B1399" s="3" t="s">
        <v>1357</v>
      </c>
      <c r="C1399" s="3" t="str">
        <f>IFERROR(__xludf.DUMMYFUNCTION("GOOGLETRANSLATE(B1399,""id"",""en"")"),"['Signal', 'BURIK', 'fix']")</f>
        <v>['Signal', 'BURIK', 'fix']</v>
      </c>
      <c r="D1399" s="3">
        <v>1.0</v>
      </c>
    </row>
    <row r="1400" ht="15.75" customHeight="1">
      <c r="A1400" s="1">
        <v>1490.0</v>
      </c>
      <c r="B1400" s="3" t="s">
        <v>1358</v>
      </c>
      <c r="C1400" s="3" t="str">
        <f>IFERROR(__xludf.DUMMYFUNCTION("GOOGLETRANSLATE(B1400,""id"",""en"")"),"['Try', 'tasty']")</f>
        <v>['Try', 'tasty']</v>
      </c>
      <c r="D1400" s="3">
        <v>1.0</v>
      </c>
    </row>
    <row r="1401" ht="15.75" customHeight="1">
      <c r="A1401" s="1">
        <v>1491.0</v>
      </c>
      <c r="B1401" s="3" t="s">
        <v>1359</v>
      </c>
      <c r="C1401" s="3" t="str">
        <f>IFERROR(__xludf.DUMMYFUNCTION("GOOGLETRANSLATE(B1401,""id"",""en"")"),"['Sis',' can ',' Points', 'bgmn', 'charging', 'pulse', 'many years',' contents', 'point', 'kmrn', 'writing', 'application', ' "", 'Points', 'buy', 'credit', 'Points', 'buy', 'Points', 'Please', 'DBsu', 'Sis', 'Constraints', 'TSB',""]")</f>
        <v>['Sis',' can ',' Points', 'bgmn', 'charging', 'pulse', 'many years',' contents', 'point', 'kmrn', 'writing', 'application', ' ", 'Points', 'buy', 'credit', 'Points', 'buy', 'Points', 'Please', 'DBsu', 'Sis', 'Constraints', 'TSB',"]</v>
      </c>
      <c r="D1401" s="3">
        <v>3.0</v>
      </c>
    </row>
    <row r="1402" ht="15.75" customHeight="1">
      <c r="A1402" s="1">
        <v>1492.0</v>
      </c>
      <c r="B1402" s="3" t="s">
        <v>1360</v>
      </c>
      <c r="C1402" s="3" t="str">
        <f>IFERROR(__xludf.DUMMYFUNCTION("GOOGLETRANSLATE(B1402,""id"",""en"")"),"['', 'Sorry', 'Please', 'say goodbye', 'Hijrah', 'Indosat', 'Thank you', 'serving', 'th', 'sympathy', 'card', 'Hello', 'migration ',' card ',' Hello ',' The waiter ',' disappointing ',' internet ',' slow ',' breaking out ',' Disconnect ',' Data ',' Move '"&amp;",' Turn off ',' freeze ', 'card', 'Hello', 'disappointment', 'can', 'dilatelir', 'Wasalam', '']")</f>
        <v>['', 'Sorry', 'Please', 'say goodbye', 'Hijrah', 'Indosat', 'Thank you', 'serving', 'th', 'sympathy', 'card', 'Hello', 'migration ',' card ',' Hello ',' The waiter ',' disappointing ',' internet ',' slow ',' breaking out ',' Disconnect ',' Data ',' Move ',' Turn off ',' freeze ', 'card', 'Hello', 'disappointment', 'can', 'dilatelir', 'Wasalam', '']</v>
      </c>
      <c r="D1402" s="3">
        <v>1.0</v>
      </c>
    </row>
    <row r="1403" ht="15.75" customHeight="1">
      <c r="A1403" s="1">
        <v>1493.0</v>
      </c>
      <c r="B1403" s="3" t="s">
        <v>1361</v>
      </c>
      <c r="C1403" s="3" t="str">
        <f>IFERROR(__xludf.DUMMYFUNCTION("GOOGLETRANSLATE(B1403,""id"",""en"")"),"['signal', 'area', 'bandongan', 'Magelang', 'Java', 'afternoon', 'ugly', 'forgiveness',' maen ',' game ',' signal ',' bad ',' Boro ',' Boro ',' Game ',' Open ',' YouTube ',' Wait ',' Malem ',' Clock ',' Current ',' Clock ',' Afternoon ',' Just ',' Muter '"&amp;" , 'Muter', 'please', 'Benerin', 'Doank', 'smakin', 'signal', 'good', 'bad', 'developing', 'technology', 'good', 'bad', ' The answer is', 'comen', 'just', 'read', 'developing', 'good', '']")</f>
        <v>['signal', 'area', 'bandongan', 'Magelang', 'Java', 'afternoon', 'ugly', 'forgiveness',' maen ',' game ',' signal ',' bad ',' Boro ',' Boro ',' Game ',' Open ',' YouTube ',' Wait ',' Malem ',' Clock ',' Current ',' Clock ',' Afternoon ',' Just ',' Muter ' , 'Muter', 'please', 'Benerin', 'Doank', 'smakin', 'signal', 'good', 'bad', 'developing', 'technology', 'good', 'bad', ' The answer is', 'comen', 'just', 'read', 'developing', 'good', '']</v>
      </c>
      <c r="D1403" s="3">
        <v>1.0</v>
      </c>
    </row>
    <row r="1404" ht="15.75" customHeight="1">
      <c r="A1404" s="1">
        <v>1494.0</v>
      </c>
      <c r="B1404" s="3" t="s">
        <v>1362</v>
      </c>
      <c r="C1404" s="3" t="str">
        <f>IFERROR(__xludf.DUMMYFUNCTION("GOOGLETRANSLATE(B1404,""id"",""en"")"),"['network', '']")</f>
        <v>['network', '']</v>
      </c>
      <c r="D1404" s="3">
        <v>5.0</v>
      </c>
    </row>
    <row r="1405" ht="15.75" customHeight="1">
      <c r="A1405" s="1">
        <v>1495.0</v>
      </c>
      <c r="B1405" s="3" t="s">
        <v>1363</v>
      </c>
      <c r="C1405" s="3" t="str">
        <f>IFERROR(__xludf.DUMMYFUNCTION("GOOGLETRANSLATE(B1405,""id"",""en"")"),"['already', 'safe', 'Telkomsel', 'quota', 'GB', 'run out', 'that's',' rare ',' at home ',' use ',' wifi ',' GB ',' GB ',' Out ',' Paraahhh ']")</f>
        <v>['already', 'safe', 'Telkomsel', 'quota', 'GB', 'run out', 'that's',' rare ',' at home ',' use ',' wifi ',' GB ',' GB ',' Out ',' Paraahhh ']</v>
      </c>
      <c r="D1405" s="3">
        <v>1.0</v>
      </c>
    </row>
    <row r="1406" ht="15.75" customHeight="1">
      <c r="A1406" s="1">
        <v>1496.0</v>
      </c>
      <c r="B1406" s="3" t="s">
        <v>1364</v>
      </c>
      <c r="C1406" s="3" t="str">
        <f>IFERROR(__xludf.DUMMYFUNCTION("GOOGLETRANSLATE(B1406,""id"",""en"")"),"['It's', 'broken', 'usually', 'net', 'UDH', 'Telkomsel', ""]")</f>
        <v>['It's', 'broken', 'usually', 'net', 'UDH', 'Telkomsel', "]</v>
      </c>
      <c r="D1406" s="3">
        <v>1.0</v>
      </c>
    </row>
    <row r="1407" ht="15.75" customHeight="1">
      <c r="A1407" s="1">
        <v>1497.0</v>
      </c>
      <c r="B1407" s="3" t="s">
        <v>1365</v>
      </c>
      <c r="C1407" s="3" t="str">
        <f>IFERROR(__xludf.DUMMYFUNCTION("GOOGLETRANSLATE(B1407,""id"",""en"")"),"['customer', 'loyal', 'TPI', 'promo']")</f>
        <v>['customer', 'loyal', 'TPI', 'promo']</v>
      </c>
      <c r="D1407" s="3">
        <v>3.0</v>
      </c>
    </row>
    <row r="1408" ht="15.75" customHeight="1">
      <c r="A1408" s="1">
        <v>1498.0</v>
      </c>
      <c r="B1408" s="3" t="s">
        <v>1366</v>
      </c>
      <c r="C1408" s="3" t="str">
        <f>IFERROR(__xludf.DUMMYFUNCTION("GOOGLETRANSLATE(B1408,""id"",""en"")"),"['Telkomsel', 'Severe', 'Signal', 'Sometimes',' Sometimes', 'Disappear', 'Please', 'Donk', 'Repair', 'Customer', 'Telkomsel', 'Rich', ' Gini ',' how ',' developed ',' signal ',' lag ',' missing ']")</f>
        <v>['Telkomsel', 'Severe', 'Signal', 'Sometimes',' Sometimes', 'Disappear', 'Please', 'Donk', 'Repair', 'Customer', 'Telkomsel', 'Rich', ' Gini ',' how ',' developed ',' signal ',' lag ',' missing ']</v>
      </c>
      <c r="D1408" s="3">
        <v>4.0</v>
      </c>
    </row>
    <row r="1409" ht="15.75" customHeight="1">
      <c r="A1409" s="1">
        <v>1499.0</v>
      </c>
      <c r="B1409" s="3" t="s">
        <v>1367</v>
      </c>
      <c r="C1409" s="3" t="str">
        <f>IFERROR(__xludf.DUMMYFUNCTION("GOOGLETRANSLATE(B1409,""id"",""en"")"),"['The application', 'good']")</f>
        <v>['The application', 'good']</v>
      </c>
      <c r="D1409" s="3">
        <v>5.0</v>
      </c>
    </row>
    <row r="1410" ht="15.75" customHeight="1">
      <c r="A1410" s="1">
        <v>1500.0</v>
      </c>
      <c r="B1410" s="3" t="s">
        <v>1368</v>
      </c>
      <c r="C1410" s="3" t="str">
        <f>IFERROR(__xludf.DUMMYFUNCTION("GOOGLETRANSLATE(B1410,""id"",""en"")"),"['try', 'apk', 'satisfying', 'no', '']")</f>
        <v>['try', 'apk', 'satisfying', 'no', '']</v>
      </c>
      <c r="D1410" s="3">
        <v>3.0</v>
      </c>
    </row>
    <row r="1411" ht="15.75" customHeight="1">
      <c r="A1411" s="1">
        <v>1501.0</v>
      </c>
      <c r="B1411" s="3" t="s">
        <v>1369</v>
      </c>
      <c r="C1411" s="3" t="str">
        <f>IFERROR(__xludf.DUMMYFUNCTION("GOOGLETRANSLATE(B1411,""id"",""en"")"),"['come here', 'signal', 'ugly', 'really', 'mending', 'access', 'sosmed']")</f>
        <v>['come here', 'signal', 'ugly', 'really', 'mending', 'access', 'sosmed']</v>
      </c>
      <c r="D1411" s="3">
        <v>1.0</v>
      </c>
    </row>
    <row r="1412" ht="15.75" customHeight="1">
      <c r="A1412" s="1">
        <v>1502.0</v>
      </c>
      <c r="B1412" s="3" t="s">
        <v>1370</v>
      </c>
      <c r="C1412" s="3" t="str">
        <f>IFERROR(__xludf.DUMMYFUNCTION("GOOGLETRANSLATE(B1412,""id"",""en"")"),"['convenience', 'contents', 'quota']")</f>
        <v>['convenience', 'contents', 'quota']</v>
      </c>
      <c r="D1412" s="3">
        <v>4.0</v>
      </c>
    </row>
    <row r="1413" ht="15.75" customHeight="1">
      <c r="A1413" s="1">
        <v>1503.0</v>
      </c>
      <c r="B1413" s="3" t="s">
        <v>1371</v>
      </c>
      <c r="C1413" s="3" t="str">
        <f>IFERROR(__xludf.DUMMYFUNCTION("GOOGLETRANSLATE(B1413,""id"",""en"")"),"['signal', 'Telkomsel', 'rotten', 'since', 'incident', 'yesterday', 'ngak', 'change', 'loss', 'yesterday']")</f>
        <v>['signal', 'Telkomsel', 'rotten', 'since', 'incident', 'yesterday', 'ngak', 'change', 'loss', 'yesterday']</v>
      </c>
      <c r="D1413" s="3">
        <v>1.0</v>
      </c>
    </row>
    <row r="1414" ht="15.75" customHeight="1">
      <c r="A1414" s="1">
        <v>1504.0</v>
      </c>
      <c r="B1414" s="3" t="s">
        <v>1372</v>
      </c>
      <c r="C1414" s="3" t="str">
        <f>IFERROR(__xludf.DUMMYFUNCTION("GOOGLETRANSLATE(B1414,""id"",""en"")"),"['Nyekkk', 'people', 'commoner', 'package', 'expensive', 'already', 'package', 'combo', 'lol', ""]")</f>
        <v>['Nyekkk', 'people', 'commoner', 'package', 'expensive', 'already', 'package', 'combo', 'lol', "]</v>
      </c>
      <c r="D1414" s="3">
        <v>1.0</v>
      </c>
    </row>
    <row r="1415" ht="15.75" customHeight="1">
      <c r="A1415" s="1">
        <v>1505.0</v>
      </c>
      <c r="B1415" s="3" t="s">
        <v>1373</v>
      </c>
      <c r="C1415" s="3" t="str">
        <f>IFERROR(__xludf.DUMMYFUNCTION("GOOGLETRANSLATE(B1415,""id"",""en"")"),"['', 'understand']")</f>
        <v>['', 'understand']</v>
      </c>
      <c r="D1415" s="3">
        <v>3.0</v>
      </c>
    </row>
    <row r="1416" ht="15.75" customHeight="1">
      <c r="A1416" s="1">
        <v>1506.0</v>
      </c>
      <c r="B1416" s="3" t="s">
        <v>1374</v>
      </c>
      <c r="C1416" s="3" t="str">
        <f>IFERROR(__xludf.DUMMYFUNCTION("GOOGLETRANSLATE(B1416,""id"",""en"")"),"['APK', 'Fix', 'Jarngan', 'PERRBIH', 'NJING']")</f>
        <v>['APK', 'Fix', 'Jarngan', 'PERRBIH', 'NJING']</v>
      </c>
      <c r="D1416" s="3">
        <v>1.0</v>
      </c>
    </row>
    <row r="1417" ht="15.75" customHeight="1">
      <c r="A1417" s="1">
        <v>1507.0</v>
      </c>
      <c r="B1417" s="3" t="s">
        <v>1375</v>
      </c>
      <c r="C1417" s="3" t="str">
        <f>IFERROR(__xludf.DUMMYFUNCTION("GOOGLETRANSLATE(B1417,""id"",""en"")"),"['Hopefully', 'Lottery', '']")</f>
        <v>['Hopefully', 'Lottery', '']</v>
      </c>
      <c r="D1417" s="3">
        <v>5.0</v>
      </c>
    </row>
    <row r="1418" ht="15.75" customHeight="1">
      <c r="A1418" s="1">
        <v>1508.0</v>
      </c>
      <c r="B1418" s="3" t="s">
        <v>1376</v>
      </c>
      <c r="C1418" s="3" t="str">
        <f>IFERROR(__xludf.DUMMYFUNCTION("GOOGLETRANSLATE(B1418,""id"",""en"")"),"['for', 'Telkomsel', 'help']")</f>
        <v>['for', 'Telkomsel', 'help']</v>
      </c>
      <c r="D1418" s="3">
        <v>5.0</v>
      </c>
    </row>
    <row r="1419" ht="15.75" customHeight="1">
      <c r="A1419" s="1">
        <v>1509.0</v>
      </c>
      <c r="B1419" s="3" t="s">
        <v>1377</v>
      </c>
      <c r="C1419" s="3" t="str">
        <f>IFERROR(__xludf.DUMMYFUNCTION("GOOGLETRANSLATE(B1419,""id"",""en"")"),"['signal', 'Telkomsel', 'Kek', 'anjink']")</f>
        <v>['signal', 'Telkomsel', 'Kek', 'anjink']</v>
      </c>
      <c r="D1419" s="3">
        <v>1.0</v>
      </c>
    </row>
    <row r="1420" ht="15.75" customHeight="1">
      <c r="A1420" s="1">
        <v>1510.0</v>
      </c>
      <c r="B1420" s="3" t="s">
        <v>1378</v>
      </c>
      <c r="C1420" s="3" t="str">
        <f>IFERROR(__xludf.DUMMYFUNCTION("GOOGLETRANSLATE(B1420,""id"",""en"")"),"['Help', 'connected', 'ewallet', '']")</f>
        <v>['Help', 'connected', 'ewallet', '']</v>
      </c>
      <c r="D1420" s="3">
        <v>5.0</v>
      </c>
    </row>
    <row r="1421" ht="15.75" customHeight="1">
      <c r="A1421" s="1">
        <v>1511.0</v>
      </c>
      <c r="B1421" s="3" t="s">
        <v>1379</v>
      </c>
      <c r="C1421" s="3" t="str">
        <f>IFERROR(__xludf.DUMMYFUNCTION("GOOGLETRANSLATE(B1421,""id"",""en"")"),"['base', 'garbage', 'already', 'expensive', 'network', 'slow', '']")</f>
        <v>['base', 'garbage', 'already', 'expensive', 'network', 'slow', '']</v>
      </c>
      <c r="D1421" s="3">
        <v>1.0</v>
      </c>
    </row>
    <row r="1422" ht="15.75" customHeight="1">
      <c r="A1422" s="1">
        <v>1512.0</v>
      </c>
      <c r="B1422" s="3" t="s">
        <v>1380</v>
      </c>
      <c r="C1422" s="3" t="str">
        <f>IFERROR(__xludf.DUMMYFUNCTION("GOOGLETRANSLATE(B1422,""id"",""en"")"),"['APLKSI', 'Good']")</f>
        <v>['APLKSI', 'Good']</v>
      </c>
      <c r="D1422" s="3">
        <v>4.0</v>
      </c>
    </row>
    <row r="1423" ht="15.75" customHeight="1">
      <c r="A1423" s="1">
        <v>1513.0</v>
      </c>
      <c r="B1423" s="3" t="s">
        <v>1381</v>
      </c>
      <c r="C1423" s="3" t="str">
        <f>IFERROR(__xludf.DUMMYFUNCTION("GOOGLETRANSLATE(B1423,""id"",""en"")"),"['signal', 'tsel', 'area', 'unstable', 'week', 'normal', 'please', 'solution']")</f>
        <v>['signal', 'tsel', 'area', 'unstable', 'week', 'normal', 'please', 'solution']</v>
      </c>
      <c r="D1423" s="3">
        <v>1.0</v>
      </c>
    </row>
    <row r="1424" ht="15.75" customHeight="1">
      <c r="A1424" s="1">
        <v>1514.0</v>
      </c>
      <c r="B1424" s="3" t="s">
        <v>1382</v>
      </c>
      <c r="C1424" s="3" t="str">
        <f>IFERROR(__xludf.DUMMYFUNCTION("GOOGLETRANSLATE(B1424,""id"",""en"")"),"['Good', 'good', 'recommendation', 'APK']")</f>
        <v>['Good', 'good', 'recommendation', 'APK']</v>
      </c>
      <c r="D1424" s="3">
        <v>5.0</v>
      </c>
    </row>
    <row r="1425" ht="15.75" customHeight="1">
      <c r="A1425" s="1">
        <v>1515.0</v>
      </c>
      <c r="B1425" s="3" t="s">
        <v>502</v>
      </c>
      <c r="C1425" s="3" t="str">
        <f>IFERROR(__xludf.DUMMYFUNCTION("GOOGLETRANSLATE(B1425,""id"",""en"")"),"['Good', 'easy']")</f>
        <v>['Good', 'easy']</v>
      </c>
      <c r="D1425" s="3">
        <v>5.0</v>
      </c>
    </row>
    <row r="1426" ht="15.75" customHeight="1">
      <c r="A1426" s="1">
        <v>1516.0</v>
      </c>
      <c r="B1426" s="3" t="s">
        <v>1383</v>
      </c>
      <c r="C1426" s="3" t="str">
        <f>IFERROR(__xludf.DUMMYFUNCTION("GOOGLETRANSLATE(B1426,""id"",""en"")"),"['ugly', 'network', 'pdhl', 'loyal', 'use', 'Telkomsel']")</f>
        <v>['ugly', 'network', 'pdhl', 'loyal', 'use', 'Telkomsel']</v>
      </c>
      <c r="D1426" s="3">
        <v>1.0</v>
      </c>
    </row>
    <row r="1427" ht="15.75" customHeight="1">
      <c r="A1427" s="1">
        <v>1517.0</v>
      </c>
      <c r="B1427" s="3" t="s">
        <v>1384</v>
      </c>
      <c r="C1427" s="3" t="str">
        <f>IFERROR(__xludf.DUMMYFUNCTION("GOOGLETRANSLATE(B1427,""id"",""en"")"),"['signal', 'tilling']")</f>
        <v>['signal', 'tilling']</v>
      </c>
      <c r="D1427" s="3">
        <v>4.0</v>
      </c>
    </row>
    <row r="1428" ht="15.75" customHeight="1">
      <c r="A1428" s="1">
        <v>1518.0</v>
      </c>
      <c r="B1428" s="3" t="s">
        <v>1385</v>
      </c>
      <c r="C1428" s="3" t="str">
        <f>IFERROR(__xludf.DUMMYFUNCTION("GOOGLETRANSLATE(B1428,""id"",""en"")"),"['network', 'Telkomsel', 'ugly', 'already', 'package', 'kouta', 'expensive', 'tetep', 'ugly', 'network', 'like', 'maen', ' Game ']")</f>
        <v>['network', 'Telkomsel', 'ugly', 'already', 'package', 'kouta', 'expensive', 'tetep', 'ugly', 'network', 'like', 'maen', ' Game ']</v>
      </c>
      <c r="D1428" s="3">
        <v>2.0</v>
      </c>
    </row>
    <row r="1429" ht="15.75" customHeight="1">
      <c r="A1429" s="1">
        <v>1519.0</v>
      </c>
      <c r="B1429" s="3" t="s">
        <v>1386</v>
      </c>
      <c r="C1429" s="3" t="str">
        <f>IFERROR(__xludf.DUMMYFUNCTION("GOOGLETRANSLATE(B1429,""id"",""en"")"),"['active', 'changed', 'times',' activation ',' card ',' active ',' internet ',' week ',' kerudian ',' check ',' prank ',' gmana ',' ']")</f>
        <v>['active', 'changed', 'times',' activation ',' card ',' active ',' internet ',' week ',' kerudian ',' check ',' prank ',' gmana ',' ']</v>
      </c>
      <c r="D1429" s="3">
        <v>5.0</v>
      </c>
    </row>
    <row r="1430" ht="15.75" customHeight="1">
      <c r="A1430" s="1">
        <v>1520.0</v>
      </c>
      <c r="B1430" s="3" t="s">
        <v>1387</v>
      </c>
      <c r="C1430" s="3" t="str">
        <f>IFERROR(__xludf.DUMMYFUNCTION("GOOGLETRANSLATE(B1430,""id"",""en"")"),"['Please', 'fix', 'signal', 'Anjim', 'quota', 'stay', 'GB', 'signal', 'ngelag', 'COKK', 'play', 'game', ' bad signal']")</f>
        <v>['Please', 'fix', 'signal', 'Anjim', 'quota', 'stay', 'GB', 'signal', 'ngelag', 'COKK', 'play', 'game', ' bad signal']</v>
      </c>
      <c r="D1430" s="3">
        <v>1.0</v>
      </c>
    </row>
    <row r="1431" ht="15.75" customHeight="1">
      <c r="A1431" s="1">
        <v>1521.0</v>
      </c>
      <c r="B1431" s="3" t="s">
        <v>1388</v>
      </c>
      <c r="C1431" s="3" t="str">
        <f>IFERROR(__xludf.DUMMYFUNCTION("GOOGLETRANSLATE(B1431,""id"",""en"")"),"['application', 'dilapidated', 'poor', 'mmberi', 'servant', 'maximum', 'impressed', 'lie', 'mere', 'nyampah', 'buy', 'package', ' Unlimited ',' SMA ',' System ',' Quota ',' Severe ',' PMBIGHT ',' Quotes', 'Out', 'Quota', 'Unlimited', 'Free', 'Apps',' walk"&amp;"ing ' , 'Severe', 'since', 'PKE', 'Card', 'Telkomsel', 'Many', 'accept', 'Notif', 'SMS', 'mode', 'Lotter', 'Loan', ' bills', 'etc.', 'indications',' fraud ',' service ',' memalankn ',' hope ',' user ',' feel at home ']")</f>
        <v>['application', 'dilapidated', 'poor', 'mmberi', 'servant', 'maximum', 'impressed', 'lie', 'mere', 'nyampah', 'buy', 'package', ' Unlimited ',' SMA ',' System ',' Quota ',' Severe ',' PMBIGHT ',' Quotes', 'Out', 'Quota', 'Unlimited', 'Free', 'Apps',' walking ' , 'Severe', 'since', 'PKE', 'Card', 'Telkomsel', 'Many', 'accept', 'Notif', 'SMS', 'mode', 'Lotter', 'Loan', ' bills', 'etc.', 'indications',' fraud ',' service ',' memalankn ',' hope ',' user ',' feel at home ']</v>
      </c>
      <c r="D1431" s="3">
        <v>1.0</v>
      </c>
    </row>
    <row r="1432" ht="15.75" customHeight="1">
      <c r="A1432" s="1">
        <v>1522.0</v>
      </c>
      <c r="B1432" s="3" t="s">
        <v>1389</v>
      </c>
      <c r="C1432" s="3" t="str">
        <f>IFERROR(__xludf.DUMMYFUNCTION("GOOGLETRANSLATE(B1432,""id"",""en"")"),"['Make', 'Telkomsel']")</f>
        <v>['Make', 'Telkomsel']</v>
      </c>
      <c r="D1432" s="3">
        <v>4.0</v>
      </c>
    </row>
    <row r="1433" ht="15.75" customHeight="1">
      <c r="A1433" s="1">
        <v>1523.0</v>
      </c>
      <c r="B1433" s="3" t="s">
        <v>1390</v>
      </c>
      <c r="C1433" s="3" t="str">
        <f>IFERROR(__xludf.DUMMYFUNCTION("GOOGLETRANSLATE(B1433,""id"",""en"")"),"['Kwulitas',' garbage ',' expensive ',' signal ',' trash ',' game ',' Seleveled ',' game ',' Little ',' Big ',' Snake ',' Telkomsel ',' can be able to ',' network ',' internet ',' smooth ',' nation ',' ghost ',' jin ',' clock ',' night ',' hope ',' custom"&amp;"er ',' operator ' , 'Region', 'Card', 'Telkomsel', 'Juluki', 'Card', 'Sultan', 'Telkomsel', 'Customer', 'Figure', 'Belly', 'Customer', 'Stirup', ' Complaints', 'Telkomsel', 'Understand', 'complaints',' Read ', ""]")</f>
        <v>['Kwulitas',' garbage ',' expensive ',' signal ',' trash ',' game ',' Seleveled ',' game ',' Little ',' Big ',' Snake ',' Telkomsel ',' can be able to ',' network ',' internet ',' smooth ',' nation ',' ghost ',' jin ',' clock ',' night ',' hope ',' customer ',' operator ' , 'Region', 'Card', 'Telkomsel', 'Juluki', 'Card', 'Sultan', 'Telkomsel', 'Customer', 'Figure', 'Belly', 'Customer', 'Stirup', ' Complaints', 'Telkomsel', 'Understand', 'complaints',' Read ', "]</v>
      </c>
      <c r="D1433" s="3">
        <v>1.0</v>
      </c>
    </row>
    <row r="1434" ht="15.75" customHeight="1">
      <c r="A1434" s="1">
        <v>1524.0</v>
      </c>
      <c r="B1434" s="3" t="s">
        <v>1391</v>
      </c>
      <c r="C1434" s="3" t="str">
        <f>IFERROR(__xludf.DUMMYFUNCTION("GOOGLETRANSLATE(B1434,""id"",""en"")"),"['Update', 'Application', 'Bner', 'Enter', 'HARD', 'UDH', 'Entering', 'Email', 'Udh', 'Wait', 'Enter', 'Credit', ' rb ',' network ',' wifi ',' knpa ',' to ',' telkomsel ',' here ',' udh ',' bget ',' pke ',' telkomsel ',' card ',' until ' , 'use', 'service"&amp;"', 'here', 'battered', 'according to', 'hope', 'sorry', 'star', 'application', 'the latest', ""]")</f>
        <v>['Update', 'Application', 'Bner', 'Enter', 'HARD', 'UDH', 'Entering', 'Email', 'Udh', 'Wait', 'Enter', 'Credit', ' rb ',' network ',' wifi ',' knpa ',' to ',' telkomsel ',' here ',' udh ',' bget ',' pke ',' telkomsel ',' card ',' until ' , 'use', 'service', 'here', 'battered', 'according to', 'hope', 'sorry', 'star', 'application', 'the latest', "]</v>
      </c>
      <c r="D1434" s="3">
        <v>1.0</v>
      </c>
    </row>
    <row r="1435" ht="15.75" customHeight="1">
      <c r="A1435" s="1">
        <v>1525.0</v>
      </c>
      <c r="B1435" s="3" t="s">
        <v>1392</v>
      </c>
      <c r="C1435" s="3" t="str">
        <f>IFERROR(__xludf.DUMMYFUNCTION("GOOGLETRANSLATE(B1435,""id"",""en"")"),"['network', 'Telkomsel', 'satisfying', 'price', 'package', 'wallet', 'dry', 'push', 'rank', 'fly', '']")</f>
        <v>['network', 'Telkomsel', 'satisfying', 'price', 'package', 'wallet', 'dry', 'push', 'rank', 'fly', '']</v>
      </c>
      <c r="D1435" s="3">
        <v>5.0</v>
      </c>
    </row>
    <row r="1436" ht="15.75" customHeight="1">
      <c r="A1436" s="1">
        <v>1526.0</v>
      </c>
      <c r="B1436" s="3" t="s">
        <v>1393</v>
      </c>
      <c r="C1436" s="3" t="str">
        <f>IFERROR(__xludf.DUMMYFUNCTION("GOOGLETRANSLATE(B1436,""id"",""en"")"),"['price', 'expensive', 'network', 'good', 'see', 'network', 'yellow', 'good', 'where', 'signal', 'price', 'cheap', ' Operators', 'Nge', 'prank']")</f>
        <v>['price', 'expensive', 'network', 'good', 'see', 'network', 'yellow', 'good', 'where', 'signal', 'price', 'cheap', ' Operators', 'Nge', 'prank']</v>
      </c>
      <c r="D1436" s="3">
        <v>1.0</v>
      </c>
    </row>
    <row r="1437" ht="15.75" customHeight="1">
      <c r="A1437" s="1">
        <v>1527.0</v>
      </c>
      <c r="B1437" s="3" t="s">
        <v>1394</v>
      </c>
      <c r="C1437" s="3" t="str">
        <f>IFERROR(__xludf.DUMMYFUNCTION("GOOGLETRANSLATE(B1437,""id"",""en"")"),"['Signal', 'Worst', 'Tahub', 'Gini', 'Gini', ""]")</f>
        <v>['Signal', 'Worst', 'Tahub', 'Gini', 'Gini', "]</v>
      </c>
      <c r="D1437" s="3">
        <v>1.0</v>
      </c>
    </row>
    <row r="1438" ht="15.75" customHeight="1">
      <c r="A1438" s="1">
        <v>1528.0</v>
      </c>
      <c r="B1438" s="3" t="s">
        <v>1395</v>
      </c>
      <c r="C1438" s="3" t="str">
        <f>IFERROR(__xludf.DUMMYFUNCTION("GOOGLETRANSLATE(B1438,""id"",""en"")"),"['network', 'krennn', 'really', 'until', 'muter', 'muter', 'see', 'youtube', '']")</f>
        <v>['network', 'krennn', 'really', 'until', 'muter', 'muter', 'see', 'youtube', '']</v>
      </c>
      <c r="D1438" s="3">
        <v>1.0</v>
      </c>
    </row>
    <row r="1439" ht="15.75" customHeight="1">
      <c r="A1439" s="1">
        <v>1529.0</v>
      </c>
      <c r="B1439" s="3" t="s">
        <v>1396</v>
      </c>
      <c r="C1439" s="3" t="str">
        <f>IFERROR(__xludf.DUMMYFUNCTION("GOOGLETRANSLATE(B1439,""id"",""en"")"),"['Ngajo', 'emang', 'network', 'Telkomsel', 'intention', 'fix', 'network', 'slash', 'tower', 'price', 'package', 'cave', ' The network is', 'Prank', 'prank', 'cave', 'already', 'use', 'Telkom', 'cave', 'disappointed', 'Telkom', ""]")</f>
        <v>['Ngajo', 'emang', 'network', 'Telkomsel', 'intention', 'fix', 'network', 'slash', 'tower', 'price', 'package', 'cave', ' The network is', 'Prank', 'prank', 'cave', 'already', 'use', 'Telkom', 'cave', 'disappointed', 'Telkom', "]</v>
      </c>
      <c r="D1439" s="3">
        <v>1.0</v>
      </c>
    </row>
    <row r="1440" ht="15.75" customHeight="1">
      <c r="A1440" s="1">
        <v>1530.0</v>
      </c>
      <c r="B1440" s="3" t="s">
        <v>1397</v>
      </c>
      <c r="C1440" s="3" t="str">
        <f>IFERROR(__xludf.DUMMYFUNCTION("GOOGLETRANSLATE(B1440,""id"",""en"")"),"['Check', 'pulse', 'UDH', 'ISI', 'Credit', 'Enter', 'Nihh', 'Hadehhh', ""]")</f>
        <v>['Check', 'pulse', 'UDH', 'ISI', 'Credit', 'Enter', 'Nihh', 'Hadehhh', "]</v>
      </c>
      <c r="D1440" s="3">
        <v>1.0</v>
      </c>
    </row>
    <row r="1441" ht="15.75" customHeight="1">
      <c r="A1441" s="1">
        <v>1531.0</v>
      </c>
      <c r="B1441" s="3" t="s">
        <v>1398</v>
      </c>
      <c r="C1441" s="3" t="str">
        <f>IFERROR(__xludf.DUMMYFUNCTION("GOOGLETRANSLATE(B1441,""id"",""en"")"),"['', 'MyTelkomsel', 'fast', 'thank', 'love']")</f>
        <v>['', 'MyTelkomsel', 'fast', 'thank', 'love']</v>
      </c>
      <c r="D1441" s="3">
        <v>5.0</v>
      </c>
    </row>
    <row r="1442" ht="15.75" customHeight="1">
      <c r="A1442" s="1">
        <v>1532.0</v>
      </c>
      <c r="B1442" s="3" t="s">
        <v>1399</v>
      </c>
      <c r="C1442" s="3" t="str">
        <f>IFERROR(__xludf.DUMMYFUNCTION("GOOGLETRANSLATE(B1442,""id"",""en"")"),"['Jos', 'boss', 'signal']")</f>
        <v>['Jos', 'boss', 'signal']</v>
      </c>
      <c r="D1442" s="3">
        <v>5.0</v>
      </c>
    </row>
    <row r="1443" ht="15.75" customHeight="1">
      <c r="A1443" s="1">
        <v>1533.0</v>
      </c>
      <c r="B1443" s="3" t="s">
        <v>1400</v>
      </c>
      <c r="C1443" s="3" t="str">
        <f>IFERROR(__xludf.DUMMYFUNCTION("GOOGLETRANSLATE(B1443,""id"",""en"")"),"['Good', 'Network', 'Papua', 'Fix', 'checked', 'pulses',' difficult ',' can ',' the network ',' a year ',' check ',' pulses', ' Easy ',' plus', 'internet', 'slow', 'online', 'wfh', 'online', 'child', 'school', 'tlg', 'boss',' repair ',' the network ' , 'S"&amp;"trong', 'network', 'internet', '']")</f>
        <v>['Good', 'Network', 'Papua', 'Fix', 'checked', 'pulses',' difficult ',' can ',' the network ',' a year ',' check ',' pulses', ' Easy ',' plus', 'internet', 'slow', 'online', 'wfh', 'online', 'child', 'school', 'tlg', 'boss',' repair ',' the network ' , 'Strong', 'network', 'internet', '']</v>
      </c>
      <c r="D1443" s="3">
        <v>5.0</v>
      </c>
    </row>
    <row r="1444" ht="15.75" customHeight="1">
      <c r="A1444" s="1">
        <v>1534.0</v>
      </c>
      <c r="B1444" s="3" t="s">
        <v>1401</v>
      </c>
      <c r="C1444" s="3" t="str">
        <f>IFERROR(__xludf.DUMMYFUNCTION("GOOGLETRANSLATE(B1444,""id"",""en"")"),"['Alhamdulillah', 'loyal', 'Telkomsel', 'number', 'annual', 'easy', 'hopefully', 'survive', 'istiqomah', ""]")</f>
        <v>['Alhamdulillah', 'loyal', 'Telkomsel', 'number', 'annual', 'easy', 'hopefully', 'survive', 'istiqomah', "]</v>
      </c>
      <c r="D1444" s="3">
        <v>5.0</v>
      </c>
    </row>
    <row r="1445" ht="15.75" customHeight="1">
      <c r="A1445" s="1">
        <v>1535.0</v>
      </c>
      <c r="B1445" s="3" t="s">
        <v>1402</v>
      </c>
      <c r="C1445" s="3" t="str">
        <f>IFERROR(__xludf.DUMMYFUNCTION("GOOGLETRANSLATE(B1445,""id"",""en"")"),"['easy', 'access']")</f>
        <v>['easy', 'access']</v>
      </c>
      <c r="D1445" s="3">
        <v>5.0</v>
      </c>
    </row>
    <row r="1446" ht="15.75" customHeight="1">
      <c r="A1446" s="1">
        <v>1536.0</v>
      </c>
      <c r="B1446" s="3" t="s">
        <v>1403</v>
      </c>
      <c r="C1446" s="3" t="str">
        <f>IFERROR(__xludf.DUMMYFUNCTION("GOOGLETRANSLATE(B1446,""id"",""en"")"),"['sincerity', 'lillahita', 'ala', 'eat', 'pulse', 'haram', 'pulse', 'hit', 'suck', 'in', 'already', 'seringgg', ' Bangettt ',' sucked ',' bgstttt ', ""]")</f>
        <v>['sincerity', 'lillahita', 'ala', 'eat', 'pulse', 'haram', 'pulse', 'hit', 'suck', 'in', 'already', 'seringgg', ' Bangettt ',' sucked ',' bgstttt ', "]</v>
      </c>
      <c r="D1446" s="3">
        <v>1.0</v>
      </c>
    </row>
    <row r="1447" ht="15.75" customHeight="1">
      <c r="A1447" s="1">
        <v>1537.0</v>
      </c>
      <c r="B1447" s="3" t="s">
        <v>1404</v>
      </c>
      <c r="C1447" s="3" t="str">
        <f>IFERROR(__xludf.DUMMYFUNCTION("GOOGLETRANSLATE(B1447,""id"",""en"")"),"['Contents',' Credit ',' Top ',' Diamond ',' Ultraman ',' Legend ',' Heroes', 'Kayak', 'Fill', 'Credit', 'Coins',' Use ',' Fill ',' pulse ',' Money ',' Original ']")</f>
        <v>['Contents',' Credit ',' Top ',' Diamond ',' Ultraman ',' Legend ',' Heroes', 'Kayak', 'Fill', 'Credit', 'Coins',' Use ',' Fill ',' pulse ',' Money ',' Original ']</v>
      </c>
      <c r="D1447" s="3">
        <v>5.0</v>
      </c>
    </row>
    <row r="1448" ht="15.75" customHeight="1">
      <c r="A1448" s="1">
        <v>1538.0</v>
      </c>
      <c r="B1448" s="3" t="s">
        <v>1405</v>
      </c>
      <c r="C1448" s="3" t="str">
        <f>IFERROR(__xludf.DUMMYFUNCTION("GOOGLETRANSLATE(B1448,""id"",""en"")"),"['telephone', 'card', 'Telkomsel', 'use', 'card', 'Telkomsel', 'fun', 'signal', 'strong', 'rare', 'disruption', 'Telkomsel', ' Super ',' Cool ']")</f>
        <v>['telephone', 'card', 'Telkomsel', 'use', 'card', 'Telkomsel', 'fun', 'signal', 'strong', 'rare', 'disruption', 'Telkomsel', ' Super ',' Cool ']</v>
      </c>
      <c r="D1448" s="3">
        <v>4.0</v>
      </c>
    </row>
    <row r="1449" ht="15.75" customHeight="1">
      <c r="A1449" s="1">
        <v>1539.0</v>
      </c>
      <c r="B1449" s="3" t="s">
        <v>1406</v>
      </c>
      <c r="C1449" s="3" t="str">
        <f>IFERROR(__xludf.DUMMYFUNCTION("GOOGLETRANSLATE(B1449,""id"",""en"")"),"['Seneng', 'network', 'sympathy', 'please', 'good', 'sinyall']")</f>
        <v>['Seneng', 'network', 'sympathy', 'please', 'good', 'sinyall']</v>
      </c>
      <c r="D1449" s="3">
        <v>5.0</v>
      </c>
    </row>
    <row r="1450" ht="15.75" customHeight="1">
      <c r="A1450" s="1">
        <v>1540.0</v>
      </c>
      <c r="B1450" s="3" t="s">
        <v>1407</v>
      </c>
      <c r="C1450" s="3" t="str">
        <f>IFERROR(__xludf.DUMMYFUNCTION("GOOGLETRANSLATE(B1450,""id"",""en"")"),"['Lemotttt', 'really', 'Sihhh', 'Disappointed', 'Telkomsel', ""]")</f>
        <v>['Lemotttt', 'really', 'Sihhh', 'Disappointed', 'Telkomsel', "]</v>
      </c>
      <c r="D1450" s="3">
        <v>1.0</v>
      </c>
    </row>
    <row r="1451" ht="15.75" customHeight="1">
      <c r="A1451" s="1">
        <v>1541.0</v>
      </c>
      <c r="B1451" s="3" t="s">
        <v>1408</v>
      </c>
      <c r="C1451" s="3" t="str">
        <f>IFERROR(__xludf.DUMMYFUNCTION("GOOGLETRANSLATE(B1451,""id"",""en"")"),"['Internet', 'safe', 'expensive', 'child', 'sultan', 'ehehehe', ""]")</f>
        <v>['Internet', 'safe', 'expensive', 'child', 'sultan', 'ehehehe', "]</v>
      </c>
      <c r="D1451" s="3">
        <v>5.0</v>
      </c>
    </row>
    <row r="1452" ht="15.75" customHeight="1">
      <c r="A1452" s="1">
        <v>1542.0</v>
      </c>
      <c r="B1452" s="3" t="s">
        <v>1409</v>
      </c>
      <c r="C1452" s="3" t="str">
        <f>IFERROR(__xludf.DUMMYFUNCTION("GOOGLETRANSLATE(B1452,""id"",""en"")"),"['Access', 'slow']")</f>
        <v>['Access', 'slow']</v>
      </c>
      <c r="D1452" s="3">
        <v>4.0</v>
      </c>
    </row>
    <row r="1453" ht="15.75" customHeight="1">
      <c r="A1453" s="1">
        <v>1543.0</v>
      </c>
      <c r="B1453" s="3" t="s">
        <v>1410</v>
      </c>
      <c r="C1453" s="3" t="str">
        <f>IFERROR(__xludf.DUMMYFUNCTION("GOOGLETRANSLATE(B1453,""id"",""en"")"),"['knp', 'apk', 'Telkomsel', 'difficult', 'login', 'parahhhh', 'uninstall', 'byeee', 'Telkomsel', '']")</f>
        <v>['knp', 'apk', 'Telkomsel', 'difficult', 'login', 'parahhhh', 'uninstall', 'byeee', 'Telkomsel', '']</v>
      </c>
      <c r="D1453" s="3">
        <v>1.0</v>
      </c>
    </row>
    <row r="1454" ht="15.75" customHeight="1">
      <c r="A1454" s="1">
        <v>1544.0</v>
      </c>
      <c r="B1454" s="3" t="s">
        <v>1411</v>
      </c>
      <c r="C1454" s="3" t="str">
        <f>IFERROR(__xludf.DUMMYFUNCTION("GOOGLETRANSLATE(B1454,""id"",""en"")"),"['Login', 'difficult', 'difficult', 'difficult', 'Karuan', 'application', 'Learning']")</f>
        <v>['Login', 'difficult', 'difficult', 'difficult', 'Karuan', 'application', 'Learning']</v>
      </c>
      <c r="D1454" s="3">
        <v>1.0</v>
      </c>
    </row>
    <row r="1455" ht="15.75" customHeight="1">
      <c r="A1455" s="1">
        <v>1545.0</v>
      </c>
      <c r="B1455" s="3" t="s">
        <v>1412</v>
      </c>
      <c r="C1455" s="3" t="str">
        <f>IFERROR(__xludf.DUMMYFUNCTION("GOOGLETRANSLATE(B1455,""id"",""en"")"),"['Kirain', 'Nursing', 'Network', 'Bener', 'Terpi', 'Byk', 'User', 'Nursing', 'Network', 'Leet', 'EMG', 'Sekrg', ' cells', 'quality', 'engine', 'live', 'jkt', 'singal', 'stay', 'forest', 'can', 'line', 'doank', 'shy', 'temn' , 'PKE', 'Operator', 'Sebuh', '"&amp;"Lost', 'Speaking', ""]")</f>
        <v>['Kirain', 'Nursing', 'Network', 'Bener', 'Terpi', 'Byk', 'User', 'Nursing', 'Network', 'Leet', 'EMG', 'Sekrg', ' cells', 'quality', 'engine', 'live', 'jkt', 'singal', 'stay', 'forest', 'can', 'line', 'doank', 'shy', 'temn' , 'PKE', 'Operator', 'Sebuh', 'Lost', 'Speaking', "]</v>
      </c>
      <c r="D1455" s="3">
        <v>2.0</v>
      </c>
    </row>
    <row r="1456" ht="15.75" customHeight="1">
      <c r="A1456" s="1">
        <v>1546.0</v>
      </c>
      <c r="B1456" s="3" t="s">
        <v>1413</v>
      </c>
      <c r="C1456" s="3" t="str">
        <f>IFERROR(__xludf.DUMMYFUNCTION("GOOGLETRANSLATE(B1456,""id"",""en"")"),"['Duh', 'disappointed', 'Paketan', 'Telkomsel', 'already', 'choice', 'package', 'inernet', 'omg', 'Kadung', 'contents',' rich ',' Gini ']")</f>
        <v>['Duh', 'disappointed', 'Paketan', 'Telkomsel', 'already', 'choice', 'package', 'inernet', 'omg', 'Kadung', 'contents',' rich ',' Gini ']</v>
      </c>
      <c r="D1456" s="3">
        <v>1.0</v>
      </c>
    </row>
    <row r="1457" ht="15.75" customHeight="1">
      <c r="A1457" s="1">
        <v>1547.0</v>
      </c>
      <c r="B1457" s="3" t="s">
        <v>1414</v>
      </c>
      <c r="C1457" s="3" t="str">
        <f>IFERROR(__xludf.DUMMYFUNCTION("GOOGLETRANSLATE(B1457,""id"",""en"")"),"['Sangant', 'Satisfied', 'Price', 'Intrnet', 'Cheap', 'skrang']")</f>
        <v>['Sangant', 'Satisfied', 'Price', 'Intrnet', 'Cheap', 'skrang']</v>
      </c>
      <c r="D1457" s="3">
        <v>5.0</v>
      </c>
    </row>
    <row r="1458" ht="15.75" customHeight="1">
      <c r="A1458" s="1">
        <v>1548.0</v>
      </c>
      <c r="B1458" s="3" t="s">
        <v>1415</v>
      </c>
      <c r="C1458" s="3" t="str">
        <f>IFERROR(__xludf.DUMMYFUNCTION("GOOGLETRANSLATE(B1458,""id"",""en"")"),"['Paketan', 'Cheap', 'Nihh', 'Decrease', 'Quality', 'Network', 'Region', 'Overall', 'Okay']")</f>
        <v>['Paketan', 'Cheap', 'Nihh', 'Decrease', 'Quality', 'Network', 'Region', 'Overall', 'Okay']</v>
      </c>
      <c r="D1458" s="3">
        <v>5.0</v>
      </c>
    </row>
    <row r="1459" ht="15.75" customHeight="1">
      <c r="A1459" s="1">
        <v>1549.0</v>
      </c>
      <c r="B1459" s="3" t="s">
        <v>1416</v>
      </c>
      <c r="C1459" s="3" t="str">
        <f>IFERROR(__xludf.DUMMYFUNCTION("GOOGLETRANSLATE(B1459,""id"",""en"")"),"['Package', 'Telkomsel', 'expensive', 'promo', 'expensive', 'card']")</f>
        <v>['Package', 'Telkomsel', 'expensive', 'promo', 'expensive', 'card']</v>
      </c>
      <c r="D1459" s="3">
        <v>1.0</v>
      </c>
    </row>
    <row r="1460" ht="15.75" customHeight="1">
      <c r="A1460" s="1">
        <v>1550.0</v>
      </c>
      <c r="B1460" s="3" t="s">
        <v>1417</v>
      </c>
      <c r="C1460" s="3" t="str">
        <f>IFERROR(__xludf.DUMMYFUNCTION("GOOGLETRANSLATE(B1460,""id"",""en"")"),"['Signal', 'Slow', 'Benerin', 'Woy']")</f>
        <v>['Signal', 'Slow', 'Benerin', 'Woy']</v>
      </c>
      <c r="D1460" s="3">
        <v>1.0</v>
      </c>
    </row>
    <row r="1461" ht="15.75" customHeight="1">
      <c r="A1461" s="1">
        <v>1551.0</v>
      </c>
      <c r="B1461" s="3" t="s">
        <v>1418</v>
      </c>
      <c r="C1461" s="3" t="str">
        <f>IFERROR(__xludf.DUMMYFUNCTION("GOOGLETRANSLATE(B1461,""id"",""en"")"),"['Price', 'package', 'expensive']")</f>
        <v>['Price', 'package', 'expensive']</v>
      </c>
      <c r="D1461" s="3">
        <v>4.0</v>
      </c>
    </row>
    <row r="1462" ht="15.75" customHeight="1">
      <c r="A1462" s="1">
        <v>1552.0</v>
      </c>
      <c r="B1462" s="3" t="s">
        <v>80</v>
      </c>
      <c r="C1462" s="3" t="str">
        <f>IFERROR(__xludf.DUMMYFUNCTION("GOOGLETRANSLATE(B1462,""id"",""en"")"),"['help', '']")</f>
        <v>['help', '']</v>
      </c>
      <c r="D1462" s="3">
        <v>5.0</v>
      </c>
    </row>
    <row r="1463" ht="15.75" customHeight="1">
      <c r="A1463" s="1">
        <v>1553.0</v>
      </c>
      <c r="B1463" s="3" t="s">
        <v>190</v>
      </c>
      <c r="C1463" s="3" t="str">
        <f>IFERROR(__xludf.DUMMYFUNCTION("GOOGLETRANSLATE(B1463,""id"",""en"")"),"['Promo', '']")</f>
        <v>['Promo', '']</v>
      </c>
      <c r="D1463" s="3">
        <v>5.0</v>
      </c>
    </row>
    <row r="1464" ht="15.75" customHeight="1">
      <c r="A1464" s="1">
        <v>1555.0</v>
      </c>
      <c r="B1464" s="3" t="s">
        <v>1419</v>
      </c>
      <c r="C1464" s="3" t="str">
        <f>IFERROR(__xludf.DUMMYFUNCTION("GOOGLETRANSLATE(B1464,""id"",""en"")"),"['happy', 'satisfied']")</f>
        <v>['happy', 'satisfied']</v>
      </c>
      <c r="D1464" s="3">
        <v>5.0</v>
      </c>
    </row>
    <row r="1465" ht="15.75" customHeight="1">
      <c r="A1465" s="1">
        <v>1556.0</v>
      </c>
      <c r="B1465" s="3" t="s">
        <v>1420</v>
      </c>
      <c r="C1465" s="3" t="str">
        <f>IFERROR(__xludf.DUMMYFUNCTION("GOOGLETRANSLATE(B1465,""id"",""en"")"),"['weve', 'sich', 'Telkomsel', 'Sometimes', 'slow', ""]")</f>
        <v>['weve', 'sich', 'Telkomsel', 'Sometimes', 'slow', "]</v>
      </c>
      <c r="D1465" s="3">
        <v>4.0</v>
      </c>
    </row>
    <row r="1466" ht="15.75" customHeight="1">
      <c r="A1466" s="1">
        <v>1557.0</v>
      </c>
      <c r="B1466" s="3" t="s">
        <v>1421</v>
      </c>
      <c r="C1466" s="3" t="str">
        <f>IFERROR(__xludf.DUMMYFUNCTION("GOOGLETRANSLATE(B1466,""id"",""en"")"),"['Application', 'Helpful']")</f>
        <v>['Application', 'Helpful']</v>
      </c>
      <c r="D1466" s="3">
        <v>5.0</v>
      </c>
    </row>
    <row r="1467" ht="15.75" customHeight="1">
      <c r="A1467" s="1">
        <v>1558.0</v>
      </c>
      <c r="B1467" s="3" t="s">
        <v>1422</v>
      </c>
      <c r="C1467" s="3" t="str">
        <f>IFERROR(__xludf.DUMMYFUNCTION("GOOGLETRANSLATE(B1467,""id"",""en"")"),"['Help', 'Roming', 'jugs']")</f>
        <v>['Help', 'Roming', 'jugs']</v>
      </c>
      <c r="D1467" s="3">
        <v>4.0</v>
      </c>
    </row>
    <row r="1468" ht="15.75" customHeight="1">
      <c r="A1468" s="1">
        <v>1559.0</v>
      </c>
      <c r="B1468" s="3" t="s">
        <v>1423</v>
      </c>
      <c r="C1468" s="3" t="str">
        <f>IFERROR(__xludf.DUMMYFUNCTION("GOOGLETRANSLATE(B1468,""id"",""en"")"),"['knp', 'uda', 'updated', 'updated', 'lgi', 'opened', 'please', 'what']")</f>
        <v>['knp', 'uda', 'updated', 'updated', 'lgi', 'opened', 'please', 'what']</v>
      </c>
      <c r="D1468" s="3">
        <v>5.0</v>
      </c>
    </row>
    <row r="1469" ht="15.75" customHeight="1">
      <c r="A1469" s="1">
        <v>1560.0</v>
      </c>
      <c r="B1469" s="3" t="s">
        <v>137</v>
      </c>
      <c r="C1469" s="3" t="str">
        <f>IFERROR(__xludf.DUMMYFUNCTION("GOOGLETRANSLATE(B1469,""id"",""en"")"),"Of course")</f>
        <v>Of course</v>
      </c>
      <c r="D1469" s="3">
        <v>5.0</v>
      </c>
    </row>
    <row r="1470" ht="15.75" customHeight="1">
      <c r="A1470" s="1">
        <v>1562.0</v>
      </c>
      <c r="B1470" s="3" t="s">
        <v>1424</v>
      </c>
      <c r="C1470" s="3" t="str">
        <f>IFERROR(__xludf.DUMMYFUNCTION("GOOGLETRANSLATE(B1470,""id"",""en"")"),"['Makkiin', 'here', 'Network', 'Telkomsel', 'Severe', 'ugly', 'application', 'smooth', 'play', 'game', 'Galarloh', 'APK', ' signal ',' please ',' fix ',' convenience ',' user ']")</f>
        <v>['Makkiin', 'here', 'Network', 'Telkomsel', 'Severe', 'ugly', 'application', 'smooth', 'play', 'game', 'Galarloh', 'APK', ' signal ',' please ',' fix ',' convenience ',' user ']</v>
      </c>
      <c r="D1470" s="3">
        <v>1.0</v>
      </c>
    </row>
    <row r="1471" ht="15.75" customHeight="1">
      <c r="A1471" s="1">
        <v>1563.0</v>
      </c>
      <c r="B1471" s="3" t="s">
        <v>1425</v>
      </c>
      <c r="C1471" s="3" t="str">
        <f>IFERROR(__xludf.DUMMYFUNCTION("GOOGLETRANSLATE(B1471,""id"",""en"")"),"['mantappppp', 'signal', 'like', 'slow', 'little', 'play', 'game', 'likes', 'lag']")</f>
        <v>['mantappppp', 'signal', 'like', 'slow', 'little', 'play', 'game', 'likes', 'lag']</v>
      </c>
      <c r="D1471" s="3">
        <v>4.0</v>
      </c>
    </row>
    <row r="1472" ht="15.75" customHeight="1">
      <c r="A1472" s="1">
        <v>1564.0</v>
      </c>
      <c r="B1472" s="3" t="s">
        <v>1426</v>
      </c>
      <c r="C1472" s="3" t="str">
        <f>IFERROR(__xludf.DUMMYFUNCTION("GOOGLETRANSLATE(B1472,""id"",""en"")"),"['Good', 'Sometimes', 'Difficult', 'Dapetin', 'Bonus', 'Leprosy', 'Gift', ""]")</f>
        <v>['Good', 'Sometimes', 'Difficult', 'Dapetin', 'Bonus', 'Leprosy', 'Gift', "]</v>
      </c>
      <c r="D1472" s="3">
        <v>5.0</v>
      </c>
    </row>
    <row r="1473" ht="15.75" customHeight="1">
      <c r="A1473" s="1">
        <v>1565.0</v>
      </c>
      <c r="B1473" s="3" t="s">
        <v>1427</v>
      </c>
      <c r="C1473" s="3" t="str">
        <f>IFERROR(__xludf.DUMMYFUNCTION("GOOGLETRANSLATE(B1473,""id"",""en"")"),"['Stay', 'Siyala', 'Jos', 'Ujan']")</f>
        <v>['Stay', 'Siyala', 'Jos', 'Ujan']</v>
      </c>
      <c r="D1473" s="3">
        <v>5.0</v>
      </c>
    </row>
    <row r="1474" ht="15.75" customHeight="1">
      <c r="A1474" s="1">
        <v>1566.0</v>
      </c>
      <c r="B1474" s="3" t="s">
        <v>1428</v>
      </c>
      <c r="C1474" s="3" t="str">
        <f>IFERROR(__xludf.DUMMYFUNCTION("GOOGLETRANSLATE(B1474,""id"",""en"")"),"['Package', 'Combo', 'Sakti', 'Disappointed']")</f>
        <v>['Package', 'Combo', 'Sakti', 'Disappointed']</v>
      </c>
      <c r="D1474" s="3">
        <v>1.0</v>
      </c>
    </row>
    <row r="1475" ht="15.75" customHeight="1">
      <c r="A1475" s="1">
        <v>1567.0</v>
      </c>
      <c r="B1475" s="3" t="s">
        <v>1429</v>
      </c>
      <c r="C1475" s="3" t="str">
        <f>IFERROR(__xludf.DUMMYFUNCTION("GOOGLETRANSLATE(B1475,""id"",""en"")"),"['steady', 'staple', 'namah']")</f>
        <v>['steady', 'staple', 'namah']</v>
      </c>
      <c r="D1475" s="3">
        <v>5.0</v>
      </c>
    </row>
    <row r="1476" ht="15.75" customHeight="1">
      <c r="A1476" s="1">
        <v>1568.0</v>
      </c>
      <c r="B1476" s="3" t="s">
        <v>1430</v>
      </c>
      <c r="C1476" s="3" t="str">
        <f>IFERROR(__xludf.DUMMYFUNCTION("GOOGLETRANSLATE(B1476,""id"",""en"")"),"['Transfer', 'quota', 'pay', 'delete', 'service', 'transfer', 'quota', '']")</f>
        <v>['Transfer', 'quota', 'pay', 'delete', 'service', 'transfer', 'quota', '']</v>
      </c>
      <c r="D1476" s="3">
        <v>2.0</v>
      </c>
    </row>
    <row r="1477" ht="15.75" customHeight="1">
      <c r="A1477" s="1">
        <v>1569.0</v>
      </c>
      <c r="B1477" s="3" t="s">
        <v>291</v>
      </c>
      <c r="C1477" s="3" t="str">
        <f>IFERROR(__xludf.DUMMYFUNCTION("GOOGLETRANSLATE(B1477,""id"",""en"")"),"['Cheap', 'Telkomsel']")</f>
        <v>['Cheap', 'Telkomsel']</v>
      </c>
      <c r="D1477" s="3">
        <v>5.0</v>
      </c>
    </row>
    <row r="1478" ht="15.75" customHeight="1">
      <c r="A1478" s="1">
        <v>1571.0</v>
      </c>
      <c r="B1478" s="3" t="s">
        <v>1431</v>
      </c>
      <c r="C1478" s="3" t="str">
        <f>IFERROR(__xludf.DUMMYFUNCTION("GOOGLETRANSLATE(B1478,""id"",""en"")"),"['application', 'system', 'problematic', 'buy', 'package', 'application', 'handy']")</f>
        <v>['application', 'system', 'problematic', 'buy', 'package', 'application', 'handy']</v>
      </c>
      <c r="D1478" s="3">
        <v>1.0</v>
      </c>
    </row>
    <row r="1479" ht="15.75" customHeight="1">
      <c r="A1479" s="1">
        <v>1572.0</v>
      </c>
      <c r="B1479" s="3" t="s">
        <v>1432</v>
      </c>
      <c r="C1479" s="3" t="str">
        <f>IFERROR(__xludf.DUMMYFUNCTION("GOOGLETRANSLATE(B1479,""id"",""en"")"),"['Jagan', 'See', 'Star']")</f>
        <v>['Jagan', 'See', 'Star']</v>
      </c>
      <c r="D1479" s="3">
        <v>5.0</v>
      </c>
    </row>
    <row r="1480" ht="15.75" customHeight="1">
      <c r="A1480" s="1">
        <v>1574.0</v>
      </c>
      <c r="B1480" s="3" t="s">
        <v>1433</v>
      </c>
      <c r="C1480" s="3" t="str">
        <f>IFERROR(__xludf.DUMMYFUNCTION("GOOGLETRANSLATE(B1480,""id"",""en"")"),"['Steady', 'Satisfied', 'Celp', 'Trims']")</f>
        <v>['Steady', 'Satisfied', 'Celp', 'Trims']</v>
      </c>
      <c r="D1480" s="3">
        <v>5.0</v>
      </c>
    </row>
    <row r="1481" ht="15.75" customHeight="1">
      <c r="A1481" s="1">
        <v>1575.0</v>
      </c>
      <c r="B1481" s="3" t="s">
        <v>1434</v>
      </c>
      <c r="C1481" s="3" t="str">
        <f>IFERROR(__xludf.DUMMYFUNCTION("GOOGLETRANSLATE(B1481,""id"",""en"")"),"['package', 'data', 'expensive', 'fix', 'move', 'Indosat', 'cheap', '']")</f>
        <v>['package', 'data', 'expensive', 'fix', 'move', 'Indosat', 'cheap', '']</v>
      </c>
      <c r="D1481" s="3">
        <v>1.0</v>
      </c>
    </row>
    <row r="1482" ht="15.75" customHeight="1">
      <c r="A1482" s="1">
        <v>1576.0</v>
      </c>
      <c r="B1482" s="3" t="s">
        <v>1435</v>
      </c>
      <c r="C1482" s="3" t="str">
        <f>IFERROR(__xludf.DUMMYFUNCTION("GOOGLETRANSLATE(B1482,""id"",""en"")"),"['company', 'Gede', 'signal', 'network', 'bsa', 'fix', 'parahhhhh', 'try', 'system', 'fix', 'network', 'signal', ' ilang ',' diem ',' already ',' dragged ',' soluble ',' change ',' intention ',' kagak ',' provider ']")</f>
        <v>['company', 'Gede', 'signal', 'network', 'bsa', 'fix', 'parahhhhh', 'try', 'system', 'fix', 'network', 'signal', ' ilang ',' diem ',' already ',' dragged ',' soluble ',' change ',' intention ',' kagak ',' provider ']</v>
      </c>
      <c r="D1482" s="3">
        <v>1.0</v>
      </c>
    </row>
    <row r="1483" ht="15.75" customHeight="1">
      <c r="A1483" s="1">
        <v>1577.0</v>
      </c>
      <c r="B1483" s="3" t="s">
        <v>1436</v>
      </c>
      <c r="C1483" s="3" t="str">
        <f>IFERROR(__xludf.DUMMYFUNCTION("GOOGLETRANSLATE(B1483,""id"",""en"")"),"['gatau', 'contents',' confused ',' contents', 'because' rare ',' use ',' application ',' ']")</f>
        <v>['gatau', 'contents',' confused ',' contents', 'because' rare ',' use ',' application ',' ']</v>
      </c>
      <c r="D1483" s="3">
        <v>2.0</v>
      </c>
    </row>
    <row r="1484" ht="15.75" customHeight="1">
      <c r="A1484" s="1">
        <v>1578.0</v>
      </c>
      <c r="B1484" s="3" t="s">
        <v>558</v>
      </c>
      <c r="C1484" s="3" t="str">
        <f>IFERROR(__xludf.DUMMYFUNCTION("GOOGLETRANSLATE(B1484,""id"",""en"")"),"['useful']")</f>
        <v>['useful']</v>
      </c>
      <c r="D1484" s="3">
        <v>1.0</v>
      </c>
    </row>
    <row r="1485" ht="15.75" customHeight="1">
      <c r="A1485" s="1">
        <v>1579.0</v>
      </c>
      <c r="B1485" s="3" t="s">
        <v>1437</v>
      </c>
      <c r="C1485" s="3" t="str">
        <f>IFERROR(__xludf.DUMMYFUNCTION("GOOGLETRANSLATE(B1485,""id"",""en"")"),"['Application', 'Pancet', 'Top', 'Anyway', 'Jempoll']")</f>
        <v>['Application', 'Pancet', 'Top', 'Anyway', 'Jempoll']</v>
      </c>
      <c r="D1485" s="3">
        <v>5.0</v>
      </c>
    </row>
    <row r="1486" ht="15.75" customHeight="1">
      <c r="A1486" s="1">
        <v>1580.0</v>
      </c>
      <c r="B1486" s="3" t="s">
        <v>1438</v>
      </c>
      <c r="C1486" s="3" t="str">
        <f>IFERROR(__xludf.DUMMYFUNCTION("GOOGLETRANSLATE(B1486,""id"",""en"")"),"['signal', 'bad', 'slow', 'kayak', 'snail']")</f>
        <v>['signal', 'bad', 'slow', 'kayak', 'snail']</v>
      </c>
      <c r="D1486" s="3">
        <v>1.0</v>
      </c>
    </row>
    <row r="1487" ht="15.75" customHeight="1">
      <c r="A1487" s="1">
        <v>1581.0</v>
      </c>
      <c r="B1487" s="3" t="s">
        <v>1439</v>
      </c>
      <c r="C1487" s="3" t="str">
        <f>IFERROR(__xludf.DUMMYFUNCTION("GOOGLETRANSLATE(B1487,""id"",""en"")"),"['Telkomsel', 'strange', 'serves',' package ',' quota ',' call ',' used ',' call ',' credit ',' Hanguss', 'how', 'Sihh', ' ']")</f>
        <v>['Telkomsel', 'strange', 'serves',' package ',' quota ',' call ',' used ',' call ',' credit ',' Hanguss', 'how', 'Sihh', ' ']</v>
      </c>
      <c r="D1487" s="3">
        <v>1.0</v>
      </c>
    </row>
    <row r="1488" ht="15.75" customHeight="1">
      <c r="A1488" s="1">
        <v>1582.0</v>
      </c>
      <c r="B1488" s="3" t="s">
        <v>1440</v>
      </c>
      <c r="C1488" s="3" t="str">
        <f>IFERROR(__xludf.DUMMYFUNCTION("GOOGLETRANSLATE(B1488,""id"",""en"")"),"['signal', 'slow', 'really', '']")</f>
        <v>['signal', 'slow', 'really', '']</v>
      </c>
      <c r="D1488" s="3">
        <v>2.0</v>
      </c>
    </row>
    <row r="1489" ht="15.75" customHeight="1">
      <c r="A1489" s="1">
        <v>1583.0</v>
      </c>
      <c r="B1489" s="3" t="s">
        <v>1441</v>
      </c>
      <c r="C1489" s="3" t="str">
        <f>IFERROR(__xludf.DUMMYFUNCTION("GOOGLETRANSLATE(B1489,""id"",""en"")"),"['Please', 'donk', 'card', 'already', 'internet', 'expensive', 'person', 'card', 'direct', 'internet', 'cheap', 'number', ' Stars', 'internet', 'cheap', 'terbimah', 'love', ""]")</f>
        <v>['Please', 'donk', 'card', 'already', 'internet', 'expensive', 'person', 'card', 'direct', 'internet', 'cheap', 'number', ' Stars', 'internet', 'cheap', 'terbimah', 'love', "]</v>
      </c>
      <c r="D1489" s="3">
        <v>5.0</v>
      </c>
    </row>
    <row r="1490" ht="15.75" customHeight="1">
      <c r="A1490" s="1">
        <v>1584.0</v>
      </c>
      <c r="B1490" s="3" t="s">
        <v>1442</v>
      </c>
      <c r="C1490" s="3" t="str">
        <f>IFERROR(__xludf.DUMMYFUNCTION("GOOGLETRANSLATE(B1490,""id"",""en"")"),"['Help', 'informative', ""]")</f>
        <v>['Help', 'informative', "]</v>
      </c>
      <c r="D1490" s="3">
        <v>5.0</v>
      </c>
    </row>
    <row r="1491" ht="15.75" customHeight="1">
      <c r="A1491" s="1">
        <v>1585.0</v>
      </c>
      <c r="B1491" s="3" t="s">
        <v>1443</v>
      </c>
      <c r="C1491" s="3" t="str">
        <f>IFERROR(__xludf.DUMMYFUNCTION("GOOGLETRANSLATE(B1491,""id"",""en"")"),"['entry', 'difficult', 'forgiveness', 'send', 'link', 'udh', 'click', 'sampe', 'dkim],' link ',' ttp ',' entry ',' Delete ',' PKE ',' APK ',' buy ',' pulse ',' quota ']")</f>
        <v>['entry', 'difficult', 'forgiveness', 'send', 'link', 'udh', 'click', 'sampe', 'dkim],' link ',' ttp ',' entry ',' Delete ',' PKE ',' APK ',' buy ',' pulse ',' quota ']</v>
      </c>
      <c r="D1491" s="3">
        <v>1.0</v>
      </c>
    </row>
    <row r="1492" ht="15.75" customHeight="1">
      <c r="A1492" s="1">
        <v>1586.0</v>
      </c>
      <c r="B1492" s="3" t="s">
        <v>1444</v>
      </c>
      <c r="C1492" s="3" t="str">
        <f>IFERROR(__xludf.DUMMYFUNCTION("GOOGLETRANSLATE(B1492,""id"",""en"")"),"['Mantep', 'promo', 'nyah']")</f>
        <v>['Mantep', 'promo', 'nyah']</v>
      </c>
      <c r="D1492" s="3">
        <v>5.0</v>
      </c>
    </row>
    <row r="1493" ht="15.75" customHeight="1">
      <c r="A1493" s="1">
        <v>1587.0</v>
      </c>
      <c r="B1493" s="3" t="s">
        <v>1445</v>
      </c>
      <c r="C1493" s="3" t="str">
        <f>IFERROR(__xludf.DUMMYFUNCTION("GOOGLETRANSLATE(B1493,""id"",""en"")"),"['Promo']")</f>
        <v>['Promo']</v>
      </c>
      <c r="D1493" s="3">
        <v>4.0</v>
      </c>
    </row>
    <row r="1494" ht="15.75" customHeight="1">
      <c r="A1494" s="1">
        <v>1588.0</v>
      </c>
      <c r="B1494" s="3" t="s">
        <v>1446</v>
      </c>
      <c r="C1494" s="3" t="str">
        <f>IFERROR(__xludf.DUMMYFUNCTION("GOOGLETRANSLATE(B1494,""id"",""en"")"),"['Application', 'TTG', 'Telkomsel']")</f>
        <v>['Application', 'TTG', 'Telkomsel']</v>
      </c>
      <c r="D1494" s="3">
        <v>5.0</v>
      </c>
    </row>
    <row r="1495" ht="15.75" customHeight="1">
      <c r="A1495" s="1">
        <v>1589.0</v>
      </c>
      <c r="B1495" s="3" t="s">
        <v>1447</v>
      </c>
      <c r="C1495" s="3" t="str">
        <f>IFERROR(__xludf.DUMMYFUNCTION("GOOGLETRANSLATE(B1495,""id"",""en"")"),"['Good', 'steady', '']")</f>
        <v>['Good', 'steady', '']</v>
      </c>
      <c r="D1495" s="3">
        <v>5.0</v>
      </c>
    </row>
    <row r="1496" ht="15.75" customHeight="1">
      <c r="A1496" s="1">
        <v>1591.0</v>
      </c>
      <c r="B1496" s="3" t="s">
        <v>1448</v>
      </c>
      <c r="C1496" s="3" t="str">
        <f>IFERROR(__xludf.DUMMYFUNCTION("GOOGLETRANSLATE(B1496,""id"",""en"")"),"['The use', 'application', 'quota', 'offered', 'TTP', 'expensive', 'see', 'post', 'org', 'TTG', 'offer', 'quota', ' internet ',' lbh ',' cheap ',' offer ',' quota ',' quota ',' thousand ',' thousand ',' thousand ',' bagusan ',' uninstall ',' application '"&amp;",' ']")</f>
        <v>['The use', 'application', 'quota', 'offered', 'TTP', 'expensive', 'see', 'post', 'org', 'TTG', 'offer', 'quota', ' internet ',' lbh ',' cheap ',' offer ',' quota ',' quota ',' thousand ',' thousand ',' thousand ',' bagusan ',' uninstall ',' application ',' ']</v>
      </c>
      <c r="D1496" s="3">
        <v>1.0</v>
      </c>
    </row>
    <row r="1497" ht="15.75" customHeight="1">
      <c r="A1497" s="1">
        <v>1592.0</v>
      </c>
      <c r="B1497" s="3" t="s">
        <v>1449</v>
      </c>
      <c r="C1497" s="3" t="str">
        <f>IFERROR(__xludf.DUMMYFUNCTION("GOOGLETRANSLATE(B1497,""id"",""en"")"),"['Package', 'cheap', 'customer']")</f>
        <v>['Package', 'cheap', 'customer']</v>
      </c>
      <c r="D1497" s="3">
        <v>5.0</v>
      </c>
    </row>
    <row r="1498" ht="15.75" customHeight="1">
      <c r="A1498" s="1">
        <v>1593.0</v>
      </c>
      <c r="B1498" s="3" t="s">
        <v>1450</v>
      </c>
      <c r="C1498" s="3" t="str">
        <f>IFERROR(__xludf.DUMMYFUNCTION("GOOGLETRANSLATE(B1498,""id"",""en"")"),"['okay', 'please', 'package', 'data', 'sell', 'expensive', 'doong', 'hope', 'price', 'competing', 'vonder', 'cheap' Yaaaa ',' LOTED ',' BONUS ',' User ',' FAITH ',' Wear ',' Products', 'Telkomsel', 'Help', 'Communication', 'Accept', 'Love', ""]")</f>
        <v>['okay', 'please', 'package', 'data', 'sell', 'expensive', 'doong', 'hope', 'price', 'competing', 'vonder', 'cheap' Yaaaa ',' LOTED ',' BONUS ',' User ',' FAITH ',' Wear ',' Products', 'Telkomsel', 'Help', 'Communication', 'Accept', 'Love', "]</v>
      </c>
      <c r="D1498" s="3">
        <v>5.0</v>
      </c>
    </row>
    <row r="1499" ht="15.75" customHeight="1">
      <c r="A1499" s="1">
        <v>1594.0</v>
      </c>
      <c r="B1499" s="3" t="s">
        <v>1451</v>
      </c>
      <c r="C1499" s="3" t="str">
        <f>IFERROR(__xludf.DUMMYFUNCTION("GOOGLETRANSLATE(B1499,""id"",""en"")"),"['Please', 'Repaired', 'Application', 'Difficult', 'Enter', 'Reload', 'Application', 'Buddy']")</f>
        <v>['Please', 'Repaired', 'Application', 'Difficult', 'Enter', 'Reload', 'Application', 'Buddy']</v>
      </c>
      <c r="D1499" s="3">
        <v>1.0</v>
      </c>
    </row>
    <row r="1500" ht="15.75" customHeight="1">
      <c r="A1500" s="1">
        <v>1595.0</v>
      </c>
      <c r="B1500" s="3" t="s">
        <v>1452</v>
      </c>
      <c r="C1500" s="3" t="str">
        <f>IFERROR(__xludf.DUMMYFUNCTION("GOOGLETRANSLATE(B1500,""id"",""en"")"),"['Telkomsel', 'signal', 'weak', 'service', 'bad']")</f>
        <v>['Telkomsel', 'signal', 'weak', 'service', 'bad']</v>
      </c>
      <c r="D1500" s="3">
        <v>2.0</v>
      </c>
    </row>
    <row r="1501" ht="15.75" customHeight="1">
      <c r="A1501" s="1">
        <v>1597.0</v>
      </c>
      <c r="B1501" s="3" t="s">
        <v>1184</v>
      </c>
      <c r="C1501" s="3" t="str">
        <f>IFERROR(__xludf.DUMMYFUNCTION("GOOGLETRANSLATE(B1501,""id"",""en"")"),"['Telkomsel', '']")</f>
        <v>['Telkomsel', '']</v>
      </c>
      <c r="D1501" s="3">
        <v>5.0</v>
      </c>
    </row>
    <row r="1502" ht="15.75" customHeight="1">
      <c r="A1502" s="1">
        <v>1598.0</v>
      </c>
      <c r="B1502" s="3" t="s">
        <v>1453</v>
      </c>
      <c r="C1502" s="3" t="str">
        <f>IFERROR(__xludf.DUMMYFUNCTION("GOOGLETRANSLATE(B1502,""id"",""en"")"),"['Please', 'adjustment', 'bid', 'package', 'bonus',' special ',' sms', 'bid', 'Telkomsel', 'buy', 'package', 'combo', ' Internet ',' phone ',' SMS ',' Get ',' extra ',' pulse ',' thousand ',' thousand ',' sms', 'call', 'tsel', 'confused', 'xtra' , 'pulses"&amp;"',' used ',' cave ',' buy ',' package ',' combo ',' extra ',' pulses', 'used', 'commissioned', 'package', 'combony', ' Mending ',' dikasi ',' bid ',' is', 'fooling', 'customer']")</f>
        <v>['Please', 'adjustment', 'bid', 'package', 'bonus',' special ',' sms', 'bid', 'Telkomsel', 'buy', 'package', 'combo', ' Internet ',' phone ',' SMS ',' Get ',' extra ',' pulse ',' thousand ',' thousand ',' sms', 'call', 'tsel', 'confused', 'xtra' , 'pulses',' used ',' cave ',' buy ',' package ',' combo ',' extra ',' pulses', 'used', 'commissioned', 'package', 'combony', ' Mending ',' dikasi ',' bid ',' is', 'fooling', 'customer']</v>
      </c>
      <c r="D1502" s="3">
        <v>1.0</v>
      </c>
    </row>
    <row r="1503" ht="15.75" customHeight="1">
      <c r="A1503" s="1">
        <v>1599.0</v>
      </c>
      <c r="B1503" s="3" t="s">
        <v>1454</v>
      </c>
      <c r="C1503" s="3" t="str">
        <f>IFERROR(__xludf.DUMMYFUNCTION("GOOGLETRANSLATE(B1503,""id"",""en"")"),"['Network', 'forced', 'times', 'You', 'Smart', 'Network', 'Play', 'Moga', 'Kau', 'Kokara']")</f>
        <v>['Network', 'forced', 'times', 'You', 'Smart', 'Network', 'Play', 'Moga', 'Kau', 'Kokara']</v>
      </c>
      <c r="D1503" s="3">
        <v>1.0</v>
      </c>
    </row>
    <row r="1504" ht="15.75" customHeight="1">
      <c r="A1504" s="1">
        <v>1600.0</v>
      </c>
      <c r="B1504" s="3" t="s">
        <v>1455</v>
      </c>
      <c r="C1504" s="3" t="str">
        <f>IFERROR(__xludf.DUMMYFUNCTION("GOOGLETRANSLATE(B1504,""id"",""en"")"),"['Promo', 'Package', 'Internet', 'Cheap', 'Sis', '']")</f>
        <v>['Promo', 'Package', 'Internet', 'Cheap', 'Sis', '']</v>
      </c>
      <c r="D1504" s="3">
        <v>5.0</v>
      </c>
    </row>
    <row r="1505" ht="15.75" customHeight="1">
      <c r="A1505" s="1">
        <v>1601.0</v>
      </c>
      <c r="B1505" s="3" t="s">
        <v>1456</v>
      </c>
      <c r="C1505" s="3" t="str">
        <f>IFERROR(__xludf.DUMMYFUNCTION("GOOGLETRANSLATE(B1505,""id"",""en"")"),"['signal', 'smooth', 'game', 'high', 'ping']")</f>
        <v>['signal', 'smooth', 'game', 'high', 'ping']</v>
      </c>
      <c r="D1505" s="3">
        <v>2.0</v>
      </c>
    </row>
    <row r="1506" ht="15.75" customHeight="1">
      <c r="A1506" s="1">
        <v>1602.0</v>
      </c>
      <c r="B1506" s="3" t="s">
        <v>1457</v>
      </c>
      <c r="C1506" s="3" t="str">
        <f>IFERROR(__xludf.DUMMYFUNCTION("GOOGLETRANSLATE(B1506,""id"",""en"")"),"['Steady', 'got', 'promo', 'RB', 'Telfn', 'as much as', '']")</f>
        <v>['Steady', 'got', 'promo', 'RB', 'Telfn', 'as much as', '']</v>
      </c>
      <c r="D1506" s="3">
        <v>5.0</v>
      </c>
    </row>
    <row r="1507" ht="15.75" customHeight="1">
      <c r="A1507" s="1">
        <v>1603.0</v>
      </c>
      <c r="B1507" s="3" t="s">
        <v>1458</v>
      </c>
      <c r="C1507" s="3" t="str">
        <f>IFERROR(__xludf.DUMMYFUNCTION("GOOGLETRANSLATE(B1507,""id"",""en"")"),"['Network', 'bad', 'help', 'yesterday', 'normal', 'slow', '']")</f>
        <v>['Network', 'bad', 'help', 'yesterday', 'normal', 'slow', '']</v>
      </c>
      <c r="D1507" s="3">
        <v>2.0</v>
      </c>
    </row>
    <row r="1508" ht="15.75" customHeight="1">
      <c r="A1508" s="1">
        <v>1604.0</v>
      </c>
      <c r="B1508" s="3" t="s">
        <v>1459</v>
      </c>
      <c r="C1508" s="3" t="str">
        <f>IFERROR(__xludf.DUMMYFUNCTION("GOOGLETRANSLATE(B1508,""id"",""en"")"),"['buy', 'Package', 'Telkomsel', 'GB', 'Yutuban', 'Message', 'Package', 'Out']")</f>
        <v>['buy', 'Package', 'Telkomsel', 'GB', 'Yutuban', 'Message', 'Package', 'Out']</v>
      </c>
      <c r="D1508" s="3">
        <v>1.0</v>
      </c>
    </row>
    <row r="1509" ht="15.75" customHeight="1">
      <c r="A1509" s="1">
        <v>1605.0</v>
      </c>
      <c r="B1509" s="3" t="s">
        <v>1460</v>
      </c>
      <c r="C1509" s="3" t="str">
        <f>IFERROR(__xludf.DUMMYFUNCTION("GOOGLETRANSLATE(B1509,""id"",""en"")"),"['Bye', 'bye', 'Telkomsel', 'mandatory', 'replace', 'card', 'Telkomsel', 'here', 'threat', 'signal', '']")</f>
        <v>['Bye', 'bye', 'Telkomsel', 'mandatory', 'replace', 'card', 'Telkomsel', 'here', 'threat', 'signal', '']</v>
      </c>
      <c r="D1509" s="3">
        <v>1.0</v>
      </c>
    </row>
    <row r="1510" ht="15.75" customHeight="1">
      <c r="A1510" s="1">
        <v>1606.0</v>
      </c>
      <c r="B1510" s="3" t="s">
        <v>1461</v>
      </c>
      <c r="C1510" s="3" t="str">
        <f>IFERROR(__xludf.DUMMYFUNCTION("GOOGLETRANSLATE(B1510,""id"",""en"")"),"['Telkomsel', 'Koutaa', 'internet', 'kouta', 'local', 'kouta', 'sosmed', 'used', 'the rest', 'darling', 'really', 'coakes',' Please ',' Easy ',' wkwkwk ',' kam ',' Oct ', ""]")</f>
        <v>['Telkomsel', 'Koutaa', 'internet', 'kouta', 'local', 'kouta', 'sosmed', 'used', 'the rest', 'darling', 'really', 'coakes',' Please ',' Easy ',' wkwkwk ',' kam ',' Oct ', "]</v>
      </c>
      <c r="D1510" s="3">
        <v>1.0</v>
      </c>
    </row>
    <row r="1511" ht="15.75" customHeight="1">
      <c r="A1511" s="1">
        <v>1607.0</v>
      </c>
      <c r="B1511" s="3" t="s">
        <v>1462</v>
      </c>
      <c r="C1511" s="3" t="str">
        <f>IFERROR(__xludf.DUMMYFUNCTION("GOOGLETRANSLATE(B1511,""id"",""en"")"),"['Disappointed', 'here', 'Ancuur', 'yaa', 'service', 'distinction', 'quota', 'main', 'quota', 'multimedia', 'quota', 'main', ' Speed ​​',' Mbps', 'Mbps',' Turn ',' quota ',' Multimedia ',' Lgsung ',' plump ',' Mbps', 'Survive', 'Telkomsel', 'best', 'TPI' "&amp;", 'Kyak', 'gini', 'psti', 'disappointed', 'buy', 'package', 'expensive', 'warkop', 'lgi']")</f>
        <v>['Disappointed', 'here', 'Ancuur', 'yaa', 'service', 'distinction', 'quota', 'main', 'quota', 'multimedia', 'quota', 'main', ' Speed ​​',' Mbps', 'Mbps',' Turn ',' quota ',' Multimedia ',' Lgsung ',' plump ',' Mbps', 'Survive', 'Telkomsel', 'best', 'TPI' , 'Kyak', 'gini', 'psti', 'disappointed', 'buy', 'package', 'expensive', 'warkop', 'lgi']</v>
      </c>
      <c r="D1511" s="3">
        <v>1.0</v>
      </c>
    </row>
    <row r="1512" ht="15.75" customHeight="1">
      <c r="A1512" s="1">
        <v>1608.0</v>
      </c>
      <c r="B1512" s="3" t="s">
        <v>1463</v>
      </c>
      <c r="C1512" s="3" t="str">
        <f>IFERROR(__xludf.DUMMYFUNCTION("GOOGLETRANSLATE(B1512,""id"",""en"")"),"['Telkomsel', 'intention', 'work', 'network', 'leg', 'bodooo']")</f>
        <v>['Telkomsel', 'intention', 'work', 'network', 'leg', 'bodooo']</v>
      </c>
      <c r="D1512" s="3">
        <v>1.0</v>
      </c>
    </row>
    <row r="1513" ht="15.75" customHeight="1">
      <c r="A1513" s="1">
        <v>1609.0</v>
      </c>
      <c r="B1513" s="3" t="s">
        <v>1464</v>
      </c>
      <c r="C1513" s="3" t="str">
        <f>IFERROR(__xludf.DUMMYFUNCTION("GOOGLETRANSLATE(B1513,""id"",""en"")"),"['improvement', 'like', 'signal', 'missing', 'embossed', '']")</f>
        <v>['improvement', 'like', 'signal', 'missing', 'embossed', '']</v>
      </c>
      <c r="D1513" s="3">
        <v>1.0</v>
      </c>
    </row>
    <row r="1514" ht="15.75" customHeight="1">
      <c r="A1514" s="1">
        <v>1610.0</v>
      </c>
      <c r="B1514" s="3" t="s">
        <v>1465</v>
      </c>
      <c r="C1514" s="3" t="str">
        <f>IFERROR(__xludf.DUMMYFUNCTION("GOOGLETRANSLATE(B1514,""id"",""en"")"),"['APK', 'Good']")</f>
        <v>['APK', 'Good']</v>
      </c>
      <c r="D1514" s="3">
        <v>5.0</v>
      </c>
    </row>
    <row r="1515" ht="15.75" customHeight="1">
      <c r="A1515" s="1">
        <v>1611.0</v>
      </c>
      <c r="B1515" s="3" t="s">
        <v>1466</v>
      </c>
      <c r="C1515" s="3" t="str">
        <f>IFERROR(__xludf.DUMMYFUNCTION("GOOGLETRANSLATE(B1515,""id"",""en"")"),"['Telkomsel', 'emang', 'siip']")</f>
        <v>['Telkomsel', 'emang', 'siip']</v>
      </c>
      <c r="D1515" s="3">
        <v>4.0</v>
      </c>
    </row>
    <row r="1516" ht="15.75" customHeight="1">
      <c r="A1516" s="1">
        <v>1612.0</v>
      </c>
      <c r="B1516" s="3" t="s">
        <v>1467</v>
      </c>
      <c r="C1516" s="3" t="str">
        <f>IFERROR(__xludf.DUMMYFUNCTION("GOOGLETRANSLATE(B1516,""id"",""en"")"),"['class',' Telkomsel ',' gave ',' gift ',' quota ',' free ',' stingy ',' wkkwkw ',' gift ',' chekin ',' mnarik ',' high school ',' Skli ']")</f>
        <v>['class',' Telkomsel ',' gave ',' gift ',' quota ',' free ',' stingy ',' wkkwkw ',' gift ',' chekin ',' mnarik ',' high school ',' Skli ']</v>
      </c>
      <c r="D1516" s="3">
        <v>1.0</v>
      </c>
    </row>
    <row r="1517" ht="15.75" customHeight="1">
      <c r="A1517" s="1">
        <v>1613.0</v>
      </c>
      <c r="B1517" s="3" t="s">
        <v>1468</v>
      </c>
      <c r="C1517" s="3" t="str">
        <f>IFERROR(__xludf.DUMMYFUNCTION("GOOGLETRANSLATE(B1517,""id"",""en"")"),"['TelkomSrl']")</f>
        <v>['TelkomSrl']</v>
      </c>
      <c r="D1517" s="3">
        <v>5.0</v>
      </c>
    </row>
    <row r="1518" ht="15.75" customHeight="1">
      <c r="A1518" s="1">
        <v>1614.0</v>
      </c>
      <c r="B1518" s="3" t="s">
        <v>1469</v>
      </c>
      <c r="C1518" s="3" t="str">
        <f>IFERROR(__xludf.DUMMYFUNCTION("GOOGLETRANSLATE(B1518,""id"",""en"")"),"['Service', 'ugly']")</f>
        <v>['Service', 'ugly']</v>
      </c>
      <c r="D1518" s="3">
        <v>3.0</v>
      </c>
    </row>
    <row r="1519" ht="15.75" customHeight="1">
      <c r="A1519" s="1">
        <v>1615.0</v>
      </c>
      <c r="B1519" s="3" t="s">
        <v>1470</v>
      </c>
      <c r="C1519" s="3" t="str">
        <f>IFERROR(__xludf.DUMMYFUNCTION("GOOGLETRANSLATE(B1519,""id"",""en"")"),"['Speed', 'Mantab', 'Room', 'Dalem', 'Room']")</f>
        <v>['Speed', 'Mantab', 'Room', 'Dalem', 'Room']</v>
      </c>
      <c r="D1519" s="3">
        <v>5.0</v>
      </c>
    </row>
    <row r="1520" ht="15.75" customHeight="1">
      <c r="A1520" s="1">
        <v>1616.0</v>
      </c>
      <c r="B1520" s="3" t="s">
        <v>1471</v>
      </c>
      <c r="C1520" s="3" t="str">
        <f>IFERROR(__xludf.DUMMYFUNCTION("GOOGLETRANSLATE(B1520,""id"",""en"")"),"['profit']")</f>
        <v>['profit']</v>
      </c>
      <c r="D1520" s="3">
        <v>5.0</v>
      </c>
    </row>
    <row r="1521" ht="15.75" customHeight="1">
      <c r="A1521" s="1">
        <v>1617.0</v>
      </c>
      <c r="B1521" s="3" t="s">
        <v>1472</v>
      </c>
      <c r="C1521" s="3" t="str">
        <f>IFERROR(__xludf.DUMMYFUNCTION("GOOGLETRANSLATE(B1521,""id"",""en"")"),"['Kanapa', 'Login', 'SMS', 'Enter']")</f>
        <v>['Kanapa', 'Login', 'SMS', 'Enter']</v>
      </c>
      <c r="D1521" s="3">
        <v>1.0</v>
      </c>
    </row>
    <row r="1522" ht="15.75" customHeight="1">
      <c r="A1522" s="1">
        <v>1618.0</v>
      </c>
      <c r="B1522" s="3" t="s">
        <v>1473</v>
      </c>
      <c r="C1522" s="3" t="str">
        <f>IFERROR(__xludf.DUMMYFUNCTION("GOOGLETRANSLATE(B1522,""id"",""en"")"),"['spec', 'told', 'contact', 'not', 'thrown', 'Mulu', 'then', 'agent', 'Different', 'story', 'then', 'replace', ' complicated', '']")</f>
        <v>['spec', 'told', 'contact', 'not', 'thrown', 'Mulu', 'then', 'agent', 'Different', 'story', 'then', 'replace', ' complicated', '']</v>
      </c>
      <c r="D1522" s="3">
        <v>1.0</v>
      </c>
    </row>
    <row r="1523" ht="15.75" customHeight="1">
      <c r="A1523" s="1">
        <v>1619.0</v>
      </c>
      <c r="B1523" s="3" t="s">
        <v>1474</v>
      </c>
      <c r="C1523" s="3" t="str">
        <f>IFERROR(__xludf.DUMMYFUNCTION("GOOGLETRANSLATE(B1523,""id"",""en"")"),"['Mantab', 'Install', 'Direct']")</f>
        <v>['Mantab', 'Install', 'Direct']</v>
      </c>
      <c r="D1523" s="3">
        <v>5.0</v>
      </c>
    </row>
    <row r="1524" ht="15.75" customHeight="1">
      <c r="A1524" s="1">
        <v>1620.0</v>
      </c>
      <c r="B1524" s="3" t="s">
        <v>1475</v>
      </c>
      <c r="C1524" s="3" t="str">
        <f>IFERROR(__xludf.DUMMYFUNCTION("GOOGLETRANSLATE(B1524,""id"",""en"")"),"['steady', 'times', '']")</f>
        <v>['steady', 'times', '']</v>
      </c>
      <c r="D1524" s="3">
        <v>5.0</v>
      </c>
    </row>
    <row r="1525" ht="15.75" customHeight="1">
      <c r="A1525" s="1">
        <v>1621.0</v>
      </c>
      <c r="B1525" s="3" t="s">
        <v>1476</v>
      </c>
      <c r="C1525" s="3" t="str">
        <f>IFERROR(__xludf.DUMMYFUNCTION("GOOGLETRANSLATE(B1525,""id"",""en"")"),"['Please', 'Telkomsel', 'little', 'pulse', 'emergency', 'pdhal', 'Nge', 'Activate', 'Gini', 'then', 'loss',' bisaw ',' Switch ',' card ',' ']")</f>
        <v>['Please', 'Telkomsel', 'little', 'pulse', 'emergency', 'pdhal', 'Nge', 'Activate', 'Gini', 'then', 'loss',' bisaw ',' Switch ',' card ',' ']</v>
      </c>
      <c r="D1525" s="3">
        <v>1.0</v>
      </c>
    </row>
    <row r="1526" ht="15.75" customHeight="1">
      <c r="A1526" s="1">
        <v>1622.0</v>
      </c>
      <c r="B1526" s="3" t="s">
        <v>1477</v>
      </c>
      <c r="C1526" s="3" t="str">
        <f>IFERROR(__xludf.DUMMYFUNCTION("GOOGLETRANSLATE(B1526,""id"",""en"")"),"['Really', 'disappointed', 'already', 'pulse', 'reduced', 'abis',' open ',' app ',' mytelkomsel ',' open ',' app ',' use ',' Package ',' data ',' operator ',' use ',' Telkomsel ',' ']")</f>
        <v>['Really', 'disappointed', 'already', 'pulse', 'reduced', 'abis',' open ',' app ',' mytelkomsel ',' open ',' app ',' use ',' Package ',' data ',' operator ',' use ',' Telkomsel ',' ']</v>
      </c>
      <c r="D1526" s="3">
        <v>1.0</v>
      </c>
    </row>
    <row r="1527" ht="15.75" customHeight="1">
      <c r="A1527" s="1">
        <v>1623.0</v>
      </c>
      <c r="B1527" s="3" t="s">
        <v>1478</v>
      </c>
      <c r="C1527" s="3" t="str">
        <f>IFERROR(__xludf.DUMMYFUNCTION("GOOGLETRANSLATE(B1527,""id"",""en"")"),"['Down', 'price', 'internet', 'expensive', 'thank you']")</f>
        <v>['Down', 'price', 'internet', 'expensive', 'thank you']</v>
      </c>
      <c r="D1527" s="3">
        <v>3.0</v>
      </c>
    </row>
    <row r="1528" ht="15.75" customHeight="1">
      <c r="A1528" s="1">
        <v>1624.0</v>
      </c>
      <c r="B1528" s="3" t="s">
        <v>1479</v>
      </c>
      <c r="C1528" s="3" t="str">
        <f>IFERROR(__xludf.DUMMYFUNCTION("GOOGLETRANSLATE(B1528,""id"",""en"")"),"['Good', 'HRG', 'DiKuku', 'expensive', 'kbingit', '']")</f>
        <v>['Good', 'HRG', 'DiKuku', 'expensive', 'kbingit', '']</v>
      </c>
      <c r="D1528" s="3">
        <v>4.0</v>
      </c>
    </row>
    <row r="1529" ht="15.75" customHeight="1">
      <c r="A1529" s="1">
        <v>1625.0</v>
      </c>
      <c r="B1529" s="3" t="s">
        <v>1480</v>
      </c>
      <c r="C1529" s="3" t="str">
        <f>IFERROR(__xludf.DUMMYFUNCTION("GOOGLETRANSLATE(B1529,""id"",""en"")"),"['mkasih', 'quota', 'free', 'hope', 'success', 'amin']")</f>
        <v>['mkasih', 'quota', 'free', 'hope', 'success', 'amin']</v>
      </c>
      <c r="D1529" s="3">
        <v>5.0</v>
      </c>
    </row>
    <row r="1530" ht="15.75" customHeight="1">
      <c r="A1530" s="1">
        <v>1626.0</v>
      </c>
      <c r="B1530" s="3" t="s">
        <v>1481</v>
      </c>
      <c r="C1530" s="3" t="str">
        <f>IFERROR(__xludf.DUMMYFUNCTION("GOOGLETRANSLATE(B1530,""id"",""en"")"),"['I hope this helps']")</f>
        <v>['I hope this helps']</v>
      </c>
      <c r="D1530" s="3">
        <v>5.0</v>
      </c>
    </row>
    <row r="1531" ht="15.75" customHeight="1">
      <c r="A1531" s="1">
        <v>1627.0</v>
      </c>
      <c r="B1531" s="3" t="s">
        <v>1482</v>
      </c>
      <c r="C1531" s="3" t="str">
        <f>IFERROR(__xludf.DUMMYFUNCTION("GOOGLETRANSLATE(B1531,""id"",""en"")"),"['', 'Igin', 'buy', 'data']")</f>
        <v>['', 'Igin', 'buy', 'data']</v>
      </c>
      <c r="D1531" s="3">
        <v>5.0</v>
      </c>
    </row>
    <row r="1532" ht="15.75" customHeight="1">
      <c r="A1532" s="1">
        <v>1628.0</v>
      </c>
      <c r="B1532" s="3" t="s">
        <v>1483</v>
      </c>
      <c r="C1532" s="3" t="str">
        <f>IFERROR(__xludf.DUMMYFUNCTION("GOOGLETRANSLATE(B1532,""id"",""en"")"),"['card', 'sympathy', 'tuk', 'internet', '']")</f>
        <v>['card', 'sympathy', 'tuk', 'internet', '']</v>
      </c>
      <c r="D1532" s="3">
        <v>1.0</v>
      </c>
    </row>
    <row r="1533" ht="15.75" customHeight="1">
      <c r="A1533" s="1">
        <v>1629.0</v>
      </c>
      <c r="B1533" s="3" t="s">
        <v>1484</v>
      </c>
      <c r="C1533" s="3" t="str">
        <f>IFERROR(__xludf.DUMMYFUNCTION("GOOGLETRANSLATE(B1533,""id"",""en"")"),"['Slow', 'access']")</f>
        <v>['Slow', 'access']</v>
      </c>
      <c r="D1533" s="3">
        <v>4.0</v>
      </c>
    </row>
    <row r="1534" ht="15.75" customHeight="1">
      <c r="A1534" s="1">
        <v>1630.0</v>
      </c>
      <c r="B1534" s="3" t="s">
        <v>1485</v>
      </c>
      <c r="C1534" s="3" t="str">
        <f>IFERROR(__xludf.DUMMYFUNCTION("GOOGLETRANSLATE(B1534,""id"",""en"")"),"['Life', 'Telkomsel', 'bonus']")</f>
        <v>['Life', 'Telkomsel', 'bonus']</v>
      </c>
      <c r="D1534" s="3">
        <v>5.0</v>
      </c>
    </row>
    <row r="1535" ht="15.75" customHeight="1">
      <c r="A1535" s="1">
        <v>1632.0</v>
      </c>
      <c r="B1535" s="3" t="s">
        <v>1486</v>
      </c>
      <c r="C1535" s="3" t="str">
        <f>IFERROR(__xludf.DUMMYFUNCTION("GOOGLETRANSLATE(B1535,""id"",""en"")"),"['said', 'thousand', 'regret', 'cave', 'tried', 'card', 'mending', 'im', 'cave', 'buy', 'quota', 'slow', ' Forgiveness', 'Rich', 'Gaada', 'Quota', 'Watch', 'YouTube', 'Hard', 'Open', 'Facebook', 'Rich', 'Fashion', 'Free', 'spent' , 'money', 'buy', 'quota'"&amp;", 'internet', 'network', 'telkomsel', 'mending', 'gausah', 'waste', 'waste', 'money', 'benefits',' rich ',' gini ',' tried ',' already ',' disappointed ',' how ',' Hadeh ',' lose ',' skrg ',' im ',' card ',' sultan ',' syl ' , 'Kek', 'people', 'commoners'"&amp;"]")</f>
        <v>['said', 'thousand', 'regret', 'cave', 'tried', 'card', 'mending', 'im', 'cave', 'buy', 'quota', 'slow', ' Forgiveness', 'Rich', 'Gaada', 'Quota', 'Watch', 'YouTube', 'Hard', 'Open', 'Facebook', 'Rich', 'Fashion', 'Free', 'spent' , 'money', 'buy', 'quota', 'internet', 'network', 'telkomsel', 'mending', 'gausah', 'waste', 'waste', 'money', 'benefits',' rich ',' gini ',' tried ',' already ',' disappointed ',' how ',' Hadeh ',' lose ',' skrg ',' im ',' card ',' sultan ',' syl ' , 'Kek', 'people', 'commoners']</v>
      </c>
      <c r="D1535" s="3">
        <v>1.0</v>
      </c>
    </row>
    <row r="1536" ht="15.75" customHeight="1">
      <c r="A1536" s="1">
        <v>1633.0</v>
      </c>
      <c r="B1536" s="3" t="s">
        <v>1487</v>
      </c>
      <c r="C1536" s="3" t="str">
        <f>IFERROR(__xludf.DUMMYFUNCTION("GOOGLETRANSLATE(B1536,""id"",""en"")"),"['signal', 'rotten', 'gini', ""]")</f>
        <v>['signal', 'rotten', 'gini', "]</v>
      </c>
      <c r="D1536" s="3">
        <v>1.0</v>
      </c>
    </row>
    <row r="1537" ht="15.75" customHeight="1">
      <c r="A1537" s="1">
        <v>1634.0</v>
      </c>
      <c r="B1537" s="3" t="s">
        <v>1488</v>
      </c>
      <c r="C1537" s="3" t="str">
        <f>IFERROR(__xludf.DUMMYFUNCTION("GOOGLETRANSLATE(B1537,""id"",""en"")"),"['Super', 'Lemot', 'APKIKIKAN', 'Opened', 'Loading', 'Logo', 'Suwiii', 'Application', 'WUS', 'WUS', 'WUS']")</f>
        <v>['Super', 'Lemot', 'APKIKIKAN', 'Opened', 'Loading', 'Logo', 'Suwiii', 'Application', 'WUS', 'WUS', 'WUS']</v>
      </c>
      <c r="D1537" s="3">
        <v>1.0</v>
      </c>
    </row>
    <row r="1538" ht="15.75" customHeight="1">
      <c r="A1538" s="1">
        <v>1635.0</v>
      </c>
      <c r="B1538" s="3" t="s">
        <v>1489</v>
      </c>
      <c r="C1538" s="3" t="str">
        <f>IFERROR(__xludf.DUMMYFUNCTION("GOOGLETRANSLATE(B1538,""id"",""en"")"),"['Disappointed', 'really', 'Telkomsel', 'difficult', 'really', 'entry', 'opened', 'Please', 'Banti', 'Love', 'Bener', 'Bener', ' Tambahi ',' star ']")</f>
        <v>['Disappointed', 'really', 'Telkomsel', 'difficult', 'really', 'entry', 'opened', 'Please', 'Banti', 'Love', 'Bener', 'Bener', ' Tambahi ',' star ']</v>
      </c>
      <c r="D1538" s="3">
        <v>5.0</v>
      </c>
    </row>
    <row r="1539" ht="15.75" customHeight="1">
      <c r="A1539" s="1">
        <v>1636.0</v>
      </c>
      <c r="B1539" s="3" t="s">
        <v>1490</v>
      </c>
      <c r="C1539" s="3" t="str">
        <f>IFERROR(__xludf.DUMMYFUNCTION("GOOGLETRANSLATE(B1539,""id"",""en"")"),"['Disappointed', 'Network', 'Telkomsel', 'lag', '']")</f>
        <v>['Disappointed', 'Network', 'Telkomsel', 'lag', '']</v>
      </c>
      <c r="D1539" s="3">
        <v>1.0</v>
      </c>
    </row>
    <row r="1540" ht="15.75" customHeight="1">
      <c r="A1540" s="1">
        <v>1637.0</v>
      </c>
      <c r="B1540" s="3" t="s">
        <v>1491</v>
      </c>
      <c r="C1540" s="3" t="str">
        <f>IFERROR(__xludf.DUMMYFUNCTION("GOOGLETRANSLATE(B1540,""id"",""en"")"),"['Network', 'Telkomsel', 'County', 'Pekalongan', 'Skrg', 'Leg', 'Severe', 'Rich', 'Touch', ""]")</f>
        <v>['Network', 'Telkomsel', 'County', 'Pekalongan', 'Skrg', 'Leg', 'Severe', 'Rich', 'Touch', "]</v>
      </c>
      <c r="D1540" s="3">
        <v>1.0</v>
      </c>
    </row>
    <row r="1541" ht="15.75" customHeight="1">
      <c r="A1541" s="1">
        <v>1638.0</v>
      </c>
      <c r="B1541" s="3" t="s">
        <v>1492</v>
      </c>
      <c r="C1541" s="3" t="str">
        <f>IFERROR(__xludf.DUMMYFUNCTION("GOOGLETRANSLATE(B1541,""id"",""en"")"),"['', 'signal', 'bad', 'nge', 'game', 'difficult', 'bet', 'expensive', 'wasteful', 'connection', 'bad']")</f>
        <v>['', 'signal', 'bad', 'nge', 'game', 'difficult', 'bet', 'expensive', 'wasteful', 'connection', 'bad']</v>
      </c>
      <c r="D1541" s="3">
        <v>1.0</v>
      </c>
    </row>
    <row r="1542" ht="15.75" customHeight="1">
      <c r="A1542" s="1">
        <v>1639.0</v>
      </c>
      <c r="B1542" s="3" t="s">
        <v>8</v>
      </c>
      <c r="C1542" s="3" t="str">
        <f>IFERROR(__xludf.DUMMYFUNCTION("GOOGLETRANSLATE(B1542,""id"",""en"")"),"['application']")</f>
        <v>['application']</v>
      </c>
      <c r="D1542" s="3">
        <v>5.0</v>
      </c>
    </row>
    <row r="1543" ht="15.75" customHeight="1">
      <c r="A1543" s="1">
        <v>1640.0</v>
      </c>
      <c r="B1543" s="3" t="s">
        <v>1493</v>
      </c>
      <c r="C1543" s="3" t="str">
        <f>IFERROR(__xludf.DUMMYFUNCTION("GOOGLETRANSLATE(B1543,""id"",""en"")"),"['Knp', 'buy', 'package', 'data', 'pulse', 'check', 'connection', 'network', 'good']")</f>
        <v>['Knp', 'buy', 'package', 'data', 'pulse', 'check', 'connection', 'network', 'good']</v>
      </c>
      <c r="D1543" s="3">
        <v>5.0</v>
      </c>
    </row>
    <row r="1544" ht="15.75" customHeight="1">
      <c r="A1544" s="1">
        <v>1641.0</v>
      </c>
      <c r="B1544" s="3" t="s">
        <v>1494</v>
      </c>
      <c r="C1544" s="3" t="str">
        <f>IFERROR(__xludf.DUMMYFUNCTION("GOOGLETRANSLATE(B1544,""id"",""en"")"),"['Fix', 'fix', 'price', 'please', 'collapse', 'expensive']")</f>
        <v>['Fix', 'fix', 'price', 'please', 'collapse', 'expensive']</v>
      </c>
      <c r="D1544" s="3">
        <v>5.0</v>
      </c>
    </row>
    <row r="1545" ht="15.75" customHeight="1">
      <c r="A1545" s="1">
        <v>1642.0</v>
      </c>
      <c r="B1545" s="3" t="s">
        <v>1495</v>
      </c>
      <c r="C1545" s="3" t="str">
        <f>IFERROR(__xludf.DUMMYFUNCTION("GOOGLETRANSLATE(B1545,""id"",""en"")"),"['fast', 'Not bad', 'expensive', 'please', 'price', 'collapsed', 'quota', 'monthly', 'internet', 'satisfying', 'thank', 'love', ' Telkomsel ']")</f>
        <v>['fast', 'Not bad', 'expensive', 'please', 'price', 'collapsed', 'quota', 'monthly', 'internet', 'satisfying', 'thank', 'love', ' Telkomsel ']</v>
      </c>
      <c r="D1545" s="3">
        <v>4.0</v>
      </c>
    </row>
    <row r="1546" ht="15.75" customHeight="1">
      <c r="A1546" s="1">
        <v>1643.0</v>
      </c>
      <c r="B1546" s="3" t="s">
        <v>1496</v>
      </c>
      <c r="C1546" s="3" t="str">
        <f>IFERROR(__xludf.DUMMYFUNCTION("GOOGLETRANSLATE(B1546,""id"",""en"")"),"['application', 'help', 'makes it easy', 'meet', 'need', 'internet', '']")</f>
        <v>['application', 'help', 'makes it easy', 'meet', 'need', 'internet', '']</v>
      </c>
      <c r="D1546" s="3">
        <v>5.0</v>
      </c>
    </row>
    <row r="1547" ht="15.75" customHeight="1">
      <c r="A1547" s="1">
        <v>1644.0</v>
      </c>
      <c r="B1547" s="3" t="s">
        <v>1497</v>
      </c>
      <c r="C1547" s="3" t="str">
        <f>IFERROR(__xludf.DUMMYFUNCTION("GOOGLETRANSLATE(B1547,""id"",""en"")"),"['Application', 'TOP']")</f>
        <v>['Application', 'TOP']</v>
      </c>
      <c r="D1547" s="3">
        <v>5.0</v>
      </c>
    </row>
    <row r="1548" ht="15.75" customHeight="1">
      <c r="A1548" s="1">
        <v>1645.0</v>
      </c>
      <c r="B1548" s="3" t="s">
        <v>1498</v>
      </c>
      <c r="C1548" s="3" t="str">
        <f>IFERROR(__xludf.DUMMYFUNCTION("GOOGLETRANSLATE(B1548,""id"",""en"")"),"['Application', 'Helpful']")</f>
        <v>['Application', 'Helpful']</v>
      </c>
      <c r="D1548" s="3">
        <v>5.0</v>
      </c>
    </row>
    <row r="1549" ht="15.75" customHeight="1">
      <c r="A1549" s="1">
        <v>1646.0</v>
      </c>
      <c r="B1549" s="3" t="s">
        <v>1499</v>
      </c>
      <c r="C1549" s="3" t="str">
        <f>IFERROR(__xludf.DUMMYFUNCTION("GOOGLETRANSLATE(B1549,""id"",""en"")"),"['Hopefully', 'Win', 'Amin', ""]")</f>
        <v>['Hopefully', 'Win', 'Amin', "]</v>
      </c>
      <c r="D1549" s="3">
        <v>5.0</v>
      </c>
    </row>
    <row r="1550" ht="15.75" customHeight="1">
      <c r="A1550" s="1">
        <v>1649.0</v>
      </c>
      <c r="B1550" s="3" t="s">
        <v>135</v>
      </c>
      <c r="C1550" s="3" t="str">
        <f>IFERROR(__xludf.DUMMYFUNCTION("GOOGLETRANSLATE(B1550,""id"",""en"")"),"['Good', 'help', ""]")</f>
        <v>['Good', 'help', "]</v>
      </c>
      <c r="D1550" s="3">
        <v>5.0</v>
      </c>
    </row>
    <row r="1551" ht="15.75" customHeight="1">
      <c r="A1551" s="1">
        <v>1651.0</v>
      </c>
      <c r="B1551" s="3" t="s">
        <v>1500</v>
      </c>
      <c r="C1551" s="3" t="str">
        <f>IFERROR(__xludf.DUMMYFUNCTION("GOOGLETRANSLATE(B1551,""id"",""en"")"),"['dpat', 'credit', 'dowload', 'telkomsel', 'dowload', 'login', 'udh', 'notif', 'message', 'can', 'pulse', 'check', ' Knp ',' pulse ',' gmna ',' waste ',' quota ',' ']")</f>
        <v>['dpat', 'credit', 'dowload', 'telkomsel', 'dowload', 'login', 'udh', 'notif', 'message', 'can', 'pulse', 'check', ' Knp ',' pulse ',' gmna ',' waste ',' quota ',' ']</v>
      </c>
      <c r="D1551" s="3">
        <v>2.0</v>
      </c>
    </row>
    <row r="1552" ht="15.75" customHeight="1">
      <c r="A1552" s="1">
        <v>1652.0</v>
      </c>
      <c r="B1552" s="3" t="s">
        <v>1501</v>
      </c>
      <c r="C1552" s="3" t="str">
        <f>IFERROR(__xludf.DUMMYFUNCTION("GOOGLETRANSLATE(B1552,""id"",""en"")"),"['UDH', 'was made', 'opened', 'gmnnn', 'pyahhhhhh', 'sinyl', 'difficult', 'telkomsel', 'payaaaahhhh', 'pdhl', 'pke', 'maybe', ' Ksini ',' Lemoottt ']")</f>
        <v>['UDH', 'was made', 'opened', 'gmnnn', 'pyahhhhhh', 'sinyl', 'difficult', 'telkomsel', 'payaaaahhhh', 'pdhl', 'pke', 'maybe', ' Ksini ',' Lemoottt ']</v>
      </c>
      <c r="D1552" s="3">
        <v>1.0</v>
      </c>
    </row>
    <row r="1553" ht="15.75" customHeight="1">
      <c r="A1553" s="1">
        <v>1653.0</v>
      </c>
      <c r="B1553" s="3" t="s">
        <v>1502</v>
      </c>
      <c r="C1553" s="3" t="str">
        <f>IFERROR(__xludf.DUMMYFUNCTION("GOOGLETRANSLATE(B1553,""id"",""en"")"),"['Purchase', 'FAILURE', 'Reasons', 'Credit', 'Adequate', 'Contents', 'thousand', 'Package', 'Price', 'Ribuk']")</f>
        <v>['Purchase', 'FAILURE', 'Reasons', 'Credit', 'Adequate', 'Contents', 'thousand', 'Package', 'Price', 'Ribuk']</v>
      </c>
      <c r="D1553" s="3">
        <v>1.0</v>
      </c>
    </row>
    <row r="1554" ht="15.75" customHeight="1">
      <c r="A1554" s="1">
        <v>1654.0</v>
      </c>
      <c r="B1554" s="3" t="s">
        <v>1503</v>
      </c>
      <c r="C1554" s="3" t="str">
        <f>IFERROR(__xludf.DUMMYFUNCTION("GOOGLETRANSLATE(B1554,""id"",""en"")"),"['Like', 'use', 'Telkomsel']")</f>
        <v>['Like', 'use', 'Telkomsel']</v>
      </c>
      <c r="D1554" s="3">
        <v>3.0</v>
      </c>
    </row>
    <row r="1555" ht="15.75" customHeight="1">
      <c r="A1555" s="1">
        <v>1655.0</v>
      </c>
      <c r="B1555" s="3" t="s">
        <v>1504</v>
      </c>
      <c r="C1555" s="3" t="str">
        <f>IFERROR(__xludf.DUMMYFUNCTION("GOOGLETRANSLATE(B1555,""id"",""en"")"),"['Bad', 'really', 'used', 'application', 'ugly', 'open', 'application', 'information', 'application', 'Telkomsel', 'stop', 'Load', ' reset ',' as a result ',' directly ',' own ',' open ',' application ',' buy ',' package ',' pulse ',' etc. ',' severe ',' "&amp;"ugly ',' really ' , 'The application', 'good', 'service', 'bad']")</f>
        <v>['Bad', 'really', 'used', 'application', 'ugly', 'open', 'application', 'information', 'application', 'Telkomsel', 'stop', 'Load', ' reset ',' as a result ',' directly ',' own ',' open ',' application ',' buy ',' package ',' pulse ',' etc. ',' severe ',' ugly ',' really ' , 'The application', 'good', 'service', 'bad']</v>
      </c>
      <c r="D1555" s="3">
        <v>1.0</v>
      </c>
    </row>
    <row r="1556" ht="15.75" customHeight="1">
      <c r="A1556" s="1">
        <v>1656.0</v>
      </c>
      <c r="B1556" s="3" t="s">
        <v>1505</v>
      </c>
      <c r="C1556" s="3" t="str">
        <f>IFERROR(__xludf.DUMMYFUNCTION("GOOGLETRANSLATE(B1556,""id"",""en"")"),"['Telkomselll', 'skrg', 'lemoooooooooooooooooottttttttt', 'bgettttttt', 'paraahhh', 'signal', 'nya', 'package', 'udh', 'mahalll', 'signal', 'lemoottt', ' PARAHHH ',' KEK ',' DAGU ',' MHN ',' Fix ',' ']")</f>
        <v>['Telkomselll', 'skrg', 'lemoooooooooooooooooottttttttt', 'bgettttttt', 'paraahhh', 'signal', 'nya', 'package', 'udh', 'mahalll', 'signal', 'lemoottt', ' PARAHHH ',' KEK ',' DAGU ',' MHN ',' Fix ',' ']</v>
      </c>
      <c r="D1556" s="3">
        <v>1.0</v>
      </c>
    </row>
    <row r="1557" ht="15.75" customHeight="1">
      <c r="A1557" s="1">
        <v>1657.0</v>
      </c>
      <c r="B1557" s="3" t="s">
        <v>1506</v>
      </c>
      <c r="C1557" s="3" t="str">
        <f>IFERROR(__xludf.DUMMYFUNCTION("GOOGLETRANSLATE(B1557,""id"",""en"")"),"['Hopefully', 'number', 'world']")</f>
        <v>['Hopefully', 'number', 'world']</v>
      </c>
      <c r="D1557" s="3">
        <v>5.0</v>
      </c>
    </row>
    <row r="1558" ht="15.75" customHeight="1">
      <c r="A1558" s="1">
        <v>1658.0</v>
      </c>
      <c r="B1558" s="3" t="s">
        <v>1507</v>
      </c>
      <c r="C1558" s="3" t="str">
        <f>IFERROR(__xludf.DUMMYFUNCTION("GOOGLETRANSLATE(B1558,""id"",""en"")"),"['Package', 'subscription', 'Eliminate', 'Disappointed', 'Feel', 'Satisfied']")</f>
        <v>['Package', 'subscription', 'Eliminate', 'Disappointed', 'Feel', 'Satisfied']</v>
      </c>
      <c r="D1558" s="3">
        <v>3.0</v>
      </c>
    </row>
    <row r="1559" ht="15.75" customHeight="1">
      <c r="A1559" s="1">
        <v>1659.0</v>
      </c>
      <c r="B1559" s="3" t="s">
        <v>1508</v>
      </c>
      <c r="C1559" s="3" t="str">
        <f>IFERROR(__xludf.DUMMYFUNCTION("GOOGLETRANSLATE(B1559,""id"",""en"")"),"['inexpensive']")</f>
        <v>['inexpensive']</v>
      </c>
      <c r="D1559" s="3">
        <v>5.0</v>
      </c>
    </row>
    <row r="1560" ht="15.75" customHeight="1">
      <c r="A1560" s="1">
        <v>1661.0</v>
      </c>
      <c r="B1560" s="3" t="s">
        <v>1509</v>
      </c>
      <c r="C1560" s="3" t="str">
        <f>IFERROR(__xludf.DUMMYFUNCTION("GOOGLETRANSLATE(B1560,""id"",""en"")"),"['Telkomsel', 'Good', 'Network']")</f>
        <v>['Telkomsel', 'Good', 'Network']</v>
      </c>
      <c r="D1560" s="3">
        <v>4.0</v>
      </c>
    </row>
    <row r="1561" ht="15.75" customHeight="1">
      <c r="A1561" s="1">
        <v>1662.0</v>
      </c>
      <c r="B1561" s="3" t="s">
        <v>37</v>
      </c>
      <c r="C1561" s="3" t="str">
        <f>IFERROR(__xludf.DUMMYFUNCTION("GOOGLETRANSLATE(B1561,""id"",""en"")"),"['fast', 'easy']")</f>
        <v>['fast', 'easy']</v>
      </c>
      <c r="D1561" s="3">
        <v>4.0</v>
      </c>
    </row>
    <row r="1562" ht="15.75" customHeight="1">
      <c r="A1562" s="1">
        <v>1663.0</v>
      </c>
      <c r="B1562" s="3" t="s">
        <v>1510</v>
      </c>
      <c r="C1562" s="3" t="str">
        <f>IFERROR(__xludf.DUMMYFUNCTION("GOOGLETRANSLATE(B1562,""id"",""en"")"),"['Oops', 'error', 'just', 'login']")</f>
        <v>['Oops', 'error', 'just', 'login']</v>
      </c>
      <c r="D1562" s="3">
        <v>3.0</v>
      </c>
    </row>
    <row r="1563" ht="15.75" customHeight="1">
      <c r="A1563" s="1">
        <v>1664.0</v>
      </c>
      <c r="B1563" s="3" t="s">
        <v>1511</v>
      </c>
      <c r="C1563" s="3" t="str">
        <f>IFERROR(__xludf.DUMMYFUNCTION("GOOGLETRANSLATE(B1563,""id"",""en"")"),"['Package', 'cheap', '']")</f>
        <v>['Package', 'cheap', '']</v>
      </c>
      <c r="D1563" s="3">
        <v>5.0</v>
      </c>
    </row>
    <row r="1564" ht="15.75" customHeight="1">
      <c r="A1564" s="1">
        <v>1665.0</v>
      </c>
      <c r="B1564" s="3" t="s">
        <v>1512</v>
      </c>
      <c r="C1564" s="3" t="str">
        <f>IFERROR(__xludf.DUMMYFUNCTION("GOOGLETRANSLATE(B1564,""id"",""en"")"),"['Assalamu', 'alaikum', 'minn', 'gini', 'topupp', 'digamee', 'kann', 'nahh', 'topupp', 'dm', 'price', 'rb', ' TERANGS ',' ISII ',' Credit ',' Rb ',' right ',' buy ',' Yangg ',' Embossed ',' Credit ',' Adequate ',' silakah ',' fill ',' reset ' , 'Credit', "&amp;"'Try', 'Credit', 'Gabisa', 'Enter', 'SMS', 'Sorry', 'Remnant', 'Credit', 'Adequate', 'Do', 'Transfer', ' pulse ',' leftover ',' pulse ',' transfef ',' right ',' check ',' normal ',' rb ',' knapaa ',' replace ',' logo ',' telkomsel ',' jadi ' , 'Kemarii', "&amp;"'sorry', 'min', 'ksih', 'bntang', ""]")</f>
        <v>['Assalamu', 'alaikum', 'minn', 'gini', 'topupp', 'digamee', 'kann', 'nahh', 'topupp', 'dm', 'price', 'rb', ' TERANGS ',' ISII ',' Credit ',' Rb ',' right ',' buy ',' Yangg ',' Embossed ',' Credit ',' Adequate ',' silakah ',' fill ',' reset ' , 'Credit', 'Try', 'Credit', 'Gabisa', 'Enter', 'SMS', 'Sorry', 'Remnant', 'Credit', 'Adequate', 'Do', 'Transfer', ' pulse ',' leftover ',' pulse ',' transfef ',' right ',' check ',' normal ',' rb ',' knapaa ',' replace ',' logo ',' telkomsel ',' jadi ' , 'Kemarii', 'sorry', 'min', 'ksih', 'bntang', "]</v>
      </c>
      <c r="D1564" s="3">
        <v>1.0</v>
      </c>
    </row>
    <row r="1565" ht="15.75" customHeight="1">
      <c r="A1565" s="1">
        <v>1666.0</v>
      </c>
      <c r="B1565" s="3" t="s">
        <v>1513</v>
      </c>
      <c r="C1565" s="3" t="str">
        <f>IFERROR(__xludf.DUMMYFUNCTION("GOOGLETRANSLATE(B1565,""id"",""en"")"),"['easy', 'buy', 'package', 'quota', '']")</f>
        <v>['easy', 'buy', 'package', 'quota', '']</v>
      </c>
      <c r="D1565" s="3">
        <v>5.0</v>
      </c>
    </row>
    <row r="1566" ht="15.75" customHeight="1">
      <c r="A1566" s="1">
        <v>1667.0</v>
      </c>
      <c r="B1566" s="3" t="s">
        <v>1514</v>
      </c>
      <c r="C1566" s="3" t="str">
        <f>IFERROR(__xludf.DUMMYFUNCTION("GOOGLETRANSLATE(B1566,""id"",""en"")"),"['easy', 'Byk', 'promo']")</f>
        <v>['easy', 'Byk', 'promo']</v>
      </c>
      <c r="D1566" s="3">
        <v>5.0</v>
      </c>
    </row>
    <row r="1567" ht="15.75" customHeight="1">
      <c r="A1567" s="1">
        <v>1668.0</v>
      </c>
      <c r="B1567" s="3" t="s">
        <v>1515</v>
      </c>
      <c r="C1567" s="3" t="str">
        <f>IFERROR(__xludf.DUMMYFUNCTION("GOOGLETRANSLATE(B1567,""id"",""en"")"),"['Steady', 'Telkomsel', 'Andelin', '']")</f>
        <v>['Steady', 'Telkomsel', 'Andelin', '']</v>
      </c>
      <c r="D1567" s="3">
        <v>1.0</v>
      </c>
    </row>
    <row r="1568" ht="15.75" customHeight="1">
      <c r="A1568" s="1">
        <v>1669.0</v>
      </c>
      <c r="B1568" s="3" t="s">
        <v>1516</v>
      </c>
      <c r="C1568" s="3" t="str">
        <f>IFERROR(__xludf.DUMMYFUNCTION("GOOGLETRANSLATE(B1568,""id"",""en"")"),"['Sorry', 'Revise', 'Review', 'Application', 'Telkomsel', 'APK', 'Need', 'Products',' Telkomsel ',' Easy ',' Reach ',' Fill ',' Credit ',' Package ',' Internet ',' Convenience ',' TSB ',' Reach ',' Signal ',' Claims', 'Fastest', 'The Widest', 'Indonesia',"&amp;" 'Gimmick', 'Feel' , 'Telkomsel', 'promised', 'sorry', 'ugly', 'thank you', 'Please', 'evaluation']")</f>
        <v>['Sorry', 'Revise', 'Review', 'Application', 'Telkomsel', 'APK', 'Need', 'Products',' Telkomsel ',' Easy ',' Reach ',' Fill ',' Credit ',' Package ',' Internet ',' Convenience ',' TSB ',' Reach ',' Signal ',' Claims', 'Fastest', 'The Widest', 'Indonesia', 'Gimmick', 'Feel' , 'Telkomsel', 'promised', 'sorry', 'ugly', 'thank you', 'Please', 'evaluation']</v>
      </c>
      <c r="D1568" s="3">
        <v>1.0</v>
      </c>
    </row>
    <row r="1569" ht="15.75" customHeight="1">
      <c r="A1569" s="1">
        <v>1670.0</v>
      </c>
      <c r="B1569" s="3" t="s">
        <v>1517</v>
      </c>
      <c r="C1569" s="3" t="str">
        <f>IFERROR(__xludf.DUMMYFUNCTION("GOOGLETRANSLATE(B1569,""id"",""en"")"),"['easy', 'buy', 'data']")</f>
        <v>['easy', 'buy', 'data']</v>
      </c>
      <c r="D1569" s="3">
        <v>5.0</v>
      </c>
    </row>
    <row r="1570" ht="15.75" customHeight="1">
      <c r="A1570" s="1">
        <v>1671.0</v>
      </c>
      <c r="B1570" s="3" t="s">
        <v>1518</v>
      </c>
      <c r="C1570" s="3" t="str">
        <f>IFERROR(__xludf.DUMMYFUNCTION("GOOGLETRANSLATE(B1570,""id"",""en"")"),"['Good', 'Application', 'Service', 'Good']")</f>
        <v>['Good', 'Application', 'Service', 'Good']</v>
      </c>
      <c r="D1570" s="3">
        <v>5.0</v>
      </c>
    </row>
    <row r="1571" ht="15.75" customHeight="1">
      <c r="A1571" s="1">
        <v>1672.0</v>
      </c>
      <c r="B1571" s="3" t="s">
        <v>1519</v>
      </c>
      <c r="C1571" s="3" t="str">
        <f>IFERROR(__xludf.DUMMYFUNCTION("GOOGLETRANSLATE(B1571,""id"",""en"")"),"['System', 'Busy']")</f>
        <v>['System', 'Busy']</v>
      </c>
      <c r="D1571" s="3">
        <v>1.0</v>
      </c>
    </row>
    <row r="1572" ht="15.75" customHeight="1">
      <c r="A1572" s="1">
        <v>1673.0</v>
      </c>
      <c r="B1572" s="3" t="s">
        <v>289</v>
      </c>
      <c r="C1572" s="3" t="str">
        <f>IFERROR(__xludf.DUMMYFUNCTION("GOOGLETRANSLATE(B1572,""id"",""en"")"),"['Good', 'help']")</f>
        <v>['Good', 'help']</v>
      </c>
      <c r="D1572" s="3">
        <v>5.0</v>
      </c>
    </row>
    <row r="1573" ht="15.75" customHeight="1">
      <c r="A1573" s="1">
        <v>1674.0</v>
      </c>
      <c r="B1573" s="3" t="s">
        <v>10</v>
      </c>
      <c r="C1573" s="3" t="str">
        <f>IFERROR(__xludf.DUMMYFUNCTION("GOOGLETRANSLATE(B1573,""id"",""en"")"),"['like', 'application']")</f>
        <v>['like', 'application']</v>
      </c>
      <c r="D1573" s="3">
        <v>5.0</v>
      </c>
    </row>
    <row r="1574" ht="15.75" customHeight="1">
      <c r="A1574" s="1">
        <v>1675.0</v>
      </c>
      <c r="B1574" s="3" t="s">
        <v>1520</v>
      </c>
      <c r="C1574" s="3" t="str">
        <f>IFERROR(__xludf.DUMMYFUNCTION("GOOGLETRANSLATE(B1574,""id"",""en"")"),"['', 'anjg', 'anjg', 'signal', 'BURIK', 'Ryesel', 'Telkomsel']")</f>
        <v>['', 'anjg', 'anjg', 'signal', 'BURIK', 'Ryesel', 'Telkomsel']</v>
      </c>
      <c r="D1574" s="3">
        <v>1.0</v>
      </c>
    </row>
    <row r="1575" ht="15.75" customHeight="1">
      <c r="A1575" s="1">
        <v>1676.0</v>
      </c>
      <c r="B1575" s="3" t="s">
        <v>1521</v>
      </c>
      <c r="C1575" s="3" t="str">
        <f>IFERROR(__xludf.DUMMYFUNCTION("GOOGLETRANSLATE(B1575,""id"",""en"")"),"['Ngerti', 'Telkomsel', 'network', 'down', 'already', 'reboot', 'ber', 'times',' time ',' install ',' uninstall ',' mode ',' plane ',' dead ',' life ',' network ',' bad ']")</f>
        <v>['Ngerti', 'Telkomsel', 'network', 'down', 'already', 'reboot', 'ber', 'times',' time ',' install ',' uninstall ',' mode ',' plane ',' dead ',' life ',' network ',' bad ']</v>
      </c>
      <c r="D1575" s="3">
        <v>1.0</v>
      </c>
    </row>
    <row r="1576" ht="15.75" customHeight="1">
      <c r="A1576" s="1">
        <v>1677.0</v>
      </c>
      <c r="B1576" s="3" t="s">
        <v>1522</v>
      </c>
      <c r="C1576" s="3" t="str">
        <f>IFERROR(__xludf.DUMMYFUNCTION("GOOGLETRANSLATE(B1576,""id"",""en"")"),"['Wait', 'code', 'OTP', 'ugly', 'basics']")</f>
        <v>['Wait', 'code', 'OTP', 'ugly', 'basics']</v>
      </c>
      <c r="D1576" s="3">
        <v>1.0</v>
      </c>
    </row>
    <row r="1577" ht="15.75" customHeight="1">
      <c r="A1577" s="1">
        <v>1678.0</v>
      </c>
      <c r="B1577" s="3" t="s">
        <v>1523</v>
      </c>
      <c r="C1577" s="3" t="str">
        <f>IFERROR(__xludf.DUMMYFUNCTION("GOOGLETRANSLATE(B1577,""id"",""en"")"),"['function', 'uses', 'make it easy', 'customers', 'Telkomsel']")</f>
        <v>['function', 'uses', 'make it easy', 'customers', 'Telkomsel']</v>
      </c>
      <c r="D1577" s="3">
        <v>5.0</v>
      </c>
    </row>
    <row r="1578" ht="15.75" customHeight="1">
      <c r="A1578" s="1">
        <v>1679.0</v>
      </c>
      <c r="B1578" s="3" t="s">
        <v>1524</v>
      </c>
      <c r="C1578" s="3" t="str">
        <f>IFERROR(__xludf.DUMMYFUNCTION("GOOGLETRANSLATE(B1578,""id"",""en"")"),"['Good', 'Domestic', 'Kalangya', 'Lemot']")</f>
        <v>['Good', 'Domestic', 'Kalangya', 'Lemot']</v>
      </c>
      <c r="D1578" s="3">
        <v>5.0</v>
      </c>
    </row>
    <row r="1579" ht="15.75" customHeight="1">
      <c r="A1579" s="1">
        <v>1680.0</v>
      </c>
      <c r="B1579" s="3" t="s">
        <v>1525</v>
      </c>
      <c r="C1579" s="3" t="str">
        <f>IFERROR(__xludf.DUMMYFUNCTION("GOOGLETRANSLATE(B1579,""id"",""en"")"),"['Good', 'easy', 'kasi', 'bintnag']")</f>
        <v>['Good', 'easy', 'kasi', 'bintnag']</v>
      </c>
      <c r="D1579" s="3">
        <v>5.0</v>
      </c>
    </row>
    <row r="1580" ht="15.75" customHeight="1">
      <c r="A1580" s="1">
        <v>1681.0</v>
      </c>
      <c r="B1580" s="3" t="s">
        <v>1526</v>
      </c>
      <c r="C1580" s="3" t="str">
        <f>IFERROR(__xludf.DUMMYFUNCTION("GOOGLETRANSLATE(B1580,""id"",""en"")"),"['Buset', 'tasty', 'really', 'buy', 'APK']")</f>
        <v>['Buset', 'tasty', 'really', 'buy', 'APK']</v>
      </c>
      <c r="D1580" s="3">
        <v>5.0</v>
      </c>
    </row>
    <row r="1581" ht="15.75" customHeight="1">
      <c r="A1581" s="1">
        <v>1682.0</v>
      </c>
      <c r="B1581" s="3" t="s">
        <v>1527</v>
      </c>
      <c r="C1581" s="3" t="str">
        <f>IFERROR(__xludf.DUMMYFUNCTION("GOOGLETRANSLATE(B1581,""id"",""en"")"),"['Karna', 'star']")</f>
        <v>['Karna', 'star']</v>
      </c>
      <c r="D1581" s="3">
        <v>2.0</v>
      </c>
    </row>
    <row r="1582" ht="15.75" customHeight="1">
      <c r="A1582" s="1">
        <v>1683.0</v>
      </c>
      <c r="B1582" s="3" t="s">
        <v>1528</v>
      </c>
      <c r="C1582" s="3" t="str">
        <f>IFERROR(__xludf.DUMMYFUNCTION("GOOGLETRANSLATE(B1582,""id"",""en"")"),"['Mantepp', 'pokonya']")</f>
        <v>['Mantepp', 'pokonya']</v>
      </c>
      <c r="D1582" s="3">
        <v>5.0</v>
      </c>
    </row>
    <row r="1583" ht="15.75" customHeight="1">
      <c r="A1583" s="1">
        <v>1684.0</v>
      </c>
      <c r="B1583" s="3" t="s">
        <v>1529</v>
      </c>
      <c r="C1583" s="3" t="str">
        <f>IFERROR(__xludf.DUMMYFUNCTION("GOOGLETRANSLATE(B1583,""id"",""en"")"),"['already', 'download', 'Telkomsel', 'pulse', 'rb', 'that's',' download ',' zonk ',' yesterday ',' sms', 'Telkomsel', 'upgrade', ' SIM ',' Card ',' quota ',' GB ',' ZONK ',' PHP ']")</f>
        <v>['already', 'download', 'Telkomsel', 'pulse', 'rb', 'that's',' download ',' zonk ',' yesterday ',' sms', 'Telkomsel', 'upgrade', ' SIM ',' Card ',' quota ',' GB ',' ZONK ',' PHP ']</v>
      </c>
      <c r="D1583" s="3">
        <v>5.0</v>
      </c>
    </row>
    <row r="1584" ht="15.75" customHeight="1">
      <c r="A1584" s="1">
        <v>1686.0</v>
      </c>
      <c r="B1584" s="3" t="s">
        <v>1530</v>
      </c>
      <c r="C1584" s="3" t="str">
        <f>IFERROR(__xludf.DUMMYFUNCTION("GOOGLETRANSLATE(B1584,""id"",""en"")"),"['Profider', 'Telkomsel', 'Satisfied']")</f>
        <v>['Profider', 'Telkomsel', 'Satisfied']</v>
      </c>
      <c r="D1584" s="3">
        <v>4.0</v>
      </c>
    </row>
    <row r="1585" ht="15.75" customHeight="1">
      <c r="A1585" s="1">
        <v>1687.0</v>
      </c>
      <c r="B1585" s="3" t="s">
        <v>1531</v>
      </c>
      <c r="C1585" s="3" t="str">
        <f>IFERROR(__xludf.DUMMYFUNCTION("GOOGLETRANSLATE(B1585,""id"",""en"")"),"['Use', 'Young']")</f>
        <v>['Use', 'Young']</v>
      </c>
      <c r="D1585" s="3">
        <v>3.0</v>
      </c>
    </row>
    <row r="1586" ht="15.75" customHeight="1">
      <c r="A1586" s="1">
        <v>1688.0</v>
      </c>
      <c r="B1586" s="3" t="s">
        <v>1532</v>
      </c>
      <c r="C1586" s="3" t="str">
        <f>IFERROR(__xludf.DUMMYFUNCTION("GOOGLETRANSLATE(B1586,""id"",""en"")"),"['regret', 'already', 'Install', 'application', 'quota', 'multimedia', 'think', 'buy', 'quota', 'leaves','A']")</f>
        <v>['regret', 'already', 'Install', 'application', 'quota', 'multimedia', 'think', 'buy', 'quota', 'leaves','A']</v>
      </c>
      <c r="D1586" s="3">
        <v>1.0</v>
      </c>
    </row>
    <row r="1587" ht="15.75" customHeight="1">
      <c r="A1587" s="1">
        <v>1689.0</v>
      </c>
      <c r="B1587" s="3" t="s">
        <v>1533</v>
      </c>
      <c r="C1587" s="3" t="str">
        <f>IFERROR(__xludf.DUMMYFUNCTION("GOOGLETRANSLATE(B1587,""id"",""en"")"),"['according to', 'ad']")</f>
        <v>['according to', 'ad']</v>
      </c>
      <c r="D1587" s="3">
        <v>1.0</v>
      </c>
    </row>
    <row r="1588" ht="15.75" customHeight="1">
      <c r="A1588" s="1">
        <v>1690.0</v>
      </c>
      <c r="B1588" s="3" t="s">
        <v>1534</v>
      </c>
      <c r="C1588" s="3" t="str">
        <f>IFERROR(__xludf.DUMMYFUNCTION("GOOGLETRANSLATE(B1588,""id"",""en"")"),"['Connection', 'Telkomsel', 'Bad']")</f>
        <v>['Connection', 'Telkomsel', 'Bad']</v>
      </c>
      <c r="D1588" s="3">
        <v>1.0</v>
      </c>
    </row>
    <row r="1589" ht="15.75" customHeight="1">
      <c r="A1589" s="1">
        <v>1691.0</v>
      </c>
      <c r="B1589" s="3" t="s">
        <v>1535</v>
      </c>
      <c r="C1589" s="3" t="str">
        <f>IFERROR(__xludf.DUMMYFUNCTION("GOOGLETRANSLATE(B1589,""id"",""en"")"),"['Murmer', 'emang', 'Telkomsel', 'Cool']")</f>
        <v>['Murmer', 'emang', 'Telkomsel', 'Cool']</v>
      </c>
      <c r="D1589" s="3">
        <v>5.0</v>
      </c>
    </row>
    <row r="1590" ht="15.75" customHeight="1">
      <c r="A1590" s="1">
        <v>1692.0</v>
      </c>
      <c r="B1590" s="3" t="s">
        <v>1536</v>
      </c>
      <c r="C1590" s="3" t="str">
        <f>IFERROR(__xludf.DUMMYFUNCTION("GOOGLETRANSLATE(B1590,""id"",""en"")"),"['play', 'game', 'slow', 'knp', 'sihhhhh', 'Lelwt', 'then', 'then', 'use', 'internet', 'best', 'kayak', ' Gini ',' ']")</f>
        <v>['play', 'game', 'slow', 'knp', 'sihhhhh', 'Lelwt', 'then', 'then', 'use', 'internet', 'best', 'kayak', ' Gini ',' ']</v>
      </c>
      <c r="D1590" s="3">
        <v>1.0</v>
      </c>
    </row>
    <row r="1591" ht="15.75" customHeight="1">
      <c r="A1591" s="1">
        <v>1693.0</v>
      </c>
      <c r="B1591" s="3" t="s">
        <v>1537</v>
      </c>
      <c r="C1591" s="3" t="str">
        <f>IFERROR(__xludf.DUMMYFUNCTION("GOOGLETRANSLATE(B1591,""id"",""en"")"),"['expensive', 'cuk', 'kouta', 'wasteful', 'bnget', '']")</f>
        <v>['expensive', 'cuk', 'kouta', 'wasteful', 'bnget', '']</v>
      </c>
      <c r="D1591" s="3">
        <v>1.0</v>
      </c>
    </row>
    <row r="1592" ht="15.75" customHeight="1">
      <c r="A1592" s="1">
        <v>1694.0</v>
      </c>
      <c r="B1592" s="3" t="s">
        <v>1538</v>
      </c>
      <c r="C1592" s="3" t="str">
        <f>IFERROR(__xludf.DUMMYFUNCTION("GOOGLETRANSLATE(B1592,""id"",""en"")"),"['signal', 'easy', 'crash', 'already', 'package', 'expensive', 'signal', 'ngelag', 'maen', 'game', 'disgust']")</f>
        <v>['signal', 'easy', 'crash', 'already', 'package', 'expensive', 'signal', 'ngelag', 'maen', 'game', 'disgust']</v>
      </c>
      <c r="D1592" s="3">
        <v>1.0</v>
      </c>
    </row>
    <row r="1593" ht="15.75" customHeight="1">
      <c r="A1593" s="1">
        <v>1695.0</v>
      </c>
      <c r="B1593" s="3" t="s">
        <v>1539</v>
      </c>
      <c r="C1593" s="3" t="str">
        <f>IFERROR(__xludf.DUMMYFUNCTION("GOOGLETRANSLATE(B1593,""id"",""en"")"),"['cave', 'loss', 'replace', 'Telkomsel', 'priority', 'good', 'slow', 'anjiiiiiiing']")</f>
        <v>['cave', 'loss', 'replace', 'Telkomsel', 'priority', 'good', 'slow', 'anjiiiiiiing']</v>
      </c>
      <c r="D1593" s="3">
        <v>1.0</v>
      </c>
    </row>
    <row r="1594" ht="15.75" customHeight="1">
      <c r="A1594" s="1">
        <v>1696.0</v>
      </c>
      <c r="B1594" s="3" t="s">
        <v>1540</v>
      </c>
      <c r="C1594" s="3" t="str">
        <f>IFERROR(__xludf.DUMMYFUNCTION("GOOGLETRANSLATE(B1594,""id"",""en"")"),"['Yahh', 'Telkomsel', 'slow', 'Bangedt', 'Gede', 'Paketannya', 'Doank', 'TPI', 'Sousal', 'Bad', ""]")</f>
        <v>['Yahh', 'Telkomsel', 'slow', 'Bangedt', 'Gede', 'Paketannya', 'Doank', 'TPI', 'Sousal', 'Bad', "]</v>
      </c>
      <c r="D1594" s="3">
        <v>1.0</v>
      </c>
    </row>
    <row r="1595" ht="15.75" customHeight="1">
      <c r="A1595" s="1">
        <v>1697.0</v>
      </c>
      <c r="B1595" s="3" t="s">
        <v>1541</v>
      </c>
      <c r="C1595" s="3" t="str">
        <f>IFERROR(__xludf.DUMMYFUNCTION("GOOGLETRANSLATE(B1595,""id"",""en"")"),"['Good', 'Helpful', '']")</f>
        <v>['Good', 'Helpful', '']</v>
      </c>
      <c r="D1595" s="3">
        <v>5.0</v>
      </c>
    </row>
    <row r="1596" ht="15.75" customHeight="1">
      <c r="A1596" s="1">
        <v>1698.0</v>
      </c>
      <c r="B1596" s="3" t="s">
        <v>1542</v>
      </c>
      <c r="C1596" s="3" t="str">
        <f>IFERROR(__xludf.DUMMYFUNCTION("GOOGLETRANSLATE(B1596,""id"",""en"")"),"['Install', 'Android', '']")</f>
        <v>['Install', 'Android', '']</v>
      </c>
      <c r="D1596" s="3">
        <v>1.0</v>
      </c>
    </row>
    <row r="1597" ht="15.75" customHeight="1">
      <c r="A1597" s="1">
        <v>1699.0</v>
      </c>
      <c r="B1597" s="3" t="s">
        <v>1543</v>
      </c>
      <c r="C1597" s="3" t="str">
        <f>IFERROR(__xludf.DUMMYFUNCTION("GOOGLETRANSLATE(B1597,""id"",""en"")"),"['Help', 'Application']")</f>
        <v>['Help', 'Application']</v>
      </c>
      <c r="D1597" s="3">
        <v>5.0</v>
      </c>
    </row>
    <row r="1598" ht="15.75" customHeight="1">
      <c r="A1598" s="1">
        <v>1700.0</v>
      </c>
      <c r="B1598" s="3" t="s">
        <v>1544</v>
      </c>
      <c r="C1598" s="3" t="str">
        <f>IFERROR(__xludf.DUMMYFUNCTION("GOOGLETRANSLATE(B1598,""id"",""en"")"),"['Good', 'SUARA', 'LOTED', 'PROMO', 'DONKK', 'LARIS']")</f>
        <v>['Good', 'SUARA', 'LOTED', 'PROMO', 'DONKK', 'LARIS']</v>
      </c>
      <c r="D1598" s="3">
        <v>5.0</v>
      </c>
    </row>
    <row r="1599" ht="15.75" customHeight="1">
      <c r="A1599" s="1">
        <v>1701.0</v>
      </c>
      <c r="B1599" s="3" t="s">
        <v>1545</v>
      </c>
      <c r="C1599" s="3" t="str">
        <f>IFERROR(__xludf.DUMMYFUNCTION("GOOGLETRANSLATE(B1599,""id"",""en"")"),"['Telkomsel', 'good', 'network', 'slow', 'regret', 'contents', 'package', 'Telkomsel', '']")</f>
        <v>['Telkomsel', 'good', 'network', 'slow', 'regret', 'contents', 'package', 'Telkomsel', '']</v>
      </c>
      <c r="D1599" s="3">
        <v>1.0</v>
      </c>
    </row>
    <row r="1600" ht="15.75" customHeight="1">
      <c r="A1600" s="1">
        <v>1702.0</v>
      </c>
      <c r="B1600" s="3" t="s">
        <v>1546</v>
      </c>
      <c r="C1600" s="3" t="str">
        <f>IFERROR(__xludf.DUMMYFUNCTION("GOOGLETRANSLATE(B1600,""id"",""en"")"),"['', 'Dipake', 'Ryesel', '']")</f>
        <v>['', 'Dipake', 'Ryesel', '']</v>
      </c>
      <c r="D1600" s="3">
        <v>1.0</v>
      </c>
    </row>
    <row r="1601" ht="15.75" customHeight="1">
      <c r="A1601" s="1">
        <v>1703.0</v>
      </c>
      <c r="B1601" s="3" t="s">
        <v>1547</v>
      </c>
      <c r="C1601" s="3" t="str">
        <f>IFERROR(__xludf.DUMMYFUNCTION("GOOGLETRANSLATE(B1601,""id"",""en"")"),"['blank', 'white', 'enter', 'menu', '']")</f>
        <v>['blank', 'white', 'enter', 'menu', '']</v>
      </c>
      <c r="D1601" s="3">
        <v>1.0</v>
      </c>
    </row>
    <row r="1602" ht="15.75" customHeight="1">
      <c r="A1602" s="1">
        <v>1704.0</v>
      </c>
      <c r="B1602" s="3" t="s">
        <v>323</v>
      </c>
      <c r="C1602" s="3" t="str">
        <f>IFERROR(__xludf.DUMMYFUNCTION("GOOGLETRANSLATE(B1602,""id"",""en"")"),"['Telkomsel']")</f>
        <v>['Telkomsel']</v>
      </c>
      <c r="D1602" s="3">
        <v>5.0</v>
      </c>
    </row>
    <row r="1603" ht="15.75" customHeight="1">
      <c r="A1603" s="1">
        <v>1705.0</v>
      </c>
      <c r="B1603" s="3" t="s">
        <v>1548</v>
      </c>
      <c r="C1603" s="3" t="str">
        <f>IFERROR(__xludf.DUMMYFUNCTION("GOOGLETRANSLATE(B1603,""id"",""en"")"),"['Love', 'Try', ""]")</f>
        <v>['Love', 'Try', "]</v>
      </c>
      <c r="D1603" s="3">
        <v>3.0</v>
      </c>
    </row>
    <row r="1604" ht="15.75" customHeight="1">
      <c r="A1604" s="1">
        <v>1706.0</v>
      </c>
      <c r="B1604" s="3" t="s">
        <v>1549</v>
      </c>
      <c r="C1604" s="3" t="str">
        <f>IFERROR(__xludf.DUMMYFUNCTION("GOOGLETRANSLATE(B1604,""id"",""en"")"),"['application', 'sundal', 'network', 'direct', 'ugly', 'then', 'pulse', 'sumps', 'jga', ""]")</f>
        <v>['application', 'sundal', 'network', 'direct', 'ugly', 'then', 'pulse', 'sumps', 'jga', "]</v>
      </c>
      <c r="D1604" s="3">
        <v>1.0</v>
      </c>
    </row>
    <row r="1605" ht="15.75" customHeight="1">
      <c r="A1605" s="1">
        <v>1708.0</v>
      </c>
      <c r="B1605" s="3" t="s">
        <v>1550</v>
      </c>
      <c r="C1605" s="3" t="str">
        <f>IFERROR(__xludf.DUMMYFUNCTION("GOOGLETRANSLATE(B1605,""id"",""en"")"),"['enter']")</f>
        <v>['enter']</v>
      </c>
      <c r="D1605" s="3">
        <v>2.0</v>
      </c>
    </row>
    <row r="1606" ht="15.75" customHeight="1">
      <c r="A1606" s="1">
        <v>1709.0</v>
      </c>
      <c r="B1606" s="3" t="s">
        <v>1551</v>
      </c>
      <c r="C1606" s="3" t="str">
        <f>IFERROR(__xludf.DUMMYFUNCTION("GOOGLETRANSLATE(B1606,""id"",""en"")"),"['sucks', 'opened', 'cana', 'trusss', '']")</f>
        <v>['sucks', 'opened', 'cana', 'trusss', '']</v>
      </c>
      <c r="D1606" s="3">
        <v>1.0</v>
      </c>
    </row>
    <row r="1607" ht="15.75" customHeight="1">
      <c r="A1607" s="1">
        <v>1710.0</v>
      </c>
      <c r="B1607" s="3" t="s">
        <v>1552</v>
      </c>
      <c r="C1607" s="3" t="str">
        <f>IFERROR(__xludf.DUMMYFUNCTION("GOOGLETRANSLATE(B1607,""id"",""en"")"),"['Good', 'interesting']")</f>
        <v>['Good', 'interesting']</v>
      </c>
      <c r="D1607" s="3">
        <v>5.0</v>
      </c>
    </row>
    <row r="1608" ht="15.75" customHeight="1">
      <c r="A1608" s="1">
        <v>1711.0</v>
      </c>
      <c r="B1608" s="3" t="s">
        <v>1553</v>
      </c>
      <c r="C1608" s="3" t="str">
        <f>IFERROR(__xludf.DUMMYFUNCTION("GOOGLETRANSLATE(B1608,""id"",""en"")"),"['Disappointed', 'Telkomsel', 'update', 'enter', 'update', 'regret', ""]")</f>
        <v>['Disappointed', 'Telkomsel', 'update', 'enter', 'update', 'regret', "]</v>
      </c>
      <c r="D1608" s="3">
        <v>1.0</v>
      </c>
    </row>
    <row r="1609" ht="15.75" customHeight="1">
      <c r="A1609" s="1">
        <v>1712.0</v>
      </c>
      <c r="B1609" s="3" t="s">
        <v>1554</v>
      </c>
      <c r="C1609" s="3" t="str">
        <f>IFERROR(__xludf.DUMMYFUNCTION("GOOGLETRANSLATE(B1609,""id"",""en"")"),"['Love', 'Bintang', 'Download', '']")</f>
        <v>['Love', 'Bintang', 'Download', '']</v>
      </c>
      <c r="D1609" s="3">
        <v>3.0</v>
      </c>
    </row>
    <row r="1610" ht="15.75" customHeight="1">
      <c r="A1610" s="1">
        <v>1713.0</v>
      </c>
      <c r="B1610" s="3" t="s">
        <v>1555</v>
      </c>
      <c r="C1610" s="3" t="str">
        <f>IFERROR(__xludf.DUMMYFUNCTION("GOOGLETRANSLATE(B1610,""id"",""en"")"),"['signal', 'down', 'buy', 'package', 'expensive', 'network', 'slow', 'maen', 'game', 'lagging', 'severe', 'suite']")</f>
        <v>['signal', 'down', 'buy', 'package', 'expensive', 'network', 'slow', 'maen', 'game', 'lagging', 'severe', 'suite']</v>
      </c>
      <c r="D1610" s="3">
        <v>1.0</v>
      </c>
    </row>
    <row r="1611" ht="15.75" customHeight="1">
      <c r="A1611" s="1">
        <v>1714.0</v>
      </c>
      <c r="B1611" s="3" t="s">
        <v>1556</v>
      </c>
      <c r="C1611" s="3" t="str">
        <f>IFERROR(__xludf.DUMMYFUNCTION("GOOGLETRANSLATE(B1611,""id"",""en"")"),"['Keep', 'Quality', ""]")</f>
        <v>['Keep', 'Quality', "]</v>
      </c>
      <c r="D1611" s="3">
        <v>5.0</v>
      </c>
    </row>
    <row r="1612" ht="15.75" customHeight="1">
      <c r="A1612" s="1">
        <v>1715.0</v>
      </c>
      <c r="B1612" s="3" t="s">
        <v>1557</v>
      </c>
      <c r="C1612" s="3" t="str">
        <f>IFERROR(__xludf.DUMMYFUNCTION("GOOGLETRANSLATE(B1612,""id"",""en"")"),"['anjg', 'cave', 'pay', 'package', 'emergency', 'for', 'sucked', 'please', 'return', 'pulse', 'woy', ""]")</f>
        <v>['anjg', 'cave', 'pay', 'package', 'emergency', 'for', 'sucked', 'please', 'return', 'pulse', 'woy', "]</v>
      </c>
      <c r="D1612" s="3">
        <v>1.0</v>
      </c>
    </row>
    <row r="1613" ht="15.75" customHeight="1">
      <c r="A1613" s="1">
        <v>1716.0</v>
      </c>
      <c r="B1613" s="3" t="s">
        <v>1558</v>
      </c>
      <c r="C1613" s="3" t="str">
        <f>IFERROR(__xludf.DUMMYFUNCTION("GOOGLETRANSLATE(B1613,""id"",""en"")"),"['yeah', 'sngt']")</f>
        <v>['yeah', 'sngt']</v>
      </c>
      <c r="D1613" s="3">
        <v>4.0</v>
      </c>
    </row>
    <row r="1614" ht="15.75" customHeight="1">
      <c r="A1614" s="1">
        <v>1717.0</v>
      </c>
      <c r="B1614" s="3" t="s">
        <v>1559</v>
      </c>
      <c r="C1614" s="3" t="str">
        <f>IFERROR(__xludf.DUMMYFUNCTION("GOOGLETRANSLATE(B1614,""id"",""en"")"),"['Good', 'Lotten', 'promony', 'lgi', 'yaa']")</f>
        <v>['Good', 'Lotten', 'promony', 'lgi', 'yaa']</v>
      </c>
      <c r="D1614" s="3">
        <v>5.0</v>
      </c>
    </row>
    <row r="1615" ht="15.75" customHeight="1">
      <c r="A1615" s="1">
        <v>1718.0</v>
      </c>
      <c r="B1615" s="3" t="s">
        <v>1560</v>
      </c>
      <c r="C1615" s="3" t="str">
        <f>IFERROR(__xludf.DUMMYFUNCTION("GOOGLETRANSLATE(B1615,""id"",""en"")"),"['ASW', 'download', 'Telkomsel', 'DPAT', 'pulse', 'RbU', 'right', 'UDH', 'Download', 'SMS', 'DPAT', 'RBU', ' Check ',' kagak ',' kontollllllllllllllllllllllllllllllll")</f>
        <v>['ASW', 'download', 'Telkomsel', 'DPAT', 'pulse', 'RbU', 'right', 'UDH', 'Download', 'SMS', 'DPAT', 'RBU', ' Check ',' kagak ',' kontollllllllllllllllllllllllllllllll</v>
      </c>
      <c r="D1615" s="3">
        <v>1.0</v>
      </c>
    </row>
    <row r="1616" ht="15.75" customHeight="1">
      <c r="A1616" s="1">
        <v>1719.0</v>
      </c>
      <c r="B1616" s="3" t="s">
        <v>1561</v>
      </c>
      <c r="C1616" s="3" t="str">
        <f>IFERROR(__xludf.DUMMYFUNCTION("GOOGLETRANSLATE(B1616,""id"",""en"")"),"['Please', 'package', 'internet', 'perman', '']")</f>
        <v>['Please', 'package', 'internet', 'perman', '']</v>
      </c>
      <c r="D1616" s="3">
        <v>5.0</v>
      </c>
    </row>
    <row r="1617" ht="15.75" customHeight="1">
      <c r="A1617" s="1">
        <v>1720.0</v>
      </c>
      <c r="B1617" s="3" t="s">
        <v>1562</v>
      </c>
      <c r="C1617" s="3" t="str">
        <f>IFERROR(__xludf.DUMMYFUNCTION("GOOGLETRANSLATE(B1617,""id"",""en"")"),"['Telkomsel', 'fraudsters',' package ',' data ',' internet ',' according to ',' buy ',' package ',' internet ',' self-owned ',' gojek ',' giga ',' Sunday ',' already ',' run out ',' pulse ',' main ',' leftover ',' thousand ',' run out ',' Maling ',' Telko"&amp;"msel ',' AnjiiIr ',' difficult ',' driver ' , 'Tipu', 'raw', '']")</f>
        <v>['Telkomsel', 'fraudsters',' package ',' data ',' internet ',' according to ',' buy ',' package ',' internet ',' self-owned ',' gojek ',' giga ',' Sunday ',' already ',' run out ',' pulse ',' main ',' leftover ',' thousand ',' run out ',' Maling ',' Telkomsel ',' AnjiiIr ',' difficult ',' driver ' , 'Tipu', 'raw', '']</v>
      </c>
      <c r="D1617" s="3">
        <v>1.0</v>
      </c>
    </row>
    <row r="1618" ht="15.75" customHeight="1">
      <c r="A1618" s="1">
        <v>1721.0</v>
      </c>
      <c r="B1618" s="3" t="s">
        <v>1563</v>
      </c>
      <c r="C1618" s="3" t="str">
        <f>IFERROR(__xludf.DUMMYFUNCTION("GOOGLETRANSLATE(B1618,""id"",""en"")"),"['application', 'useful', 'likes']")</f>
        <v>['application', 'useful', 'likes']</v>
      </c>
      <c r="D1618" s="3">
        <v>5.0</v>
      </c>
    </row>
    <row r="1619" ht="15.75" customHeight="1">
      <c r="A1619" s="1">
        <v>1722.0</v>
      </c>
      <c r="B1619" s="3" t="s">
        <v>1564</v>
      </c>
      <c r="C1619" s="3" t="str">
        <f>IFERROR(__xludf.DUMMYFUNCTION("GOOGLETRANSLATE(B1619,""id"",""en"")"),"['Star', 'coz', 'operate']")</f>
        <v>['Star', 'coz', 'operate']</v>
      </c>
      <c r="D1619" s="3">
        <v>1.0</v>
      </c>
    </row>
    <row r="1620" ht="15.75" customHeight="1">
      <c r="A1620" s="1">
        <v>1723.0</v>
      </c>
      <c r="B1620" s="3" t="s">
        <v>494</v>
      </c>
      <c r="C1620" s="3" t="str">
        <f>IFERROR(__xludf.DUMMYFUNCTION("GOOGLETRANSLATE(B1620,""id"",""en"")"),"['app', 'help']")</f>
        <v>['app', 'help']</v>
      </c>
      <c r="D1620" s="3">
        <v>5.0</v>
      </c>
    </row>
    <row r="1621" ht="15.75" customHeight="1">
      <c r="A1621" s="1">
        <v>1724.0</v>
      </c>
      <c r="B1621" s="3" t="s">
        <v>1565</v>
      </c>
      <c r="C1621" s="3" t="str">
        <f>IFERROR(__xludf.DUMMYFUNCTION("GOOGLETRANSLATE(B1621,""id"",""en"")"),"['admin', 'admin', 'no', 'read', 'comment', 'comment', 'customer', 'diem', 'diem', 'bae', 'severe', 'Telkomsel', ' laugh out loud', '']")</f>
        <v>['admin', 'admin', 'no', 'read', 'comment', 'comment', 'customer', 'diem', 'diem', 'bae', 'severe', 'Telkomsel', ' laugh out loud', '']</v>
      </c>
      <c r="D1621" s="3">
        <v>1.0</v>
      </c>
    </row>
    <row r="1622" ht="15.75" customHeight="1">
      <c r="A1622" s="1">
        <v>1725.0</v>
      </c>
      <c r="B1622" s="3" t="s">
        <v>1566</v>
      </c>
      <c r="C1622" s="3" t="str">
        <f>IFERROR(__xludf.DUMMYFUNCTION("GOOGLETRANSLATE(B1622,""id"",""en"")"),"['mksh', 'Telkomsel', 'service', 'happy', 'happy', 'network', '']")</f>
        <v>['mksh', 'Telkomsel', 'service', 'happy', 'happy', 'network', '']</v>
      </c>
      <c r="D1622" s="3">
        <v>5.0</v>
      </c>
    </row>
    <row r="1623" ht="15.75" customHeight="1">
      <c r="A1623" s="1">
        <v>1726.0</v>
      </c>
      <c r="B1623" s="3" t="s">
        <v>1567</v>
      </c>
      <c r="C1623" s="3" t="str">
        <f>IFERROR(__xludf.DUMMYFUNCTION("GOOGLETRANSLATE(B1623,""id"",""en"")"),"['Application', 'Telkomsel', 'help', 'quota', 'internet']")</f>
        <v>['Application', 'Telkomsel', 'help', 'quota', 'internet']</v>
      </c>
      <c r="D1623" s="3">
        <v>5.0</v>
      </c>
    </row>
    <row r="1624" ht="15.75" customHeight="1">
      <c r="A1624" s="1">
        <v>1727.0</v>
      </c>
      <c r="B1624" s="3" t="s">
        <v>735</v>
      </c>
      <c r="C1624" s="3" t="str">
        <f>IFERROR(__xludf.DUMMYFUNCTION("GOOGLETRANSLATE(B1624,""id"",""en"")"),"['help']")</f>
        <v>['help']</v>
      </c>
      <c r="D1624" s="3">
        <v>5.0</v>
      </c>
    </row>
    <row r="1625" ht="15.75" customHeight="1">
      <c r="A1625" s="1">
        <v>1728.0</v>
      </c>
      <c r="B1625" s="3" t="s">
        <v>1568</v>
      </c>
      <c r="C1625" s="3" t="str">
        <f>IFERROR(__xludf.DUMMYFUNCTION("GOOGLETRANSLATE(B1625,""id"",""en"")"),"['Application', 'good', 'help']")</f>
        <v>['Application', 'good', 'help']</v>
      </c>
      <c r="D1625" s="3">
        <v>5.0</v>
      </c>
    </row>
    <row r="1626" ht="15.75" customHeight="1">
      <c r="A1626" s="1">
        <v>1729.0</v>
      </c>
      <c r="B1626" s="3" t="s">
        <v>1569</v>
      </c>
      <c r="C1626" s="3" t="str">
        <f>IFERROR(__xludf.DUMMYFUNCTION("GOOGLETRANSLATE(B1626,""id"",""en"")"),"['APK', 'good', 'really']")</f>
        <v>['APK', 'good', 'really']</v>
      </c>
      <c r="D1626" s="3">
        <v>4.0</v>
      </c>
    </row>
    <row r="1627" ht="15.75" customHeight="1">
      <c r="A1627" s="1">
        <v>1730.0</v>
      </c>
      <c r="B1627" s="3" t="s">
        <v>1570</v>
      </c>
      <c r="C1627" s="3" t="str">
        <f>IFERROR(__xludf.DUMMYFUNCTION("GOOGLETRANSLATE(B1627,""id"",""en"")"),"['thank', 'love', 'APK', 'MyTelkomsel', 'help', 'makes it easier']")</f>
        <v>['thank', 'love', 'APK', 'MyTelkomsel', 'help', 'makes it easier']</v>
      </c>
      <c r="D1627" s="3">
        <v>5.0</v>
      </c>
    </row>
    <row r="1628" ht="15.75" customHeight="1">
      <c r="A1628" s="1">
        <v>1731.0</v>
      </c>
      <c r="B1628" s="3" t="s">
        <v>1571</v>
      </c>
      <c r="C1628" s="3" t="str">
        <f>IFERROR(__xludf.DUMMYFUNCTION("GOOGLETRANSLATE(B1628,""id"",""en"")"),"['Package', 'Internet', 'Sakti', 'Available', 'Paketan', 'Internet', 'Expensive', 'Telkomsel', 'Belek', 'Lion', 'Ng', 'Price', ' package ',' internet ',' ngotak ',' high ']")</f>
        <v>['Package', 'Internet', 'Sakti', 'Available', 'Paketan', 'Internet', 'Expensive', 'Telkomsel', 'Belek', 'Lion', 'Ng', 'Price', ' package ',' internet ',' ngotak ',' high ']</v>
      </c>
      <c r="D1628" s="3">
        <v>1.0</v>
      </c>
    </row>
    <row r="1629" ht="15.75" customHeight="1">
      <c r="A1629" s="1">
        <v>1732.0</v>
      </c>
      <c r="B1629" s="3" t="s">
        <v>1572</v>
      </c>
      <c r="C1629" s="3" t="str">
        <f>IFERROR(__xludf.DUMMYFUNCTION("GOOGLETRANSLATE(B1629,""id"",""en"")"),"['APK', 'Bagussss', '']")</f>
        <v>['APK', 'Bagussss', '']</v>
      </c>
      <c r="D1629" s="3">
        <v>5.0</v>
      </c>
    </row>
    <row r="1630" ht="15.75" customHeight="1">
      <c r="A1630" s="1">
        <v>1733.0</v>
      </c>
      <c r="B1630" s="3" t="s">
        <v>1573</v>
      </c>
      <c r="C1630" s="3" t="str">
        <f>IFERROR(__xludf.DUMMYFUNCTION("GOOGLETRANSLATE(B1630,""id"",""en"")"),"['Try', 'Semogo', 'Yes']")</f>
        <v>['Try', 'Semogo', 'Yes']</v>
      </c>
      <c r="D1630" s="3">
        <v>3.0</v>
      </c>
    </row>
    <row r="1631" ht="15.75" customHeight="1">
      <c r="A1631" s="1">
        <v>1734.0</v>
      </c>
      <c r="B1631" s="3" t="s">
        <v>1574</v>
      </c>
      <c r="C1631" s="3" t="str">
        <f>IFERROR(__xludf.DUMMYFUNCTION("GOOGLETRANSLATE(B1631,""id"",""en"")"),"['', 'dlu', 'good', 'ksh', '']")</f>
        <v>['', 'dlu', 'good', 'ksh', '']</v>
      </c>
      <c r="D1631" s="3">
        <v>1.0</v>
      </c>
    </row>
    <row r="1632" ht="15.75" customHeight="1">
      <c r="A1632" s="1">
        <v>1735.0</v>
      </c>
      <c r="B1632" s="3" t="s">
        <v>1575</v>
      </c>
      <c r="C1632" s="3" t="str">
        <f>IFERROR(__xludf.DUMMYFUNCTION("GOOGLETRANSLATE(B1632,""id"",""en"")"),"['Threat', 'Karukaryan', 'price', 'expensive', 'connection', 'slow', 'reasons',' bitten ',' shark ',' care ',' satisfaction ',' pay ',' Package ',' data ',' borrow ']")</f>
        <v>['Threat', 'Karukaryan', 'price', 'expensive', 'connection', 'slow', 'reasons',' bitten ',' shark ',' care ',' satisfaction ',' pay ',' Package ',' data ',' borrow ']</v>
      </c>
      <c r="D1632" s="3">
        <v>5.0</v>
      </c>
    </row>
    <row r="1633" ht="15.75" customHeight="1">
      <c r="A1633" s="1">
        <v>1736.0</v>
      </c>
      <c r="B1633" s="3" t="s">
        <v>1576</v>
      </c>
      <c r="C1633" s="3" t="str">
        <f>IFERROR(__xludf.DUMMYFUNCTION("GOOGLETRANSLATE(B1633,""id"",""en"")"),"['easy understand']")</f>
        <v>['easy understand']</v>
      </c>
      <c r="D1633" s="3">
        <v>3.0</v>
      </c>
    </row>
    <row r="1634" ht="15.75" customHeight="1">
      <c r="A1634" s="1">
        <v>1737.0</v>
      </c>
      <c r="B1634" s="3" t="s">
        <v>1577</v>
      </c>
      <c r="C1634" s="3" t="str">
        <f>IFERROR(__xludf.DUMMYFUNCTION("GOOGLETRANSLATE(B1634,""id"",""en"")"),"['signal', 'lost', 'pulp']")</f>
        <v>['signal', 'lost', 'pulp']</v>
      </c>
      <c r="D1634" s="3">
        <v>1.0</v>
      </c>
    </row>
    <row r="1635" ht="15.75" customHeight="1">
      <c r="A1635" s="1">
        <v>1738.0</v>
      </c>
      <c r="B1635" s="3" t="s">
        <v>1578</v>
      </c>
      <c r="C1635" s="3" t="str">
        <f>IFERROR(__xludf.DUMMYFUNCTION("GOOGLETRANSLATE(B1635,""id"",""en"")"),"['Love', 'bonus', 'we're added']")</f>
        <v>['Love', 'bonus', 'we're added']</v>
      </c>
      <c r="D1635" s="3">
        <v>2.0</v>
      </c>
    </row>
    <row r="1636" ht="15.75" customHeight="1">
      <c r="A1636" s="1">
        <v>1739.0</v>
      </c>
      <c r="B1636" s="3" t="s">
        <v>1579</v>
      </c>
      <c r="C1636" s="3" t="str">
        <f>IFERROR(__xludf.DUMMYFUNCTION("GOOGLETRANSLATE(B1636,""id"",""en"")"),"['Heh', 'Telkomsel', 'skrng', 'slow', 'really', 'customers',' Telkomsel ',' baby ',' skrng ',' slow ',' gini ',' use ',' play ',' game ',' signal ',' red ',' please ',' prioritize ',' comfort ',' customer ',' njeng ']")</f>
        <v>['Heh', 'Telkomsel', 'skrng', 'slow', 'really', 'customers',' Telkomsel ',' baby ',' skrng ',' slow ',' gini ',' use ',' play ',' game ',' signal ',' red ',' please ',' prioritize ',' comfort ',' customer ',' njeng ']</v>
      </c>
      <c r="D1636" s="3">
        <v>1.0</v>
      </c>
    </row>
    <row r="1637" ht="15.75" customHeight="1">
      <c r="A1637" s="1">
        <v>1740.0</v>
      </c>
      <c r="B1637" s="3" t="s">
        <v>1580</v>
      </c>
      <c r="C1637" s="3" t="str">
        <f>IFERROR(__xludf.DUMMYFUNCTION("GOOGLETRANSLATE(B1637,""id"",""en"")"),"['network', 'Telkomsel', 'slow', 'bnget', 'package', 'bnyk', 'please', 'repaired', 'Please', 'reviewed', 'please']")</f>
        <v>['network', 'Telkomsel', 'slow', 'bnget', 'package', 'bnyk', 'please', 'repaired', 'Please', 'reviewed', 'please']</v>
      </c>
      <c r="D1637" s="3">
        <v>1.0</v>
      </c>
    </row>
    <row r="1638" ht="15.75" customHeight="1">
      <c r="A1638" s="1">
        <v>1741.0</v>
      </c>
      <c r="B1638" s="3" t="s">
        <v>1581</v>
      </c>
      <c r="C1638" s="3" t="str">
        <f>IFERROR(__xludf.DUMMYFUNCTION("GOOGLETRANSLATE(B1638,""id"",""en"")"),"['', 'application', 'Telkomsel', 'update', 'latest', 'open', 'application', 'blink', 'white', 'application', 'gmn', 'buy', 'package ',' ']")</f>
        <v>['', 'application', 'Telkomsel', 'update', 'latest', 'open', 'application', 'blink', 'white', 'application', 'gmn', 'buy', 'package ',' ']</v>
      </c>
      <c r="D1638" s="3">
        <v>1.0</v>
      </c>
    </row>
    <row r="1639" ht="15.75" customHeight="1">
      <c r="A1639" s="1">
        <v>1742.0</v>
      </c>
      <c r="B1639" s="3" t="s">
        <v>1582</v>
      </c>
      <c r="C1639" s="3" t="str">
        <f>IFERROR(__xludf.DUMMYFUNCTION("GOOGLETRANSLATE(B1639,""id"",""en"")"),"['', 'promo', 'promo', 'expensive', 'expensive']")</f>
        <v>['', 'promo', 'promo', 'expensive', 'expensive']</v>
      </c>
      <c r="D1639" s="3">
        <v>5.0</v>
      </c>
    </row>
    <row r="1640" ht="15.75" customHeight="1">
      <c r="A1640" s="1">
        <v>1743.0</v>
      </c>
      <c r="B1640" s="3" t="s">
        <v>1583</v>
      </c>
      <c r="C1640" s="3" t="str">
        <f>IFERROR(__xludf.DUMMYFUNCTION("GOOGLETRANSLATE(B1640,""id"",""en"")"),"['easy', 'cheap', 'fast']")</f>
        <v>['easy', 'cheap', 'fast']</v>
      </c>
      <c r="D1640" s="3">
        <v>5.0</v>
      </c>
    </row>
    <row r="1641" ht="15.75" customHeight="1">
      <c r="A1641" s="1">
        <v>1744.0</v>
      </c>
      <c r="B1641" s="3" t="s">
        <v>1584</v>
      </c>
      <c r="C1641" s="3" t="str">
        <f>IFERROR(__xludf.DUMMYFUNCTION("GOOGLETRANSLATE(B1641,""id"",""en"")"),"['fast', 'access', 'internet']")</f>
        <v>['fast', 'access', 'internet']</v>
      </c>
      <c r="D1641" s="3">
        <v>4.0</v>
      </c>
    </row>
    <row r="1642" ht="15.75" customHeight="1">
      <c r="A1642" s="1">
        <v>1745.0</v>
      </c>
      <c r="B1642" s="3" t="s">
        <v>1585</v>
      </c>
      <c r="C1642" s="3" t="str">
        <f>IFERROR(__xludf.DUMMYFUNCTION("GOOGLETRANSLATE(B1642,""id"",""en"")"),"['loyal customers']")</f>
        <v>['loyal customers']</v>
      </c>
      <c r="D1642" s="3">
        <v>5.0</v>
      </c>
    </row>
    <row r="1643" ht="15.75" customHeight="1">
      <c r="A1643" s="1">
        <v>1746.0</v>
      </c>
      <c r="B1643" s="3" t="s">
        <v>1586</v>
      </c>
      <c r="C1643" s="3" t="str">
        <f>IFERROR(__xludf.DUMMYFUNCTION("GOOGLETRANSLATE(B1643,""id"",""en"")"),"['Level', 'signal']")</f>
        <v>['Level', 'signal']</v>
      </c>
      <c r="D1643" s="3">
        <v>5.0</v>
      </c>
    </row>
    <row r="1644" ht="15.75" customHeight="1">
      <c r="A1644" s="1">
        <v>1747.0</v>
      </c>
      <c r="B1644" s="3" t="s">
        <v>1587</v>
      </c>
      <c r="C1644" s="3" t="str">
        <f>IFERROR(__xludf.DUMMYFUNCTION("GOOGLETRANSLATE(B1644,""id"",""en"")"),"['Danncvkkk', 'TELP', 'Telkom', 'Sempet', 'Heleased', 'Playstore', 'now', 'appears',' padah ',' network ',' rotten ',' desperate ',' endure']")</f>
        <v>['Danncvkkk', 'TELP', 'Telkom', 'Sempet', 'Heleased', 'Playstore', 'now', 'appears',' padah ',' network ',' rotten ',' desperate ',' endure']</v>
      </c>
      <c r="D1644" s="3">
        <v>1.0</v>
      </c>
    </row>
    <row r="1645" ht="15.75" customHeight="1">
      <c r="A1645" s="1">
        <v>1748.0</v>
      </c>
      <c r="B1645" s="3" t="s">
        <v>1588</v>
      </c>
      <c r="C1645" s="3" t="str">
        <f>IFERROR(__xludf.DUMMYFUNCTION("GOOGLETRANSLATE(B1645,""id"",""en"")"),"['thank', 'love', 'hope', 'Jaya']")</f>
        <v>['thank', 'love', 'hope', 'Jaya']</v>
      </c>
      <c r="D1645" s="3">
        <v>5.0</v>
      </c>
    </row>
    <row r="1646" ht="15.75" customHeight="1">
      <c r="A1646" s="1">
        <v>1749.0</v>
      </c>
      <c r="B1646" s="3" t="s">
        <v>1589</v>
      </c>
      <c r="C1646" s="3" t="str">
        <f>IFERROR(__xludf.DUMMYFUNCTION("GOOGLETRANSLATE(B1646,""id"",""en"")"),"['Win', 'Lottery', 'TELSEL', 'Points',' Satisfied ',' Hope ',' Win ',' Nie ',' Boss', 'Win', 'Tired', 'Swinger', ' by one ',' Points', 'Boss']")</f>
        <v>['Win', 'Lottery', 'TELSEL', 'Points',' Satisfied ',' Hope ',' Win ',' Nie ',' Boss', 'Win', 'Tired', 'Swinger', ' by one ',' Points', 'Boss']</v>
      </c>
      <c r="D1646" s="3">
        <v>5.0</v>
      </c>
    </row>
    <row r="1647" ht="15.75" customHeight="1">
      <c r="A1647" s="1">
        <v>1750.0</v>
      </c>
      <c r="B1647" s="3" t="s">
        <v>1590</v>
      </c>
      <c r="C1647" s="3" t="str">
        <f>IFERROR(__xludf.DUMMYFUNCTION("GOOGLETRANSLATE(B1647,""id"",""en"")"),"['expensive', 'expensive', 'package']")</f>
        <v>['expensive', 'expensive', 'package']</v>
      </c>
      <c r="D1647" s="3">
        <v>5.0</v>
      </c>
    </row>
    <row r="1648" ht="15.75" customHeight="1">
      <c r="A1648" s="1">
        <v>1751.0</v>
      </c>
      <c r="B1648" s="3" t="s">
        <v>1591</v>
      </c>
      <c r="C1648" s="3" t="str">
        <f>IFERROR(__xludf.DUMMYFUNCTION("GOOGLETRANSLATE(B1648,""id"",""en"")"),"['Good', 'MyTelkomsel']")</f>
        <v>['Good', 'MyTelkomsel']</v>
      </c>
      <c r="D1648" s="3">
        <v>5.0</v>
      </c>
    </row>
    <row r="1649" ht="15.75" customHeight="1">
      <c r="A1649" s="1">
        <v>1752.0</v>
      </c>
      <c r="B1649" s="3" t="s">
        <v>1592</v>
      </c>
      <c r="C1649" s="3" t="str">
        <f>IFERROR(__xludf.DUMMYFUNCTION("GOOGLETRANSLATE(B1649,""id"",""en"")"),"['likes',' PHP ',' PROMO ',' APK ',' PROMO ',' SMS ',' PERSION ',' ISI ',' Credit ',' Eeehhh ',' Turn ',' clicked ',' Sorry ',' ancoooor ',' boss', 'uninstall', '']")</f>
        <v>['likes',' PHP ',' PROMO ',' APK ',' PROMO ',' SMS ',' PERSION ',' ISI ',' Credit ',' Eeehhh ',' Turn ',' clicked ',' Sorry ',' ancoooor ',' boss', 'uninstall', '']</v>
      </c>
      <c r="D1649" s="3">
        <v>1.0</v>
      </c>
    </row>
    <row r="1650" ht="15.75" customHeight="1">
      <c r="A1650" s="1">
        <v>1753.0</v>
      </c>
      <c r="B1650" s="3" t="s">
        <v>1593</v>
      </c>
      <c r="C1650" s="3" t="str">
        <f>IFERROR(__xludf.DUMMYFUNCTION("GOOGLETRANSLATE(B1650,""id"",""en"")"),"['useful', 'thank', 'love', 'Telkomsel', 'hope', 'in the future', 'song']")</f>
        <v>['useful', 'thank', 'love', 'Telkomsel', 'hope', 'in the future', 'song']</v>
      </c>
      <c r="D1650" s="3">
        <v>5.0</v>
      </c>
    </row>
    <row r="1651" ht="15.75" customHeight="1">
      <c r="A1651" s="1">
        <v>1754.0</v>
      </c>
      <c r="B1651" s="3" t="s">
        <v>1594</v>
      </c>
      <c r="C1651" s="3" t="str">
        <f>IFERROR(__xludf.DUMMYFUNCTION("GOOGLETRANSLATE(B1651,""id"",""en"")"),"['In the area', 'Bandung', 'signal', 'lemof']")</f>
        <v>['In the area', 'Bandung', 'signal', 'lemof']</v>
      </c>
      <c r="D1651" s="3">
        <v>4.0</v>
      </c>
    </row>
    <row r="1652" ht="15.75" customHeight="1">
      <c r="A1652" s="1">
        <v>1755.0</v>
      </c>
      <c r="B1652" s="3" t="s">
        <v>1595</v>
      </c>
      <c r="C1652" s="3" t="str">
        <f>IFERROR(__xludf.DUMMYFUNCTION("GOOGLETRANSLATE(B1652,""id"",""en"")"),"['easy', 'select', 'package', 'internet', 'check', 'pulse']")</f>
        <v>['easy', 'select', 'package', 'internet', 'check', 'pulse']</v>
      </c>
      <c r="D1652" s="3">
        <v>5.0</v>
      </c>
    </row>
    <row r="1653" ht="15.75" customHeight="1">
      <c r="A1653" s="1">
        <v>1756.0</v>
      </c>
      <c r="B1653" s="3" t="s">
        <v>1596</v>
      </c>
      <c r="C1653" s="3" t="str">
        <f>IFERROR(__xludf.DUMMYFUNCTION("GOOGLETRANSLATE(B1653,""id"",""en"")"),"['Exchange', 'Points', 'Failed', 'Bot', 'Send', 'Help']")</f>
        <v>['Exchange', 'Points', 'Failed', 'Bot', 'Send', 'Help']</v>
      </c>
      <c r="D1653" s="3">
        <v>1.0</v>
      </c>
    </row>
    <row r="1654" ht="15.75" customHeight="1">
      <c r="A1654" s="1">
        <v>1757.0</v>
      </c>
      <c r="B1654" s="3" t="s">
        <v>1597</v>
      </c>
      <c r="C1654" s="3" t="str">
        <f>IFERROR(__xludf.DUMMYFUNCTION("GOOGLETRANSLATE(B1654,""id"",""en"")"),"['easy', 'fast', 'easy', 'thank', 'love', 'Telkomsel', '']")</f>
        <v>['easy', 'fast', 'easy', 'thank', 'love', 'Telkomsel', '']</v>
      </c>
      <c r="D1654" s="3">
        <v>5.0</v>
      </c>
    </row>
    <row r="1655" ht="15.75" customHeight="1">
      <c r="A1655" s="1">
        <v>1759.0</v>
      </c>
      <c r="B1655" s="3" t="s">
        <v>1598</v>
      </c>
      <c r="C1655" s="3" t="str">
        <f>IFERROR(__xludf.DUMMYFUNCTION("GOOGLETRANSLATE(B1655,""id"",""en"")"),"['Simple', 'Ribet', 'Good', '']")</f>
        <v>['Simple', 'Ribet', 'Good', '']</v>
      </c>
      <c r="D1655" s="3">
        <v>5.0</v>
      </c>
    </row>
    <row r="1656" ht="15.75" customHeight="1">
      <c r="A1656" s="1">
        <v>1760.0</v>
      </c>
      <c r="B1656" s="3" t="s">
        <v>1599</v>
      </c>
      <c r="C1656" s="3" t="str">
        <f>IFERROR(__xludf.DUMMYFUNCTION("GOOGLETRANSLATE(B1656,""id"",""en"")"),"['', 'Telkomsel', 'buy', 'package', 'multimedia', 'quota', 'main', 'got', 'multimedia', 'used', 'please', 'repaired', 'the system ',' loyal ',' use ',' Telkomsel ',' shifted ',' provider ',' offer ',' Indosat ',' steady ',' bonus', 'cheap', 'package', 'in"&amp;"ternet', 'THx']")</f>
        <v>['', 'Telkomsel', 'buy', 'package', 'multimedia', 'quota', 'main', 'got', 'multimedia', 'used', 'please', 'repaired', 'the system ',' loyal ',' use ',' Telkomsel ',' shifted ',' provider ',' offer ',' Indosat ',' steady ',' bonus', 'cheap', 'package', 'internet', 'THx']</v>
      </c>
      <c r="D1656" s="3">
        <v>1.0</v>
      </c>
    </row>
    <row r="1657" ht="15.75" customHeight="1">
      <c r="A1657" s="1">
        <v>1761.0</v>
      </c>
      <c r="B1657" s="3" t="s">
        <v>1600</v>
      </c>
      <c r="C1657" s="3" t="str">
        <f>IFERROR(__xludf.DUMMYFUNCTION("GOOGLETRANSLATE(B1657,""id"",""en"")"),"['Application', 'Good', 'satisfying']")</f>
        <v>['Application', 'Good', 'satisfying']</v>
      </c>
      <c r="D1657" s="3">
        <v>5.0</v>
      </c>
    </row>
    <row r="1658" ht="15.75" customHeight="1">
      <c r="A1658" s="1">
        <v>1762.0</v>
      </c>
      <c r="B1658" s="3" t="s">
        <v>1601</v>
      </c>
      <c r="C1658" s="3" t="str">
        <f>IFERROR(__xludf.DUMMYFUNCTION("GOOGLETRANSLATE(B1658,""id"",""en"")"),"['Alhamdulillah', 'package', 'combo', 'package', 'combo', 'steady', 'my boss', 'package', 'combo', 'lost']")</f>
        <v>['Alhamdulillah', 'package', 'combo', 'package', 'combo', 'steady', 'my boss', 'package', 'combo', 'lost']</v>
      </c>
      <c r="D1658" s="3">
        <v>5.0</v>
      </c>
    </row>
    <row r="1659" ht="15.75" customHeight="1">
      <c r="A1659" s="1">
        <v>1763.0</v>
      </c>
      <c r="B1659" s="3" t="s">
        <v>1602</v>
      </c>
      <c r="C1659" s="3" t="str">
        <f>IFERROR(__xludf.DUMMYFUNCTION("GOOGLETRANSLATE(B1659,""id"",""en"")"),"['application', 'help', 'really', ""]")</f>
        <v>['application', 'help', 'really', "]</v>
      </c>
      <c r="D1659" s="3">
        <v>5.0</v>
      </c>
    </row>
    <row r="1660" ht="15.75" customHeight="1">
      <c r="A1660" s="1">
        <v>1764.0</v>
      </c>
      <c r="B1660" s="3" t="s">
        <v>1603</v>
      </c>
      <c r="C1660" s="3" t="str">
        <f>IFERROR(__xludf.DUMMYFUNCTION("GOOGLETRANSLATE(B1660,""id"",""en"")"),"['signal', 'slow', 'like', 'Change', 'signal', 'city', 'regret', 'Paketan', 'Telkomsel', 'Game', 'Disconnect', ""]")</f>
        <v>['signal', 'slow', 'like', 'Change', 'signal', 'city', 'regret', 'Paketan', 'Telkomsel', 'Game', 'Disconnect', "]</v>
      </c>
      <c r="D1660" s="3">
        <v>1.0</v>
      </c>
    </row>
    <row r="1661" ht="15.75" customHeight="1">
      <c r="A1661" s="1">
        <v>1765.0</v>
      </c>
      <c r="B1661" s="3" t="s">
        <v>1604</v>
      </c>
      <c r="C1661" s="3" t="str">
        <f>IFERROR(__xludf.DUMMYFUNCTION("GOOGLETRANSLATE(B1661,""id"",""en"")"),"['application', 'makes it easy', 'customers', 'Telkomsel', '']")</f>
        <v>['application', 'makes it easy', 'customers', 'Telkomsel', '']</v>
      </c>
      <c r="D1661" s="3">
        <v>5.0</v>
      </c>
    </row>
    <row r="1662" ht="15.75" customHeight="1">
      <c r="A1662" s="1">
        <v>1766.0</v>
      </c>
      <c r="B1662" s="3" t="s">
        <v>1605</v>
      </c>
      <c r="C1662" s="3" t="str">
        <f>IFERROR(__xludf.DUMMYFUNCTION("GOOGLETRANSLATE(B1662,""id"",""en"")"),"['signal', 'Telkomsel', 'quota', 'expensive', 'network', 'use', 'satisfied', 'pulse', 'sumps',' right ',' turn on ',' data ',' Ngelag ',' continuedsssssssssssssssssssss']")</f>
        <v>['signal', 'Telkomsel', 'quota', 'expensive', 'network', 'use', 'satisfied', 'pulse', 'sumps',' right ',' turn on ',' data ',' Ngelag ',' continuedsssssssssssssssssssss']</v>
      </c>
      <c r="D1662" s="3">
        <v>1.0</v>
      </c>
    </row>
    <row r="1663" ht="15.75" customHeight="1">
      <c r="A1663" s="1">
        <v>1767.0</v>
      </c>
      <c r="B1663" s="3" t="s">
        <v>1606</v>
      </c>
      <c r="C1663" s="3" t="str">
        <f>IFERROR(__xludf.DUMMYFUNCTION("GOOGLETRANSLATE(B1663,""id"",""en"")"),"['coin', 'Exchange', 'quota', 'base', 'fraud']")</f>
        <v>['coin', 'Exchange', 'quota', 'base', 'fraud']</v>
      </c>
      <c r="D1663" s="3">
        <v>1.0</v>
      </c>
    </row>
    <row r="1664" ht="15.75" customHeight="1">
      <c r="A1664" s="1">
        <v>1768.0</v>
      </c>
      <c r="B1664" s="3" t="s">
        <v>1607</v>
      </c>
      <c r="C1664" s="3" t="str">
        <f>IFERROR(__xludf.DUMMYFUNCTION("GOOGLETRANSLATE(B1664,""id"",""en"")"),"['Help', 'Thanks']")</f>
        <v>['Help', 'Thanks']</v>
      </c>
      <c r="D1664" s="3">
        <v>5.0</v>
      </c>
    </row>
    <row r="1665" ht="15.75" customHeight="1">
      <c r="A1665" s="1">
        <v>1769.0</v>
      </c>
      <c r="B1665" s="3" t="s">
        <v>1608</v>
      </c>
      <c r="C1665" s="3" t="str">
        <f>IFERROR(__xludf.DUMMYFUNCTION("GOOGLETRANSLATE(B1665,""id"",""en"")"),"['MIBIL']")</f>
        <v>['MIBIL']</v>
      </c>
      <c r="D1665" s="3">
        <v>5.0</v>
      </c>
    </row>
    <row r="1666" ht="15.75" customHeight="1">
      <c r="A1666" s="1">
        <v>1770.0</v>
      </c>
      <c r="B1666" s="3" t="s">
        <v>1609</v>
      </c>
      <c r="C1666" s="3" t="str">
        <f>IFERROR(__xludf.DUMMYFUNCTION("GOOGLETRANSLATE(B1666,""id"",""en"")"),"['Please', 'Help', 'TOPUP', 'my dedicated', 'get', 'coin', 'email', 'enter', 'pulse', 'pull out', 'complement', 'email', ' Success', 'pulses',' missing ']")</f>
        <v>['Please', 'Help', 'TOPUP', 'my dedicated', 'get', 'coin', 'email', 'enter', 'pulse', 'pull out', 'complement', 'email', ' Success', 'pulses',' missing ']</v>
      </c>
      <c r="D1666" s="3">
        <v>2.0</v>
      </c>
    </row>
    <row r="1667" ht="15.75" customHeight="1">
      <c r="A1667" s="1">
        <v>1772.0</v>
      </c>
      <c r="B1667" s="3" t="s">
        <v>1610</v>
      </c>
      <c r="C1667" s="3" t="str">
        <f>IFERROR(__xludf.DUMMYFUNCTION("GOOGLETRANSLATE(B1667,""id"",""en"")"),"['Steady', 'eko']")</f>
        <v>['Steady', 'eko']</v>
      </c>
      <c r="D1667" s="3">
        <v>3.0</v>
      </c>
    </row>
    <row r="1668" ht="15.75" customHeight="1">
      <c r="A1668" s="1">
        <v>1773.0</v>
      </c>
      <c r="B1668" s="3" t="s">
        <v>641</v>
      </c>
      <c r="C1668" s="3" t="str">
        <f>IFERROR(__xludf.DUMMYFUNCTION("GOOGLETRANSLATE(B1668,""id"",""en"")"),"['Good', 'really', 'application', 'mytelkomsel']")</f>
        <v>['Good', 'really', 'application', 'mytelkomsel']</v>
      </c>
      <c r="D1668" s="3">
        <v>5.0</v>
      </c>
    </row>
    <row r="1669" ht="15.75" customHeight="1">
      <c r="A1669" s="1">
        <v>1774.0</v>
      </c>
      <c r="B1669" s="3" t="s">
        <v>1611</v>
      </c>
      <c r="C1669" s="3" t="str">
        <f>IFERROR(__xludf.DUMMYFUNCTION("GOOGLETRANSLATE(B1669,""id"",""en"")"),"['The network', 'slow', 'rich', ""]")</f>
        <v>['The network', 'slow', 'rich', "]</v>
      </c>
      <c r="D1669" s="3">
        <v>1.0</v>
      </c>
    </row>
    <row r="1670" ht="15.75" customHeight="1">
      <c r="A1670" s="1">
        <v>1775.0</v>
      </c>
      <c r="B1670" s="3" t="s">
        <v>1612</v>
      </c>
      <c r="C1670" s="3" t="str">
        <f>IFERROR(__xludf.DUMMYFUNCTION("GOOGLETRANSLATE(B1670,""id"",""en"")"),"['rare', 'promo', 'cheap', 'signal', 'kenceng']")</f>
        <v>['rare', 'promo', 'cheap', 'signal', 'kenceng']</v>
      </c>
      <c r="D1670" s="3">
        <v>4.0</v>
      </c>
    </row>
    <row r="1671" ht="15.75" customHeight="1">
      <c r="A1671" s="1">
        <v>1777.0</v>
      </c>
      <c r="B1671" s="3" t="s">
        <v>1613</v>
      </c>
      <c r="C1671" s="3" t="str">
        <f>IFERROR(__xludf.DUMMYFUNCTION("GOOGLETRANSLATE(B1671,""id"",""en"")"),"['application', 'good', 'fast', 'easy']")</f>
        <v>['application', 'good', 'fast', 'easy']</v>
      </c>
      <c r="D1671" s="3">
        <v>3.0</v>
      </c>
    </row>
    <row r="1672" ht="15.75" customHeight="1">
      <c r="A1672" s="1">
        <v>1778.0</v>
      </c>
      <c r="B1672" s="3" t="s">
        <v>1614</v>
      </c>
      <c r="C1672" s="3" t="str">
        <f>IFERROR(__xludf.DUMMYFUNCTION("GOOGLETRANSLATE(B1672,""id"",""en"")"),"['Provider', 'KNTL', 'Fill', 'Credit', 'Buy', 'Package', 'TPI', 'Pulsely', 'Adequate', 'Pas',' Check ',' Udh ',' decreases', 'pulses',' ilang ',' ntah ',' where ',' ng ',' really ',' events', '']")</f>
        <v>['Provider', 'KNTL', 'Fill', 'Credit', 'Buy', 'Package', 'TPI', 'Pulsely', 'Adequate', 'Pas',' Check ',' Udh ',' decreases', 'pulses',' ilang ',' ntah ',' where ',' ng ',' really ',' events', '']</v>
      </c>
      <c r="D1672" s="3">
        <v>1.0</v>
      </c>
    </row>
    <row r="1673" ht="15.75" customHeight="1">
      <c r="A1673" s="1">
        <v>1779.0</v>
      </c>
      <c r="B1673" s="3" t="s">
        <v>1615</v>
      </c>
      <c r="C1673" s="3" t="str">
        <f>IFERROR(__xludf.DUMMYFUNCTION("GOOGLETRANSLATE(B1673,""id"",""en"")"),"['Package', 'Multimedia', '']")</f>
        <v>['Package', 'Multimedia', '']</v>
      </c>
      <c r="D1673" s="3">
        <v>1.0</v>
      </c>
    </row>
    <row r="1674" ht="15.75" customHeight="1">
      <c r="A1674" s="1">
        <v>1780.0</v>
      </c>
      <c r="B1674" s="3" t="s">
        <v>1616</v>
      </c>
      <c r="C1674" s="3" t="str">
        <f>IFERROR(__xludf.DUMMYFUNCTION("GOOGLETRANSLATE(B1674,""id"",""en"")"),"['Love', 'Feature', 'Credit', 'Locked']")</f>
        <v>['Love', 'Feature', 'Credit', 'Locked']</v>
      </c>
      <c r="D1674" s="3">
        <v>2.0</v>
      </c>
    </row>
    <row r="1675" ht="15.75" customHeight="1">
      <c r="A1675" s="1">
        <v>1783.0</v>
      </c>
      <c r="B1675" s="3" t="s">
        <v>1617</v>
      </c>
      <c r="C1675" s="3" t="str">
        <f>IFERROR(__xludf.DUMMYFUNCTION("GOOGLETRANSLATE(B1675,""id"",""en"")"),"['Network', 'bad', 'package', 'data', 'expensive', 'network', 'moral']")</f>
        <v>['Network', 'bad', 'package', 'data', 'expensive', 'network', 'moral']</v>
      </c>
      <c r="D1675" s="3">
        <v>1.0</v>
      </c>
    </row>
    <row r="1676" ht="15.75" customHeight="1">
      <c r="A1676" s="1">
        <v>1784.0</v>
      </c>
      <c r="B1676" s="3" t="s">
        <v>1618</v>
      </c>
      <c r="C1676" s="3" t="str">
        <f>IFERROR(__xludf.DUMMYFUNCTION("GOOGLETRANSLATE(B1676,""id"",""en"")"),"['Reach', 'country']")</f>
        <v>['Reach', 'country']</v>
      </c>
      <c r="D1676" s="3">
        <v>5.0</v>
      </c>
    </row>
    <row r="1677" ht="15.75" customHeight="1">
      <c r="A1677" s="1">
        <v>1785.0</v>
      </c>
      <c r="B1677" s="3" t="s">
        <v>1619</v>
      </c>
      <c r="C1677" s="3" t="str">
        <f>IFERROR(__xludf.DUMMYFUNCTION("GOOGLETRANSLATE(B1677,""id"",""en"")"),"['fast', 'quality']")</f>
        <v>['fast', 'quality']</v>
      </c>
      <c r="D1677" s="3">
        <v>5.0</v>
      </c>
    </row>
    <row r="1678" ht="15.75" customHeight="1">
      <c r="A1678" s="1">
        <v>1786.0</v>
      </c>
      <c r="B1678" s="3" t="s">
        <v>1620</v>
      </c>
      <c r="C1678" s="3" t="str">
        <f>IFERROR(__xludf.DUMMYFUNCTION("GOOGLETRANSLATE(B1678,""id"",""en"")"),"['APK', 'Useful']")</f>
        <v>['APK', 'Useful']</v>
      </c>
      <c r="D1678" s="3">
        <v>5.0</v>
      </c>
    </row>
    <row r="1679" ht="15.75" customHeight="1">
      <c r="A1679" s="1">
        <v>1787.0</v>
      </c>
      <c r="B1679" s="3" t="s">
        <v>1621</v>
      </c>
      <c r="C1679" s="3" t="str">
        <f>IFERROR(__xludf.DUMMYFUNCTION("GOOGLETRANSLATE(B1679,""id"",""en"")"),"['Satisfied', 'Telkomsel', 'Choice', 'Pakeett']")</f>
        <v>['Satisfied', 'Telkomsel', 'Choice', 'Pakeett']</v>
      </c>
      <c r="D1679" s="3">
        <v>5.0</v>
      </c>
    </row>
    <row r="1680" ht="15.75" customHeight="1">
      <c r="A1680" s="1">
        <v>1788.0</v>
      </c>
      <c r="B1680" s="3" t="s">
        <v>1622</v>
      </c>
      <c r="C1680" s="3" t="str">
        <f>IFERROR(__xludf.DUMMYFUNCTION("GOOGLETRANSLATE(B1680,""id"",""en"")"),"['Combo', 'Sakti', 'price', 'already', 'crazy', 'expensive', 'promo', 'appears',' package ',' bought ',' quota ',' waste ',' Please, 'Lahh', 'Internet', 'Sakti', 'GB', 'Hopefully', 'Langgent']")</f>
        <v>['Combo', 'Sakti', 'price', 'already', 'crazy', 'expensive', 'promo', 'appears',' package ',' bought ',' quota ',' waste ',' Please, 'Lahh', 'Internet', 'Sakti', 'GB', 'Hopefully', 'Langgent']</v>
      </c>
      <c r="D1680" s="3">
        <v>5.0</v>
      </c>
    </row>
    <row r="1681" ht="15.75" customHeight="1">
      <c r="A1681" s="1">
        <v>1789.0</v>
      </c>
      <c r="B1681" s="3" t="s">
        <v>1623</v>
      </c>
      <c r="C1681" s="3" t="str">
        <f>IFERROR(__xludf.DUMMYFUNCTION("GOOGLETRANSLATE(B1681,""id"",""en"")"),"['', 'Telkomsel', 'makes it easy', 'my life', ""]")</f>
        <v>['', 'Telkomsel', 'makes it easy', 'my life', "]</v>
      </c>
      <c r="D1681" s="3">
        <v>5.0</v>
      </c>
    </row>
    <row r="1682" ht="15.75" customHeight="1">
      <c r="A1682" s="1">
        <v>1790.0</v>
      </c>
      <c r="B1682" s="3" t="s">
        <v>1624</v>
      </c>
      <c r="C1682" s="3" t="str">
        <f>IFERROR(__xludf.DUMMYFUNCTION("GOOGLETRANSLATE(B1682,""id"",""en"")"),"['Price', 'Purchase', 'Package', 'User', 'Telkomsel', 'Different', 'Different', 'Internet', 'Region', 'Tangerang', 'Lemot', 'Please', ' Donk ',' repaired ',' service ',' thank ',' love ',' ']")</f>
        <v>['Price', 'Purchase', 'Package', 'User', 'Telkomsel', 'Different', 'Different', 'Internet', 'Region', 'Tangerang', 'Lemot', 'Please', ' Donk ',' repaired ',' service ',' thank ',' love ',' ']</v>
      </c>
      <c r="D1682" s="3">
        <v>3.0</v>
      </c>
    </row>
    <row r="1683" ht="15.75" customHeight="1">
      <c r="A1683" s="1">
        <v>1791.0</v>
      </c>
      <c r="B1683" s="3" t="s">
        <v>1625</v>
      </c>
      <c r="C1683" s="3" t="str">
        <f>IFERROR(__xludf.DUMMYFUNCTION("GOOGLETRANSLATE(B1683,""id"",""en"")"),"['discount', 'bossss']")</f>
        <v>['discount', 'bossss']</v>
      </c>
      <c r="D1683" s="3">
        <v>5.0</v>
      </c>
    </row>
    <row r="1684" ht="15.75" customHeight="1">
      <c r="A1684" s="1">
        <v>1792.0</v>
      </c>
      <c r="B1684" s="3" t="s">
        <v>1626</v>
      </c>
      <c r="C1684" s="3" t="str">
        <f>IFERROR(__xludf.DUMMYFUNCTION("GOOGLETRANSLATE(B1684,""id"",""en"")"),"['Revenge', 'consumption', 'pulse', 'pulse', 'ilang']")</f>
        <v>['Revenge', 'consumption', 'pulse', 'pulse', 'ilang']</v>
      </c>
      <c r="D1684" s="3">
        <v>1.0</v>
      </c>
    </row>
    <row r="1685" ht="15.75" customHeight="1">
      <c r="A1685" s="1">
        <v>1794.0</v>
      </c>
      <c r="B1685" s="3" t="s">
        <v>1627</v>
      </c>
      <c r="C1685" s="3" t="str">
        <f>IFERROR(__xludf.DUMMYFUNCTION("GOOGLETRANSLATE(B1685,""id"",""en"")"),"['Good', 'Simple', 'Satisfied', '']")</f>
        <v>['Good', 'Simple', 'Satisfied', '']</v>
      </c>
      <c r="D1685" s="3">
        <v>5.0</v>
      </c>
    </row>
    <row r="1686" ht="15.75" customHeight="1">
      <c r="A1686" s="1">
        <v>1795.0</v>
      </c>
      <c r="B1686" s="3" t="s">
        <v>1628</v>
      </c>
      <c r="C1686" s="3" t="str">
        <f>IFERROR(__xludf.DUMMYFUNCTION("GOOGLETRANSLATE(B1686,""id"",""en"")"),"['AEKARAMG', 'Telkomsel', 'Sinyal', 'Stable', 'Customer', 'Faithful', 'Disappointed', 'Really', 'Signal', 'Bad', 'Pay', 'Expensive', ' Anyinggg ']")</f>
        <v>['AEKARAMG', 'Telkomsel', 'Sinyal', 'Stable', 'Customer', 'Faithful', 'Disappointed', 'Really', 'Signal', 'Bad', 'Pay', 'Expensive', ' Anyinggg ']</v>
      </c>
      <c r="D1686" s="3">
        <v>1.0</v>
      </c>
    </row>
    <row r="1687" ht="15.75" customHeight="1">
      <c r="A1687" s="1">
        <v>1796.0</v>
      </c>
      <c r="B1687" s="3" t="s">
        <v>568</v>
      </c>
      <c r="C1687" s="3" t="str">
        <f>IFERROR(__xludf.DUMMYFUNCTION("GOOGLETRANSLATE(B1687,""id"",""en"")"),"['expensive', 'package']")</f>
        <v>['expensive', 'package']</v>
      </c>
      <c r="D1687" s="3">
        <v>1.0</v>
      </c>
    </row>
    <row r="1688" ht="15.75" customHeight="1">
      <c r="A1688" s="1">
        <v>1797.0</v>
      </c>
      <c r="B1688" s="3" t="s">
        <v>549</v>
      </c>
      <c r="C1688" s="3" t="str">
        <f>IFERROR(__xludf.DUMMYFUNCTION("GOOGLETRANSLATE(B1688,""id"",""en"")"),"['Network', 'Telkomsel', 'ugly']")</f>
        <v>['Network', 'Telkomsel', 'ugly']</v>
      </c>
      <c r="D1688" s="3">
        <v>1.0</v>
      </c>
    </row>
    <row r="1689" ht="15.75" customHeight="1">
      <c r="A1689" s="1">
        <v>1798.0</v>
      </c>
      <c r="B1689" s="3" t="s">
        <v>1629</v>
      </c>
      <c r="C1689" s="3" t="str">
        <f>IFERROR(__xludf.DUMMYFUNCTION("GOOGLETRANSLATE(B1689,""id"",""en"")"),"['Application', 'Rich', 'ASW', 'Pig', 'Dajjal', 'Network', 'Ngeleg', 'YRS', 'ASW']")</f>
        <v>['Application', 'Rich', 'ASW', 'Pig', 'Dajjal', 'Network', 'Ngeleg', 'YRS', 'ASW']</v>
      </c>
      <c r="D1689" s="3">
        <v>5.0</v>
      </c>
    </row>
    <row r="1690" ht="15.75" customHeight="1">
      <c r="A1690" s="1">
        <v>1799.0</v>
      </c>
      <c r="B1690" s="3" t="s">
        <v>1630</v>
      </c>
      <c r="C1690" s="3" t="str">
        <f>IFERROR(__xludf.DUMMYFUNCTION("GOOGLETRANSLATE(B1690,""id"",""en"")"),"['Package', 'combo', 'unlimited', 'missing', '']")</f>
        <v>['Package', 'combo', 'unlimited', 'missing', '']</v>
      </c>
      <c r="D1690" s="3">
        <v>1.0</v>
      </c>
    </row>
    <row r="1691" ht="15.75" customHeight="1">
      <c r="A1691" s="1">
        <v>1800.0</v>
      </c>
      <c r="B1691" s="3" t="s">
        <v>1631</v>
      </c>
      <c r="C1691" s="3" t="str">
        <f>IFERROR(__xludf.DUMMYFUNCTION("GOOGLETRANSLATE(B1691,""id"",""en"")"),"['Blom', 'Win', 'Hopefully', 'sustenance', 'family', 'my little', 'child', 'Allah']")</f>
        <v>['Blom', 'Win', 'Hopefully', 'sustenance', 'family', 'my little', 'child', 'Allah']</v>
      </c>
      <c r="D1691" s="3">
        <v>5.0</v>
      </c>
    </row>
    <row r="1692" ht="15.75" customHeight="1">
      <c r="A1692" s="1">
        <v>1801.0</v>
      </c>
      <c r="B1692" s="3" t="s">
        <v>1632</v>
      </c>
      <c r="C1692" s="3" t="str">
        <f>IFERROR(__xludf.DUMMYFUNCTION("GOOGLETRANSLATE(B1692,""id"",""en"")"),"['Manalh']")</f>
        <v>['Manalh']</v>
      </c>
      <c r="D1692" s="3">
        <v>4.0</v>
      </c>
    </row>
    <row r="1693" ht="15.75" customHeight="1">
      <c r="A1693" s="1">
        <v>1802.0</v>
      </c>
      <c r="B1693" s="3" t="s">
        <v>1633</v>
      </c>
      <c r="C1693" s="3" t="str">
        <f>IFERROR(__xludf.DUMMYFUNCTION("GOOGLETRANSLATE(B1693,""id"",""en"")"),"['provider', 'worn', 'buy', 'package', 'quota', 'kora', 'succeed', 'failed', 'failed', 'as a result', 'pulse', 'lost', ' Disight ',' Try ',' Kayak ',' Axis', 'System', 'Lock', 'Credit', 'Kayak', 'Provider', 'KapitasLis',' Try ',' Chat ',' Veronika ' , 're"&amp;"ally', 'response', 'workers',' Telkomsel ',' serve ',' millions', 'user', 'TPI', 'system', 'harm', 'responsible', 'loss',' pulse', '']")</f>
        <v>['provider', 'worn', 'buy', 'package', 'quota', 'kora', 'succeed', 'failed', 'failed', 'as a result', 'pulse', 'lost', ' Disight ',' Try ',' Kayak ',' Axis', 'System', 'Lock', 'Credit', 'Kayak', 'Provider', 'KapitasLis',' Try ',' Chat ',' Veronika ' , 'really', 'response', 'workers',' Telkomsel ',' serve ',' millions', 'user', 'TPI', 'system', 'harm', 'responsible', 'loss',' pulse', '']</v>
      </c>
      <c r="D1693" s="3">
        <v>1.0</v>
      </c>
    </row>
    <row r="1694" ht="15.75" customHeight="1">
      <c r="A1694" s="1">
        <v>1803.0</v>
      </c>
      <c r="B1694" s="3" t="s">
        <v>137</v>
      </c>
      <c r="C1694" s="3" t="str">
        <f>IFERROR(__xludf.DUMMYFUNCTION("GOOGLETRANSLATE(B1694,""id"",""en"")"),"Of course")</f>
        <v>Of course</v>
      </c>
      <c r="D1694" s="3">
        <v>4.0</v>
      </c>
    </row>
    <row r="1695" ht="15.75" customHeight="1">
      <c r="A1695" s="1">
        <v>1804.0</v>
      </c>
      <c r="B1695" s="3" t="s">
        <v>1634</v>
      </c>
      <c r="C1695" s="3" t="str">
        <f>IFERROR(__xludf.DUMMYFUNCTION("GOOGLETRANSLATE(B1695,""id"",""en"")"),"['expensive', 'slow', 'area']")</f>
        <v>['expensive', 'slow', 'area']</v>
      </c>
      <c r="D1695" s="3">
        <v>1.0</v>
      </c>
    </row>
    <row r="1696" ht="15.75" customHeight="1">
      <c r="A1696" s="1">
        <v>1805.0</v>
      </c>
      <c r="B1696" s="3" t="s">
        <v>1635</v>
      </c>
      <c r="C1696" s="3" t="str">
        <f>IFERROR(__xludf.DUMMYFUNCTION("GOOGLETRANSLATE(B1696,""id"",""en"")"),"['Easy', 'gift']")</f>
        <v>['Easy', 'gift']</v>
      </c>
      <c r="D1696" s="3">
        <v>5.0</v>
      </c>
    </row>
    <row r="1697" ht="15.75" customHeight="1">
      <c r="A1697" s="1">
        <v>1806.0</v>
      </c>
      <c r="B1697" s="3" t="s">
        <v>1636</v>
      </c>
      <c r="C1697" s="3" t="str">
        <f>IFERROR(__xludf.DUMMYFUNCTION("GOOGLETRANSLATE(B1697,""id"",""en"")"),"['Sexali']")</f>
        <v>['Sexali']</v>
      </c>
      <c r="D1697" s="3">
        <v>2.0</v>
      </c>
    </row>
    <row r="1698" ht="15.75" customHeight="1">
      <c r="A1698" s="1">
        <v>1808.0</v>
      </c>
      <c r="B1698" s="3" t="s">
        <v>1637</v>
      </c>
      <c r="C1698" s="3" t="str">
        <f>IFERROR(__xludf.DUMMYFUNCTION("GOOGLETRANSLATE(B1698,""id"",""en"")"),"['Failed', 'installed', 'Android', '']")</f>
        <v>['Failed', 'installed', 'Android', '']</v>
      </c>
      <c r="D1698" s="3">
        <v>1.0</v>
      </c>
    </row>
    <row r="1699" ht="15.75" customHeight="1">
      <c r="A1699" s="1">
        <v>1809.0</v>
      </c>
      <c r="B1699" s="3" t="s">
        <v>1638</v>
      </c>
      <c r="C1699" s="3" t="str">
        <f>IFERROR(__xludf.DUMMYFUNCTION("GOOGLETRANSLATE(B1699,""id"",""en"")"),"['APK', 'crash', 'respond']")</f>
        <v>['APK', 'crash', 'respond']</v>
      </c>
      <c r="D1699" s="3">
        <v>3.0</v>
      </c>
    </row>
    <row r="1700" ht="15.75" customHeight="1">
      <c r="A1700" s="1">
        <v>1810.0</v>
      </c>
      <c r="B1700" s="3" t="s">
        <v>1639</v>
      </c>
      <c r="C1700" s="3" t="str">
        <f>IFERROR(__xludf.DUMMYFUNCTION("GOOGLETRANSLATE(B1700,""id"",""en"")"),"['account', 'device', 'included', 'process', 'receipt', 'gift', 'Telkomsel', 'Please', 'instructions', 'Say', 'thank you', ""]")</f>
        <v>['account', 'device', 'included', 'process', 'receipt', 'gift', 'Telkomsel', 'Please', 'instructions', 'Say', 'thank you', "]</v>
      </c>
      <c r="D1700" s="3">
        <v>5.0</v>
      </c>
    </row>
    <row r="1701" ht="15.75" customHeight="1">
      <c r="A1701" s="1">
        <v>1811.0</v>
      </c>
      <c r="B1701" s="3" t="s">
        <v>1640</v>
      </c>
      <c r="C1701" s="3" t="str">
        <f>IFERROR(__xludf.DUMMYFUNCTION("GOOGLETRANSLATE(B1701,""id"",""en"")"),"['Blom', 'PRNH', 'Rasain', 'Exchange', 'Points', 'SLMA', 'THN']")</f>
        <v>['Blom', 'PRNH', 'Rasain', 'Exchange', 'Points', 'SLMA', 'THN']</v>
      </c>
      <c r="D1701" s="3">
        <v>3.0</v>
      </c>
    </row>
    <row r="1702" ht="15.75" customHeight="1">
      <c r="A1702" s="1">
        <v>1812.0</v>
      </c>
      <c r="B1702" s="3" t="s">
        <v>1641</v>
      </c>
      <c r="C1702" s="3" t="str">
        <f>IFERROR(__xludf.DUMMYFUNCTION("GOOGLETRANSLATE(B1702,""id"",""en"")"),"['Price', 'package', 'internet', 'expensive', '']")</f>
        <v>['Price', 'package', 'internet', 'expensive', '']</v>
      </c>
      <c r="D1702" s="3">
        <v>1.0</v>
      </c>
    </row>
    <row r="1703" ht="15.75" customHeight="1">
      <c r="A1703" s="1">
        <v>1813.0</v>
      </c>
      <c r="B1703" s="3" t="s">
        <v>1642</v>
      </c>
      <c r="C1703" s="3" t="str">
        <f>IFERROR(__xludf.DUMMYFUNCTION("GOOGLETRANSLATE(B1703,""id"",""en"")"),"['Please', 'price', 'quota', 'cheap', 'difficult', 'search', 'money', 'gegara', 'covid', 'please', 'cheap', 'quota', ' Telkomsel ',' Package ',' Cheerful ',' GB ',' RB ',' JUST ',' PERANEN ',' Need ',' Quotes', 'Promo', 'Bener', 'Promo', 'Out' , 'Date', '"&amp;"that way', 'already', 'run out', 'first', 'date', 'that way', 'disappointed', 'really']")</f>
        <v>['Please', 'price', 'quota', 'cheap', 'difficult', 'search', 'money', 'gegara', 'covid', 'please', 'cheap', 'quota', ' Telkomsel ',' Package ',' Cheerful ',' GB ',' RB ',' JUST ',' PERANEN ',' Need ',' Quotes', 'Promo', 'Bener', 'Promo', 'Out' , 'Date', 'that way', 'already', 'run out', 'first', 'date', 'that way', 'disappointed', 'really']</v>
      </c>
      <c r="D1703" s="3">
        <v>2.0</v>
      </c>
    </row>
    <row r="1704" ht="15.75" customHeight="1">
      <c r="A1704" s="1">
        <v>1814.0</v>
      </c>
      <c r="B1704" s="3" t="s">
        <v>1643</v>
      </c>
      <c r="C1704" s="3" t="str">
        <f>IFERROR(__xludf.DUMMYFUNCTION("GOOGLETRANSLATE(B1704,""id"",""en"")"),"['It's easy', 'process', 'purchase', 'internet']")</f>
        <v>['It's easy', 'process', 'purchase', 'internet']</v>
      </c>
      <c r="D1704" s="3">
        <v>5.0</v>
      </c>
    </row>
    <row r="1705" ht="15.75" customHeight="1">
      <c r="A1705" s="1">
        <v>1815.0</v>
      </c>
      <c r="B1705" s="3" t="s">
        <v>1644</v>
      </c>
      <c r="C1705" s="3" t="str">
        <f>IFERROR(__xludf.DUMMYFUNCTION("GOOGLETRANSLATE(B1705,""id"",""en"")"),"['multiply', 'promo', 'bonus']")</f>
        <v>['multiply', 'promo', 'bonus']</v>
      </c>
      <c r="D1705" s="3">
        <v>5.0</v>
      </c>
    </row>
    <row r="1706" ht="15.75" customHeight="1">
      <c r="A1706" s="1">
        <v>1817.0</v>
      </c>
      <c r="B1706" s="3" t="s">
        <v>1645</v>
      </c>
      <c r="C1706" s="3" t="str">
        <f>IFERROR(__xludf.DUMMYFUNCTION("GOOGLETRANSLATE(B1706,""id"",""en"")"),"['Come', 'ugly', 'signal', 'quota', 'mahalin', 'signal', 'ugly', 'change', 'cave', 'sim', 'card', 'unclean', ' Comfortable ',' Main ',' Game ',' Cave ',' Buy ',' Quota ',' Telkomsel ',' ']")</f>
        <v>['Come', 'ugly', 'signal', 'quota', 'mahalin', 'signal', 'ugly', 'change', 'cave', 'sim', 'card', 'unclean', ' Comfortable ',' Main ',' Game ',' Cave ',' Buy ',' Quota ',' Telkomsel ',' ']</v>
      </c>
      <c r="D1706" s="3">
        <v>1.0</v>
      </c>
    </row>
    <row r="1707" ht="15.75" customHeight="1">
      <c r="A1707" s="1">
        <v>1818.0</v>
      </c>
      <c r="B1707" s="3" t="s">
        <v>1646</v>
      </c>
      <c r="C1707" s="3" t="str">
        <f>IFERROR(__xludf.DUMMYFUNCTION("GOOGLETRANSLATE(B1707,""id"",""en"")"),"['number', 'troubling', 'users', 'Telkomsel', 'fraud', 'mode', 'gift', 'mhn', 'report', 'action', 'lnjuti']")</f>
        <v>['number', 'troubling', 'users', 'Telkomsel', 'fraud', 'mode', 'gift', 'mhn', 'report', 'action', 'lnjuti']</v>
      </c>
      <c r="D1707" s="3">
        <v>4.0</v>
      </c>
    </row>
    <row r="1708" ht="15.75" customHeight="1">
      <c r="A1708" s="1">
        <v>1819.0</v>
      </c>
      <c r="B1708" s="3" t="s">
        <v>1647</v>
      </c>
      <c r="C1708" s="3" t="str">
        <f>IFERROR(__xludf.DUMMYFUNCTION("GOOGLETRANSLATE(B1708,""id"",""en"")"),"['Donk', 'Tipu', 'Cook', 'theme', 'Application', 'Kayak', 'Whai', 'Gunakan', 'Halal', 'business']")</f>
        <v>['Donk', 'Tipu', 'Cook', 'theme', 'Application', 'Kayak', 'Whai', 'Gunakan', 'Halal', 'business']</v>
      </c>
      <c r="D1708" s="3">
        <v>1.0</v>
      </c>
    </row>
    <row r="1709" ht="15.75" customHeight="1">
      <c r="A1709" s="1">
        <v>1820.0</v>
      </c>
      <c r="B1709" s="3" t="s">
        <v>1648</v>
      </c>
      <c r="C1709" s="3" t="str">
        <f>IFERROR(__xludf.DUMMYFUNCTION("GOOGLETRANSLATE(B1709,""id"",""en"")"),"['Telkomsel', 'information', 'fast', 'accurate', '']")</f>
        <v>['Telkomsel', 'information', 'fast', 'accurate', '']</v>
      </c>
      <c r="D1709" s="3">
        <v>5.0</v>
      </c>
    </row>
    <row r="1710" ht="15.75" customHeight="1">
      <c r="A1710" s="1">
        <v>1821.0</v>
      </c>
      <c r="B1710" s="3" t="s">
        <v>1649</v>
      </c>
      <c r="C1710" s="3" t="str">
        <f>IFERROR(__xludf.DUMMYFUNCTION("GOOGLETRANSLATE(B1710,""id"",""en"")"),"['access', 'wherever', 'smooth']")</f>
        <v>['access', 'wherever', 'smooth']</v>
      </c>
      <c r="D1710" s="3">
        <v>5.0</v>
      </c>
    </row>
    <row r="1711" ht="15.75" customHeight="1">
      <c r="A1711" s="1">
        <v>1822.0</v>
      </c>
      <c r="B1711" s="3" t="s">
        <v>1650</v>
      </c>
      <c r="C1711" s="3" t="str">
        <f>IFERROR(__xludf.DUMMYFUNCTION("GOOGLETRANSLATE(B1711,""id"",""en"")"),"['process', 'fast', 'second', 'really', 'service', 'hopefully', 'cooperates', 'serve', 'customer', 'merahanan', 'quality', 'ahead' Telkomsel ',' Jaya ']")</f>
        <v>['process', 'fast', 'second', 'really', 'service', 'hopefully', 'cooperates', 'serve', 'customer', 'merahanan', 'quality', 'ahead' Telkomsel ',' Jaya ']</v>
      </c>
      <c r="D1711" s="3">
        <v>5.0</v>
      </c>
    </row>
    <row r="1712" ht="15.75" customHeight="1">
      <c r="A1712" s="1">
        <v>1823.0</v>
      </c>
      <c r="B1712" s="3" t="s">
        <v>1651</v>
      </c>
      <c r="C1712" s="3" t="str">
        <f>IFERROR(__xludf.DUMMYFUNCTION("GOOGLETRANSLATE(B1712,""id"",""en"")"),"['Telkomsel', 'Slalu', 'heart']")</f>
        <v>['Telkomsel', 'Slalu', 'heart']</v>
      </c>
      <c r="D1712" s="3">
        <v>5.0</v>
      </c>
    </row>
    <row r="1713" ht="15.75" customHeight="1">
      <c r="A1713" s="1">
        <v>1824.0</v>
      </c>
      <c r="B1713" s="3" t="s">
        <v>1652</v>
      </c>
      <c r="C1713" s="3" t="str">
        <f>IFERROR(__xludf.DUMMYFUNCTION("GOOGLETRANSLATE(B1713,""id"",""en"")"),"['Update', 'just']")</f>
        <v>['Update', 'just']</v>
      </c>
      <c r="D1713" s="3">
        <v>1.0</v>
      </c>
    </row>
    <row r="1714" ht="15.75" customHeight="1">
      <c r="A1714" s="1">
        <v>1825.0</v>
      </c>
      <c r="B1714" s="3" t="s">
        <v>1653</v>
      </c>
      <c r="C1714" s="3" t="str">
        <f>IFERROR(__xludf.DUMMYFUNCTION("GOOGLETRANSLATE(B1714,""id"",""en"")"),"['virtue', 'help']")</f>
        <v>['virtue', 'help']</v>
      </c>
      <c r="D1714" s="3">
        <v>5.0</v>
      </c>
    </row>
    <row r="1715" ht="15.75" customHeight="1">
      <c r="A1715" s="1">
        <v>1826.0</v>
      </c>
      <c r="B1715" s="3" t="s">
        <v>1654</v>
      </c>
      <c r="C1715" s="3" t="str">
        <f>IFERROR(__xludf.DUMMYFUNCTION("GOOGLETRANSLATE(B1715,""id"",""en"")"),"['testing', '']")</f>
        <v>['testing', '']</v>
      </c>
      <c r="D1715" s="3">
        <v>3.0</v>
      </c>
    </row>
    <row r="1716" ht="15.75" customHeight="1">
      <c r="A1716" s="1">
        <v>1827.0</v>
      </c>
      <c r="B1716" s="3" t="s">
        <v>1655</v>
      </c>
      <c r="C1716" s="3" t="str">
        <f>IFERROR(__xludf.DUMMYFUNCTION("GOOGLETRANSLATE(B1716,""id"",""en"")"),"['Speed', 'Internet', 'Leet']")</f>
        <v>['Speed', 'Internet', 'Leet']</v>
      </c>
      <c r="D1716" s="3">
        <v>2.0</v>
      </c>
    </row>
    <row r="1717" ht="15.75" customHeight="1">
      <c r="A1717" s="1">
        <v>1828.0</v>
      </c>
      <c r="B1717" s="3" t="s">
        <v>1656</v>
      </c>
      <c r="C1717" s="3" t="str">
        <f>IFERROR(__xludf.DUMMYFUNCTION("GOOGLETRANSLATE(B1717,""id"",""en"")"),"['Trimakasi', 'Telkomsel', 'Sepatas', 'Star']")</f>
        <v>['Trimakasi', 'Telkomsel', 'Sepatas', 'Star']</v>
      </c>
      <c r="D1717" s="3">
        <v>5.0</v>
      </c>
    </row>
    <row r="1718" ht="15.75" customHeight="1">
      <c r="A1718" s="1">
        <v>1829.0</v>
      </c>
      <c r="B1718" s="3" t="s">
        <v>1657</v>
      </c>
      <c r="C1718" s="3" t="str">
        <f>IFERROR(__xludf.DUMMYFUNCTION("GOOGLETRANSLATE(B1718,""id"",""en"")"),"['Telkomsel', 'Taik', 'price', 'package', 'internet', 'expensive', 'quality', 'network', 'cheap', 'worse', 'Midnight', 'Midnight', ' Open ',' Internet ',' Midnight ',' Midnight ',' Package ',' Internet ',' Cutting ',' Package ',' Multimedia ',' Disappoint"&amp;"ed ',' Heavy ']")</f>
        <v>['Telkomsel', 'Taik', 'price', 'package', 'internet', 'expensive', 'quality', 'network', 'cheap', 'worse', 'Midnight', 'Midnight', ' Open ',' Internet ',' Midnight ',' Midnight ',' Package ',' Internet ',' Cutting ',' Package ',' Multimedia ',' Disappointed ',' Heavy ']</v>
      </c>
      <c r="D1718" s="3">
        <v>1.0</v>
      </c>
    </row>
    <row r="1719" ht="15.75" customHeight="1">
      <c r="A1719" s="1">
        <v>1830.0</v>
      </c>
      <c r="B1719" s="3" t="s">
        <v>1658</v>
      </c>
      <c r="C1719" s="3" t="str">
        <f>IFERROR(__xludf.DUMMYFUNCTION("GOOGLETRANSLATE(B1719,""id"",""en"")"),"['Good', 'help', ""]")</f>
        <v>['Good', 'help', "]</v>
      </c>
      <c r="D1719" s="3">
        <v>5.0</v>
      </c>
    </row>
    <row r="1720" ht="15.75" customHeight="1">
      <c r="A1720" s="1">
        <v>1831.0</v>
      </c>
      <c r="B1720" s="3" t="s">
        <v>1659</v>
      </c>
      <c r="C1720" s="3" t="str">
        <f>IFERROR(__xludf.DUMMYFUNCTION("GOOGLETRANSLATE(B1720,""id"",""en"")"),"['', 'good']")</f>
        <v>['', 'good']</v>
      </c>
      <c r="D1720" s="3">
        <v>5.0</v>
      </c>
    </row>
    <row r="1721" ht="15.75" customHeight="1">
      <c r="A1721" s="1">
        <v>1832.0</v>
      </c>
      <c r="B1721" s="3" t="s">
        <v>1660</v>
      </c>
      <c r="C1721" s="3" t="str">
        <f>IFERROR(__xludf.DUMMYFUNCTION("GOOGLETRANSLATE(B1721,""id"",""en"")"),"['Good', 'contents', 'informative', 'easy', 'used']")</f>
        <v>['Good', 'contents', 'informative', 'easy', 'used']</v>
      </c>
      <c r="D1721" s="3">
        <v>5.0</v>
      </c>
    </row>
    <row r="1722" ht="15.75" customHeight="1">
      <c r="A1722" s="1">
        <v>1833.0</v>
      </c>
      <c r="B1722" s="3" t="s">
        <v>1661</v>
      </c>
      <c r="C1722" s="3" t="str">
        <f>IFERROR(__xludf.DUMMYFUNCTION("GOOGLETRANSLATE(B1722,""id"",""en"")"),"['Application', 'Helping', 'Communication', 'User', 'Telkomsel']")</f>
        <v>['Application', 'Helping', 'Communication', 'User', 'Telkomsel']</v>
      </c>
      <c r="D1722" s="3">
        <v>5.0</v>
      </c>
    </row>
    <row r="1723" ht="15.75" customHeight="1">
      <c r="A1723" s="1">
        <v>1834.0</v>
      </c>
      <c r="B1723" s="3" t="s">
        <v>1662</v>
      </c>
      <c r="C1723" s="3" t="str">
        <f>IFERROR(__xludf.DUMMYFUNCTION("GOOGLETRANSLATE(B1723,""id"",""en"")"),"['Credit', 'Cave', 'UDH', 'Sumpot', 'TRS', 'Doly Hula', 'Difficult', 'Cave', 'Udh', 'Send', 'Message', 'Email', ' Want ',' apasi ', ""]")</f>
        <v>['Credit', 'Cave', 'UDH', 'Sumpot', 'TRS', 'Doly Hula', 'Difficult', 'Cave', 'Udh', 'Send', 'Message', 'Email', ' Want ',' apasi ', "]</v>
      </c>
      <c r="D1723" s="3">
        <v>2.0</v>
      </c>
    </row>
    <row r="1724" ht="15.75" customHeight="1">
      <c r="A1724" s="1">
        <v>1835.0</v>
      </c>
      <c r="B1724" s="3" t="s">
        <v>1663</v>
      </c>
      <c r="C1724" s="3" t="str">
        <f>IFERROR(__xludf.DUMMYFUNCTION("GOOGLETRANSLATE(B1724,""id"",""en"")"),"['', 'use', 'yaa', 'boas']")</f>
        <v>['', 'use', 'yaa', 'boas']</v>
      </c>
      <c r="D1724" s="3">
        <v>4.0</v>
      </c>
    </row>
    <row r="1725" ht="15.75" customHeight="1">
      <c r="A1725" s="1">
        <v>1836.0</v>
      </c>
      <c r="B1725" s="3" t="s">
        <v>1664</v>
      </c>
      <c r="C1725" s="3" t="str">
        <f>IFERROR(__xludf.DUMMYFUNCTION("GOOGLETRANSLATE(B1725,""id"",""en"")"),"['Network', 'stable']")</f>
        <v>['Network', 'stable']</v>
      </c>
      <c r="D1725" s="3">
        <v>3.0</v>
      </c>
    </row>
    <row r="1726" ht="15.75" customHeight="1">
      <c r="A1726" s="1">
        <v>1837.0</v>
      </c>
      <c r="B1726" s="3" t="s">
        <v>1665</v>
      </c>
      <c r="C1726" s="3" t="str">
        <f>IFERROR(__xludf.DUMMYFUNCTION("GOOGLETRANSLATE(B1726,""id"",""en"")"),"['disappointing', 'pay', 'signal', 'ugly', 'promo', '']")</f>
        <v>['disappointing', 'pay', 'signal', 'ugly', 'promo', '']</v>
      </c>
      <c r="D1726" s="3">
        <v>2.0</v>
      </c>
    </row>
    <row r="1727" ht="15.75" customHeight="1">
      <c r="A1727" s="1">
        <v>1838.0</v>
      </c>
      <c r="B1727" s="3" t="s">
        <v>1666</v>
      </c>
      <c r="C1727" s="3" t="str">
        <f>IFERROR(__xludf.DUMMYFUNCTION("GOOGLETRANSLATE(B1727,""id"",""en"")"),"['Cheap', 'cheap', 'fast', 'affordable']")</f>
        <v>['Cheap', 'cheap', 'fast', 'affordable']</v>
      </c>
      <c r="D1727" s="3">
        <v>5.0</v>
      </c>
    </row>
    <row r="1728" ht="15.75" customHeight="1">
      <c r="A1728" s="1">
        <v>1839.0</v>
      </c>
      <c r="B1728" s="3" t="s">
        <v>1667</v>
      </c>
      <c r="C1728" s="3" t="str">
        <f>IFERROR(__xludf.DUMMYFUNCTION("GOOGLETRANSLATE(B1728,""id"",""en"")"),"['Application', 'Disorders', 'Min', 'Buy', 'Package']")</f>
        <v>['Application', 'Disorders', 'Min', 'Buy', 'Package']</v>
      </c>
      <c r="D1728" s="3">
        <v>3.0</v>
      </c>
    </row>
    <row r="1729" ht="15.75" customHeight="1">
      <c r="A1729" s="1">
        <v>1841.0</v>
      </c>
      <c r="B1729" s="3" t="s">
        <v>1668</v>
      </c>
      <c r="C1729" s="3" t="str">
        <f>IFERROR(__xludf.DUMMYFUNCTION("GOOGLETRANSLATE(B1729,""id"",""en"")"),"['core', 'like']")</f>
        <v>['core', 'like']</v>
      </c>
      <c r="D1729" s="3">
        <v>5.0</v>
      </c>
    </row>
    <row r="1730" ht="15.75" customHeight="1">
      <c r="A1730" s="1">
        <v>1842.0</v>
      </c>
      <c r="B1730" s="3" t="s">
        <v>1669</v>
      </c>
      <c r="C1730" s="3" t="str">
        <f>IFERROR(__xludf.DUMMYFUNCTION("GOOGLETRANSLATE(B1730,""id"",""en"")"),"['Settings', 'Notification', 'Accurate', '']")</f>
        <v>['Settings', 'Notification', 'Accurate', '']</v>
      </c>
      <c r="D1730" s="3">
        <v>1.0</v>
      </c>
    </row>
    <row r="1731" ht="15.75" customHeight="1">
      <c r="A1731" s="1">
        <v>1843.0</v>
      </c>
      <c r="B1731" s="3" t="s">
        <v>1670</v>
      </c>
      <c r="C1731" s="3" t="str">
        <f>IFERROR(__xludf.DUMMYFUNCTION("GOOGLETRANSLATE(B1731,""id"",""en"")"),"['Network', 'good', 'wallaipin', 'bring', 'remote', 'village', '']")</f>
        <v>['Network', 'good', 'wallaipin', 'bring', 'remote', 'village', '']</v>
      </c>
      <c r="D1731" s="3">
        <v>5.0</v>
      </c>
    </row>
    <row r="1732" ht="15.75" customHeight="1">
      <c r="A1732" s="1">
        <v>1845.0</v>
      </c>
      <c r="B1732" s="3" t="s">
        <v>1671</v>
      </c>
      <c r="C1732" s="3" t="str">
        <f>IFERROR(__xludf.DUMMYFUNCTION("GOOGLETRANSLATE(B1732,""id"",""en"")"),"['signal', 'repaired']")</f>
        <v>['signal', 'repaired']</v>
      </c>
      <c r="D1732" s="3">
        <v>5.0</v>
      </c>
    </row>
    <row r="1733" ht="15.75" customHeight="1">
      <c r="A1733" s="1">
        <v>1846.0</v>
      </c>
      <c r="B1733" s="3" t="s">
        <v>1672</v>
      </c>
      <c r="C1733" s="3" t="str">
        <f>IFERROR(__xludf.DUMMYFUNCTION("GOOGLETRANSLATE(B1733,""id"",""en"")"),"['suitable']")</f>
        <v>['suitable']</v>
      </c>
      <c r="D1733" s="3">
        <v>5.0</v>
      </c>
    </row>
    <row r="1734" ht="15.75" customHeight="1">
      <c r="A1734" s="1">
        <v>1848.0</v>
      </c>
      <c r="B1734" s="3" t="s">
        <v>1673</v>
      </c>
      <c r="C1734" s="3" t="str">
        <f>IFERROR(__xludf.DUMMYFUNCTION("GOOGLETRANSLATE(B1734,""id"",""en"")"),"['already', 'slow', 'price', 'quota', 'expensive', 'severe', 'Telkomsel', 'preeetttttt', '']")</f>
        <v>['already', 'slow', 'price', 'quota', 'expensive', 'severe', 'Telkomsel', 'preeetttttt', '']</v>
      </c>
      <c r="D1734" s="3">
        <v>1.0</v>
      </c>
    </row>
    <row r="1735" ht="15.75" customHeight="1">
      <c r="A1735" s="1">
        <v>1849.0</v>
      </c>
      <c r="B1735" s="3" t="s">
        <v>1674</v>
      </c>
      <c r="C1735" s="3" t="str">
        <f>IFERROR(__xludf.DUMMYFUNCTION("GOOGLETRANSLATE(B1735,""id"",""en"")"),"['open', 'info', 'package', 'promo', 'short']")</f>
        <v>['open', 'info', 'package', 'promo', 'short']</v>
      </c>
      <c r="D1735" s="3">
        <v>3.0</v>
      </c>
    </row>
    <row r="1736" ht="15.75" customHeight="1">
      <c r="A1736" s="1">
        <v>1850.0</v>
      </c>
      <c r="B1736" s="3" t="s">
        <v>1675</v>
      </c>
      <c r="C1736" s="3" t="str">
        <f>IFERROR(__xludf.DUMMYFUNCTION("GOOGLETRANSLATE(B1736,""id"",""en"")"),"['easy', 'buy', 'quota', 'get', 'gift']")</f>
        <v>['easy', 'buy', 'quota', 'get', 'gift']</v>
      </c>
      <c r="D1736" s="3">
        <v>4.0</v>
      </c>
    </row>
    <row r="1737" ht="15.75" customHeight="1">
      <c r="A1737" s="1">
        <v>1852.0</v>
      </c>
      <c r="B1737" s="3" t="s">
        <v>1676</v>
      </c>
      <c r="C1737" s="3" t="str">
        <f>IFERROR(__xludf.DUMMYFUNCTION("GOOGLETRANSLATE(B1737,""id"",""en"")"),"['buy', 'pulse', 'cheap', '']")</f>
        <v>['buy', 'pulse', 'cheap', '']</v>
      </c>
      <c r="D1737" s="3">
        <v>5.0</v>
      </c>
    </row>
    <row r="1738" ht="15.75" customHeight="1">
      <c r="A1738" s="1">
        <v>1853.0</v>
      </c>
      <c r="B1738" s="3" t="s">
        <v>1677</v>
      </c>
      <c r="C1738" s="3" t="str">
        <f>IFERROR(__xludf.DUMMYFUNCTION("GOOGLETRANSLATE(B1738,""id"",""en"")"),"['network', 'weak', 'village', 'city', 'hamlet', 'kec', 'dolok', 'still', 'kab', 'serdang', 'bedagai', 'terrain', ' North Sumatra ']")</f>
        <v>['network', 'weak', 'village', 'city', 'hamlet', 'kec', 'dolok', 'still', 'kab', 'serdang', 'bedagai', 'terrain', ' North Sumatra ']</v>
      </c>
      <c r="D1738" s="3">
        <v>5.0</v>
      </c>
    </row>
    <row r="1739" ht="15.75" customHeight="1">
      <c r="A1739" s="1">
        <v>1854.0</v>
      </c>
      <c r="B1739" s="3" t="s">
        <v>1678</v>
      </c>
      <c r="C1739" s="3" t="str">
        <f>IFERROR(__xludf.DUMMYFUNCTION("GOOGLETRANSLATE(B1739,""id"",""en"")"),"['Combo', 'Sakti', '']")</f>
        <v>['Combo', 'Sakti', '']</v>
      </c>
      <c r="D1739" s="3">
        <v>3.0</v>
      </c>
    </row>
    <row r="1740" ht="15.75" customHeight="1">
      <c r="A1740" s="1">
        <v>1855.0</v>
      </c>
      <c r="B1740" s="3" t="s">
        <v>156</v>
      </c>
      <c r="C1740" s="3" t="str">
        <f>IFERROR(__xludf.DUMMYFUNCTION("GOOGLETRANSLATE(B1740,""id"",""en"")"),"['steady']")</f>
        <v>['steady']</v>
      </c>
      <c r="D1740" s="3">
        <v>4.0</v>
      </c>
    </row>
    <row r="1741" ht="15.75" customHeight="1">
      <c r="A1741" s="1">
        <v>1856.0</v>
      </c>
      <c r="B1741" s="3" t="s">
        <v>1679</v>
      </c>
      <c r="C1741" s="3" t="str">
        <f>IFERROR(__xludf.DUMMYFUNCTION("GOOGLETRANSLATE(B1741,""id"",""en"")"),"['here', 'Telkomsel', 'signal', 'ugly', 'slow', 'expensive', 'Hargga', 'package', 'internet', 'provider', 'Mahalll', 'unfortunately', ' balanced ',' signal ',' strong ',' little ',' getting ',' credit ',' check ',' point ',' hit ',' pulse ',' use ',' Telk"&amp;"omsel ',' program ' , 'promo', 'customer', 'expensive', '']")</f>
        <v>['here', 'Telkomsel', 'signal', 'ugly', 'slow', 'expensive', 'Hargga', 'package', 'internet', 'provider', 'Mahalll', 'unfortunately', ' balanced ',' signal ',' strong ',' little ',' getting ',' credit ',' check ',' point ',' hit ',' pulse ',' use ',' Telkomsel ',' program ' , 'promo', 'customer', 'expensive', '']</v>
      </c>
      <c r="D1741" s="3">
        <v>1.0</v>
      </c>
    </row>
    <row r="1742" ht="15.75" customHeight="1">
      <c r="A1742" s="1">
        <v>1857.0</v>
      </c>
      <c r="B1742" s="3" t="s">
        <v>1680</v>
      </c>
      <c r="C1742" s="3" t="str">
        <f>IFERROR(__xludf.DUMMYFUNCTION("GOOGLETRANSLATE(B1742,""id"",""en"")"),"['multiply', 'free']")</f>
        <v>['multiply', 'free']</v>
      </c>
      <c r="D1742" s="3">
        <v>5.0</v>
      </c>
    </row>
    <row r="1743" ht="15.75" customHeight="1">
      <c r="A1743" s="1">
        <v>1858.0</v>
      </c>
      <c r="B1743" s="3" t="s">
        <v>1681</v>
      </c>
      <c r="C1743" s="3" t="str">
        <f>IFERROR(__xludf.DUMMYFUNCTION("GOOGLETRANSLATE(B1743,""id"",""en"")"),"['Signal', 'really', 'Where']")</f>
        <v>['Signal', 'really', 'Where']</v>
      </c>
      <c r="D1743" s="3">
        <v>5.0</v>
      </c>
    </row>
    <row r="1744" ht="15.75" customHeight="1">
      <c r="A1744" s="1">
        <v>1859.0</v>
      </c>
      <c r="B1744" s="3" t="s">
        <v>1682</v>
      </c>
      <c r="C1744" s="3" t="str">
        <f>IFERROR(__xludf.DUMMYFUNCTION("GOOGLETRANSLATE(B1744,""id"",""en"")"),"['Signalnya', 'ATIII']")</f>
        <v>['Signalnya', 'ATIII']</v>
      </c>
      <c r="D1744" s="3">
        <v>5.0</v>
      </c>
    </row>
    <row r="1745" ht="15.75" customHeight="1">
      <c r="A1745" s="1">
        <v>1860.0</v>
      </c>
      <c r="B1745" s="3" t="s">
        <v>1683</v>
      </c>
      <c r="C1745" s="3" t="str">
        <f>IFERROR(__xludf.DUMMYFUNCTION("GOOGLETRANSLATE(B1745,""id"",""en"")"),"['Disappointed', 'really', 'Telkomsel', 'spread', 'marketing', 'card', 'Hello', 'spoil', 'card', 'Hello', 'good', 'profitable', ' tied ',' quota ',' monthly ',' remove ',' stop ',' delete ',' kartan ',' persulit ',' grapari ',' area ',' remote ',' graparn"&amp;"ya ',' card ' , 'Hello', 'damn', ""]")</f>
        <v>['Disappointed', 'really', 'Telkomsel', 'spread', 'marketing', 'card', 'Hello', 'spoil', 'card', 'Hello', 'good', 'profitable', ' tied ',' quota ',' monthly ',' remove ',' stop ',' delete ',' kartan ',' persulit ',' grapari ',' area ',' remote ',' graparnya ',' card ' , 'Hello', 'damn', "]</v>
      </c>
      <c r="D1745" s="3">
        <v>1.0</v>
      </c>
    </row>
    <row r="1746" ht="15.75" customHeight="1">
      <c r="A1746" s="1">
        <v>1861.0</v>
      </c>
      <c r="B1746" s="3" t="s">
        <v>1684</v>
      </c>
      <c r="C1746" s="3" t="str">
        <f>IFERROR(__xludf.DUMMYFUNCTION("GOOGLETRANSLATE(B1746,""id"",""en"")"),"['number', 'my sympathy', 'to', 'Sekaran', 'TTP', 'On']")</f>
        <v>['number', 'my sympathy', 'to', 'Sekaran', 'TTP', 'On']</v>
      </c>
      <c r="D1746" s="3">
        <v>5.0</v>
      </c>
    </row>
    <row r="1747" ht="15.75" customHeight="1">
      <c r="A1747" s="1">
        <v>1862.0</v>
      </c>
      <c r="B1747" s="3" t="s">
        <v>1685</v>
      </c>
      <c r="C1747" s="3" t="str">
        <f>IFERROR(__xludf.DUMMYFUNCTION("GOOGLETRANSLATE(B1747,""id"",""en"")"),"['Service', 'Information', 'MyTelkomsel', 'Helping', 'Customer', 'Applique', 'Heavy', 'Eating', 'Memory', ""]")</f>
        <v>['Service', 'Information', 'MyTelkomsel', 'Helping', 'Customer', 'Applique', 'Heavy', 'Eating', 'Memory', "]</v>
      </c>
      <c r="D1747" s="3">
        <v>4.0</v>
      </c>
    </row>
    <row r="1748" ht="15.75" customHeight="1">
      <c r="A1748" s="1">
        <v>1864.0</v>
      </c>
      <c r="B1748" s="3" t="s">
        <v>1686</v>
      </c>
      <c r="C1748" s="3" t="str">
        <f>IFERROR(__xludf.DUMMYFUNCTION("GOOGLETRANSLATE(B1748,""id"",""en"")"),"['Okay', 'steady', 'telkom']")</f>
        <v>['Okay', 'steady', 'telkom']</v>
      </c>
      <c r="D1748" s="3">
        <v>5.0</v>
      </c>
    </row>
    <row r="1749" ht="15.75" customHeight="1">
      <c r="A1749" s="1">
        <v>1865.0</v>
      </c>
      <c r="B1749" s="3" t="s">
        <v>1687</v>
      </c>
      <c r="C1749" s="3" t="str">
        <f>IFERROR(__xludf.DUMMYFUNCTION("GOOGLETRANSLATE(B1749,""id"",""en"")"),"['Like', 'Application', 'Telkomsel', 'Network', 'Tangang', 'Ternetetan', '']")</f>
        <v>['Like', 'Application', 'Telkomsel', 'Network', 'Tangang', 'Ternetetan', '']</v>
      </c>
      <c r="D1749" s="3">
        <v>5.0</v>
      </c>
    </row>
    <row r="1750" ht="15.75" customHeight="1">
      <c r="A1750" s="1">
        <v>1866.0</v>
      </c>
      <c r="B1750" s="3" t="s">
        <v>1688</v>
      </c>
      <c r="C1750" s="3" t="str">
        <f>IFERROR(__xludf.DUMMYFUNCTION("GOOGLETRANSLATE(B1750,""id"",""en"")"),"['staple', 'Ryesel', 'deh', 'downlot', 'application', 'telkomsel']")</f>
        <v>['staple', 'Ryesel', 'deh', 'downlot', 'application', 'telkomsel']</v>
      </c>
      <c r="D1750" s="3">
        <v>5.0</v>
      </c>
    </row>
    <row r="1751" ht="15.75" customHeight="1">
      <c r="A1751" s="1">
        <v>1867.0</v>
      </c>
      <c r="B1751" s="3" t="s">
        <v>1689</v>
      </c>
      <c r="C1751" s="3" t="str">
        <f>IFERROR(__xludf.DUMMYFUNCTION("GOOGLETRANSLATE(B1751,""id"",""en"")"),"['buy', 'card', 'already', 'contents',' pulse ',' package ',' expensive ',' Telkomsel ',' price ',' according to ',' bandwidth ',' slow ',' really ',' already ',' make ',' tetep ',' game ',' ping ',' red ',' regret ',' bought ',' move ',' card ',' ajja ']")</f>
        <v>['buy', 'card', 'already', 'contents',' pulse ',' package ',' expensive ',' Telkomsel ',' price ',' according to ',' bandwidth ',' slow ',' really ',' already ',' make ',' tetep ',' game ',' ping ',' red ',' regret ',' bought ',' move ',' card ',' ajja ']</v>
      </c>
      <c r="D1751" s="3">
        <v>1.0</v>
      </c>
    </row>
    <row r="1752" ht="15.75" customHeight="1">
      <c r="A1752" s="1">
        <v>1868.0</v>
      </c>
      <c r="B1752" s="3" t="s">
        <v>1690</v>
      </c>
      <c r="C1752" s="3" t="str">
        <f>IFERROR(__xludf.DUMMYFUNCTION("GOOGLETRANSLATE(B1752,""id"",""en"")"),"['Network', 'stable', 'game', '']")</f>
        <v>['Network', 'stable', 'game', '']</v>
      </c>
      <c r="D1752" s="3">
        <v>2.0</v>
      </c>
    </row>
    <row r="1753" ht="15.75" customHeight="1">
      <c r="A1753" s="1">
        <v>1869.0</v>
      </c>
      <c r="B1753" s="3" t="s">
        <v>1691</v>
      </c>
      <c r="C1753" s="3" t="str">
        <f>IFERROR(__xludf.DUMMYFUNCTION("GOOGLETRANSLATE(B1753,""id"",""en"")"),"['Price', 'Quota', 'Reduced', '']")</f>
        <v>['Price', 'Quota', 'Reduced', '']</v>
      </c>
      <c r="D1753" s="3">
        <v>1.0</v>
      </c>
    </row>
    <row r="1754" ht="15.75" customHeight="1">
      <c r="A1754" s="1">
        <v>1870.0</v>
      </c>
      <c r="B1754" s="3" t="s">
        <v>1692</v>
      </c>
      <c r="C1754" s="3" t="str">
        <f>IFERROR(__xludf.DUMMYFUNCTION("GOOGLETRANSLATE(B1754,""id"",""en"")"),"['Signal', 'Down', 'Weak', 'Use', 'Pixel', 'Android', 'Telkomsel', 'Update', 'Try', 'Check', 'Card', 'Hello', ' Ngebug ',' please ',' repaired ']")</f>
        <v>['Signal', 'Down', 'Weak', 'Use', 'Pixel', 'Android', 'Telkomsel', 'Update', 'Try', 'Check', 'Card', 'Hello', ' Ngebug ',' please ',' repaired ']</v>
      </c>
      <c r="D1754" s="3">
        <v>3.0</v>
      </c>
    </row>
    <row r="1755" ht="15.75" customHeight="1">
      <c r="A1755" s="1">
        <v>1871.0</v>
      </c>
      <c r="B1755" s="3" t="s">
        <v>1693</v>
      </c>
      <c r="C1755" s="3" t="str">
        <f>IFERROR(__xludf.DUMMYFUNCTION("GOOGLETRANSLATE(B1755,""id"",""en"")"),"['expensive', 'circles', 'medium', 'kebar', 'help', 'ish', '']")</f>
        <v>['expensive', 'circles', 'medium', 'kebar', 'help', 'ish', '']</v>
      </c>
      <c r="D1755" s="3">
        <v>4.0</v>
      </c>
    </row>
    <row r="1756" ht="15.75" customHeight="1">
      <c r="A1756" s="1">
        <v>1872.0</v>
      </c>
      <c r="B1756" s="3" t="s">
        <v>1694</v>
      </c>
      <c r="C1756" s="3" t="str">
        <f>IFERROR(__xludf.DUMMYFUNCTION("GOOGLETRANSLATE(B1756,""id"",""en"")"),"['Good', 'easy', 'understand']")</f>
        <v>['Good', 'easy', 'understand']</v>
      </c>
      <c r="D1756" s="3">
        <v>5.0</v>
      </c>
    </row>
    <row r="1757" ht="15.75" customHeight="1">
      <c r="A1757" s="1">
        <v>1873.0</v>
      </c>
      <c r="B1757" s="3" t="s">
        <v>1695</v>
      </c>
      <c r="C1757" s="3" t="str">
        <f>IFERROR(__xludf.DUMMYFUNCTION("GOOGLETRANSLATE(B1757,""id"",""en"")"),"['Lemot', 'Smooth']")</f>
        <v>['Lemot', 'Smooth']</v>
      </c>
      <c r="D1757" s="3">
        <v>2.0</v>
      </c>
    </row>
    <row r="1758" ht="15.75" customHeight="1">
      <c r="A1758" s="1">
        <v>1874.0</v>
      </c>
      <c r="B1758" s="3" t="s">
        <v>1696</v>
      </c>
      <c r="C1758" s="3" t="str">
        <f>IFERROR(__xludf.DUMMYFUNCTION("GOOGLETRANSLATE(B1758,""id"",""en"")"),"['Price', 'Package', 'Expensive', 'Package', 'Right', 'Mulu', 'Term', 'Use', 'Ngak', 'Package', 'Telkomsel', 'Tired', ' Use ',' Kouta ']")</f>
        <v>['Price', 'Package', 'Expensive', 'Package', 'Right', 'Mulu', 'Term', 'Use', 'Ngak', 'Package', 'Telkomsel', 'Tired', ' Use ',' Kouta ']</v>
      </c>
      <c r="D1758" s="3">
        <v>1.0</v>
      </c>
    </row>
    <row r="1759" ht="15.75" customHeight="1">
      <c r="A1759" s="1">
        <v>1875.0</v>
      </c>
      <c r="B1759" s="3" t="s">
        <v>1697</v>
      </c>
      <c r="C1759" s="3" t="str">
        <f>IFERROR(__xludf.DUMMYFUNCTION("GOOGLETRANSLATE(B1759,""id"",""en"")"),"['be thankful']")</f>
        <v>['be thankful']</v>
      </c>
      <c r="D1759" s="3">
        <v>5.0</v>
      </c>
    </row>
    <row r="1760" ht="15.75" customHeight="1">
      <c r="A1760" s="1">
        <v>1876.0</v>
      </c>
      <c r="B1760" s="3" t="s">
        <v>1698</v>
      </c>
      <c r="C1760" s="3" t="str">
        <f>IFERROR(__xludf.DUMMYFUNCTION("GOOGLETRANSLATE(B1760,""id"",""en"")"),"['Buy', 'Credit', 'Direct', 'Cut', 'Hopefully', 'Barokah', ""]")</f>
        <v>['Buy', 'Credit', 'Direct', 'Cut', 'Hopefully', 'Barokah', "]</v>
      </c>
      <c r="D1760" s="3">
        <v>1.0</v>
      </c>
    </row>
    <row r="1761" ht="15.75" customHeight="1">
      <c r="A1761" s="1">
        <v>1877.0</v>
      </c>
      <c r="B1761" s="3" t="s">
        <v>1699</v>
      </c>
      <c r="C1761" s="3" t="str">
        <f>IFERROR(__xludf.DUMMYFUNCTION("GOOGLETRANSLATE(B1761,""id"",""en"")"),"['Open', 'application', 'Telkomsel', 'appears',' logo ',' already ',' awaited ',' display ',' logo ',' cave ',' network ',' already ',' ama ',' data ',' cellular ',' application ',' no ',' second ',' already ',' appears', 'display', 'home']")</f>
        <v>['Open', 'application', 'Telkomsel', 'appears',' logo ',' already ',' awaited ',' display ',' logo ',' cave ',' network ',' already ',' ama ',' data ',' cellular ',' application ',' no ',' second ',' already ',' appears', 'display', 'home']</v>
      </c>
      <c r="D1761" s="3">
        <v>1.0</v>
      </c>
    </row>
    <row r="1762" ht="15.75" customHeight="1">
      <c r="A1762" s="1">
        <v>1878.0</v>
      </c>
      <c r="B1762" s="3" t="s">
        <v>1700</v>
      </c>
      <c r="C1762" s="3" t="str">
        <f>IFERROR(__xludf.DUMMYFUNCTION("GOOGLETRANSLATE(B1762,""id"",""en"")"),"['Exchange', 'Points', 'Points', 'How']")</f>
        <v>['Exchange', 'Points', 'Points', 'How']</v>
      </c>
      <c r="D1762" s="3">
        <v>5.0</v>
      </c>
    </row>
    <row r="1763" ht="15.75" customHeight="1">
      <c r="A1763" s="1">
        <v>1879.0</v>
      </c>
      <c r="B1763" s="3" t="s">
        <v>1701</v>
      </c>
      <c r="C1763" s="3" t="str">
        <f>IFERROR(__xludf.DUMMYFUNCTION("GOOGLETRANSLATE(B1763,""id"",""en"")"),"['signal', 'Krang', 'Good']")</f>
        <v>['signal', 'Krang', 'Good']</v>
      </c>
      <c r="D1763" s="3">
        <v>4.0</v>
      </c>
    </row>
    <row r="1764" ht="15.75" customHeight="1">
      <c r="A1764" s="1">
        <v>1880.0</v>
      </c>
      <c r="B1764" s="3" t="s">
        <v>1702</v>
      </c>
      <c r="C1764" s="3" t="str">
        <f>IFERROR(__xludf.DUMMYFUNCTION("GOOGLETRANSLATE(B1764,""id"",""en"")"),"['Educated', 'package', 'internet', 'cheap', 'Not bad', 'ngambit', 'mah', 'pertanin', 'mang', 'according to', 'promise', 'tmbahin', ' The star ',' Deh ',' ']")</f>
        <v>['Educated', 'package', 'internet', 'cheap', 'Not bad', 'ngambit', 'mah', 'pertanin', 'mang', 'according to', 'promise', 'tmbahin', ' The star ',' Deh ',' ']</v>
      </c>
      <c r="D1764" s="3">
        <v>3.0</v>
      </c>
    </row>
    <row r="1765" ht="15.75" customHeight="1">
      <c r="A1765" s="1">
        <v>1881.0</v>
      </c>
      <c r="B1765" s="3" t="s">
        <v>1703</v>
      </c>
      <c r="C1765" s="3" t="str">
        <f>IFERROR(__xludf.DUMMYFUNCTION("GOOGLETRANSLATE(B1765,""id"",""en"")"),"['Good', 'My APK', 'Gaisss']")</f>
        <v>['Good', 'My APK', 'Gaisss']</v>
      </c>
      <c r="D1765" s="3">
        <v>5.0</v>
      </c>
    </row>
    <row r="1766" ht="15.75" customHeight="1">
      <c r="A1766" s="1">
        <v>1882.0</v>
      </c>
      <c r="B1766" s="3" t="s">
        <v>1704</v>
      </c>
      <c r="C1766" s="3" t="str">
        <f>IFERROR(__xludf.DUMMYFUNCTION("GOOGLETRANSLATE(B1766,""id"",""en"")"),"['error', 'check', 'pulse', 'check', 'pulse', 'sorry', 'mulu', 'plate', 'red']")</f>
        <v>['error', 'check', 'pulse', 'check', 'pulse', 'sorry', 'mulu', 'plate', 'red']</v>
      </c>
      <c r="D1766" s="3">
        <v>1.0</v>
      </c>
    </row>
    <row r="1767" ht="15.75" customHeight="1">
      <c r="A1767" s="1">
        <v>1883.0</v>
      </c>
      <c r="B1767" s="3" t="s">
        <v>1705</v>
      </c>
      <c r="C1767" s="3" t="str">
        <f>IFERROR(__xludf.DUMMYFUNCTION("GOOGLETRANSLATE(B1767,""id"",""en"")"),"['Please', 'Fix', 'The Network', 'Cave', 'Udh', 'City', 'Leet', 'Please', 'Operator','A ']")</f>
        <v>['Please', 'Fix', 'The Network', 'Cave', 'Udh', 'City', 'Leet', 'Please', 'Operator','A ']</v>
      </c>
      <c r="D1767" s="3">
        <v>1.0</v>
      </c>
    </row>
    <row r="1768" ht="15.75" customHeight="1">
      <c r="A1768" s="1">
        <v>1884.0</v>
      </c>
      <c r="B1768" s="3" t="s">
        <v>1706</v>
      </c>
      <c r="C1768" s="3" t="str">
        <f>IFERROR(__xludf.DUMMYFUNCTION("GOOGLETRANSLATE(B1768,""id"",""en"")"),"['Update', 'buy', 'package', 'internet', 'pulses']")</f>
        <v>['Update', 'buy', 'package', 'internet', 'pulses']</v>
      </c>
      <c r="D1768" s="3">
        <v>2.0</v>
      </c>
    </row>
    <row r="1769" ht="15.75" customHeight="1">
      <c r="A1769" s="1">
        <v>1886.0</v>
      </c>
      <c r="B1769" s="3" t="s">
        <v>1707</v>
      </c>
      <c r="C1769" s="3" t="str">
        <f>IFERROR(__xludf.DUMMYFUNCTION("GOOGLETRANSLATE(B1769,""id"",""en"")"),"['Combo', 'Sakti', 'Boss', 'Sakti', 'Lost', 'kah', 'already', 'price', 'package', 'expensive', 'network', 'slow' Post ',' News', 'Disruption', 'Eat', 'Shark', 'Unlimited', 'Sosmed', 'Combo', 'Sakti', 'RB', 'GB', 'GB', 'GB' , 'Where', 'kah', 'ngelamin', 'r"&amp;"ich', 'gini', 'rich', 'gini', 'exactly', 'rich', 'gini', 'hope', 'forward', ' Telkomsel ']")</f>
        <v>['Combo', 'Sakti', 'Boss', 'Sakti', 'Lost', 'kah', 'already', 'price', 'package', 'expensive', 'network', 'slow' Post ',' News', 'Disruption', 'Eat', 'Shark', 'Unlimited', 'Sosmed', 'Combo', 'Sakti', 'RB', 'GB', 'GB', 'GB' , 'Where', 'kah', 'ngelamin', 'rich', 'gini', 'rich', 'gini', 'exactly', 'rich', 'gini', 'hope', 'forward', ' Telkomsel ']</v>
      </c>
      <c r="D1769" s="3">
        <v>1.0</v>
      </c>
    </row>
    <row r="1770" ht="15.75" customHeight="1">
      <c r="A1770" s="1">
        <v>1887.0</v>
      </c>
      <c r="B1770" s="3" t="s">
        <v>1708</v>
      </c>
      <c r="C1770" s="3" t="str">
        <f>IFERROR(__xludf.DUMMYFUNCTION("GOOGLETRANSLATE(B1770,""id"",""en"")"),"['Package', 'Combo', 'Sakti', 'Rb', 'card', 'KNP', 'every card', 'Different', 'Kamrettt', 'PKai', 'Telkomsel', ' Change ',' card ',' Disappointed ',' ']")</f>
        <v>['Package', 'Combo', 'Sakti', 'Rb', 'card', 'KNP', 'every card', 'Different', 'Kamrettt', 'PKai', 'Telkomsel', ' Change ',' card ',' Disappointed ',' ']</v>
      </c>
      <c r="D1770" s="3">
        <v>1.0</v>
      </c>
    </row>
    <row r="1771" ht="15.75" customHeight="1">
      <c r="A1771" s="1">
        <v>1888.0</v>
      </c>
      <c r="B1771" s="3" t="s">
        <v>1709</v>
      </c>
      <c r="C1771" s="3" t="str">
        <f>IFERROR(__xludf.DUMMYFUNCTION("GOOGLETRANSLATE(B1771,""id"",""en"")"),"['Stay', 'Indonesia', 'Rich', 'Live', 'Forest', 'Signal', 'Bro', 'City', 'Telkomsel', 'Network', 'Worst', 'Indonesia', ' Severe ',' really ',' Telkomsel ']")</f>
        <v>['Stay', 'Indonesia', 'Rich', 'Live', 'Forest', 'Signal', 'Bro', 'City', 'Telkomsel', 'Network', 'Worst', 'Indonesia', ' Severe ',' really ',' Telkomsel ']</v>
      </c>
      <c r="D1771" s="3">
        <v>1.0</v>
      </c>
    </row>
    <row r="1772" ht="15.75" customHeight="1">
      <c r="A1772" s="1">
        <v>1889.0</v>
      </c>
      <c r="B1772" s="3" t="s">
        <v>1710</v>
      </c>
      <c r="C1772" s="3" t="str">
        <f>IFERROR(__xludf.DUMMYFUNCTION("GOOGLETRANSLATE(B1772,""id"",""en"")"),"['quota', 'bnyk', 'internet', 'slow', 'bngt', 'turn', 'pket', 'hbis',' spent ',' pulse ',' severe ',' bngt ',' Open ',' Application ',' Telkomsel ',' PKE ',' Hotspot ',' TMN ',' Saying ',' Register ',' ']")</f>
        <v>['quota', 'bnyk', 'internet', 'slow', 'bngt', 'turn', 'pket', 'hbis',' spent ',' pulse ',' severe ',' bngt ',' Open ',' Application ',' Telkomsel ',' PKE ',' Hotspot ',' TMN ',' Saying ',' Register ',' ']</v>
      </c>
      <c r="D1772" s="3">
        <v>1.0</v>
      </c>
    </row>
    <row r="1773" ht="15.75" customHeight="1">
      <c r="A1773" s="1">
        <v>1890.0</v>
      </c>
      <c r="B1773" s="3" t="s">
        <v>1711</v>
      </c>
      <c r="C1773" s="3" t="str">
        <f>IFERROR(__xludf.DUMMYFUNCTION("GOOGLETRANSLATE(B1773,""id"",""en"")"),"['Berau', 'Kalimantan', 'East', 'Trouble', 'Difficult', 'Kalik', 'Signal', 'Sometimes', 'Sometimes', 'No', 'Please', 'Repaired']")</f>
        <v>['Berau', 'Kalimantan', 'East', 'Trouble', 'Difficult', 'Kalik', 'Signal', 'Sometimes', 'Sometimes', 'No', 'Please', 'Repaired']</v>
      </c>
      <c r="D1773" s="3">
        <v>1.0</v>
      </c>
    </row>
    <row r="1774" ht="15.75" customHeight="1">
      <c r="A1774" s="1">
        <v>1891.0</v>
      </c>
      <c r="B1774" s="3" t="s">
        <v>1712</v>
      </c>
      <c r="C1774" s="3" t="str">
        <f>IFERROR(__xludf.DUMMYFUNCTION("GOOGLETRANSLATE(B1774,""id"",""en"")"),"['Making', 'easy', 'access',' quota ',' pulse ',' quota ',' internet ',' makes it easier ',' exchanging ',' Points', 'Lottery', 'Telkomsel', ' Moga ',' luck ']")</f>
        <v>['Making', 'easy', 'access',' quota ',' pulse ',' quota ',' internet ',' makes it easier ',' exchanging ',' Points', 'Lottery', 'Telkomsel', ' Moga ',' luck ']</v>
      </c>
      <c r="D1774" s="3">
        <v>5.0</v>
      </c>
    </row>
    <row r="1775" ht="15.75" customHeight="1">
      <c r="A1775" s="1">
        <v>1892.0</v>
      </c>
      <c r="B1775" s="3" t="s">
        <v>1713</v>
      </c>
      <c r="C1775" s="3" t="str">
        <f>IFERROR(__xludf.DUMMYFUNCTION("GOOGLETRANSLATE(B1775,""id"",""en"")"),"['buy', 'package', 'cheap', 'really', 'application']")</f>
        <v>['buy', 'package', 'cheap', 'really', 'application']</v>
      </c>
      <c r="D1775" s="3">
        <v>5.0</v>
      </c>
    </row>
    <row r="1776" ht="15.75" customHeight="1">
      <c r="A1776" s="1">
        <v>1893.0</v>
      </c>
      <c r="B1776" s="3" t="s">
        <v>1714</v>
      </c>
      <c r="C1776" s="3" t="str">
        <f>IFERROR(__xludf.DUMMYFUNCTION("GOOGLETRANSLATE(B1776,""id"",""en"")"),"['Easy', 'buy', 'quota']")</f>
        <v>['Easy', 'buy', 'quota']</v>
      </c>
      <c r="D1776" s="3">
        <v>5.0</v>
      </c>
    </row>
    <row r="1777" ht="15.75" customHeight="1">
      <c r="A1777" s="1">
        <v>1894.0</v>
      </c>
      <c r="B1777" s="3" t="s">
        <v>1715</v>
      </c>
      <c r="C1777" s="3" t="str">
        <f>IFERROR(__xludf.DUMMYFUNCTION("GOOGLETRANSLATE(B1777,""id"",""en"")"),"['Telkomsel', 'okay']")</f>
        <v>['Telkomsel', 'okay']</v>
      </c>
      <c r="D1777" s="3">
        <v>4.0</v>
      </c>
    </row>
    <row r="1778" ht="15.75" customHeight="1">
      <c r="A1778" s="1">
        <v>1895.0</v>
      </c>
      <c r="B1778" s="3" t="s">
        <v>1716</v>
      </c>
      <c r="C1778" s="3" t="str">
        <f>IFERROR(__xludf.DUMMYFUNCTION("GOOGLETRANSLATE(B1778,""id"",""en"")"),"['', 'Gibah', 'Bintang', 'Be', 'Talk']")</f>
        <v>['', 'Gibah', 'Bintang', 'Be', 'Talk']</v>
      </c>
      <c r="D1778" s="3">
        <v>2.0</v>
      </c>
    </row>
    <row r="1779" ht="15.75" customHeight="1">
      <c r="A1779" s="1">
        <v>1896.0</v>
      </c>
      <c r="B1779" s="3" t="s">
        <v>1717</v>
      </c>
      <c r="C1779" s="3" t="str">
        <f>IFERROR(__xludf.DUMMYFUNCTION("GOOGLETRANSLATE(B1779,""id"",""en"")"),"['Application', 'Telkomsel', 'Good', 'Easy', 'Date', 'The Info', '']")</f>
        <v>['Application', 'Telkomsel', 'Good', 'Easy', 'Date', 'The Info', '']</v>
      </c>
      <c r="D1779" s="3">
        <v>5.0</v>
      </c>
    </row>
    <row r="1780" ht="15.75" customHeight="1">
      <c r="A1780" s="1">
        <v>1897.0</v>
      </c>
      <c r="B1780" s="3" t="s">
        <v>1718</v>
      </c>
      <c r="C1780" s="3" t="str">
        <f>IFERROR(__xludf.DUMMYFUNCTION("GOOGLETRANSLATE(B1780,""id"",""en"")"),"['Disappointed', 'Kouta', 'Gamemax', ""]")</f>
        <v>['Disappointed', 'Kouta', 'Gamemax', "]</v>
      </c>
      <c r="D1780" s="3">
        <v>1.0</v>
      </c>
    </row>
    <row r="1781" ht="15.75" customHeight="1">
      <c r="A1781" s="1">
        <v>1898.0</v>
      </c>
      <c r="B1781" s="3" t="s">
        <v>1719</v>
      </c>
      <c r="C1781" s="3" t="str">
        <f>IFERROR(__xludf.DUMMYFUNCTION("GOOGLETRANSLATE(B1781,""id"",""en"")"),"['Application', 'bikessssssss']")</f>
        <v>['Application', 'bikessssssss']</v>
      </c>
      <c r="D1781" s="3">
        <v>2.0</v>
      </c>
    </row>
    <row r="1782" ht="15.75" customHeight="1">
      <c r="A1782" s="1">
        <v>1899.0</v>
      </c>
      <c r="B1782" s="3" t="s">
        <v>1720</v>
      </c>
      <c r="C1782" s="3" t="str">
        <f>IFERROR(__xludf.DUMMYFUNCTION("GOOGLETRANSLATE(B1782,""id"",""en"")"),"['Cool', 'Helpful', 'Response']")</f>
        <v>['Cool', 'Helpful', 'Response']</v>
      </c>
      <c r="D1782" s="3">
        <v>5.0</v>
      </c>
    </row>
    <row r="1783" ht="15.75" customHeight="1">
      <c r="A1783" s="1">
        <v>1900.0</v>
      </c>
      <c r="B1783" s="3" t="s">
        <v>1721</v>
      </c>
      <c r="C1783" s="3" t="str">
        <f>IFERROR(__xludf.DUMMYFUNCTION("GOOGLETRANSLATE(B1783,""id"",""en"")"),"['Alah', 'AddBlama', 'Bete', 'Telkomsel', 'Main', 'Game', 'Entertaining', 'Frustrated', 'Gara', 'Gara', 'Signal']")</f>
        <v>['Alah', 'AddBlama', 'Bete', 'Telkomsel', 'Main', 'Game', 'Entertaining', 'Frustrated', 'Gara', 'Gara', 'Signal']</v>
      </c>
      <c r="D1783" s="3">
        <v>1.0</v>
      </c>
    </row>
    <row r="1784" ht="15.75" customHeight="1">
      <c r="A1784" s="1">
        <v>1901.0</v>
      </c>
      <c r="B1784" s="3" t="s">
        <v>1722</v>
      </c>
      <c r="C1784" s="3" t="str">
        <f>IFERROR(__xludf.DUMMYFUNCTION("GOOGLETRANSLATE(B1784,""id"",""en"")"),"['Telkomsel', 'ugly', 'Hello', 'Network', 'Leet', 'Internet', 'Connect', 'Bill', 'Pay', 'Package', 'Rare', 'Dipake', ' Tetep ',' Search ',' wifi ']")</f>
        <v>['Telkomsel', 'ugly', 'Hello', 'Network', 'Leet', 'Internet', 'Connect', 'Bill', 'Pay', 'Package', 'Rare', 'Dipake', ' Tetep ',' Search ',' wifi ']</v>
      </c>
      <c r="D1784" s="3">
        <v>1.0</v>
      </c>
    </row>
    <row r="1785" ht="15.75" customHeight="1">
      <c r="A1785" s="1">
        <v>1902.0</v>
      </c>
      <c r="B1785" s="3" t="s">
        <v>1723</v>
      </c>
      <c r="C1785" s="3" t="str">
        <f>IFERROR(__xludf.DUMMYFUNCTION("GOOGLETRANSLATE(B1785,""id"",""en"")"),"['already', 'use', 'Telkomsel', 'price', 'quota', 'internet', 'compete', 'divided', 'complicated', 'really', 'quota', 'multimedia', ' slow ',' the application ',' opened ',' Oia ',' ngbar ',' no ',' neighbor ',' use ',' wifi ',' indiehome ',' since 'since"&amp;" the neighbor', 'use' , 'wifi', 'indiehome', 'network', 'internet', 'Telkomsel', 'slow', 'trima', 'love', '']")</f>
        <v>['already', 'use', 'Telkomsel', 'price', 'quota', 'internet', 'compete', 'divided', 'complicated', 'really', 'quota', 'multimedia', ' slow ',' the application ',' opened ',' Oia ',' ngbar ',' no ',' neighbor ',' use ',' wifi ',' indiehome ',' since 'since the neighbor', 'use' , 'wifi', 'indiehome', 'network', 'internet', 'Telkomsel', 'slow', 'trima', 'love', '']</v>
      </c>
      <c r="D1785" s="3">
        <v>2.0</v>
      </c>
    </row>
    <row r="1786" ht="15.75" customHeight="1">
      <c r="A1786" s="1">
        <v>1903.0</v>
      </c>
      <c r="B1786" s="3" t="s">
        <v>1724</v>
      </c>
      <c r="C1786" s="3" t="str">
        <f>IFERROR(__xludf.DUMMYFUNCTION("GOOGLETRANSLATE(B1786,""id"",""en"")"),"['woy', 'Telkomsel', 'please', 'said', 'responsible', 'take care', 'quota', 'how', 'package', 'local', 'gunain', 'please', ' respawnny ',' darling ',' buy ',' expensive ',' use ',' Asi ',' proof ',' mna ',' email ',' love ',' screenshot ', ""]")</f>
        <v>['woy', 'Telkomsel', 'please', 'said', 'responsible', 'take care', 'quota', 'how', 'package', 'local', 'gunain', 'please', ' respawnny ',' darling ',' buy ',' expensive ',' use ',' Asi ',' proof ',' mna ',' email ',' love ',' screenshot ', "]</v>
      </c>
      <c r="D1786" s="3">
        <v>1.0</v>
      </c>
    </row>
    <row r="1787" ht="15.75" customHeight="1">
      <c r="A1787" s="1">
        <v>1904.0</v>
      </c>
      <c r="B1787" s="3" t="s">
        <v>1725</v>
      </c>
      <c r="C1787" s="3" t="str">
        <f>IFERROR(__xludf.DUMMYFUNCTION("GOOGLETRANSLATE(B1787,""id"",""en"")"),"['Lemot', 'expensive', 'Doang', 'exciting', 'exciting', 'Maenan', 'The network', 'ilang']")</f>
        <v>['Lemot', 'expensive', 'Doang', 'exciting', 'exciting', 'Maenan', 'The network', 'ilang']</v>
      </c>
      <c r="D1787" s="3">
        <v>1.0</v>
      </c>
    </row>
    <row r="1788" ht="15.75" customHeight="1">
      <c r="A1788" s="1">
        <v>1905.0</v>
      </c>
      <c r="B1788" s="3" t="s">
        <v>1726</v>
      </c>
      <c r="C1788" s="3" t="str">
        <f>IFERROR(__xludf.DUMMYFUNCTION("GOOGLETRANSLATE(B1788,""id"",""en"")"),"['try', 'luck']")</f>
        <v>['try', 'luck']</v>
      </c>
      <c r="D1788" s="3">
        <v>5.0</v>
      </c>
    </row>
    <row r="1789" ht="15.75" customHeight="1">
      <c r="A1789" s="1">
        <v>1906.0</v>
      </c>
      <c r="B1789" s="3" t="s">
        <v>1727</v>
      </c>
      <c r="C1789" s="3" t="str">
        <f>IFERROR(__xludf.DUMMYFUNCTION("GOOGLETRANSLATE(B1789,""id"",""en"")"),"['What', 'Network', 'Package', 'Stay', 'Unlimited', 'Ngelag', 'Severe', 'Times', 'Njirr']")</f>
        <v>['What', 'Network', 'Package', 'Stay', 'Unlimited', 'Ngelag', 'Severe', 'Times', 'Njirr']</v>
      </c>
      <c r="D1789" s="3">
        <v>1.0</v>
      </c>
    </row>
    <row r="1790" ht="15.75" customHeight="1">
      <c r="A1790" s="1">
        <v>1907.0</v>
      </c>
      <c r="B1790" s="3" t="s">
        <v>1728</v>
      </c>
      <c r="C1790" s="3" t="str">
        <f>IFERROR(__xludf.DUMMYFUNCTION("GOOGLETRANSLATE(B1790,""id"",""en"")"),"['Provider', 'Fraud', 'Choice', 'Package', 'Family', 'Appear', 'Fitting', 'Filled', 'Credit', 'BLI', 'Package', 'Direct', ' Disappear ',' Disight ',' Consumers']")</f>
        <v>['Provider', 'Fraud', 'Choice', 'Package', 'Family', 'Appear', 'Fitting', 'Filled', 'Credit', 'BLI', 'Package', 'Direct', ' Disappear ',' Disight ',' Consumers']</v>
      </c>
      <c r="D1790" s="3">
        <v>1.0</v>
      </c>
    </row>
    <row r="1791" ht="15.75" customHeight="1">
      <c r="A1791" s="1">
        <v>1908.0</v>
      </c>
      <c r="B1791" s="3" t="s">
        <v>1729</v>
      </c>
      <c r="C1791" s="3" t="str">
        <f>IFERROR(__xludf.DUMMYFUNCTION("GOOGLETRANSLATE(B1791,""id"",""en"")"),"['list', 'package', 'expensive', 'hope', 'attention', 'mksih']")</f>
        <v>['list', 'package', 'expensive', 'hope', 'attention', 'mksih']</v>
      </c>
      <c r="D1791" s="3">
        <v>4.0</v>
      </c>
    </row>
    <row r="1792" ht="15.75" customHeight="1">
      <c r="A1792" s="1">
        <v>1909.0</v>
      </c>
      <c r="B1792" s="3" t="s">
        <v>1730</v>
      </c>
      <c r="C1792" s="3" t="str">
        <f>IFERROR(__xludf.DUMMYFUNCTION("GOOGLETRANSLATE(B1792,""id"",""en"")"),"['Telkomsel', 'ugly', 'really', 'quota', 'signal', 'full', 'internet', '']")</f>
        <v>['Telkomsel', 'ugly', 'really', 'quota', 'signal', 'full', 'internet', '']</v>
      </c>
      <c r="D1792" s="3">
        <v>2.0</v>
      </c>
    </row>
    <row r="1793" ht="15.75" customHeight="1">
      <c r="A1793" s="1">
        <v>1910.0</v>
      </c>
      <c r="B1793" s="3" t="s">
        <v>1731</v>
      </c>
      <c r="C1793" s="3" t="str">
        <f>IFERROR(__xludf.DUMMYFUNCTION("GOOGLETRANSLATE(B1793,""id"",""en"")"),"['Glad', 'quota', 'free', 'Features', 'check', 'Not bad', 'Powered', 'wfh', 'deh']")</f>
        <v>['Glad', 'quota', 'free', 'Features', 'check', 'Not bad', 'Powered', 'wfh', 'deh']</v>
      </c>
      <c r="D1793" s="3">
        <v>5.0</v>
      </c>
    </row>
    <row r="1794" ht="15.75" customHeight="1">
      <c r="A1794" s="1">
        <v>1911.0</v>
      </c>
      <c r="B1794" s="3" t="s">
        <v>21</v>
      </c>
      <c r="C1794" s="3" t="str">
        <f>IFERROR(__xludf.DUMMYFUNCTION("GOOGLETRANSLATE(B1794,""id"",""en"")"),"['bad']")</f>
        <v>['bad']</v>
      </c>
      <c r="D1794" s="3">
        <v>1.0</v>
      </c>
    </row>
    <row r="1795" ht="15.75" customHeight="1">
      <c r="A1795" s="1">
        <v>1912.0</v>
      </c>
      <c r="B1795" s="3" t="s">
        <v>1732</v>
      </c>
      <c r="C1795" s="3" t="str">
        <f>IFERROR(__xludf.DUMMYFUNCTION("GOOGLETRANSLATE(B1795,""id"",""en"")"),"['choice', 'package', 'expensive', 'advertisement', 'cheap', 'open', 'application', 'advertising']")</f>
        <v>['choice', 'package', 'expensive', 'advertisement', 'cheap', 'open', 'application', 'advertising']</v>
      </c>
      <c r="D1795" s="3">
        <v>1.0</v>
      </c>
    </row>
    <row r="1796" ht="15.75" customHeight="1">
      <c r="A1796" s="1">
        <v>1914.0</v>
      </c>
      <c r="B1796" s="3" t="s">
        <v>1733</v>
      </c>
      <c r="C1796" s="3" t="str">
        <f>IFERROR(__xludf.DUMMYFUNCTION("GOOGLETRANSLATE(B1796,""id"",""en"")"),"['signal', 'good']")</f>
        <v>['signal', 'good']</v>
      </c>
      <c r="D1796" s="3">
        <v>5.0</v>
      </c>
    </row>
    <row r="1797" ht="15.75" customHeight="1">
      <c r="A1797" s="1">
        <v>1915.0</v>
      </c>
      <c r="B1797" s="3" t="s">
        <v>1734</v>
      </c>
      <c r="C1797" s="3" t="str">
        <f>IFERROR(__xludf.DUMMYFUNCTION("GOOGLETRANSLATE(B1797,""id"",""en"")"),"['Download', 'BLM', 'Featured']")</f>
        <v>['Download', 'BLM', 'Featured']</v>
      </c>
      <c r="D1797" s="3">
        <v>5.0</v>
      </c>
    </row>
    <row r="1798" ht="15.75" customHeight="1">
      <c r="A1798" s="1">
        <v>1916.0</v>
      </c>
      <c r="B1798" s="3" t="s">
        <v>1735</v>
      </c>
      <c r="C1798" s="3" t="str">
        <f>IFERROR(__xludf.DUMMYFUNCTION("GOOGLETRANSLATE(B1798,""id"",""en"")"),"['', 'View', 'Review', 'Kasi', 'Star', 'Solution', 'Tar', 'Already', 'Move', 'Heart', 'Tebar', 'Attention', 'Signal ',' room ',' City ']")</f>
        <v>['', 'View', 'Review', 'Kasi', 'Star', 'Solution', 'Tar', 'Already', 'Move', 'Heart', 'Tebar', 'Attention', 'Signal ',' room ',' City ']</v>
      </c>
      <c r="D1798" s="3">
        <v>1.0</v>
      </c>
    </row>
    <row r="1799" ht="15.75" customHeight="1">
      <c r="A1799" s="1">
        <v>1918.0</v>
      </c>
      <c r="B1799" s="3" t="s">
        <v>1736</v>
      </c>
      <c r="C1799" s="3" t="str">
        <f>IFERROR(__xludf.DUMMYFUNCTION("GOOGLETRANSLATE(B1799,""id"",""en"")"),"['Please', 'Fix', 'Quality', 'The Network', 'Chaos', 'Rain', 'Price', 'Paketan', 'Expensive', 'Quality', 'Network', 'ugly']")</f>
        <v>['Please', 'Fix', 'Quality', 'The Network', 'Chaos', 'Rain', 'Price', 'Paketan', 'Expensive', 'Quality', 'Network', 'ugly']</v>
      </c>
      <c r="D1799" s="3">
        <v>1.0</v>
      </c>
    </row>
    <row r="1800" ht="15.75" customHeight="1">
      <c r="A1800" s="1">
        <v>1920.0</v>
      </c>
      <c r="B1800" s="3" t="s">
        <v>1737</v>
      </c>
      <c r="C1800" s="3" t="str">
        <f>IFERROR(__xludf.DUMMYFUNCTION("GOOGLETRANSLATE(B1800,""id"",""en"")"),"['Telkomsel', 'Region', 'Jakarta', 'Lemot']")</f>
        <v>['Telkomsel', 'Region', 'Jakarta', 'Lemot']</v>
      </c>
      <c r="D1800" s="3">
        <v>1.0</v>
      </c>
    </row>
    <row r="1801" ht="15.75" customHeight="1">
      <c r="A1801" s="1">
        <v>1921.0</v>
      </c>
      <c r="B1801" s="3" t="s">
        <v>478</v>
      </c>
      <c r="C1801" s="3" t="str">
        <f>IFERROR(__xludf.DUMMYFUNCTION("GOOGLETRANSLATE(B1801,""id"",""en"")"),"['Package', 'expensive']")</f>
        <v>['Package', 'expensive']</v>
      </c>
      <c r="D1801" s="3">
        <v>1.0</v>
      </c>
    </row>
    <row r="1802" ht="15.75" customHeight="1">
      <c r="A1802" s="1">
        <v>1922.0</v>
      </c>
      <c r="B1802" s="3" t="s">
        <v>1738</v>
      </c>
      <c r="C1802" s="3" t="str">
        <f>IFERROR(__xludf.DUMMYFUNCTION("GOOGLETRANSLATE(B1802,""id"",""en"")"),"['steady', 'package', 'cheap', 'cheap']")</f>
        <v>['steady', 'package', 'cheap', 'cheap']</v>
      </c>
      <c r="D1802" s="3">
        <v>5.0</v>
      </c>
    </row>
    <row r="1803" ht="15.75" customHeight="1">
      <c r="A1803" s="1">
        <v>1923.0</v>
      </c>
      <c r="B1803" s="3" t="s">
        <v>1739</v>
      </c>
      <c r="C1803" s="3" t="str">
        <f>IFERROR(__xludf.DUMMYFUNCTION("GOOGLETRANSLATE(B1803,""id"",""en"")"),"['Satisfied', 'use', 'Telkomsel', 'steady', 'just']")</f>
        <v>['Satisfied', 'use', 'Telkomsel', 'steady', 'just']</v>
      </c>
      <c r="D1803" s="3">
        <v>5.0</v>
      </c>
    </row>
    <row r="1804" ht="15.75" customHeight="1">
      <c r="A1804" s="1">
        <v>1924.0</v>
      </c>
      <c r="B1804" s="3" t="s">
        <v>1740</v>
      </c>
      <c r="C1804" s="3" t="str">
        <f>IFERROR(__xludf.DUMMYFUNCTION("GOOGLETRANSLATE(B1804,""id"",""en"")"),"['Combo', 'Sakti', 'Signal', 'Karuan', 'Rain']")</f>
        <v>['Combo', 'Sakti', 'Signal', 'Karuan', 'Rain']</v>
      </c>
      <c r="D1804" s="3">
        <v>1.0</v>
      </c>
    </row>
    <row r="1805" ht="15.75" customHeight="1">
      <c r="A1805" s="1">
        <v>1925.0</v>
      </c>
      <c r="B1805" s="3" t="s">
        <v>1741</v>
      </c>
      <c r="C1805" s="3" t="str">
        <f>IFERROR(__xludf.DUMMYFUNCTION("GOOGLETRANSLATE(B1805,""id"",""en"")"),"['LEGEN', 'Network', 'Telkomsel', 'Lost', 'on', 'Jakarta']")</f>
        <v>['LEGEN', 'Network', 'Telkomsel', 'Lost', 'on', 'Jakarta']</v>
      </c>
      <c r="D1805" s="3">
        <v>1.0</v>
      </c>
    </row>
    <row r="1806" ht="15.75" customHeight="1">
      <c r="A1806" s="1">
        <v>1926.0</v>
      </c>
      <c r="B1806" s="3" t="s">
        <v>1742</v>
      </c>
      <c r="C1806" s="3" t="str">
        <f>IFERROR(__xludf.DUMMYFUNCTION("GOOGLETRANSLATE(B1806,""id"",""en"")"),"['signal', 'ugly', 'continued', 'please', 'fix', 'area', 'Sidoarjo', '']")</f>
        <v>['signal', 'ugly', 'continued', 'please', 'fix', 'area', 'Sidoarjo', '']</v>
      </c>
      <c r="D1806" s="3">
        <v>1.0</v>
      </c>
    </row>
    <row r="1807" ht="15.75" customHeight="1">
      <c r="A1807" s="1">
        <v>1928.0</v>
      </c>
      <c r="B1807" s="3" t="s">
        <v>1743</v>
      </c>
      <c r="C1807" s="3" t="str">
        <f>IFERROR(__xludf.DUMMYFUNCTION("GOOGLETRANSLATE(B1807,""id"",""en"")"),"['woi', 'asw', 'siyal', 'nyh', 'slow', 'price', 'package', 'expensive', 'signal', 'lek', 'please', 'help']")</f>
        <v>['woi', 'asw', 'siyal', 'nyh', 'slow', 'price', 'package', 'expensive', 'signal', 'lek', 'please', 'help']</v>
      </c>
      <c r="D1807" s="3">
        <v>1.0</v>
      </c>
    </row>
    <row r="1808" ht="15.75" customHeight="1">
      <c r="A1808" s="1">
        <v>1930.0</v>
      </c>
      <c r="B1808" s="3" t="s">
        <v>1744</v>
      </c>
      <c r="C1808" s="3" t="str">
        <f>IFERROR(__xludf.DUMMYFUNCTION("GOOGLETRANSLATE(B1808,""id"",""en"")"),"['Telkomsel', 'Slalu', 'Heart', ""]")</f>
        <v>['Telkomsel', 'Slalu', 'Heart', "]</v>
      </c>
      <c r="D1808" s="3">
        <v>5.0</v>
      </c>
    </row>
    <row r="1809" ht="15.75" customHeight="1">
      <c r="A1809" s="1">
        <v>1931.0</v>
      </c>
      <c r="B1809" s="3" t="s">
        <v>1745</v>
      </c>
      <c r="C1809" s="3" t="str">
        <f>IFERROR(__xludf.DUMMYFUNCTION("GOOGLETRANSLATE(B1809,""id"",""en"")"),"['APK', 'good', 'promo']")</f>
        <v>['APK', 'good', 'promo']</v>
      </c>
      <c r="D1809" s="3">
        <v>5.0</v>
      </c>
    </row>
    <row r="1810" ht="15.75" customHeight="1">
      <c r="A1810" s="1">
        <v>1932.0</v>
      </c>
      <c r="B1810" s="3" t="s">
        <v>1746</v>
      </c>
      <c r="C1810" s="3" t="str">
        <f>IFERROR(__xludf.DUMMYFUNCTION("GOOGLETRANSLATE(B1810,""id"",""en"")"),"['easy', 'signal']")</f>
        <v>['easy', 'signal']</v>
      </c>
      <c r="D1810" s="3">
        <v>5.0</v>
      </c>
    </row>
    <row r="1811" ht="15.75" customHeight="1">
      <c r="A1811" s="1">
        <v>1933.0</v>
      </c>
      <c r="B1811" s="3" t="s">
        <v>1747</v>
      </c>
      <c r="C1811" s="3" t="str">
        <f>IFERROR(__xludf.DUMMYFUNCTION("GOOGLETRANSLATE(B1811,""id"",""en"")"),"['Signal', 'Bad', 'Kirain', 'Update', 'Severe', 'Disappointed', 'Pokonya', 'Main', 'Game']")</f>
        <v>['Signal', 'Bad', 'Kirain', 'Update', 'Severe', 'Disappointed', 'Pokonya', 'Main', 'Game']</v>
      </c>
      <c r="D1811" s="3">
        <v>2.0</v>
      </c>
    </row>
    <row r="1812" ht="15.75" customHeight="1">
      <c r="A1812" s="1">
        <v>1934.0</v>
      </c>
      <c r="B1812" s="3" t="s">
        <v>1748</v>
      </c>
      <c r="C1812" s="3" t="str">
        <f>IFERROR(__xludf.DUMMYFUNCTION("GOOGLETRANSLATE(B1812,""id"",""en"")"),"['user', 'loyal', 'Telkomsel', 'recommend', 'friend', 'network', 'Telkomsel', 'error', 'signal', 'like', 'ngilan', 'city', ' Tower ',' Telkomsel ',' Gini ',' Mending ',' Move ',' Provider ', ""]")</f>
        <v>['user', 'loyal', 'Telkomsel', 'recommend', 'friend', 'network', 'Telkomsel', 'error', 'signal', 'like', 'ngilan', 'city', ' Tower ',' Telkomsel ',' Gini ',' Mending ',' Move ',' Provider ', "]</v>
      </c>
      <c r="D1812" s="3">
        <v>1.0</v>
      </c>
    </row>
    <row r="1813" ht="15.75" customHeight="1">
      <c r="A1813" s="1">
        <v>1935.0</v>
      </c>
      <c r="B1813" s="3" t="s">
        <v>1749</v>
      </c>
      <c r="C1813" s="3" t="str">
        <f>IFERROR(__xludf.DUMMYFUNCTION("GOOGLETRANSLATE(B1813,""id"",""en"")"),"['Sya', 'Love', 'Bintang', 'Karna', 'Network', 'Telkomsel', 'Irrigation', 'Like', 'Mulya', 'Sematang', 'Borang', 'Palembang', ' South Sumatra ',' slow ',' TPI ',' Jalan ',' Kalaw ',' Jalan ',' Snail ',' Shy ',' Lebel ',' BUMN ',' Telkomsel ',' Tuu ' , 'Lo"&amp;"se', 'Private', 'trimakasih', ""]")</f>
        <v>['Sya', 'Love', 'Bintang', 'Karna', 'Network', 'Telkomsel', 'Irrigation', 'Like', 'Mulya', 'Sematang', 'Borang', 'Palembang', ' South Sumatra ',' slow ',' TPI ',' Jalan ',' Kalaw ',' Jalan ',' Snail ',' Shy ',' Lebel ',' BUMN ',' Telkomsel ',' Tuu ' , 'Lose', 'Private', 'trimakasih', "]</v>
      </c>
      <c r="D1813" s="3">
        <v>2.0</v>
      </c>
    </row>
    <row r="1814" ht="15.75" customHeight="1">
      <c r="A1814" s="1">
        <v>1936.0</v>
      </c>
      <c r="B1814" s="3" t="s">
        <v>1750</v>
      </c>
      <c r="C1814" s="3" t="str">
        <f>IFERROR(__xludf.DUMMYFUNCTION("GOOGLETRANSLATE(B1814,""id"",""en"")"),"['Andmin', 'SMS', 'Fraud', 'Lottery', 'Please', 'Block']")</f>
        <v>['Andmin', 'SMS', 'Fraud', 'Lottery', 'Please', 'Block']</v>
      </c>
      <c r="D1814" s="3">
        <v>4.0</v>
      </c>
    </row>
    <row r="1815" ht="15.75" customHeight="1">
      <c r="A1815" s="1">
        <v>1937.0</v>
      </c>
      <c r="B1815" s="3" t="s">
        <v>1751</v>
      </c>
      <c r="C1815" s="3" t="str">
        <f>IFERROR(__xludf.DUMMYFUNCTION("GOOGLETRANSLATE(B1815,""id"",""en"")"),"['Betah', 'use', 'Telkomsel']")</f>
        <v>['Betah', 'use', 'Telkomsel']</v>
      </c>
      <c r="D1815" s="3">
        <v>5.0</v>
      </c>
    </row>
    <row r="1816" ht="15.75" customHeight="1">
      <c r="A1816" s="1">
        <v>1938.0</v>
      </c>
      <c r="B1816" s="3" t="s">
        <v>162</v>
      </c>
      <c r="C1816" s="3" t="str">
        <f>IFERROR(__xludf.DUMMYFUNCTION("GOOGLETRANSLATE(B1816,""id"",""en"")"),"['Lemot', 'really', '']")</f>
        <v>['Lemot', 'really', '']</v>
      </c>
      <c r="D1816" s="3">
        <v>3.0</v>
      </c>
    </row>
    <row r="1817" ht="15.75" customHeight="1">
      <c r="A1817" s="1">
        <v>1939.0</v>
      </c>
      <c r="B1817" s="3" t="s">
        <v>1752</v>
      </c>
      <c r="C1817" s="3" t="str">
        <f>IFERROR(__xludf.DUMMYFUNCTION("GOOGLETRANSLATE(B1817,""id"",""en"")"),"['already', 'Not bad', 'Satisfied', 'Service', 'Tsel']")</f>
        <v>['already', 'Not bad', 'Satisfied', 'Service', 'Tsel']</v>
      </c>
      <c r="D1817" s="3">
        <v>5.0</v>
      </c>
    </row>
    <row r="1818" ht="15.75" customHeight="1">
      <c r="A1818" s="1">
        <v>1942.0</v>
      </c>
      <c r="B1818" s="3" t="s">
        <v>1753</v>
      </c>
      <c r="C1818" s="3" t="str">
        <f>IFERROR(__xludf.DUMMYFUNCTION("GOOGLETRANSLATE(B1818,""id"",""en"")"),"['good luck']")</f>
        <v>['good luck']</v>
      </c>
      <c r="D1818" s="3">
        <v>5.0</v>
      </c>
    </row>
    <row r="1819" ht="15.75" customHeight="1">
      <c r="A1819" s="1">
        <v>1943.0</v>
      </c>
      <c r="B1819" s="3" t="s">
        <v>1754</v>
      </c>
      <c r="C1819" s="3" t="str">
        <f>IFERROR(__xludf.DUMMYFUNCTION("GOOGLETRANSLATE(B1819,""id"",""en"")"),"['Service', 'good']")</f>
        <v>['Service', 'good']</v>
      </c>
      <c r="D1819" s="3">
        <v>5.0</v>
      </c>
    </row>
    <row r="1820" ht="15.75" customHeight="1">
      <c r="A1820" s="1">
        <v>1944.0</v>
      </c>
      <c r="B1820" s="3" t="s">
        <v>1755</v>
      </c>
      <c r="C1820" s="3" t="str">
        <f>IFERROR(__xludf.DUMMYFUNCTION("GOOGLETRANSLATE(B1820,""id"",""en"")"),"['Telkomsel', 'emang', 'right', 'Maen', 'game', 'game', 'offline', 'ping it', 'stable']")</f>
        <v>['Telkomsel', 'emang', 'right', 'Maen', 'game', 'game', 'offline', 'ping it', 'stable']</v>
      </c>
      <c r="D1820" s="3">
        <v>1.0</v>
      </c>
    </row>
    <row r="1821" ht="15.75" customHeight="1">
      <c r="A1821" s="1">
        <v>1945.0</v>
      </c>
      <c r="B1821" s="3" t="s">
        <v>1756</v>
      </c>
      <c r="C1821" s="3" t="str">
        <f>IFERROR(__xludf.DUMMYFUNCTION("GOOGLETRANSLATE(B1821,""id"",""en"")"),"['Synity', 'Good', 'Reach']")</f>
        <v>['Synity', 'Good', 'Reach']</v>
      </c>
      <c r="D1821" s="3">
        <v>5.0</v>
      </c>
    </row>
    <row r="1822" ht="15.75" customHeight="1">
      <c r="A1822" s="1">
        <v>1946.0</v>
      </c>
      <c r="B1822" s="3" t="s">
        <v>1757</v>
      </c>
      <c r="C1822" s="3" t="str">
        <f>IFERROR(__xludf.DUMMYFUNCTION("GOOGLETRANSLATE(B1822,""id"",""en"")"),"['already', 'network', 'slow', 'package', 'suck', 'pulse', 'card', 'slow']")</f>
        <v>['already', 'network', 'slow', 'package', 'suck', 'pulse', 'card', 'slow']</v>
      </c>
      <c r="D1822" s="3">
        <v>1.0</v>
      </c>
    </row>
    <row r="1823" ht="15.75" customHeight="1">
      <c r="A1823" s="1">
        <v>1947.0</v>
      </c>
      <c r="B1823" s="3" t="s">
        <v>1758</v>
      </c>
      <c r="C1823" s="3" t="str">
        <f>IFERROR(__xludf.DUMMYFUNCTION("GOOGLETRANSLATE(B1823,""id"",""en"")"),"['Help', 'Segalany', 'Easy', 'Thank you', 'MyTelkomsel', '']")</f>
        <v>['Help', 'Segalany', 'Easy', 'Thank you', 'MyTelkomsel', '']</v>
      </c>
      <c r="D1823" s="3">
        <v>5.0</v>
      </c>
    </row>
    <row r="1824" ht="15.75" customHeight="1">
      <c r="A1824" s="1">
        <v>1948.0</v>
      </c>
      <c r="B1824" s="3" t="s">
        <v>1759</v>
      </c>
      <c r="C1824" s="3" t="str">
        <f>IFERROR(__xludf.DUMMYFUNCTION("GOOGLETRANSLATE(B1824,""id"",""en"")"),"['application', 'Telkomsel', 'good', 'promo', 'package', 'cheap', 'bonus']")</f>
        <v>['application', 'Telkomsel', 'good', 'promo', 'package', 'cheap', 'bonus']</v>
      </c>
      <c r="D1824" s="3">
        <v>5.0</v>
      </c>
    </row>
    <row r="1825" ht="15.75" customHeight="1">
      <c r="A1825" s="1">
        <v>1949.0</v>
      </c>
      <c r="B1825" s="3" t="s">
        <v>1760</v>
      </c>
      <c r="C1825" s="3" t="str">
        <f>IFERROR(__xludf.DUMMYFUNCTION("GOOGLETRANSLATE(B1825,""id"",""en"")"),"['', 'complicated']")</f>
        <v>['', 'complicated']</v>
      </c>
      <c r="D1825" s="3">
        <v>5.0</v>
      </c>
    </row>
    <row r="1826" ht="15.75" customHeight="1">
      <c r="A1826" s="1">
        <v>1951.0</v>
      </c>
      <c r="B1826" s="3" t="s">
        <v>1761</v>
      </c>
      <c r="C1826" s="3" t="str">
        <f>IFERROR(__xludf.DUMMYFUNCTION("GOOGLETRANSLATE(B1826,""id"",""en"")"),"['easy', 'used', 'package']")</f>
        <v>['easy', 'used', 'package']</v>
      </c>
      <c r="D1826" s="3">
        <v>5.0</v>
      </c>
    </row>
    <row r="1827" ht="15.75" customHeight="1">
      <c r="A1827" s="1">
        <v>1952.0</v>
      </c>
      <c r="B1827" s="3" t="s">
        <v>1762</v>
      </c>
      <c r="C1827" s="3" t="str">
        <f>IFERROR(__xludf.DUMMYFUNCTION("GOOGLETRANSLATE(B1827,""id"",""en"")"),"['Star', 'dlu', 'because', 'use', 'use', 'quota', 'multimedia', 'please', 'thank you']")</f>
        <v>['Star', 'dlu', 'because', 'use', 'use', 'quota', 'multimedia', 'please', 'thank you']</v>
      </c>
      <c r="D1827" s="3">
        <v>3.0</v>
      </c>
    </row>
    <row r="1828" ht="15.75" customHeight="1">
      <c r="A1828" s="1">
        <v>1953.0</v>
      </c>
      <c r="B1828" s="3" t="s">
        <v>1763</v>
      </c>
      <c r="C1828" s="3" t="str">
        <f>IFERROR(__xludf.DUMMYFUNCTION("GOOGLETRANSLATE(B1828,""id"",""en"")"),"['Criticism', 'Telkomsel', 'signal', 'Not bad', 'Loyo', 'user', 'loyal', 'regretting', 'Telkomsel', 'famous',' expensive ',' signal ',' Lost ',' High School ',' Please ',' Keep ',' Quality ',' ']")</f>
        <v>['Criticism', 'Telkomsel', 'signal', 'Not bad', 'Loyo', 'user', 'loyal', 'regretting', 'Telkomsel', 'famous',' expensive ',' signal ',' Lost ',' High School ',' Please ',' Keep ',' Quality ',' ']</v>
      </c>
      <c r="D1828" s="3">
        <v>1.0</v>
      </c>
    </row>
    <row r="1829" ht="15.75" customHeight="1">
      <c r="A1829" s="1">
        <v>1954.0</v>
      </c>
      <c r="B1829" s="3" t="s">
        <v>1764</v>
      </c>
      <c r="C1829" s="3" t="str">
        <f>IFERROR(__xludf.DUMMYFUNCTION("GOOGLETRANSLATE(B1829,""id"",""en"")"),"['Good', 'god', 'steady']")</f>
        <v>['Good', 'god', 'steady']</v>
      </c>
      <c r="D1829" s="3">
        <v>5.0</v>
      </c>
    </row>
    <row r="1830" ht="15.75" customHeight="1">
      <c r="A1830" s="1">
        <v>1955.0</v>
      </c>
      <c r="B1830" s="3" t="s">
        <v>1765</v>
      </c>
      <c r="C1830" s="3" t="str">
        <f>IFERROR(__xludf.DUMMYFUNCTION("GOOGLETRANSLATE(B1830,""id"",""en"")"),"['Safe', 'Trusted']")</f>
        <v>['Safe', 'Trusted']</v>
      </c>
      <c r="D1830" s="3">
        <v>5.0</v>
      </c>
    </row>
    <row r="1831" ht="15.75" customHeight="1">
      <c r="A1831" s="1">
        <v>1956.0</v>
      </c>
      <c r="B1831" s="3" t="s">
        <v>1766</v>
      </c>
      <c r="C1831" s="3" t="str">
        <f>IFERROR(__xludf.DUMMYFUNCTION("GOOGLETRANSLATE(B1831,""id"",""en"")"),"['Please', 'Telkomsel', 'signal', 'please', 'repaired', 'because', 'region', 'signal', 'UDH', 'rough', 'satisfied', 'wear', ' Please, 'Telkomsel']")</f>
        <v>['Please', 'Telkomsel', 'signal', 'please', 'repaired', 'because', 'region', 'signal', 'UDH', 'rough', 'satisfied', 'wear', ' Please, 'Telkomsel']</v>
      </c>
      <c r="D1831" s="3">
        <v>1.0</v>
      </c>
    </row>
    <row r="1832" ht="15.75" customHeight="1">
      <c r="A1832" s="1">
        <v>1957.0</v>
      </c>
      <c r="B1832" s="3" t="s">
        <v>1767</v>
      </c>
      <c r="C1832" s="3" t="str">
        <f>IFERROR(__xludf.DUMMYFUNCTION("GOOGLETRANSLATE(B1832,""id"",""en"")"),"['Yesterday', 'Star', 'Reduce', 'Reduce', 'Star', 'Complaints',' Signal ',' Mantaps', 'Full', 'Reality', 'Loading', 'proverb', ' money ',' quality ',' apply ',' for you ',' can be ',' solution ',' convenience ',' customer ',' suggestion ',' restore ',' st"&amp;"atus', 'Halloo', 'sympathy' , 'NGISIBETIN', 'customer', 'consequences', 'failure', 'Halloo']")</f>
        <v>['Yesterday', 'Star', 'Reduce', 'Reduce', 'Star', 'Complaints',' Signal ',' Mantaps', 'Full', 'Reality', 'Loading', 'proverb', ' money ',' quality ',' apply ',' for you ',' can be ',' solution ',' convenience ',' customer ',' suggestion ',' restore ',' status', 'Halloo', 'sympathy' , 'NGISIBETIN', 'customer', 'consequences', 'failure', 'Halloo']</v>
      </c>
      <c r="D1832" s="3">
        <v>1.0</v>
      </c>
    </row>
    <row r="1833" ht="15.75" customHeight="1">
      <c r="A1833" s="1">
        <v>1958.0</v>
      </c>
      <c r="B1833" s="3" t="s">
        <v>1768</v>
      </c>
      <c r="C1833" s="3" t="str">
        <f>IFERROR(__xludf.DUMMYFUNCTION("GOOGLETRANSLATE(B1833,""id"",""en"")"),"['subscription', 'quota', 'GB', 'Network', 'bad', 'in Makassar', 'download', 'video', 'MB', 'download', 'failed', 'time', ' network ',' change ',' quota ',' wasted ',' vain ',' expensive ',' spend ',' waiting ',' download ',' list ',' card ',' use ',' nip"&amp;" ' , 'already', 'change', 'disappointing']")</f>
        <v>['subscription', 'quota', 'GB', 'Network', 'bad', 'in Makassar', 'download', 'video', 'MB', 'download', 'failed', 'time', ' network ',' change ',' quota ',' wasted ',' vain ',' expensive ',' spend ',' waiting ',' download ',' list ',' card ',' use ',' nip ' , 'already', 'change', 'disappointing']</v>
      </c>
      <c r="D1833" s="3">
        <v>1.0</v>
      </c>
    </row>
    <row r="1834" ht="15.75" customHeight="1">
      <c r="A1834" s="1">
        <v>1959.0</v>
      </c>
      <c r="B1834" s="3" t="s">
        <v>1769</v>
      </c>
      <c r="C1834" s="3" t="str">
        <f>IFERROR(__xludf.DUMMYFUNCTION("GOOGLETRANSLATE(B1834,""id"",""en"")"),"['best', 'dehh']")</f>
        <v>['best', 'dehh']</v>
      </c>
      <c r="D1834" s="3">
        <v>5.0</v>
      </c>
    </row>
    <row r="1835" ht="15.75" customHeight="1">
      <c r="A1835" s="1">
        <v>1960.0</v>
      </c>
      <c r="B1835" s="3" t="s">
        <v>1770</v>
      </c>
      <c r="C1835" s="3" t="str">
        <f>IFERROR(__xludf.DUMMYFUNCTION("GOOGLETRANSLATE(B1835,""id"",""en"")"),"['Lotsin', 'discount', 'rich', 'shop', 'next door']")</f>
        <v>['Lotsin', 'discount', 'rich', 'shop', 'next door']</v>
      </c>
      <c r="D1835" s="3">
        <v>5.0</v>
      </c>
    </row>
    <row r="1836" ht="15.75" customHeight="1">
      <c r="A1836" s="1">
        <v>1961.0</v>
      </c>
      <c r="B1836" s="3" t="s">
        <v>1771</v>
      </c>
      <c r="C1836" s="3" t="str">
        <f>IFERROR(__xludf.DUMMYFUNCTION("GOOGLETRANSLATE(B1836,""id"",""en"")"),"['leftover', 'pulse', 'finished', 'activates',' package ',' internet ',' for a while ',' activate ',' data ',' cellular ',' appears', 'message', ' Wear ',' pulses', 'access',' internet ',' non ',' package ',' mean ',' package ',' internet ',' active ',' p"&amp;"ulse ',' reduced ',' time ' , '']")</f>
        <v>['leftover', 'pulse', 'finished', 'activates',' package ',' internet ',' for a while ',' activate ',' data ',' cellular ',' appears', 'message', ' Wear ',' pulses', 'access',' internet ',' non ',' package ',' mean ',' package ',' internet ',' active ',' pulse ',' reduced ',' time ' , '']</v>
      </c>
      <c r="D1836" s="3">
        <v>2.0</v>
      </c>
    </row>
    <row r="1837" ht="15.75" customHeight="1">
      <c r="A1837" s="1">
        <v>1962.0</v>
      </c>
      <c r="B1837" s="3" t="s">
        <v>1772</v>
      </c>
      <c r="C1837" s="3" t="str">
        <f>IFERROR(__xludf.DUMMYFUNCTION("GOOGLETRANSLATE(B1837,""id"",""en"")"),"['Woii', 'Stop', 'Habits', 'Maling', 'Credit', 'WiFi', 'Credit', 'then', 'Sumpot', 'really', 'mah']")</f>
        <v>['Woii', 'Stop', 'Habits', 'Maling', 'Credit', 'WiFi', 'Credit', 'then', 'Sumpot', 'really', 'mah']</v>
      </c>
      <c r="D1837" s="3">
        <v>1.0</v>
      </c>
    </row>
    <row r="1838" ht="15.75" customHeight="1">
      <c r="A1838" s="1">
        <v>1963.0</v>
      </c>
      <c r="B1838" s="3" t="s">
        <v>1773</v>
      </c>
      <c r="C1838" s="3" t="str">
        <f>IFERROR(__xludf.DUMMYFUNCTION("GOOGLETRANSLATE(B1838,""id"",""en"")"),"['heart', 'guys', 'late', 'pay', 'maen', 'lgsg', 'telephone', 'number', 'known', 'family', 'called']")</f>
        <v>['heart', 'guys', 'late', 'pay', 'maen', 'lgsg', 'telephone', 'number', 'known', 'family', 'called']</v>
      </c>
      <c r="D1838" s="3">
        <v>1.0</v>
      </c>
    </row>
    <row r="1839" ht="15.75" customHeight="1">
      <c r="A1839" s="1">
        <v>1964.0</v>
      </c>
      <c r="B1839" s="3" t="s">
        <v>1774</v>
      </c>
      <c r="C1839" s="3" t="str">
        <f>IFERROR(__xludf.DUMMYFUNCTION("GOOGLETRANSLATE(B1839,""id"",""en"")"),"['Speed', 'internet', 'desiring', 'signal', 'bar', 'slow', 'forgiveness', 'congratulations', 'stay', 'Telkomsel', ""]")</f>
        <v>['Speed', 'internet', 'desiring', 'signal', 'bar', 'slow', 'forgiveness', 'congratulations', 'stay', 'Telkomsel', "]</v>
      </c>
      <c r="D1839" s="3">
        <v>1.0</v>
      </c>
    </row>
    <row r="1840" ht="15.75" customHeight="1">
      <c r="A1840" s="1">
        <v>1965.0</v>
      </c>
      <c r="B1840" s="3" t="s">
        <v>1775</v>
      </c>
      <c r="C1840" s="3" t="str">
        <f>IFERROR(__xludf.DUMMYFUNCTION("GOOGLETRANSLATE(B1840,""id"",""en"")"),"['network', 'internet', 'bad', 'users',' muaralaung ',' kec ',' laung ',' tuhup ',' kab ',' mura ',' kalimantan ',' moved ',' Wear ',' card ']")</f>
        <v>['network', 'internet', 'bad', 'users',' muaralaung ',' kec ',' laung ',' tuhup ',' kab ',' mura ',' kalimantan ',' moved ',' Wear ',' card ']</v>
      </c>
      <c r="D1840" s="3">
        <v>1.0</v>
      </c>
    </row>
    <row r="1841" ht="15.75" customHeight="1">
      <c r="A1841" s="1">
        <v>1966.0</v>
      </c>
      <c r="B1841" s="3" t="s">
        <v>1776</v>
      </c>
      <c r="C1841" s="3" t="str">
        <f>IFERROR(__xludf.DUMMYFUNCTION("GOOGLETRANSLATE(B1841,""id"",""en"")"),"['Application', 'MyTelkomsel', 'help']")</f>
        <v>['Application', 'MyTelkomsel', 'help']</v>
      </c>
      <c r="D1841" s="3">
        <v>5.0</v>
      </c>
    </row>
    <row r="1842" ht="15.75" customHeight="1">
      <c r="A1842" s="1">
        <v>1967.0</v>
      </c>
      <c r="B1842" s="3" t="s">
        <v>1777</v>
      </c>
      <c r="C1842" s="3" t="str">
        <f>IFERROR(__xludf.DUMMYFUNCTION("GOOGLETRANSLATE(B1842,""id"",""en"")"),"['Telkomsel', 'delicious', 'use', 'internet']")</f>
        <v>['Telkomsel', 'delicious', 'use', 'internet']</v>
      </c>
      <c r="D1842" s="3">
        <v>4.0</v>
      </c>
    </row>
    <row r="1843" ht="15.75" customHeight="1">
      <c r="A1843" s="1">
        <v>1968.0</v>
      </c>
      <c r="B1843" s="3" t="s">
        <v>1778</v>
      </c>
      <c r="C1843" s="3" t="str">
        <f>IFERROR(__xludf.DUMMYFUNCTION("GOOGLETRANSLATE(B1843,""id"",""en"")"),"['Network', 'Telkomsel', 'satisfying']")</f>
        <v>['Network', 'Telkomsel', 'satisfying']</v>
      </c>
      <c r="D1843" s="3">
        <v>5.0</v>
      </c>
    </row>
    <row r="1844" ht="15.75" customHeight="1">
      <c r="A1844" s="1">
        <v>1969.0</v>
      </c>
      <c r="B1844" s="3" t="s">
        <v>1779</v>
      </c>
      <c r="C1844" s="3" t="str">
        <f>IFERROR(__xludf.DUMMYFUNCTION("GOOGLETRANSLATE(B1844,""id"",""en"")"),"['expensive', 'really', 'chick', 'pulses']")</f>
        <v>['expensive', 'really', 'chick', 'pulses']</v>
      </c>
      <c r="D1844" s="3">
        <v>1.0</v>
      </c>
    </row>
    <row r="1845" ht="15.75" customHeight="1">
      <c r="A1845" s="1">
        <v>1970.0</v>
      </c>
      <c r="B1845" s="3" t="s">
        <v>1780</v>
      </c>
      <c r="C1845" s="3" t="str">
        <f>IFERROR(__xludf.DUMMYFUNCTION("GOOGLETRANSLATE(B1845,""id"",""en"")"),"['Telkomsel', 'poor', 'slow', '']")</f>
        <v>['Telkomsel', 'poor', 'slow', '']</v>
      </c>
      <c r="D1845" s="3">
        <v>1.0</v>
      </c>
    </row>
    <row r="1846" ht="15.75" customHeight="1">
      <c r="A1846" s="1">
        <v>1971.0</v>
      </c>
      <c r="B1846" s="3" t="s">
        <v>1781</v>
      </c>
      <c r="C1846" s="3" t="str">
        <f>IFERROR(__xludf.DUMMYFUNCTION("GOOGLETRANSLATE(B1846,""id"",""en"")"),"['Steady', 'Soul', 'Broooo']")</f>
        <v>['Steady', 'Soul', 'Broooo']</v>
      </c>
      <c r="D1846" s="3">
        <v>5.0</v>
      </c>
    </row>
    <row r="1847" ht="15.75" customHeight="1">
      <c r="A1847" s="1">
        <v>1972.0</v>
      </c>
      <c r="B1847" s="3" t="s">
        <v>1782</v>
      </c>
      <c r="C1847" s="3" t="str">
        <f>IFERROR(__xludf.DUMMYFUNCTION("GOOGLETRANSLATE(B1847,""id"",""en"")"),"['Its',' Semaknin ',' garbage ',' Tower ',' Telkomsel ',' room ',' sleep ',' please ',' Ngilak ',' price ',' oaketan ',' expensive ',' Taoi ',' consumer ',' garbage ']")</f>
        <v>['Its',' Semaknin ',' garbage ',' Tower ',' Telkomsel ',' room ',' sleep ',' please ',' Ngilak ',' price ',' oaketan ',' expensive ',' Taoi ',' consumer ',' garbage ']</v>
      </c>
      <c r="D1847" s="3">
        <v>1.0</v>
      </c>
    </row>
    <row r="1848" ht="15.75" customHeight="1">
      <c r="A1848" s="1">
        <v>1973.0</v>
      </c>
      <c r="B1848" s="3" t="s">
        <v>1783</v>
      </c>
      <c r="C1848" s="3" t="str">
        <f>IFERROR(__xludf.DUMMYFUNCTION("GOOGLETRANSLATE(B1848,""id"",""en"")"),"['', 'city', 'network', 'kyk', 'snot', 'kid', 'expensive', 'doang']")</f>
        <v>['', 'city', 'network', 'kyk', 'snot', 'kid', 'expensive', 'doang']</v>
      </c>
      <c r="D1848" s="3">
        <v>1.0</v>
      </c>
    </row>
    <row r="1849" ht="15.75" customHeight="1">
      <c r="A1849" s="1">
        <v>1974.0</v>
      </c>
      <c r="B1849" s="3" t="s">
        <v>1784</v>
      </c>
      <c r="C1849" s="3" t="str">
        <f>IFERROR(__xludf.DUMMYFUNCTION("GOOGLETRANSLATE(B1849,""id"",""en"")"),"['Signal', 'Telkomsel', 'Disruption', 'Disorders', 'Stop', 'Teloomsel', 'Wear', 'Exis', 'Rare', 'Gagguan']")</f>
        <v>['Signal', 'Telkomsel', 'Disruption', 'Disorders', 'Stop', 'Teloomsel', 'Wear', 'Exis', 'Rare', 'Gagguan']</v>
      </c>
      <c r="D1849" s="3">
        <v>1.0</v>
      </c>
    </row>
    <row r="1850" ht="15.75" customHeight="1">
      <c r="A1850" s="1">
        <v>1975.0</v>
      </c>
      <c r="B1850" s="3" t="s">
        <v>1785</v>
      </c>
      <c r="C1850" s="3" t="str">
        <f>IFERROR(__xludf.DUMMYFUNCTION("GOOGLETRANSLATE(B1850,""id"",""en"")"),"['bad signal', '']")</f>
        <v>['bad signal', '']</v>
      </c>
      <c r="D1850" s="3">
        <v>1.0</v>
      </c>
    </row>
    <row r="1851" ht="15.75" customHeight="1">
      <c r="A1851" s="1">
        <v>1976.0</v>
      </c>
      <c r="B1851" s="3" t="s">
        <v>1786</v>
      </c>
      <c r="C1851" s="3" t="str">
        <f>IFERROR(__xludf.DUMMYFUNCTION("GOOGLETRANSLATE(B1851,""id"",""en"")"),"['', 'told', 'update', 'right', 'open', 'APK', 'right', 'UDH', 'update', 'difficult', 'enter', 'updated', 'Udh ',' Network ',' KSNI ',' ugly ',' Severe ',' Mending ',' APK ', ""]")</f>
        <v>['', 'told', 'update', 'right', 'open', 'APK', 'right', 'UDH', 'update', 'difficult', 'enter', 'updated', 'Udh ',' Network ',' KSNI ',' ugly ',' Severe ',' Mending ',' APK ', "]</v>
      </c>
      <c r="D1851" s="3">
        <v>2.0</v>
      </c>
    </row>
    <row r="1852" ht="15.75" customHeight="1">
      <c r="A1852" s="1">
        <v>1977.0</v>
      </c>
      <c r="B1852" s="3" t="s">
        <v>1787</v>
      </c>
      <c r="C1852" s="3" t="str">
        <f>IFERROR(__xludf.DUMMYFUNCTION("GOOGLETRANSLATE(B1852,""id"",""en"")"),"['easy', 'fast', 'satisfying']")</f>
        <v>['easy', 'fast', 'satisfying']</v>
      </c>
      <c r="D1852" s="3">
        <v>5.0</v>
      </c>
    </row>
    <row r="1853" ht="15.75" customHeight="1">
      <c r="A1853" s="1">
        <v>1978.0</v>
      </c>
      <c r="B1853" s="3" t="s">
        <v>1788</v>
      </c>
      <c r="C1853" s="3" t="str">
        <f>IFERROR(__xludf.DUMMYFUNCTION("GOOGLETRANSLATE(B1853,""id"",""en"")"),"['damaged', 'application', 'category', 'package', 'quota', 'ilang', 'left', 'gigamax', 'combo', 'sakti', 'package', 'where' Lost ',' please ']")</f>
        <v>['damaged', 'application', 'category', 'package', 'quota', 'ilang', 'left', 'gigamax', 'combo', 'sakti', 'package', 'where' Lost ',' please ']</v>
      </c>
      <c r="D1853" s="3">
        <v>1.0</v>
      </c>
    </row>
    <row r="1854" ht="15.75" customHeight="1">
      <c r="A1854" s="1">
        <v>1979.0</v>
      </c>
      <c r="B1854" s="3" t="s">
        <v>1789</v>
      </c>
      <c r="C1854" s="3" t="str">
        <f>IFERROR(__xludf.DUMMYFUNCTION("GOOGLETRANSLATE(B1854,""id"",""en"")"),"['', 'love', 'Know', 'know', 'Telkomsel', 'until', 'skrg', 'like', 'really', 'knapa', 'just', 'Suliit', 'appeared ',' Alias', 'LEG', 'TAUK', 'Try', 'Dibagusin', 'Doonk', 'Satisfaction', 'Customer', 'That's',' Ajaa ']")</f>
        <v>['', 'love', 'Know', 'know', 'Telkomsel', 'until', 'skrg', 'like', 'really', 'knapa', 'just', 'Suliit', 'appeared ',' Alias', 'LEG', 'TAUK', 'Try', 'Dibagusin', 'Doonk', 'Satisfaction', 'Customer', 'That's',' Ajaa ']</v>
      </c>
      <c r="D1854" s="3">
        <v>4.0</v>
      </c>
    </row>
    <row r="1855" ht="15.75" customHeight="1">
      <c r="A1855" s="1">
        <v>1980.0</v>
      </c>
      <c r="B1855" s="3" t="s">
        <v>1790</v>
      </c>
      <c r="C1855" s="3" t="str">
        <f>IFERROR(__xludf.DUMMYFUNCTION("GOOGLETRANSLATE(B1855,""id"",""en"")"),"['Cool', 'networknta']")</f>
        <v>['Cool', 'networknta']</v>
      </c>
      <c r="D1855" s="3">
        <v>5.0</v>
      </c>
    </row>
    <row r="1856" ht="15.75" customHeight="1">
      <c r="A1856" s="1">
        <v>1981.0</v>
      </c>
      <c r="B1856" s="3" t="s">
        <v>1791</v>
      </c>
      <c r="C1856" s="3" t="str">
        <f>IFERROR(__xludf.DUMMYFUNCTION("GOOGLETRANSLATE(B1856,""id"",""en"")"),"['Presentation', 'Service', 'May', 'Telkomsel', 'Sangan', 'Needed', 'User', 'Services',' Dipedaan ',' System ',' Simatable ',' frequency ',' The network is', 'reinforced']")</f>
        <v>['Presentation', 'Service', 'May', 'Telkomsel', 'Sangan', 'Needed', 'User', 'Services',' Dipedaan ',' System ',' Simatable ',' frequency ',' The network is', 'reinforced']</v>
      </c>
      <c r="D1856" s="3">
        <v>5.0</v>
      </c>
    </row>
    <row r="1857" ht="15.75" customHeight="1">
      <c r="A1857" s="1">
        <v>1982.0</v>
      </c>
      <c r="B1857" s="3" t="s">
        <v>1792</v>
      </c>
      <c r="C1857" s="3" t="str">
        <f>IFERROR(__xludf.DUMMYFUNCTION("GOOGLETRANSLATE(B1857,""id"",""en"")"),"['Not bad', 'easy', 'contents', 'reset', 'quota']")</f>
        <v>['Not bad', 'easy', 'contents', 'reset', 'quota']</v>
      </c>
      <c r="D1857" s="3">
        <v>3.0</v>
      </c>
    </row>
    <row r="1858" ht="15.75" customHeight="1">
      <c r="A1858" s="1">
        <v>1983.0</v>
      </c>
      <c r="B1858" s="3" t="s">
        <v>1793</v>
      </c>
      <c r="C1858" s="3" t="str">
        <f>IFERROR(__xludf.DUMMYFUNCTION("GOOGLETRANSLATE(B1858,""id"",""en"")"),"['Good', 'Useful', '']")</f>
        <v>['Good', 'Useful', '']</v>
      </c>
      <c r="D1858" s="3">
        <v>5.0</v>
      </c>
    </row>
    <row r="1859" ht="15.75" customHeight="1">
      <c r="A1859" s="1">
        <v>1984.0</v>
      </c>
      <c r="B1859" s="3" t="s">
        <v>1794</v>
      </c>
      <c r="C1859" s="3" t="str">
        <f>IFERROR(__xludf.DUMMYFUNCTION("GOOGLETRANSLATE(B1859,""id"",""en"")"),"['Please', 'bhs', 'Indonesia']")</f>
        <v>['Please', 'bhs', 'Indonesia']</v>
      </c>
      <c r="D1859" s="3">
        <v>5.0</v>
      </c>
    </row>
    <row r="1860" ht="15.75" customHeight="1">
      <c r="A1860" s="1">
        <v>1985.0</v>
      </c>
      <c r="B1860" s="3" t="s">
        <v>1795</v>
      </c>
      <c r="C1860" s="3" t="str">
        <f>IFERROR(__xludf.DUMMYFUNCTION("GOOGLETRANSLATE(B1860,""id"",""en"")"),"['Love', 'Bintang', 'suk']")</f>
        <v>['Love', 'Bintang', 'suk']</v>
      </c>
      <c r="D1860" s="3">
        <v>5.0</v>
      </c>
    </row>
    <row r="1861" ht="15.75" customHeight="1">
      <c r="A1861" s="1">
        <v>1986.0</v>
      </c>
      <c r="B1861" s="3" t="s">
        <v>1796</v>
      </c>
      <c r="C1861" s="3" t="str">
        <f>IFERROR(__xludf.DUMMYFUNCTION("GOOGLETRANSLATE(B1861,""id"",""en"")"),"['Hope it is useful']")</f>
        <v>['Hope it is useful']</v>
      </c>
      <c r="D1861" s="3">
        <v>5.0</v>
      </c>
    </row>
    <row r="1862" ht="15.75" customHeight="1">
      <c r="A1862" s="1">
        <v>1987.0</v>
      </c>
      <c r="B1862" s="3" t="s">
        <v>1797</v>
      </c>
      <c r="C1862" s="3" t="str">
        <f>IFERROR(__xludf.DUMMYFUNCTION("GOOGLETRANSLATE(B1862,""id"",""en"")"),"['Hilham', 'Satisfied', 'Performance', 'Telkomsel']")</f>
        <v>['Hilham', 'Satisfied', 'Performance', 'Telkomsel']</v>
      </c>
      <c r="D1862" s="3">
        <v>5.0</v>
      </c>
    </row>
    <row r="1863" ht="15.75" customHeight="1">
      <c r="A1863" s="1">
        <v>1988.0</v>
      </c>
      <c r="B1863" s="3" t="s">
        <v>1798</v>
      </c>
      <c r="C1863" s="3" t="str">
        <f>IFERROR(__xludf.DUMMYFUNCTION("GOOGLETRANSLATE(B1863,""id"",""en"")"),"['Application', 'Help', 'Thanks']")</f>
        <v>['Application', 'Help', 'Thanks']</v>
      </c>
      <c r="D1863" s="3">
        <v>4.0</v>
      </c>
    </row>
    <row r="1864" ht="15.75" customHeight="1">
      <c r="A1864" s="1">
        <v>1989.0</v>
      </c>
      <c r="B1864" s="3" t="s">
        <v>1799</v>
      </c>
      <c r="C1864" s="3" t="str">
        <f>IFERROR(__xludf.DUMMYFUNCTION("GOOGLETRANSLATE(B1864,""id"",""en"")"),"['Credit', 'Sya', 'Direct', 'Cutting', 'For', 'Package', 'Quota', 'Buy', 'Package', 'Stop', 'Subscribe', 'Choice', ' Have ',' Buy ',' Package ',' Morotin ',' Credit ',' That's', 'Kali', 'Please', 'Non', 'Activate', 'Package', 'Quota', 'PRNH' , 'internet',"&amp;" 'Telkomsel', 'cut it out', 'pulse', 'sya', 'pdahal', 'pulse', 'use', 'sms',' banking ',' telephone ',' please ',' Camera ',' trust ']")</f>
        <v>['Credit', 'Sya', 'Direct', 'Cutting', 'For', 'Package', 'Quota', 'Buy', 'Package', 'Stop', 'Subscribe', 'Choice', ' Have ',' Buy ',' Package ',' Morotin ',' Credit ',' That's', 'Kali', 'Please', 'Non', 'Activate', 'Package', 'Quota', 'PRNH' , 'internet', 'Telkomsel', 'cut it out', 'pulse', 'sya', 'pdahal', 'pulse', 'use', 'sms',' banking ',' telephone ',' please ',' Camera ',' trust ']</v>
      </c>
      <c r="D1864" s="3">
        <v>1.0</v>
      </c>
    </row>
    <row r="1865" ht="15.75" customHeight="1">
      <c r="A1865" s="1">
        <v>1990.0</v>
      </c>
      <c r="B1865" s="3" t="s">
        <v>1800</v>
      </c>
      <c r="C1865" s="3" t="str">
        <f>IFERROR(__xludf.DUMMYFUNCTION("GOOGLETRANSLATE(B1865,""id"",""en"")"),"['Steady', 'buy', 'package', 'easy']")</f>
        <v>['Steady', 'buy', 'package', 'easy']</v>
      </c>
      <c r="D1865" s="3">
        <v>5.0</v>
      </c>
    </row>
    <row r="1866" ht="15.75" customHeight="1">
      <c r="A1866" s="1">
        <v>1991.0</v>
      </c>
      <c r="B1866" s="3" t="s">
        <v>1801</v>
      </c>
      <c r="C1866" s="3" t="str">
        <f>IFERROR(__xludf.DUMMYFUNCTION("GOOGLETRANSLATE(B1866,""id"",""en"")"),"['Please', 'Update', 'Supya', 'Support', 'Android', 'Maksh']")</f>
        <v>['Please', 'Update', 'Supya', 'Support', 'Android', 'Maksh']</v>
      </c>
      <c r="D1866" s="3">
        <v>5.0</v>
      </c>
    </row>
    <row r="1867" ht="15.75" customHeight="1">
      <c r="A1867" s="1">
        <v>1992.0</v>
      </c>
      <c r="B1867" s="3" t="s">
        <v>1802</v>
      </c>
      <c r="C1867" s="3" t="str">
        <f>IFERROR(__xludf.DUMMYFUNCTION("GOOGLETRANSLATE(B1867,""id"",""en"")"),"['network', 'fear', 'high school', 'rain', 'sometimes',' kdnag ',' lazy ',' bngt ',' cba ',' fix ',' donk ',' consumer ',' ']")</f>
        <v>['network', 'fear', 'high school', 'rain', 'sometimes',' kdnag ',' lazy ',' bngt ',' cba ',' fix ',' donk ',' consumer ',' ']</v>
      </c>
      <c r="D1867" s="3">
        <v>1.0</v>
      </c>
    </row>
    <row r="1868" ht="15.75" customHeight="1">
      <c r="A1868" s="1">
        <v>1993.0</v>
      </c>
      <c r="B1868" s="3" t="s">
        <v>1803</v>
      </c>
      <c r="C1868" s="3" t="str">
        <f>IFERROR(__xludf.DUMMYFUNCTION("GOOGLETRANSLATE(B1868,""id"",""en"")"),"['Steady', 'apk', 'make it', 'package', 'easy', 'thank you', 'make it', 'APK', '']")</f>
        <v>['Steady', 'apk', 'make it', 'package', 'easy', 'thank you', 'make it', 'APK', '']</v>
      </c>
      <c r="D1868" s="3">
        <v>5.0</v>
      </c>
    </row>
    <row r="1869" ht="15.75" customHeight="1">
      <c r="A1869" s="1">
        <v>1994.0</v>
      </c>
      <c r="B1869" s="3" t="s">
        <v>1804</v>
      </c>
      <c r="C1869" s="3" t="str">
        <f>IFERROR(__xludf.DUMMYFUNCTION("GOOGLETRANSLATE(B1869,""id"",""en"")"),"['Good', 'signal']")</f>
        <v>['Good', 'signal']</v>
      </c>
      <c r="D1869" s="3">
        <v>5.0</v>
      </c>
    </row>
    <row r="1870" ht="15.75" customHeight="1">
      <c r="A1870" s="1">
        <v>1995.0</v>
      </c>
      <c r="B1870" s="3" t="s">
        <v>1805</v>
      </c>
      <c r="C1870" s="3" t="str">
        <f>IFERROR(__xludf.DUMMYFUNCTION("GOOGLETRANSLATE(B1870,""id"",""en"")"),"['Good', 'the application', 'steady', '']")</f>
        <v>['Good', 'the application', 'steady', '']</v>
      </c>
      <c r="D1870" s="3">
        <v>5.0</v>
      </c>
    </row>
    <row r="1871" ht="15.75" customHeight="1">
      <c r="A1871" s="1">
        <v>1996.0</v>
      </c>
      <c r="B1871" s="3" t="s">
        <v>1806</v>
      </c>
      <c r="C1871" s="3" t="str">
        <f>IFERROR(__xludf.DUMMYFUNCTION("GOOGLETRANSLATE(B1871,""id"",""en"")"),"['Telkomsel', 'no', '']")</f>
        <v>['Telkomsel', 'no', '']</v>
      </c>
      <c r="D1871" s="3">
        <v>5.0</v>
      </c>
    </row>
    <row r="1872" ht="15.75" customHeight="1">
      <c r="A1872" s="1">
        <v>1997.0</v>
      </c>
      <c r="B1872" s="3" t="s">
        <v>494</v>
      </c>
      <c r="C1872" s="3" t="str">
        <f>IFERROR(__xludf.DUMMYFUNCTION("GOOGLETRANSLATE(B1872,""id"",""en"")"),"['app', 'help']")</f>
        <v>['app', 'help']</v>
      </c>
      <c r="D1872" s="3">
        <v>5.0</v>
      </c>
    </row>
    <row r="1873" ht="15.75" customHeight="1">
      <c r="A1873" s="1">
        <v>1998.0</v>
      </c>
      <c r="B1873" s="3" t="s">
        <v>1807</v>
      </c>
      <c r="C1873" s="3" t="str">
        <f>IFERROR(__xludf.DUMMYFUNCTION("GOOGLETRANSLATE(B1873,""id"",""en"")"),"['Hopefully', 'Success', 'Telkomsel']")</f>
        <v>['Hopefully', 'Success', 'Telkomsel']</v>
      </c>
      <c r="D1873" s="3">
        <v>2.0</v>
      </c>
    </row>
    <row r="1874" ht="15.75" customHeight="1">
      <c r="A1874" s="1">
        <v>1999.0</v>
      </c>
      <c r="B1874" s="3" t="s">
        <v>1808</v>
      </c>
      <c r="C1874" s="3" t="str">
        <f>IFERROR(__xludf.DUMMYFUNCTION("GOOGLETRANSLATE(B1874,""id"",""en"")"),"['Application', 'Good', 'Shars',' Leet ',' Network ',' Telkomsel ',' ugly ',' operator ',' muahaaaal ',' expensive ',' slow ',' Kyak ',' forest ',' rimbaaaaaa ',' love ',' rain ',' may ',' dongo ',' slow ',' therah ',' tdinya ',' think ',' slow ',' trnyat"&amp;"a ',' network ' , 'Telkomsel', '']")</f>
        <v>['Application', 'Good', 'Shars',' Leet ',' Network ',' Telkomsel ',' ugly ',' operator ',' muahaaaal ',' expensive ',' slow ',' Kyak ',' forest ',' rimbaaaaaa ',' love ',' rain ',' may ',' dongo ',' slow ',' therah ',' tdinya ',' think ',' slow ',' trnyata ',' network ' , 'Telkomsel', '']</v>
      </c>
      <c r="D1874" s="3">
        <v>1.0</v>
      </c>
    </row>
    <row r="1875" ht="15.75" customHeight="1">
      <c r="A1875" s="1">
        <v>2000.0</v>
      </c>
      <c r="B1875" s="3" t="s">
        <v>1809</v>
      </c>
      <c r="C1875" s="3" t="str">
        <f>IFERROR(__xludf.DUMMYFUNCTION("GOOGLETRANSLATE(B1875,""id"",""en"")"),"['', 'Ngeluh', 'Open', 'APK', 'Telkom', 'then', 'background', 'white', 'doang', 'server', 'heheheheheeee', 'pldah', 'tri ',' Paketan ',' cheap ',' cheap ',' The ',' Best ']")</f>
        <v>['', 'Ngeluh', 'Open', 'APK', 'Telkom', 'then', 'background', 'white', 'doang', 'server', 'heheheheheeee', 'pldah', 'tri ',' Paketan ',' cheap ',' cheap ',' The ',' Best ']</v>
      </c>
      <c r="D1875" s="3">
        <v>1.0</v>
      </c>
    </row>
    <row r="1876" ht="15.75" customHeight="1">
      <c r="A1876" s="1">
        <v>2001.0</v>
      </c>
      <c r="B1876" s="3" t="s">
        <v>1810</v>
      </c>
      <c r="C1876" s="3" t="str">
        <f>IFERROR(__xludf.DUMMYFUNCTION("GOOGLETRANSLATE(B1876,""id"",""en"")"),"['sorry', 'love', 'star', 'cook', 'signal', 'intersection', 'rimbo', 'mendalo', 'city', 'jambi', 'slow', 'really', ' Stable ',' YouTube ',' BUTFERING ',' NGEGAME ',' Ngelag ',' Open ',' Loading ',' Buy ',' Package ',' Internet ',' Expensive ',' Expensive "&amp;"', ""]")</f>
        <v>['sorry', 'love', 'star', 'cook', 'signal', 'intersection', 'rimbo', 'mendalo', 'city', 'jambi', 'slow', 'really', ' Stable ',' YouTube ',' BUTFERING ',' NGEGAME ',' Ngelag ',' Open ',' Loading ',' Buy ',' Package ',' Internet ',' Expensive ',' Expensive ', "]</v>
      </c>
      <c r="D1876" s="3">
        <v>1.0</v>
      </c>
    </row>
    <row r="1877" ht="15.75" customHeight="1">
      <c r="A1877" s="1">
        <v>2002.0</v>
      </c>
      <c r="B1877" s="3" t="s">
        <v>1811</v>
      </c>
      <c r="C1877" s="3" t="str">
        <f>IFERROR(__xludf.DUMMYFUNCTION("GOOGLETRANSLATE(B1877,""id"",""en"")"),"['Disappointed', 'love', 'package', 'unlimited', 'use', '']")</f>
        <v>['Disappointed', 'love', 'package', 'unlimited', 'use', '']</v>
      </c>
      <c r="D1877" s="3">
        <v>1.0</v>
      </c>
    </row>
    <row r="1878" ht="15.75" customHeight="1">
      <c r="A1878" s="1">
        <v>2003.0</v>
      </c>
      <c r="B1878" s="3" t="s">
        <v>1812</v>
      </c>
      <c r="C1878" s="3" t="str">
        <f>IFERROR(__xludf.DUMMYFUNCTION("GOOGLETRANSLATE(B1878,""id"",""en"")"),"['Sangaaaaat']")</f>
        <v>['Sangaaaaat']</v>
      </c>
      <c r="D1878" s="3">
        <v>4.0</v>
      </c>
    </row>
    <row r="1879" ht="15.75" customHeight="1">
      <c r="A1879" s="1">
        <v>2004.0</v>
      </c>
      <c r="B1879" s="3" t="s">
        <v>1813</v>
      </c>
      <c r="C1879" s="3" t="str">
        <f>IFERROR(__xludf.DUMMYFUNCTION("GOOGLETRANSLATE(B1879,""id"",""en"")"),"['Telkomsel', 'Network', 'Kayak', 'Taik', 'Solok', 'West Sumatra']")</f>
        <v>['Telkomsel', 'Network', 'Kayak', 'Taik', 'Solok', 'West Sumatra']</v>
      </c>
      <c r="D1879" s="3">
        <v>1.0</v>
      </c>
    </row>
    <row r="1880" ht="15.75" customHeight="1">
      <c r="A1880" s="1">
        <v>2005.0</v>
      </c>
      <c r="B1880" s="3" t="s">
        <v>1814</v>
      </c>
      <c r="C1880" s="3" t="str">
        <f>IFERROR(__xludf.DUMMYFUNCTION("GOOGLETRANSLATE(B1880,""id"",""en"")"),"['cheat', 'check', 'Telkomsel', 'quota', 'internet', 'disappear', 'cynical', 'nawarin', 'switch', 'post', 'pay', 'language' soft ',' interested ',' accent ',' operator ',' change ',' cynical ',' real ',' ']")</f>
        <v>['cheat', 'check', 'Telkomsel', 'quota', 'internet', 'disappear', 'cynical', 'nawarin', 'switch', 'post', 'pay', 'language' soft ',' interested ',' accent ',' operator ',' change ',' cynical ',' real ',' ']</v>
      </c>
      <c r="D1880" s="3">
        <v>2.0</v>
      </c>
    </row>
    <row r="1881" ht="15.75" customHeight="1">
      <c r="A1881" s="1">
        <v>2006.0</v>
      </c>
      <c r="B1881" s="3" t="s">
        <v>264</v>
      </c>
      <c r="C1881" s="3" t="str">
        <f>IFERROR(__xludf.DUMMYFUNCTION("GOOGLETRANSLATE(B1881,""id"",""en"")"),"['Network', 'good']")</f>
        <v>['Network', 'good']</v>
      </c>
      <c r="D1881" s="3">
        <v>5.0</v>
      </c>
    </row>
    <row r="1882" ht="15.75" customHeight="1">
      <c r="A1882" s="1">
        <v>2007.0</v>
      </c>
      <c r="B1882" s="3" t="s">
        <v>1815</v>
      </c>
      <c r="C1882" s="3" t="str">
        <f>IFERROR(__xludf.DUMMYFUNCTION("GOOGLETRANSLATE(B1882,""id"",""en"")"),"['bonus', 'chek', 'right', 'error', 'back', 'poor', 'network', 'slow', 'really', 'fali', 'server']")</f>
        <v>['bonus', 'chek', 'right', 'error', 'back', 'poor', 'network', 'slow', 'really', 'fali', 'server']</v>
      </c>
      <c r="D1882" s="3">
        <v>1.0</v>
      </c>
    </row>
    <row r="1883" ht="15.75" customHeight="1">
      <c r="A1883" s="1">
        <v>2008.0</v>
      </c>
      <c r="B1883" s="3" t="s">
        <v>1816</v>
      </c>
      <c r="C1883" s="3" t="str">
        <f>IFERROR(__xludf.DUMMYFUNCTION("GOOGLETRANSLATE(B1883,""id"",""en"")"),"['Dahh', 'Lahh', 'tired', 'tasty', 'playing', 'game', 'down', 'Ahh', 'Severe', 'Kek', 'Gini', 'Kouta', ' expensive ',' Telkomsel ']")</f>
        <v>['Dahh', 'Lahh', 'tired', 'tasty', 'playing', 'game', 'down', 'Ahh', 'Severe', 'Kek', 'Gini', 'Kouta', ' expensive ',' Telkomsel ']</v>
      </c>
      <c r="D1883" s="3">
        <v>1.0</v>
      </c>
    </row>
    <row r="1884" ht="15.75" customHeight="1">
      <c r="A1884" s="1">
        <v>2009.0</v>
      </c>
      <c r="B1884" s="3" t="s">
        <v>1817</v>
      </c>
      <c r="C1884" s="3" t="str">
        <f>IFERROR(__xludf.DUMMYFUNCTION("GOOGLETRANSLATE(B1884,""id"",""en"")"),"['Want', 'Win', 'Exchange', 'Points']")</f>
        <v>['Want', 'Win', 'Exchange', 'Points']</v>
      </c>
      <c r="D1884" s="3">
        <v>4.0</v>
      </c>
    </row>
    <row r="1885" ht="15.75" customHeight="1">
      <c r="A1885" s="1">
        <v>2010.0</v>
      </c>
      <c r="B1885" s="3" t="s">
        <v>1818</v>
      </c>
      <c r="C1885" s="3" t="str">
        <f>IFERROR(__xludf.DUMMYFUNCTION("GOOGLETRANSLATE(B1885,""id"",""en"")"),"['products', 'Telkomsel', 'satisfying', 'obstacles']")</f>
        <v>['products', 'Telkomsel', 'satisfying', 'obstacles']</v>
      </c>
      <c r="D1885" s="3">
        <v>5.0</v>
      </c>
    </row>
    <row r="1886" ht="15.75" customHeight="1">
      <c r="A1886" s="1">
        <v>2011.0</v>
      </c>
      <c r="B1886" s="3" t="s">
        <v>1819</v>
      </c>
      <c r="C1886" s="3" t="str">
        <f>IFERROR(__xludf.DUMMYFUNCTION("GOOGLETRANSLATE(B1886,""id"",""en"")"),"['buy', 'package', 'voucher', 'entry', 'entry', 'already', 'clock', 'lazy', 'card', 'telkom', 'kek', 'gini', ' ']")</f>
        <v>['buy', 'package', 'voucher', 'entry', 'entry', 'already', 'clock', 'lazy', 'card', 'telkom', 'kek', 'gini', ' ']</v>
      </c>
      <c r="D1886" s="3">
        <v>1.0</v>
      </c>
    </row>
    <row r="1887" ht="15.75" customHeight="1">
      <c r="A1887" s="1">
        <v>2012.0</v>
      </c>
      <c r="B1887" s="3" t="s">
        <v>1820</v>
      </c>
      <c r="C1887" s="3" t="str">
        <f>IFERROR(__xludf.DUMMYFUNCTION("GOOGLETRANSLATE(B1887,""id"",""en"")"),"['Network', 'Good', 'Indonesia', 'Enhanced', 'Strength', 'Sousal', 'Weak', ""]")</f>
        <v>['Network', 'Good', 'Indonesia', 'Enhanced', 'Strength', 'Sousal', 'Weak', "]</v>
      </c>
      <c r="D1887" s="3">
        <v>5.0</v>
      </c>
    </row>
    <row r="1888" ht="15.75" customHeight="1">
      <c r="A1888" s="1">
        <v>2013.0</v>
      </c>
      <c r="B1888" s="3" t="s">
        <v>1821</v>
      </c>
      <c r="C1888" s="3" t="str">
        <f>IFERROR(__xludf.DUMMYFUNCTION("GOOGLETRANSLATE(B1888,""id"",""en"")"),"['Disappointed', 'Telkomsel', 'Solution', 'Complaints', 'Customer']")</f>
        <v>['Disappointed', 'Telkomsel', 'Solution', 'Complaints', 'Customer']</v>
      </c>
      <c r="D1888" s="3">
        <v>1.0</v>
      </c>
    </row>
    <row r="1889" ht="15.75" customHeight="1">
      <c r="A1889" s="1">
        <v>2014.0</v>
      </c>
      <c r="B1889" s="3" t="s">
        <v>1822</v>
      </c>
      <c r="C1889" s="3" t="str">
        <f>IFERROR(__xludf.DUMMYFUNCTION("GOOGLETRANSLATE(B1889,""id"",""en"")"),"['Network', 'Ngelag']")</f>
        <v>['Network', 'Ngelag']</v>
      </c>
      <c r="D1889" s="3">
        <v>5.0</v>
      </c>
    </row>
    <row r="1890" ht="15.75" customHeight="1">
      <c r="A1890" s="1">
        <v>2015.0</v>
      </c>
      <c r="B1890" s="3" t="s">
        <v>1823</v>
      </c>
      <c r="C1890" s="3" t="str">
        <f>IFERROR(__xludf.DUMMYFUNCTION("GOOGLETRANSLATE(B1890,""id"",""en"")"),"['convenience', 'use', '']")</f>
        <v>['convenience', 'use', '']</v>
      </c>
      <c r="D1890" s="3">
        <v>5.0</v>
      </c>
    </row>
    <row r="1891" ht="15.75" customHeight="1">
      <c r="A1891" s="1">
        <v>2016.0</v>
      </c>
      <c r="B1891" s="3" t="s">
        <v>1824</v>
      </c>
      <c r="C1891" s="3" t="str">
        <f>IFERROR(__xludf.DUMMYFUNCTION("GOOGLETRANSLATE(B1891,""id"",""en"")"),"['okay', '']")</f>
        <v>['okay', '']</v>
      </c>
      <c r="D1891" s="3">
        <v>4.0</v>
      </c>
    </row>
    <row r="1892" ht="15.75" customHeight="1">
      <c r="A1892" s="1">
        <v>2017.0</v>
      </c>
      <c r="B1892" s="3" t="s">
        <v>323</v>
      </c>
      <c r="C1892" s="3" t="str">
        <f>IFERROR(__xludf.DUMMYFUNCTION("GOOGLETRANSLATE(B1892,""id"",""en"")"),"['Telkomsel']")</f>
        <v>['Telkomsel']</v>
      </c>
      <c r="D1892" s="3">
        <v>1.0</v>
      </c>
    </row>
    <row r="1893" ht="15.75" customHeight="1">
      <c r="A1893" s="1">
        <v>2018.0</v>
      </c>
      <c r="B1893" s="3" t="s">
        <v>1825</v>
      </c>
      <c r="C1893" s="3" t="str">
        <f>IFERROR(__xludf.DUMMYFUNCTION("GOOGLETRANSLATE(B1893,""id"",""en"")"),"['Price', 'Quality', 'Bad', 'Closed', 'Can', '']")</f>
        <v>['Price', 'Quality', 'Bad', 'Closed', 'Can', '']</v>
      </c>
      <c r="D1893" s="3">
        <v>1.0</v>
      </c>
    </row>
    <row r="1894" ht="15.75" customHeight="1">
      <c r="A1894" s="1">
        <v>2019.0</v>
      </c>
      <c r="B1894" s="3" t="s">
        <v>1826</v>
      </c>
      <c r="C1894" s="3" t="str">
        <f>IFERROR(__xludf.DUMMYFUNCTION("GOOGLETRANSLATE(B1894,""id"",""en"")"),"['', 'Telkomsel', 'pulse', 'missing', 'certainty', 'severe', 'contents', 'pulse', 'missing', ""]")</f>
        <v>['', 'Telkomsel', 'pulse', 'missing', 'certainty', 'severe', 'contents', 'pulse', 'missing', "]</v>
      </c>
      <c r="D1894" s="3">
        <v>1.0</v>
      </c>
    </row>
    <row r="1895" ht="15.75" customHeight="1">
      <c r="A1895" s="1">
        <v>2020.0</v>
      </c>
      <c r="B1895" s="3" t="s">
        <v>1827</v>
      </c>
      <c r="C1895" s="3" t="str">
        <f>IFERROR(__xludf.DUMMYFUNCTION("GOOGLETRANSLATE(B1895,""id"",""en"")"),"['pulse', 'already', 'right', 'buy', 'package', 'pulse', 'nipu', 'how', '']")</f>
        <v>['pulse', 'already', 'right', 'buy', 'package', 'pulse', 'nipu', 'how', '']</v>
      </c>
      <c r="D1895" s="3">
        <v>1.0</v>
      </c>
    </row>
    <row r="1896" ht="15.75" customHeight="1">
      <c r="A1896" s="1">
        <v>2021.0</v>
      </c>
      <c r="B1896" s="3" t="s">
        <v>1828</v>
      </c>
      <c r="C1896" s="3" t="str">
        <f>IFERROR(__xludf.DUMMYFUNCTION("GOOGLETRANSLATE(B1896,""id"",""en"")"),"['Satisfied', 'application']")</f>
        <v>['Satisfied', 'application']</v>
      </c>
      <c r="D1896" s="3">
        <v>5.0</v>
      </c>
    </row>
    <row r="1897" ht="15.75" customHeight="1">
      <c r="A1897" s="1">
        <v>2022.0</v>
      </c>
      <c r="B1897" s="3" t="s">
        <v>1829</v>
      </c>
      <c r="C1897" s="3" t="str">
        <f>IFERROR(__xludf.DUMMYFUNCTION("GOOGLETRANSLATE(B1897,""id"",""en"")"),"['Telkomsel', 'hope', 'cheap']")</f>
        <v>['Telkomsel', 'hope', 'cheap']</v>
      </c>
      <c r="D1897" s="3">
        <v>5.0</v>
      </c>
    </row>
    <row r="1898" ht="15.75" customHeight="1">
      <c r="A1898" s="1">
        <v>2023.0</v>
      </c>
      <c r="B1898" s="3" t="s">
        <v>1830</v>
      </c>
      <c r="C1898" s="3" t="str">
        <f>IFERROR(__xludf.DUMMYFUNCTION("GOOGLETRANSLATE(B1898,""id"",""en"")"),"['Hey', 'Operator', 'Dear', 'Network', 'Damaged', 'Then', 'Klian', 'Nii', 'Jdi', 'Operator', 'Mendimg', 'Resign', ' dri ',' work ',' taik ',' package ',' expensive ',' network ',' slow ',' abis']")</f>
        <v>['Hey', 'Operator', 'Dear', 'Network', 'Damaged', 'Then', 'Klian', 'Nii', 'Jdi', 'Operator', 'Mendimg', 'Resign', ' dri ',' work ',' taik ',' package ',' expensive ',' network ',' slow ',' abis']</v>
      </c>
      <c r="D1898" s="3">
        <v>1.0</v>
      </c>
    </row>
    <row r="1899" ht="15.75" customHeight="1">
      <c r="A1899" s="1">
        <v>2025.0</v>
      </c>
      <c r="B1899" s="3" t="s">
        <v>1831</v>
      </c>
      <c r="C1899" s="3" t="str">
        <f>IFERROR(__xludf.DUMMYFUNCTION("GOOGLETRANSLATE(B1899,""id"",""en"")"),"['thank', 'love', 'Telkomsel', 'promo']")</f>
        <v>['thank', 'love', 'Telkomsel', 'promo']</v>
      </c>
      <c r="D1899" s="3">
        <v>5.0</v>
      </c>
    </row>
    <row r="1900" ht="15.75" customHeight="1">
      <c r="A1900" s="1">
        <v>2026.0</v>
      </c>
      <c r="B1900" s="3" t="s">
        <v>1832</v>
      </c>
      <c r="C1900" s="3" t="str">
        <f>IFERROR(__xludf.DUMMYFUNCTION("GOOGLETRANSLATE(B1900,""id"",""en"")"),"['buy', 'package', 'easy', 'klu', 'business', 'geme', 'ugly', '']")</f>
        <v>['buy', 'package', 'easy', 'klu', 'business', 'geme', 'ugly', '']</v>
      </c>
      <c r="D1900" s="3">
        <v>2.0</v>
      </c>
    </row>
    <row r="1901" ht="15.75" customHeight="1">
      <c r="A1901" s="1">
        <v>2027.0</v>
      </c>
      <c r="B1901" s="3" t="s">
        <v>1833</v>
      </c>
      <c r="C1901" s="3" t="str">
        <f>IFERROR(__xludf.DUMMYFUNCTION("GOOGLETRANSLATE(B1901,""id"",""en"")"),"['Steady', 'package', 'Lebuh', 'cheap', 'easy']")</f>
        <v>['Steady', 'package', 'Lebuh', 'cheap', 'easy']</v>
      </c>
      <c r="D1901" s="3">
        <v>5.0</v>
      </c>
    </row>
    <row r="1902" ht="15.75" customHeight="1">
      <c r="A1902" s="1">
        <v>2028.0</v>
      </c>
      <c r="B1902" s="3" t="s">
        <v>1834</v>
      </c>
      <c r="C1902" s="3" t="str">
        <f>IFERROR(__xludf.DUMMYFUNCTION("GOOGLETRANSLATE(B1902,""id"",""en"")"),"['BYR', 'Gopay', 'failed']")</f>
        <v>['BYR', 'Gopay', 'failed']</v>
      </c>
      <c r="D1902" s="3">
        <v>2.0</v>
      </c>
    </row>
    <row r="1903" ht="15.75" customHeight="1">
      <c r="A1903" s="1">
        <v>2029.0</v>
      </c>
      <c r="B1903" s="3" t="s">
        <v>1835</v>
      </c>
      <c r="C1903" s="3" t="str">
        <f>IFERROR(__xludf.DUMMYFUNCTION("GOOGLETRANSLATE(B1903,""id"",""en"")"),"['Untk', 'ksh', 'bntang', 'ALX', 'SAY', 'Telkomsel', 'bsa', 'dftar', 'package', 'mah', 'pls',' reduced ',' Rbu ',' Empor ',' Deh ',' Please ',' Donk ',' Jngn ',' Error ', ""]")</f>
        <v>['Untk', 'ksh', 'bntang', 'ALX', 'SAY', 'Telkomsel', 'bsa', 'dftar', 'package', 'mah', 'pls',' reduced ',' Rbu ',' Empor ',' Deh ',' Please ',' Donk ',' Jngn ',' Error ', "]</v>
      </c>
      <c r="D1903" s="3">
        <v>2.0</v>
      </c>
    </row>
    <row r="1904" ht="15.75" customHeight="1">
      <c r="A1904" s="1">
        <v>2030.0</v>
      </c>
      <c r="B1904" s="3" t="s">
        <v>1836</v>
      </c>
      <c r="C1904" s="3" t="str">
        <f>IFERROR(__xludf.DUMMYFUNCTION("GOOGLETRANSLATE(B1904,""id"",""en"")"),"['package', 'internet', 'expensive', 'affordable', 'signal', 'internet', 'slow']")</f>
        <v>['package', 'internet', 'expensive', 'affordable', 'signal', 'internet', 'slow']</v>
      </c>
      <c r="D1904" s="3">
        <v>1.0</v>
      </c>
    </row>
    <row r="1905" ht="15.75" customHeight="1">
      <c r="A1905" s="1">
        <v>2031.0</v>
      </c>
      <c r="B1905" s="3" t="s">
        <v>1837</v>
      </c>
      <c r="C1905" s="3" t="str">
        <f>IFERROR(__xludf.DUMMYFUNCTION("GOOGLETRANSLATE(B1905,""id"",""en"")"),"['easy', 'check', 'pulse', 'quota', 'buy', 'package', '']")</f>
        <v>['easy', 'check', 'pulse', 'quota', 'buy', 'package', '']</v>
      </c>
      <c r="D1905" s="3">
        <v>5.0</v>
      </c>
    </row>
    <row r="1906" ht="15.75" customHeight="1">
      <c r="A1906" s="1">
        <v>2032.0</v>
      </c>
      <c r="B1906" s="3" t="s">
        <v>1838</v>
      </c>
      <c r="C1906" s="3" t="str">
        <f>IFERROR(__xludf.DUMMYFUNCTION("GOOGLETRANSLATE(B1906,""id"",""en"")"),"['Good', 'bonus']")</f>
        <v>['Good', 'bonus']</v>
      </c>
      <c r="D1906" s="3">
        <v>5.0</v>
      </c>
    </row>
    <row r="1907" ht="15.75" customHeight="1">
      <c r="A1907" s="1">
        <v>2033.0</v>
      </c>
      <c r="B1907" s="3" t="s">
        <v>264</v>
      </c>
      <c r="C1907" s="3" t="str">
        <f>IFERROR(__xludf.DUMMYFUNCTION("GOOGLETRANSLATE(B1907,""id"",""en"")"),"['Network', 'good']")</f>
        <v>['Network', 'good']</v>
      </c>
      <c r="D1907" s="3">
        <v>1.0</v>
      </c>
    </row>
    <row r="1908" ht="15.75" customHeight="1">
      <c r="A1908" s="1">
        <v>2034.0</v>
      </c>
      <c r="B1908" s="3" t="s">
        <v>1839</v>
      </c>
      <c r="C1908" s="3" t="str">
        <f>IFERROR(__xludf.DUMMYFUNCTION("GOOGLETRANSLATE(B1908,""id"",""en"")"),"['Telkomsel', 'card', 'choice', 'wear', 'old']")</f>
        <v>['Telkomsel', 'card', 'choice', 'wear', 'old']</v>
      </c>
      <c r="D1908" s="3">
        <v>5.0</v>
      </c>
    </row>
    <row r="1909" ht="15.75" customHeight="1">
      <c r="A1909" s="1">
        <v>2035.0</v>
      </c>
      <c r="B1909" s="3" t="s">
        <v>600</v>
      </c>
      <c r="C1909" s="3" t="str">
        <f>IFERROR(__xludf.DUMMYFUNCTION("GOOGLETRANSLATE(B1909,""id"",""en"")"),"['Application', 'Good', '']")</f>
        <v>['Application', 'Good', '']</v>
      </c>
      <c r="D1909" s="3">
        <v>5.0</v>
      </c>
    </row>
    <row r="1910" ht="15.75" customHeight="1">
      <c r="A1910" s="1">
        <v>2036.0</v>
      </c>
      <c r="B1910" s="3" t="s">
        <v>1840</v>
      </c>
      <c r="C1910" s="3" t="str">
        <f>IFERROR(__xludf.DUMMYFUNCTION("GOOGLETRANSLATE(B1910,""id"",""en"")"),"['Network', 'Sometimes', 'Lost', 'Lemot', 'Quota']")</f>
        <v>['Network', 'Sometimes', 'Lost', 'Lemot', 'Quota']</v>
      </c>
      <c r="D1910" s="3">
        <v>1.0</v>
      </c>
    </row>
    <row r="1911" ht="15.75" customHeight="1">
      <c r="A1911" s="1">
        <v>2037.0</v>
      </c>
      <c r="B1911" s="3" t="s">
        <v>1841</v>
      </c>
      <c r="C1911" s="3" t="str">
        <f>IFERROR(__xludf.DUMMYFUNCTION("GOOGLETRANSLATE(B1911,""id"",""en"")"),"['Anjingggg', 'network', 'Damn', 'expensive', 'signal', 'kayak', 'siallll', 'bangsatttt']")</f>
        <v>['Anjingggg', 'network', 'Damn', 'expensive', 'signal', 'kayak', 'siallll', 'bangsatttt']</v>
      </c>
      <c r="D1911" s="3">
        <v>1.0</v>
      </c>
    </row>
    <row r="1912" ht="15.75" customHeight="1">
      <c r="A1912" s="1">
        <v>2038.0</v>
      </c>
      <c r="B1912" s="3" t="s">
        <v>1842</v>
      </c>
      <c r="C1912" s="3" t="str">
        <f>IFERROR(__xludf.DUMMYFUNCTION("GOOGLETRANSLATE(B1912,""id"",""en"")"),"['buy', 'pulse', 'package', 'ATA', 'TELKOMSE', 'Comfortable', 'lei', 'fast']")</f>
        <v>['buy', 'pulse', 'package', 'ATA', 'TELKOMSE', 'Comfortable', 'lei', 'fast']</v>
      </c>
      <c r="D1912" s="3">
        <v>5.0</v>
      </c>
    </row>
    <row r="1913" ht="15.75" customHeight="1">
      <c r="A1913" s="1">
        <v>2040.0</v>
      </c>
      <c r="B1913" s="3" t="s">
        <v>1843</v>
      </c>
      <c r="C1913" s="3" t="str">
        <f>IFERROR(__xludf.DUMMYFUNCTION("GOOGLETRANSLATE(B1913,""id"",""en"")"),"['rare', 'promo', 'cave', 'ajim']")</f>
        <v>['rare', 'promo', 'cave', 'ajim']</v>
      </c>
      <c r="D1913" s="3">
        <v>4.0</v>
      </c>
    </row>
    <row r="1914" ht="15.75" customHeight="1">
      <c r="A1914" s="1">
        <v>2041.0</v>
      </c>
      <c r="B1914" s="3" t="s">
        <v>1844</v>
      </c>
      <c r="C1914" s="3" t="str">
        <f>IFERROR(__xludf.DUMMYFUNCTION("GOOGLETRANSLATE(B1914,""id"",""en"")"),"['Tata', 'arrangement', 'instructions',' difficult ',' understand ',' people ',' lay ',' please ',' fix ',' language ',' language ',' easy ',' understanding', '']")</f>
        <v>['Tata', 'arrangement', 'instructions',' difficult ',' understand ',' people ',' lay ',' please ',' fix ',' language ',' language ',' easy ',' understanding', '']</v>
      </c>
      <c r="D1914" s="3">
        <v>3.0</v>
      </c>
    </row>
    <row r="1915" ht="15.75" customHeight="1">
      <c r="A1915" s="1">
        <v>2042.0</v>
      </c>
      <c r="B1915" s="3" t="s">
        <v>1845</v>
      </c>
      <c r="C1915" s="3" t="str">
        <f>IFERROR(__xludf.DUMMYFUNCTION("GOOGLETRANSLATE(B1915,""id"",""en"")"),"['Rates', 'call', 'SMS', 'expensive', 'cooloooo']")</f>
        <v>['Rates', 'call', 'SMS', 'expensive', 'cooloooo']</v>
      </c>
      <c r="D1915" s="3">
        <v>2.0</v>
      </c>
    </row>
    <row r="1916" ht="15.75" customHeight="1">
      <c r="A1916" s="1">
        <v>2043.0</v>
      </c>
      <c r="B1916" s="3" t="s">
        <v>1846</v>
      </c>
      <c r="C1916" s="3" t="str">
        <f>IFERROR(__xludf.DUMMYFUNCTION("GOOGLETRANSLATE(B1916,""id"",""en"")"),"['Blm', 'gift']")</f>
        <v>['Blm', 'gift']</v>
      </c>
      <c r="D1916" s="3">
        <v>5.0</v>
      </c>
    </row>
    <row r="1917" ht="15.75" customHeight="1">
      <c r="A1917" s="1">
        <v>2044.0</v>
      </c>
      <c r="B1917" s="3" t="s">
        <v>1847</v>
      </c>
      <c r="C1917" s="3" t="str">
        <f>IFERROR(__xludf.DUMMYFUNCTION("GOOGLETRANSLATE(B1917,""id"",""en"")"),"['Application', 'ilang', 'turn', 'Install', 'gabisa', 'Wes', 'Mbuh', 'Mumet', 'Males', 'Telkomsel', ""]")</f>
        <v>['Application', 'ilang', 'turn', 'Install', 'gabisa', 'Wes', 'Mbuh', 'Mumet', 'Males', 'Telkomsel', "]</v>
      </c>
      <c r="D1917" s="3">
        <v>1.0</v>
      </c>
    </row>
    <row r="1918" ht="15.75" customHeight="1">
      <c r="A1918" s="1">
        <v>2045.0</v>
      </c>
      <c r="B1918" s="3" t="s">
        <v>1848</v>
      </c>
      <c r="C1918" s="3" t="str">
        <f>IFERROR(__xludf.DUMMYFUNCTION("GOOGLETRANSLATE(B1918,""id"",""en"")"),"['happy', 'application', 'convenience', 'buy', 'package', 'data', 'thank you', 'Telkomsel', '']")</f>
        <v>['happy', 'application', 'convenience', 'buy', 'package', 'data', 'thank you', 'Telkomsel', '']</v>
      </c>
      <c r="D1918" s="3">
        <v>5.0</v>
      </c>
    </row>
    <row r="1919" ht="15.75" customHeight="1">
      <c r="A1919" s="1">
        <v>2046.0</v>
      </c>
      <c r="B1919" s="3" t="s">
        <v>1849</v>
      </c>
      <c r="C1919" s="3" t="str">
        <f>IFERROR(__xludf.DUMMYFUNCTION("GOOGLETRANSLATE(B1919,""id"",""en"")"),"['Network', 'missing', 'play', 'game', 'network', 'ugly', 'package', 'expensive', 'kagak', 'suits', 'network']")</f>
        <v>['Network', 'missing', 'play', 'game', 'network', 'ugly', 'package', 'expensive', 'kagak', 'suits', 'network']</v>
      </c>
      <c r="D1919" s="3">
        <v>1.0</v>
      </c>
    </row>
    <row r="1920" ht="15.75" customHeight="1">
      <c r="A1920" s="1">
        <v>2048.0</v>
      </c>
      <c r="B1920" s="3" t="s">
        <v>1850</v>
      </c>
      <c r="C1920" s="3" t="str">
        <f>IFERROR(__xludf.DUMMYFUNCTION("GOOGLETRANSLATE(B1920,""id"",""en"")"),"['signal', 'strength', 'reduced']")</f>
        <v>['signal', 'strength', 'reduced']</v>
      </c>
      <c r="D1920" s="3">
        <v>5.0</v>
      </c>
    </row>
    <row r="1921" ht="15.75" customHeight="1">
      <c r="A1921" s="1">
        <v>2049.0</v>
      </c>
      <c r="B1921" s="3" t="s">
        <v>1851</v>
      </c>
      <c r="C1921" s="3" t="str">
        <f>IFERROR(__xludf.DUMMYFUNCTION("GOOGLETRANSLATE(B1921,""id"",""en"")"),"['Knp', 'Install', 'Android', 'Google', 'Pixel', '']")</f>
        <v>['Knp', 'Install', 'Android', 'Google', 'Pixel', '']</v>
      </c>
      <c r="D1921" s="3">
        <v>3.0</v>
      </c>
    </row>
    <row r="1922" ht="15.75" customHeight="1">
      <c r="A1922" s="1">
        <v>2050.0</v>
      </c>
      <c r="B1922" s="3" t="s">
        <v>1852</v>
      </c>
      <c r="C1922" s="3" t="str">
        <f>IFERROR(__xludf.DUMMYFUNCTION("GOOGLETRANSLATE(B1922,""id"",""en"")"),"['function', 'application', 'ugly']")</f>
        <v>['function', 'application', 'ugly']</v>
      </c>
      <c r="D1922" s="3">
        <v>1.0</v>
      </c>
    </row>
    <row r="1923" ht="15.75" customHeight="1">
      <c r="A1923" s="1">
        <v>2051.0</v>
      </c>
      <c r="B1923" s="3" t="s">
        <v>1853</v>
      </c>
      <c r="C1923" s="3" t="str">
        <f>IFERROR(__xludf.DUMMYFUNCTION("GOOGLETRANSLATE(B1923,""id"",""en"")"),"['widih', 'get', 'quota', 'free', 'thank', 'love', 'heart', 'heart', 'get', 'quota', 'waste', 'the application']")</f>
        <v>['widih', 'get', 'quota', 'free', 'thank', 'love', 'heart', 'heart', 'get', 'quota', 'waste', 'the application']</v>
      </c>
      <c r="D1923" s="3">
        <v>5.0</v>
      </c>
    </row>
    <row r="1924" ht="15.75" customHeight="1">
      <c r="A1924" s="1">
        <v>2052.0</v>
      </c>
      <c r="B1924" s="3" t="s">
        <v>1854</v>
      </c>
      <c r="C1924" s="3" t="str">
        <f>IFERROR(__xludf.DUMMYFUNCTION("GOOGLETRANSLATE(B1924,""id"",""en"")"),"['Admin', 'Products',' Points', 'Telko', 'Reedem', 'Use', 'Credit', 'Cut', 'Rp', 'Gapapa', 'Points',' Gather ',' Buy ',' Credit ',' Reedem ',' Points', 'Quota', 'Cut', 'Use', 'Credit', 'Sometimes',' Like ',' Kepepet ',' Need ',' Quota ' , 'right', 'pulse'"&amp;", 'below', 'Huft', '']")</f>
        <v>['Admin', 'Products',' Points', 'Telko', 'Reedem', 'Use', 'Credit', 'Cut', 'Rp', 'Gapapa', 'Points',' Gather ',' Buy ',' Credit ',' Reedem ',' Points', 'Quota', 'Cut', 'Use', 'Credit', 'Sometimes',' Like ',' Kepepet ',' Need ',' Quota ' , 'right', 'pulse', 'below', 'Huft', '']</v>
      </c>
      <c r="D1924" s="3">
        <v>5.0</v>
      </c>
    </row>
    <row r="1925" ht="15.75" customHeight="1">
      <c r="A1925" s="1">
        <v>2053.0</v>
      </c>
      <c r="B1925" s="3" t="s">
        <v>1855</v>
      </c>
      <c r="C1925" s="3" t="str">
        <f>IFERROR(__xludf.DUMMYFUNCTION("GOOGLETRANSLATE(B1925,""id"",""en"")"),"['uwaaaw', '']")</f>
        <v>['uwaaaw', '']</v>
      </c>
      <c r="D1925" s="3">
        <v>5.0</v>
      </c>
    </row>
    <row r="1926" ht="15.75" customHeight="1">
      <c r="A1926" s="1">
        <v>2054.0</v>
      </c>
      <c r="B1926" s="3" t="s">
        <v>1856</v>
      </c>
      <c r="C1926" s="3" t="str">
        <f>IFERROR(__xludf.DUMMYFUNCTION("GOOGLETRANSLATE(B1926,""id"",""en"")"),"['Sometimes',' fill ',' right ',' see ',' package ',' TYT ',' price ',' buy ',' or ',' Males', 'Maketin', 'right', ' Activine ',' Package ',' Data ',' Paketan ',' Huffftttttt ',' Drift ',' Credit ',' Genesis', 'GPP', 'Slime', 'Lottery', 'Car', 'Telkomsel'"&amp;" , 'That's', 'sanctuary', 'until', 'atiiiiiii', '']")</f>
        <v>['Sometimes',' fill ',' right ',' see ',' package ',' TYT ',' price ',' buy ',' or ',' Males', 'Maketin', 'right', ' Activine ',' Package ',' Data ',' Paketan ',' Huffftttttt ',' Drift ',' Credit ',' Genesis', 'GPP', 'Slime', 'Lottery', 'Car', 'Telkomsel' , 'That's', 'sanctuary', 'until', 'atiiiiiii', '']</v>
      </c>
      <c r="D1926" s="3">
        <v>3.0</v>
      </c>
    </row>
    <row r="1927" ht="15.75" customHeight="1">
      <c r="A1927" s="1">
        <v>2055.0</v>
      </c>
      <c r="B1927" s="3" t="s">
        <v>1857</v>
      </c>
      <c r="C1927" s="3" t="str">
        <f>IFERROR(__xludf.DUMMYFUNCTION("GOOGLETRANSLATE(B1927,""id"",""en"")"),"['fooling', 'public', 'promo', 'buy', 'pulse', 'pay', 'use', 'gopay', 'cashback', 'transaction', 'cashback', 'enter', ' Soft ',' Najis', '']")</f>
        <v>['fooling', 'public', 'promo', 'buy', 'pulse', 'pay', 'use', 'gopay', 'cashback', 'transaction', 'cashback', 'enter', ' Soft ',' Najis', '']</v>
      </c>
      <c r="D1927" s="3">
        <v>1.0</v>
      </c>
    </row>
    <row r="1928" ht="15.75" customHeight="1">
      <c r="A1928" s="1">
        <v>2056.0</v>
      </c>
      <c r="B1928" s="3" t="s">
        <v>1858</v>
      </c>
      <c r="C1928" s="3" t="str">
        <f>IFERROR(__xludf.DUMMYFUNCTION("GOOGLETRANSLATE(B1928,""id"",""en"")"),"['Package', 'internet', 'cheap', 'hope', 'in the future', 'promo', 'package', 'internet', 'unlimited', '']")</f>
        <v>['Package', 'internet', 'cheap', 'hope', 'in the future', 'promo', 'package', 'internet', 'unlimited', '']</v>
      </c>
      <c r="D1928" s="3">
        <v>5.0</v>
      </c>
    </row>
    <row r="1929" ht="15.75" customHeight="1">
      <c r="A1929" s="1">
        <v>2057.0</v>
      </c>
      <c r="B1929" s="3" t="s">
        <v>1859</v>
      </c>
      <c r="C1929" s="3" t="str">
        <f>IFERROR(__xludf.DUMMYFUNCTION("GOOGLETRANSLATE(B1929,""id"",""en"")"),"['right', 'login', 'promo', 'cheap', 'right', 'click', 'no', 'disappointing']")</f>
        <v>['right', 'login', 'promo', 'cheap', 'right', 'click', 'no', 'disappointing']</v>
      </c>
      <c r="D1929" s="3">
        <v>1.0</v>
      </c>
    </row>
    <row r="1930" ht="15.75" customHeight="1">
      <c r="A1930" s="1">
        <v>2058.0</v>
      </c>
      <c r="B1930" s="3" t="s">
        <v>1860</v>
      </c>
      <c r="C1930" s="3" t="str">
        <f>IFERROR(__xludf.DUMMYFUNCTION("GOOGLETRANSLATE(B1930,""id"",""en"")"),"['Telkomsel', 'please', 'really', 'strategy', 'marketing', 'package', 'package', 'package', 'please', 'really', 'gunain', 'package', ' first ',' package ',' first ',' hold ',' Telkomsel ',' network ',' Lebay ',' strange ',' features', 'new', 'disappointed"&amp;"', 'heavy', 'oath' , 'deh', '']")</f>
        <v>['Telkomsel', 'please', 'really', 'strategy', 'marketing', 'package', 'package', 'package', 'please', 'really', 'gunain', 'package', ' first ',' package ',' first ',' hold ',' Telkomsel ',' network ',' Lebay ',' strange ',' features', 'new', 'disappointed', 'heavy', 'oath' , 'deh', '']</v>
      </c>
      <c r="D1930" s="3">
        <v>1.0</v>
      </c>
    </row>
    <row r="1931" ht="15.75" customHeight="1">
      <c r="A1931" s="1">
        <v>2059.0</v>
      </c>
      <c r="B1931" s="3" t="s">
        <v>1861</v>
      </c>
      <c r="C1931" s="3" t="str">
        <f>IFERROR(__xludf.DUMMYFUNCTION("GOOGLETRANSLATE(B1931,""id"",""en"")"),"['', 'Telkomsel', 'steady']")</f>
        <v>['', 'Telkomsel', 'steady']</v>
      </c>
      <c r="D1931" s="3">
        <v>5.0</v>
      </c>
    </row>
    <row r="1932" ht="15.75" customHeight="1">
      <c r="A1932" s="1">
        <v>2060.0</v>
      </c>
      <c r="B1932" s="3" t="s">
        <v>1862</v>
      </c>
      <c r="C1932" s="3" t="str">
        <f>IFERROR(__xludf.DUMMYFUNCTION("GOOGLETRANSLATE(B1932,""id"",""en"")"),"['Steady', 'LEG']")</f>
        <v>['Steady', 'LEG']</v>
      </c>
      <c r="D1932" s="3">
        <v>4.0</v>
      </c>
    </row>
    <row r="1933" ht="15.75" customHeight="1">
      <c r="A1933" s="1">
        <v>2061.0</v>
      </c>
      <c r="B1933" s="3" t="s">
        <v>1863</v>
      </c>
      <c r="C1933" s="3" t="str">
        <f>IFERROR(__xludf.DUMMYFUNCTION("GOOGLETRANSLATE(B1933,""id"",""en"")"),"['extra', 'quota', 'help']")</f>
        <v>['extra', 'quota', 'help']</v>
      </c>
      <c r="D1933" s="3">
        <v>5.0</v>
      </c>
    </row>
    <row r="1934" ht="15.75" customHeight="1">
      <c r="A1934" s="1">
        <v>2062.0</v>
      </c>
      <c r="B1934" s="3" t="s">
        <v>1864</v>
      </c>
      <c r="C1934" s="3" t="str">
        <f>IFERROR(__xludf.DUMMYFUNCTION("GOOGLETRANSLATE(B1934,""id"",""en"")"),"['contents', 'data', 'network', 'lost', 'deh', 'contents', 'quota']")</f>
        <v>['contents', 'data', 'network', 'lost', 'deh', 'contents', 'quota']</v>
      </c>
      <c r="D1934" s="3">
        <v>1.0</v>
      </c>
    </row>
    <row r="1935" ht="15.75" customHeight="1">
      <c r="A1935" s="1">
        <v>2063.0</v>
      </c>
      <c r="B1935" s="3" t="s">
        <v>1865</v>
      </c>
      <c r="C1935" s="3" t="str">
        <f>IFERROR(__xludf.DUMMYFUNCTION("GOOGLETRANSLATE(B1935,""id"",""en"")"),"['easy', 'understood', 'bronsen']")</f>
        <v>['easy', 'understood', 'bronsen']</v>
      </c>
      <c r="D1935" s="3">
        <v>5.0</v>
      </c>
    </row>
    <row r="1936" ht="15.75" customHeight="1">
      <c r="A1936" s="1">
        <v>2064.0</v>
      </c>
      <c r="B1936" s="3" t="s">
        <v>1866</v>
      </c>
      <c r="C1936" s="3" t="str">
        <f>IFERROR(__xludf.DUMMYFUNCTION("GOOGLETRANSLATE(B1936,""id"",""en"")"),"['Need', 'Best', 'Customer']")</f>
        <v>['Need', 'Best', 'Customer']</v>
      </c>
      <c r="D1936" s="3">
        <v>5.0</v>
      </c>
    </row>
    <row r="1937" ht="15.75" customHeight="1">
      <c r="A1937" s="1">
        <v>2065.0</v>
      </c>
      <c r="B1937" s="3" t="s">
        <v>1867</v>
      </c>
      <c r="C1937" s="3" t="str">
        <f>IFERROR(__xludf.DUMMYFUNCTION("GOOGLETRANSLATE(B1937,""id"",""en"")"),"['Easy', 'Search', 'Package', 'Data', '']")</f>
        <v>['Easy', 'Search', 'Package', 'Data', '']</v>
      </c>
      <c r="D1937" s="3">
        <v>5.0</v>
      </c>
    </row>
    <row r="1938" ht="15.75" customHeight="1">
      <c r="A1938" s="1">
        <v>2067.0</v>
      </c>
      <c r="B1938" s="3" t="s">
        <v>1868</v>
      </c>
      <c r="C1938" s="3" t="str">
        <f>IFERROR(__xludf.DUMMYFUNCTION("GOOGLETRANSLATE(B1938,""id"",""en"")"),"['because', 'network', 'ugly', 'kasi', 'star']")</f>
        <v>['because', 'network', 'ugly', 'kasi', 'star']</v>
      </c>
      <c r="D1938" s="3">
        <v>1.0</v>
      </c>
    </row>
    <row r="1939" ht="15.75" customHeight="1">
      <c r="A1939" s="1">
        <v>2069.0</v>
      </c>
      <c r="B1939" s="3" t="s">
        <v>1869</v>
      </c>
      <c r="C1939" s="3" t="str">
        <f>IFERROR(__xludf.DUMMYFUNCTION("GOOGLETRANSLATE(B1939,""id"",""en"")"),"['Good', 'fast', 'increase', 'then', 'Jaya', 'then', 'Telkomsel']")</f>
        <v>['Good', 'fast', 'increase', 'then', 'Jaya', 'then', 'Telkomsel']</v>
      </c>
      <c r="D1939" s="3">
        <v>5.0</v>
      </c>
    </row>
    <row r="1940" ht="15.75" customHeight="1">
      <c r="A1940" s="1">
        <v>2070.0</v>
      </c>
      <c r="B1940" s="3" t="s">
        <v>1870</v>
      </c>
      <c r="C1940" s="3" t="str">
        <f>IFERROR(__xludf.DUMMYFUNCTION("GOOGLETRANSLATE(B1940,""id"",""en"")"),"['Cool', 'cheap', 'buy', 'package', '']")</f>
        <v>['Cool', 'cheap', 'buy', 'package', '']</v>
      </c>
      <c r="D1940" s="3">
        <v>5.0</v>
      </c>
    </row>
    <row r="1941" ht="15.75" customHeight="1">
      <c r="A1941" s="1">
        <v>2071.0</v>
      </c>
      <c r="B1941" s="3" t="s">
        <v>1871</v>
      </c>
      <c r="C1941" s="3" t="str">
        <f>IFERROR(__xludf.DUMMYFUNCTION("GOOGLETRANSLATE(B1941,""id"",""en"")"),"['package', 'expensive', 'combo', 'Sakti', 'response', 'slow', 'point', 'contents',' reset ',' change ',' package ',' Telfon ',' Customer ',' Member ',' Platinum ',' Disappointed ']")</f>
        <v>['package', 'expensive', 'combo', 'Sakti', 'response', 'slow', 'point', 'contents',' reset ',' change ',' package ',' Telfon ',' Customer ',' Member ',' Platinum ',' Disappointed ']</v>
      </c>
      <c r="D1941" s="3">
        <v>2.0</v>
      </c>
    </row>
    <row r="1942" ht="15.75" customHeight="1">
      <c r="A1942" s="1">
        <v>2072.0</v>
      </c>
      <c r="B1942" s="3" t="s">
        <v>1872</v>
      </c>
      <c r="C1942" s="3" t="str">
        <f>IFERROR(__xludf.DUMMYFUNCTION("GOOGLETRANSLATE(B1942,""id"",""en"")"),"['Not bad', 'bonus', 'little', 'really', 'people']")</f>
        <v>['Not bad', 'bonus', 'little', 'really', 'people']</v>
      </c>
      <c r="D1942" s="3">
        <v>4.0</v>
      </c>
    </row>
    <row r="1943" ht="15.75" customHeight="1">
      <c r="A1943" s="1">
        <v>2073.0</v>
      </c>
      <c r="B1943" s="3" t="s">
        <v>1873</v>
      </c>
      <c r="C1943" s="3" t="str">
        <f>IFERROR(__xludf.DUMMYFUNCTION("GOOGLETRANSLATE(B1943,""id"",""en"")"),"['Promo', 'MyTelkomsel', 'Thank you', 'MyTelkomsel']")</f>
        <v>['Promo', 'MyTelkomsel', 'Thank you', 'MyTelkomsel']</v>
      </c>
      <c r="D1943" s="3">
        <v>5.0</v>
      </c>
    </row>
    <row r="1944" ht="15.75" customHeight="1">
      <c r="A1944" s="1">
        <v>2074.0</v>
      </c>
      <c r="B1944" s="3" t="s">
        <v>1874</v>
      </c>
      <c r="C1944" s="3" t="str">
        <f>IFERROR(__xludf.DUMMYFUNCTION("GOOGLETRANSLATE(B1944,""id"",""en"")"),"['Stay', 'City', 'Medan', 'Network', 'Good', 'Yaaa', '']")</f>
        <v>['Stay', 'City', 'Medan', 'Network', 'Good', 'Yaaa', '']</v>
      </c>
      <c r="D1944" s="3">
        <v>3.0</v>
      </c>
    </row>
    <row r="1945" ht="15.75" customHeight="1">
      <c r="A1945" s="1">
        <v>2075.0</v>
      </c>
      <c r="B1945" s="3" t="s">
        <v>1875</v>
      </c>
      <c r="C1945" s="3" t="str">
        <f>IFERROR(__xludf.DUMMYFUNCTION("GOOGLETRANSLATE(B1945,""id"",""en"")"),"['thank', 'love', 'help', 'makes it easy']")</f>
        <v>['thank', 'love', 'help', 'makes it easy']</v>
      </c>
      <c r="D1945" s="3">
        <v>5.0</v>
      </c>
    </row>
    <row r="1946" ht="15.75" customHeight="1">
      <c r="A1946" s="1">
        <v>2076.0</v>
      </c>
      <c r="B1946" s="3" t="s">
        <v>1876</v>
      </c>
      <c r="C1946" s="3" t="str">
        <f>IFERROR(__xludf.DUMMYFUNCTION("GOOGLETRANSLATE(B1946,""id"",""en"")"),"['easy', 'check', 'quota', 'etc.', 'thanks', 'Telkomsel']")</f>
        <v>['easy', 'check', 'quota', 'etc.', 'thanks', 'Telkomsel']</v>
      </c>
      <c r="D1946" s="3">
        <v>5.0</v>
      </c>
    </row>
    <row r="1947" ht="15.75" customHeight="1">
      <c r="A1947" s="1">
        <v>2077.0</v>
      </c>
      <c r="B1947" s="3" t="s">
        <v>1877</v>
      </c>
      <c r="C1947" s="3" t="str">
        <f>IFERROR(__xludf.DUMMYFUNCTION("GOOGLETRANSLATE(B1947,""id"",""en"")"),"['use', 'Telkomsel', 'promo', 'mantapp']")</f>
        <v>['use', 'Telkomsel', 'promo', 'mantapp']</v>
      </c>
      <c r="D1947" s="3">
        <v>5.0</v>
      </c>
    </row>
    <row r="1948" ht="15.75" customHeight="1">
      <c r="A1948" s="1">
        <v>2078.0</v>
      </c>
      <c r="B1948" s="3" t="s">
        <v>1878</v>
      </c>
      <c r="C1948" s="3" t="str">
        <f>IFERROR(__xludf.DUMMYFUNCTION("GOOGLETRANSLATE(B1948,""id"",""en"")"),"['pls', 'run out', 'quota', 'internet', 'pls', 'used', 'out', 'regret', 'really']")</f>
        <v>['pls', 'run out', 'quota', 'internet', 'pls', 'used', 'out', 'regret', 'really']</v>
      </c>
      <c r="D1948" s="3">
        <v>1.0</v>
      </c>
    </row>
    <row r="1949" ht="15.75" customHeight="1">
      <c r="A1949" s="1">
        <v>2079.0</v>
      </c>
      <c r="B1949" s="3" t="s">
        <v>1879</v>
      </c>
      <c r="C1949" s="3" t="str">
        <f>IFERROR(__xludf.DUMMYFUNCTION("GOOGLETRANSLATE(B1949,""id"",""en"")"),"['easy', 'signal', '']")</f>
        <v>['easy', 'signal', '']</v>
      </c>
      <c r="D1949" s="3">
        <v>4.0</v>
      </c>
    </row>
    <row r="1950" ht="15.75" customHeight="1">
      <c r="A1950" s="1">
        <v>2080.0</v>
      </c>
      <c r="B1950" s="3" t="s">
        <v>1880</v>
      </c>
      <c r="C1950" s="3" t="str">
        <f>IFERROR(__xludf.DUMMYFUNCTION("GOOGLETRANSLATE(B1950,""id"",""en"")"),"['Login', 'Application', 'Telkomsel', 'Easy', 'fast', 'features', 'interesting']")</f>
        <v>['Login', 'Application', 'Telkomsel', 'Easy', 'fast', 'features', 'interesting']</v>
      </c>
      <c r="D1950" s="3">
        <v>4.0</v>
      </c>
    </row>
    <row r="1951" ht="15.75" customHeight="1">
      <c r="A1951" s="1">
        <v>2081.0</v>
      </c>
      <c r="B1951" s="3" t="s">
        <v>1881</v>
      </c>
      <c r="C1951" s="3" t="str">
        <f>IFERROR(__xludf.DUMMYFUNCTION("GOOGLETRANSLATE(B1951,""id"",""en"")"),"['Casik', 'star', 'Ajha', 'slow', 'really', 'signal', 'promanta', 'good', 'satisfied', 'price', 'promo', 'quota', ' the point is', 'klu', 'at home', 'tasty', 'really']")</f>
        <v>['Casik', 'star', 'Ajha', 'slow', 'really', 'signal', 'promanta', 'good', 'satisfied', 'price', 'promo', 'quota', ' the point is', 'klu', 'at home', 'tasty', 'really']</v>
      </c>
      <c r="D1951" s="3">
        <v>2.0</v>
      </c>
    </row>
    <row r="1952" ht="15.75" customHeight="1">
      <c r="A1952" s="1">
        <v>2082.0</v>
      </c>
      <c r="B1952" s="3" t="s">
        <v>1882</v>
      </c>
      <c r="C1952" s="3" t="str">
        <f>IFERROR(__xludf.DUMMYFUNCTION("GOOGLETRANSLATE(B1952,""id"",""en"")"),"['Signal', 'ugly', 'report', 'explanation', 'sent', 'writing', 'nda', 'please', 'educated', ""]")</f>
        <v>['Signal', 'ugly', 'report', 'explanation', 'sent', 'writing', 'nda', 'please', 'educated', "]</v>
      </c>
      <c r="D1952" s="3">
        <v>1.0</v>
      </c>
    </row>
    <row r="1953" ht="15.75" customHeight="1">
      <c r="A1953" s="1">
        <v>2083.0</v>
      </c>
      <c r="B1953" s="3" t="s">
        <v>1883</v>
      </c>
      <c r="C1953" s="3" t="str">
        <f>IFERROR(__xludf.DUMMYFUNCTION("GOOGLETRANSLATE(B1953,""id"",""en"")"),"['Yaiasan', 'little', 'little', 'disorder', 'the network', 'emotions',' briefly ',' briefly ',' disorder ',' briefly ',' bntar ',' gnggguan ',' Overcome ',' use ',' Telkomsel ']")</f>
        <v>['Yaiasan', 'little', 'little', 'disorder', 'the network', 'emotions',' briefly ',' briefly ',' disorder ',' briefly ',' bntar ',' gnggguan ',' Overcome ',' use ',' Telkomsel ']</v>
      </c>
      <c r="D1953" s="3">
        <v>1.0</v>
      </c>
    </row>
    <row r="1954" ht="15.75" customHeight="1">
      <c r="A1954" s="1">
        <v>2084.0</v>
      </c>
      <c r="B1954" s="3" t="s">
        <v>1884</v>
      </c>
      <c r="C1954" s="3" t="str">
        <f>IFERROR(__xludf.DUMMYFUNCTION("GOOGLETRANSLATE(B1954,""id"",""en"")"),"['Haapy', 'as beautiful as', 'imagine']")</f>
        <v>['Haapy', 'as beautiful as', 'imagine']</v>
      </c>
      <c r="D1954" s="3">
        <v>5.0</v>
      </c>
    </row>
    <row r="1955" ht="15.75" customHeight="1">
      <c r="A1955" s="1">
        <v>2085.0</v>
      </c>
      <c r="B1955" s="3" t="s">
        <v>1885</v>
      </c>
      <c r="C1955" s="3" t="str">
        <f>IFERROR(__xludf.DUMMYFUNCTION("GOOGLETRANSLATE(B1955,""id"",""en"")"),"['package', 'data', 'internet', 'expensive', 'signal', 'network', 'loading', 'bad', 'sometimes',' like ',' dead ',' life ',' The network is', 'card', 'Normal', 'Normal', '']")</f>
        <v>['package', 'data', 'internet', 'expensive', 'signal', 'network', 'loading', 'bad', 'sometimes',' like ',' dead ',' life ',' The network is', 'card', 'Normal', 'Normal', '']</v>
      </c>
      <c r="D1955" s="3">
        <v>1.0</v>
      </c>
    </row>
    <row r="1956" ht="15.75" customHeight="1">
      <c r="A1956" s="1">
        <v>2086.0</v>
      </c>
      <c r="B1956" s="3" t="s">
        <v>1886</v>
      </c>
      <c r="C1956" s="3" t="str">
        <f>IFERROR(__xludf.DUMMYFUNCTION("GOOGLETRANSLATE(B1956,""id"",""en"")"),"['need', '']")</f>
        <v>['need', '']</v>
      </c>
      <c r="D1956" s="3">
        <v>4.0</v>
      </c>
    </row>
    <row r="1957" ht="15.75" customHeight="1">
      <c r="A1957" s="1">
        <v>2087.0</v>
      </c>
      <c r="B1957" s="3" t="s">
        <v>1887</v>
      </c>
      <c r="C1957" s="3" t="str">
        <f>IFERROR(__xludf.DUMMYFUNCTION("GOOGLETRANSLATE(B1957,""id"",""en"")"),"['Coins', 'Exchange', '']")</f>
        <v>['Coins', 'Exchange', '']</v>
      </c>
      <c r="D1957" s="3">
        <v>2.0</v>
      </c>
    </row>
    <row r="1958" ht="15.75" customHeight="1">
      <c r="A1958" s="1">
        <v>2088.0</v>
      </c>
      <c r="B1958" s="3" t="s">
        <v>1888</v>
      </c>
      <c r="C1958" s="3" t="str">
        <f>IFERROR(__xludf.DUMMYFUNCTION("GOOGLETRANSLATE(B1958,""id"",""en"")"),"['Telkomsel', 'weak', 'trs', 'replace', 'network', 'lgi', 'telkomsel', 'kyk', 'garbage']")</f>
        <v>['Telkomsel', 'weak', 'trs', 'replace', 'network', 'lgi', 'telkomsel', 'kyk', 'garbage']</v>
      </c>
      <c r="D1958" s="3">
        <v>1.0</v>
      </c>
    </row>
    <row r="1959" ht="15.75" customHeight="1">
      <c r="A1959" s="1">
        <v>2089.0</v>
      </c>
      <c r="B1959" s="3" t="s">
        <v>1889</v>
      </c>
      <c r="C1959" s="3" t="str">
        <f>IFERROR(__xludf.DUMMYFUNCTION("GOOGLETRANSLATE(B1959,""id"",""en"")"),"['Responsive', 'practical']")</f>
        <v>['Responsive', 'practical']</v>
      </c>
      <c r="D1959" s="3">
        <v>5.0</v>
      </c>
    </row>
    <row r="1960" ht="15.75" customHeight="1">
      <c r="A1960" s="1">
        <v>2090.0</v>
      </c>
      <c r="B1960" s="3" t="s">
        <v>1344</v>
      </c>
      <c r="C1960" s="3" t="str">
        <f>IFERROR(__xludf.DUMMYFUNCTION("GOOGLETRANSLATE(B1960,""id"",""en"")"),"['Good', 'application']")</f>
        <v>['Good', 'application']</v>
      </c>
      <c r="D1960" s="3">
        <v>5.0</v>
      </c>
    </row>
    <row r="1961" ht="15.75" customHeight="1">
      <c r="A1961" s="1">
        <v>2091.0</v>
      </c>
      <c r="B1961" s="3" t="s">
        <v>1890</v>
      </c>
      <c r="C1961" s="3" t="str">
        <f>IFERROR(__xludf.DUMMYFUNCTION("GOOGLETRANSLATE(B1961,""id"",""en"")"),"['application', 'NGAUR', 'Download', '']")</f>
        <v>['application', 'NGAUR', 'Download', '']</v>
      </c>
      <c r="D1961" s="3">
        <v>1.0</v>
      </c>
    </row>
    <row r="1962" ht="15.75" customHeight="1">
      <c r="A1962" s="1">
        <v>2092.0</v>
      </c>
      <c r="B1962" s="3" t="s">
        <v>1891</v>
      </c>
      <c r="C1962" s="3" t="str">
        <f>IFERROR(__xludf.DUMMYFUNCTION("GOOGLETRANSLATE(B1962,""id"",""en"")"),"['Application', 'Baguussssss']")</f>
        <v>['Application', 'Baguussssss']</v>
      </c>
      <c r="D1962" s="3">
        <v>5.0</v>
      </c>
    </row>
    <row r="1963" ht="15.75" customHeight="1">
      <c r="A1963" s="1">
        <v>2094.0</v>
      </c>
      <c r="B1963" s="3" t="s">
        <v>1892</v>
      </c>
      <c r="C1963" s="3" t="str">
        <f>IFERROR(__xludf.DUMMYFUNCTION("GOOGLETRANSLATE(B1963,""id"",""en"")"),"['', 'steady', 'help']")</f>
        <v>['', 'steady', 'help']</v>
      </c>
      <c r="D1963" s="3">
        <v>5.0</v>
      </c>
    </row>
    <row r="1964" ht="15.75" customHeight="1">
      <c r="A1964" s="1">
        <v>2095.0</v>
      </c>
      <c r="B1964" s="3" t="s">
        <v>1893</v>
      </c>
      <c r="C1964" s="3" t="str">
        <f>IFERROR(__xludf.DUMMYFUNCTION("GOOGLETRANSLATE(B1964,""id"",""en"")"),"['Telkomsel', 'already', 'kayak', 'network', 'taik', 'lag', 'forgiveness', 'already', 'download', 'telkom', 'kayak', 'gini']")</f>
        <v>['Telkomsel', 'already', 'kayak', 'network', 'taik', 'lag', 'forgiveness', 'already', 'download', 'telkom', 'kayak', 'gini']</v>
      </c>
      <c r="D1964" s="3">
        <v>1.0</v>
      </c>
    </row>
    <row r="1965" ht="15.75" customHeight="1">
      <c r="A1965" s="1">
        <v>2096.0</v>
      </c>
      <c r="B1965" s="3" t="s">
        <v>1894</v>
      </c>
      <c r="C1965" s="3" t="str">
        <f>IFERROR(__xludf.DUMMYFUNCTION("GOOGLETRANSLATE(B1965,""id"",""en"")"),"['Good', 'like', 'missing', 'signal']")</f>
        <v>['Good', 'like', 'missing', 'signal']</v>
      </c>
      <c r="D1965" s="3">
        <v>5.0</v>
      </c>
    </row>
    <row r="1966" ht="15.75" customHeight="1">
      <c r="A1966" s="1">
        <v>2097.0</v>
      </c>
      <c r="B1966" s="3" t="s">
        <v>1895</v>
      </c>
      <c r="C1966" s="3" t="str">
        <f>IFERROR(__xludf.DUMMYFUNCTION("GOOGLETRANSLATE(B1966,""id"",""en"")"),"['Former', 'slow']")</f>
        <v>['Former', 'slow']</v>
      </c>
      <c r="D1966" s="3">
        <v>5.0</v>
      </c>
    </row>
    <row r="1967" ht="15.75" customHeight="1">
      <c r="A1967" s="1">
        <v>2098.0</v>
      </c>
      <c r="B1967" s="3" t="s">
        <v>1896</v>
      </c>
      <c r="C1967" s="3" t="str">
        <f>IFERROR(__xludf.DUMMYFUNCTION("GOOGLETRANSLATE(B1967,""id"",""en"")"),"['wak', 'ngeleg', 'wak', 'pls', '']")</f>
        <v>['wak', 'ngeleg', 'wak', 'pls', '']</v>
      </c>
      <c r="D1967" s="3">
        <v>1.0</v>
      </c>
    </row>
    <row r="1968" ht="15.75" customHeight="1">
      <c r="A1968" s="1">
        <v>2099.0</v>
      </c>
      <c r="B1968" s="3" t="s">
        <v>1897</v>
      </c>
      <c r="C1968" s="3" t="str">
        <f>IFERROR(__xludf.DUMMYFUNCTION("GOOGLETRANSLATE(B1968,""id"",""en"")"),"['Likes', 'Pakek', 'Telkomsel', 'Signal', 'Safe', 'Ngandat']")</f>
        <v>['Likes', 'Pakek', 'Telkomsel', 'Signal', 'Safe', 'Ngandat']</v>
      </c>
      <c r="D1968" s="3">
        <v>5.0</v>
      </c>
    </row>
    <row r="1969" ht="15.75" customHeight="1">
      <c r="A1969" s="1">
        <v>2100.0</v>
      </c>
      <c r="B1969" s="3" t="s">
        <v>1898</v>
      </c>
      <c r="C1969" s="3" t="str">
        <f>IFERROR(__xludf.DUMMYFUNCTION("GOOGLETRANSLATE(B1969,""id"",""en"")"),"['ugly', 'application', 'login', 'difficult', 'login', 'mending', 'application', 'deh', '']")</f>
        <v>['ugly', 'application', 'login', 'difficult', 'login', 'mending', 'application', 'deh', '']</v>
      </c>
      <c r="D1969" s="3">
        <v>1.0</v>
      </c>
    </row>
    <row r="1970" ht="15.75" customHeight="1">
      <c r="A1970" s="1">
        <v>2101.0</v>
      </c>
      <c r="B1970" s="3" t="s">
        <v>1899</v>
      </c>
      <c r="C1970" s="3" t="str">
        <f>IFERROR(__xludf.DUMMYFUNCTION("GOOGLETRANSLATE(B1970,""id"",""en"")"),"['network', 'down', 'data', 'expensive', 'quality', 'cheap']")</f>
        <v>['network', 'down', 'data', 'expensive', 'quality', 'cheap']</v>
      </c>
      <c r="D1970" s="3">
        <v>1.0</v>
      </c>
    </row>
    <row r="1971" ht="15.75" customHeight="1">
      <c r="A1971" s="1">
        <v>2102.0</v>
      </c>
      <c r="B1971" s="3" t="s">
        <v>1900</v>
      </c>
      <c r="C1971" s="3" t="str">
        <f>IFERROR(__xludf.DUMMYFUNCTION("GOOGLETRANSLATE(B1971,""id"",""en"")"),"['update', 'checked', 'package', 'Telkomsel', 'package', 'already', 'abis', 'application', 'opened', 'package', 'data', 'run out']")</f>
        <v>['update', 'checked', 'package', 'Telkomsel', 'package', 'already', 'abis', 'application', 'opened', 'package', 'data', 'run out']</v>
      </c>
      <c r="D1971" s="3">
        <v>2.0</v>
      </c>
    </row>
    <row r="1972" ht="15.75" customHeight="1">
      <c r="A1972" s="1">
        <v>2104.0</v>
      </c>
      <c r="B1972" s="3" t="s">
        <v>735</v>
      </c>
      <c r="C1972" s="3" t="str">
        <f>IFERROR(__xludf.DUMMYFUNCTION("GOOGLETRANSLATE(B1972,""id"",""en"")"),"['help']")</f>
        <v>['help']</v>
      </c>
      <c r="D1972" s="3">
        <v>5.0</v>
      </c>
    </row>
    <row r="1973" ht="15.75" customHeight="1">
      <c r="A1973" s="1">
        <v>2105.0</v>
      </c>
      <c r="B1973" s="3" t="s">
        <v>1901</v>
      </c>
      <c r="C1973" s="3" t="str">
        <f>IFERROR(__xludf.DUMMYFUNCTION("GOOGLETRANSLATE(B1973,""id"",""en"")"),"['Maintain', 'service', 'service', 'friendly']")</f>
        <v>['Maintain', 'service', 'service', 'friendly']</v>
      </c>
      <c r="D1973" s="3">
        <v>5.0</v>
      </c>
    </row>
    <row r="1974" ht="15.75" customHeight="1">
      <c r="A1974" s="1">
        <v>2106.0</v>
      </c>
      <c r="B1974" s="3" t="s">
        <v>1902</v>
      </c>
      <c r="C1974" s="3" t="str">
        <f>IFERROR(__xludf.DUMMYFUNCTION("GOOGLETRANSLATE(B1974,""id"",""en"")"),"['Paketannya', 'Maha', 'Different', 'Operator', ""]")</f>
        <v>['Paketannya', 'Maha', 'Different', 'Operator', "]</v>
      </c>
      <c r="D1974" s="3">
        <v>1.0</v>
      </c>
    </row>
    <row r="1975" ht="15.75" customHeight="1">
      <c r="A1975" s="1">
        <v>2107.0</v>
      </c>
      <c r="B1975" s="3" t="s">
        <v>1903</v>
      </c>
      <c r="C1975" s="3" t="str">
        <f>IFERROR(__xludf.DUMMYFUNCTION("GOOGLETRANSLATE(B1975,""id"",""en"")"),"['UDH', 'pay "",' expensive ',' slow ',' ngak ',' ketol ']")</f>
        <v>['UDH', 'pay ",' expensive ',' slow ',' ngak ',' ketol ']</v>
      </c>
      <c r="D1975" s="3">
        <v>1.0</v>
      </c>
    </row>
    <row r="1976" ht="15.75" customHeight="1">
      <c r="A1976" s="1">
        <v>2108.0</v>
      </c>
      <c r="B1976" s="3" t="s">
        <v>1904</v>
      </c>
      <c r="C1976" s="3" t="str">
        <f>IFERROR(__xludf.DUMMYFUNCTION("GOOGLETRANSLATE(B1976,""id"",""en"")"),"['admin', 'propider', 'discount', 'quota', 'test', 'briefly']")</f>
        <v>['admin', 'propider', 'discount', 'quota', 'test', 'briefly']</v>
      </c>
      <c r="D1976" s="3">
        <v>4.0</v>
      </c>
    </row>
    <row r="1977" ht="15.75" customHeight="1">
      <c r="A1977" s="1">
        <v>2109.0</v>
      </c>
      <c r="B1977" s="3" t="s">
        <v>1905</v>
      </c>
      <c r="C1977" s="3" t="str">
        <f>IFERROR(__xludf.DUMMYFUNCTION("GOOGLETRANSLATE(B1977,""id"",""en"")"),"['Please', 'admin', 'payment', 'please', 'channel', 'funds', 'gopay', 'peer', 'paying', 'wear', 'fund', ""]")</f>
        <v>['Please', 'admin', 'payment', 'please', 'channel', 'funds', 'gopay', 'peer', 'paying', 'wear', 'fund', "]</v>
      </c>
      <c r="D1977" s="3">
        <v>2.0</v>
      </c>
    </row>
    <row r="1978" ht="15.75" customHeight="1">
      <c r="A1978" s="1">
        <v>2110.0</v>
      </c>
      <c r="B1978" s="3" t="s">
        <v>1906</v>
      </c>
      <c r="C1978" s="3" t="str">
        <f>IFERROR(__xludf.DUMMYFUNCTION("GOOGLETRANSLATE(B1978,""id"",""en"")"),"['price', 'expensive', 'doang', 'network', 'stable', 'jokes', 'stable', '']")</f>
        <v>['price', 'expensive', 'doang', 'network', 'stable', 'jokes', 'stable', '']</v>
      </c>
      <c r="D1978" s="3">
        <v>5.0</v>
      </c>
    </row>
    <row r="1979" ht="15.75" customHeight="1">
      <c r="A1979" s="1">
        <v>2111.0</v>
      </c>
      <c r="B1979" s="3" t="s">
        <v>1907</v>
      </c>
      <c r="C1979" s="3" t="str">
        <f>IFERROR(__xludf.DUMMYFUNCTION("GOOGLETRANSLATE(B1979,""id"",""en"")"),"['', 'help', '']")</f>
        <v>['', 'help', '']</v>
      </c>
      <c r="D1979" s="3">
        <v>2.0</v>
      </c>
    </row>
    <row r="1980" ht="15.75" customHeight="1">
      <c r="A1980" s="1">
        <v>2113.0</v>
      </c>
      <c r="B1980" s="3" t="s">
        <v>1908</v>
      </c>
      <c r="C1980" s="3" t="str">
        <f>IFERROR(__xludf.DUMMYFUNCTION("GOOGLETRANSLATE(B1980,""id"",""en"")"),"['Promo', 'System', 'GB', 'thousand']")</f>
        <v>['Promo', 'System', 'GB', 'thousand']</v>
      </c>
      <c r="D1980" s="3">
        <v>4.0</v>
      </c>
    </row>
    <row r="1981" ht="15.75" customHeight="1">
      <c r="A1981" s="1">
        <v>2114.0</v>
      </c>
      <c r="B1981" s="3" t="s">
        <v>1909</v>
      </c>
      <c r="C1981" s="3" t="str">
        <f>IFERROR(__xludf.DUMMYFUNCTION("GOOGLETRANSLATE(B1981,""id"",""en"")"),"['Network', 'severe']")</f>
        <v>['Network', 'severe']</v>
      </c>
      <c r="D1981" s="3">
        <v>1.0</v>
      </c>
    </row>
    <row r="1982" ht="15.75" customHeight="1">
      <c r="A1982" s="1">
        <v>2115.0</v>
      </c>
      <c r="B1982" s="3" t="s">
        <v>1910</v>
      </c>
      <c r="C1982" s="3" t="str">
        <f>IFERROR(__xludf.DUMMYFUNCTION("GOOGLETRANSLATE(B1982,""id"",""en"")"),"['heavy', 'open']")</f>
        <v>['heavy', 'open']</v>
      </c>
      <c r="D1982" s="3">
        <v>2.0</v>
      </c>
    </row>
    <row r="1983" ht="15.75" customHeight="1">
      <c r="A1983" s="1">
        <v>2116.0</v>
      </c>
      <c r="B1983" s="3" t="s">
        <v>1911</v>
      </c>
      <c r="C1983" s="3" t="str">
        <f>IFERROR(__xludf.DUMMYFUNCTION("GOOGLETRANSLATE(B1983,""id"",""en"")"),"['Overcoming', 'I', 'Love', 'Star', 'I', 'Colently', 'Bntang', 'Gue', 'I', 'Buy', 'Package', 'Leet', ' network ',' lost ',' severe ',' Telkomsel ']")</f>
        <v>['Overcoming', 'I', 'Love', 'Star', 'I', 'Colently', 'Bntang', 'Gue', 'I', 'Buy', 'Package', 'Leet', ' network ',' lost ',' severe ',' Telkomsel ']</v>
      </c>
      <c r="D1983" s="3">
        <v>2.0</v>
      </c>
    </row>
    <row r="1984" ht="15.75" customHeight="1">
      <c r="A1984" s="1">
        <v>2117.0</v>
      </c>
      <c r="B1984" s="3" t="s">
        <v>1912</v>
      </c>
      <c r="C1984" s="3" t="str">
        <f>IFERROR(__xludf.DUMMYFUNCTION("GOOGLETRANSLATE(B1984,""id"",""en"")"),"['interesting', 'gift']")</f>
        <v>['interesting', 'gift']</v>
      </c>
      <c r="D1984" s="3">
        <v>5.0</v>
      </c>
    </row>
    <row r="1985" ht="15.75" customHeight="1">
      <c r="A1985" s="1">
        <v>2118.0</v>
      </c>
      <c r="B1985" s="3" t="s">
        <v>1913</v>
      </c>
      <c r="C1985" s="3" t="str">
        <f>IFERROR(__xludf.DUMMYFUNCTION("GOOGLETRANSLATE(B1985,""id"",""en"")"),"['Siyala', 'missing']")</f>
        <v>['Siyala', 'missing']</v>
      </c>
      <c r="D1985" s="3">
        <v>5.0</v>
      </c>
    </row>
    <row r="1986" ht="15.75" customHeight="1">
      <c r="A1986" s="1">
        <v>2119.0</v>
      </c>
      <c r="B1986" s="3" t="s">
        <v>1914</v>
      </c>
      <c r="C1986" s="3" t="str">
        <f>IFERROR(__xludf.DUMMYFUNCTION("GOOGLETRANSLATE(B1986,""id"",""en"")"),"['Signal', 'ugly', 'Good', 'Indosat', 'Smartfren', 'Ketimbnang', 'Telkomsel']")</f>
        <v>['Signal', 'ugly', 'Good', 'Indosat', 'Smartfren', 'Ketimbnang', 'Telkomsel']</v>
      </c>
      <c r="D1986" s="3">
        <v>1.0</v>
      </c>
    </row>
    <row r="1987" ht="15.75" customHeight="1">
      <c r="A1987" s="1">
        <v>2121.0</v>
      </c>
      <c r="B1987" s="3" t="s">
        <v>1915</v>
      </c>
      <c r="C1987" s="3" t="str">
        <f>IFERROR(__xludf.DUMMYFUNCTION("GOOGLETRANSLATE(B1987,""id"",""en"")"),"['What', 'buy', 'quota', 'pulse', 'pulses',' like ',' missing ',' half activate ',' data ',' buy ',' quota ',' Help ',' replace ',' pulse ',' sleep ',' spend ',' money ',' doang ',' disappointed ',' really ',' buy ',' pulse ',' thousand ',' stay ' , 'thou"&amp;"sand', 'Season', 'really', 'SMS', 'use', 'data', 'non', 'tariff', 'open', 'application', 'turn on', 'data', ' It turns on ',' Suck ',' Pulses', 'Activate', 'Data', 'Open', 'Application', '']")</f>
        <v>['What', 'buy', 'quota', 'pulse', 'pulses',' like ',' missing ',' half activate ',' data ',' buy ',' quota ',' Help ',' replace ',' pulse ',' sleep ',' spend ',' money ',' doang ',' disappointed ',' really ',' buy ',' pulse ',' thousand ',' stay ' , 'thousand', 'Season', 'really', 'SMS', 'use', 'data', 'non', 'tariff', 'open', 'application', 'turn on', 'data', ' It turns on ',' Suck ',' Pulses', 'Activate', 'Data', 'Open', 'Application', '']</v>
      </c>
      <c r="D1987" s="3">
        <v>1.0</v>
      </c>
    </row>
    <row r="1988" ht="15.75" customHeight="1">
      <c r="A1988" s="1">
        <v>2122.0</v>
      </c>
      <c r="B1988" s="3" t="s">
        <v>1916</v>
      </c>
      <c r="C1988" s="3" t="str">
        <f>IFERROR(__xludf.DUMMYFUNCTION("GOOGLETRANSLATE(B1988,""id"",""en"")"),"['kmren', 'DITLP', 'told', 'Migration', 'Can', 'BNUS', 'Quota', 'TPI', 'DPT', 'SMS', 'Donlot', 'MyTlkomsel', ' Can ',' pulse ',' Rb ',' ']")</f>
        <v>['kmren', 'DITLP', 'told', 'Migration', 'Can', 'BNUS', 'Quota', 'TPI', 'DPT', 'SMS', 'Donlot', 'MyTlkomsel', ' Can ',' pulse ',' Rb ',' ']</v>
      </c>
      <c r="D1988" s="3">
        <v>1.0</v>
      </c>
    </row>
    <row r="1989" ht="15.75" customHeight="1">
      <c r="A1989" s="1">
        <v>2123.0</v>
      </c>
      <c r="B1989" s="3" t="s">
        <v>1917</v>
      </c>
      <c r="C1989" s="3" t="str">
        <f>IFERROR(__xludf.DUMMYFUNCTION("GOOGLETRANSLATE(B1989,""id"",""en"")"),"['Telkomsel', 'declined', 'UDH', 'quota', 'daily', 'he was', 'no', 'difficult']")</f>
        <v>['Telkomsel', 'declined', 'UDH', 'quota', 'daily', 'he was', 'no', 'difficult']</v>
      </c>
      <c r="D1989" s="3">
        <v>1.0</v>
      </c>
    </row>
    <row r="1990" ht="15.75" customHeight="1">
      <c r="A1990" s="1">
        <v>2124.0</v>
      </c>
      <c r="B1990" s="3" t="s">
        <v>1918</v>
      </c>
      <c r="C1990" s="3" t="str">
        <f>IFERROR(__xludf.DUMMYFUNCTION("GOOGLETRANSLATE(B1990,""id"",""en"")"),"['Good', 'Easy to', 'Customer']")</f>
        <v>['Good', 'Easy to', 'Customer']</v>
      </c>
      <c r="D1990" s="3">
        <v>4.0</v>
      </c>
    </row>
    <row r="1991" ht="15.75" customHeight="1">
      <c r="A1991" s="1">
        <v>2125.0</v>
      </c>
      <c r="B1991" s="3" t="s">
        <v>1919</v>
      </c>
      <c r="C1991" s="3" t="str">
        <f>IFERROR(__xludf.DUMMYFUNCTION("GOOGLETRANSLATE(B1991,""id"",""en"")"),"['Please', 'Package', 'Combo', 'Averin', 'Price', 'User', 'Telkomsel']")</f>
        <v>['Please', 'Package', 'Combo', 'Averin', 'Price', 'User', 'Telkomsel']</v>
      </c>
      <c r="D1991" s="3">
        <v>5.0</v>
      </c>
    </row>
    <row r="1992" ht="15.75" customHeight="1">
      <c r="A1992" s="1">
        <v>2126.0</v>
      </c>
      <c r="B1992" s="3" t="s">
        <v>1920</v>
      </c>
      <c r="C1992" s="3" t="str">
        <f>IFERROR(__xludf.DUMMYFUNCTION("GOOGLETRANSLATE(B1992,""id"",""en"")"),"['Intrial', 'Android', '']")</f>
        <v>['Intrial', 'Android', '']</v>
      </c>
      <c r="D1992" s="3">
        <v>2.0</v>
      </c>
    </row>
    <row r="1993" ht="15.75" customHeight="1">
      <c r="A1993" s="1">
        <v>2127.0</v>
      </c>
      <c r="B1993" s="3" t="s">
        <v>1921</v>
      </c>
      <c r="C1993" s="3" t="str">
        <f>IFERROR(__xludf.DUMMYFUNCTION("GOOGLETRANSLATE(B1993,""id"",""en"")"),"['love']")</f>
        <v>['love']</v>
      </c>
      <c r="D1993" s="3">
        <v>3.0</v>
      </c>
    </row>
    <row r="1994" ht="15.75" customHeight="1">
      <c r="A1994" s="1">
        <v>2128.0</v>
      </c>
      <c r="B1994" s="3" t="s">
        <v>1922</v>
      </c>
      <c r="C1994" s="3" t="str">
        <f>IFERROR(__xludf.DUMMYFUNCTION("GOOGLETRANSLATE(B1994,""id"",""en"")"),"['Congratulations',' noon ',' Sis', 'Sis',' Sorry ',' Knp ',' Quota ',' Fast ',' Out ',' Data ',' Saleper ',' Matiin ',' right ',' check ',' quota ',' abis', 'strange']")</f>
        <v>['Congratulations',' noon ',' Sis', 'Sis',' Sorry ',' Knp ',' Quota ',' Fast ',' Out ',' Data ',' Saleper ',' Matiin ',' right ',' check ',' quota ',' abis', 'strange']</v>
      </c>
      <c r="D1994" s="3">
        <v>2.0</v>
      </c>
    </row>
    <row r="1995" ht="15.75" customHeight="1">
      <c r="A1995" s="1">
        <v>2129.0</v>
      </c>
      <c r="B1995" s="3" t="s">
        <v>1923</v>
      </c>
      <c r="C1995" s="3" t="str">
        <f>IFERROR(__xludf.DUMMYFUNCTION("GOOGLETRANSLATE(B1995,""id"",""en"")"),"['Help', 'mantab']")</f>
        <v>['Help', 'mantab']</v>
      </c>
      <c r="D1995" s="3">
        <v>4.0</v>
      </c>
    </row>
    <row r="1996" ht="15.75" customHeight="1">
      <c r="A1996" s="1">
        <v>2130.0</v>
      </c>
      <c r="B1996" s="3" t="s">
        <v>1924</v>
      </c>
      <c r="C1996" s="3" t="str">
        <f>IFERROR(__xludf.DUMMYFUNCTION("GOOGLETRANSLATE(B1996,""id"",""en"")"),"['Please', 'Add', 'Pulse', 'Protection', 'Credit', 'Customer', 'Sumpot', 'Operator', 'Kang', 'Colong', 'Credit']")</f>
        <v>['Please', 'Add', 'Pulse', 'Protection', 'Credit', 'Customer', 'Sumpot', 'Operator', 'Kang', 'Colong', 'Credit']</v>
      </c>
      <c r="D1996" s="3">
        <v>1.0</v>
      </c>
    </row>
    <row r="1997" ht="15.75" customHeight="1">
      <c r="A1997" s="1">
        <v>2131.0</v>
      </c>
      <c r="B1997" s="3" t="s">
        <v>1925</v>
      </c>
      <c r="C1997" s="3" t="str">
        <f>IFERROR(__xludf.DUMMYFUNCTION("GOOGLETRANSLATE(B1997,""id"",""en"")"),"['Cool', 'Learning', 'English']")</f>
        <v>['Cool', 'Learning', 'English']</v>
      </c>
      <c r="D1997" s="3">
        <v>5.0</v>
      </c>
    </row>
    <row r="1998" ht="15.75" customHeight="1">
      <c r="A1998" s="1">
        <v>2132.0</v>
      </c>
      <c r="B1998" s="3" t="s">
        <v>1926</v>
      </c>
      <c r="C1998" s="3" t="str">
        <f>IFERROR(__xludf.DUMMYFUNCTION("GOOGLETRANSLATE(B1998,""id"",""en"")"),"['signal', 'bad', 'slow']")</f>
        <v>['signal', 'bad', 'slow']</v>
      </c>
      <c r="D1998" s="3">
        <v>1.0</v>
      </c>
    </row>
    <row r="1999" ht="15.75" customHeight="1">
      <c r="A1999" s="1">
        <v>2133.0</v>
      </c>
      <c r="B1999" s="3" t="s">
        <v>1927</v>
      </c>
      <c r="C1999" s="3" t="str">
        <f>IFERROR(__xludf.DUMMYFUNCTION("GOOGLETRANSLATE(B1999,""id"",""en"")"),"['like', 'really', 'makes it easy', 'transaction', 'purchase', 'pulses', '']")</f>
        <v>['like', 'really', 'makes it easy', 'transaction', 'purchase', 'pulses', '']</v>
      </c>
      <c r="D1999" s="3">
        <v>5.0</v>
      </c>
    </row>
    <row r="2000" ht="15.75" customHeight="1">
      <c r="A2000" s="1">
        <v>2134.0</v>
      </c>
      <c r="B2000" s="3" t="s">
        <v>1928</v>
      </c>
      <c r="C2000" s="3" t="str">
        <f>IFERROR(__xludf.DUMMYFUNCTION("GOOGLETRANSLATE(B2000,""id"",""en"")"),"['Winner', 'UNDIA', 'TELOKOMSEL', 'Point', 'winner', 'Should', 'Transparent', 'button', 'Donag', 'Winner', 'Click', 'Looks',' Win ',' Quality ',' Network ',' Decreases', 'Slow', 'Compared to', 'Price', 'Package', 'Bullet', 'Cause', 'Buy', 'Credit', 'Need'"&amp;" , 'please', 'price', 'bullet', 'affordable', 'cheap', 'quality', 'good', 'then', 'price', 'according to', 'contents',' pulses', ' Examples', 'multiples',' thousand ']")</f>
        <v>['Winner', 'UNDIA', 'TELOKOMSEL', 'Point', 'winner', 'Should', 'Transparent', 'button', 'Donag', 'Winner', 'Click', 'Looks',' Win ',' Quality ',' Network ',' Decreases', 'Slow', 'Compared to', 'Price', 'Package', 'Bullet', 'Cause', 'Buy', 'Credit', 'Need' , 'please', 'price', 'bullet', 'affordable', 'cheap', 'quality', 'good', 'then', 'price', 'according to', 'contents',' pulses', ' Examples', 'multiples',' thousand ']</v>
      </c>
      <c r="D2000" s="3">
        <v>2.0</v>
      </c>
    </row>
    <row r="2001" ht="15.75" customHeight="1">
      <c r="A2001" s="1">
        <v>2135.0</v>
      </c>
      <c r="B2001" s="3" t="s">
        <v>1929</v>
      </c>
      <c r="C2001" s="3" t="str">
        <f>IFERROR(__xludf.DUMMYFUNCTION("GOOGLETRANSLATE(B2001,""id"",""en"")"),"['sanagat', 'times', 'network']")</f>
        <v>['sanagat', 'times', 'network']</v>
      </c>
      <c r="D2001" s="3">
        <v>1.0</v>
      </c>
    </row>
    <row r="2002" ht="15.75" customHeight="1">
      <c r="A2002" s="1">
        <v>2136.0</v>
      </c>
      <c r="B2002" s="3" t="s">
        <v>1930</v>
      </c>
      <c r="C2002" s="3" t="str">
        <f>IFERROR(__xludf.DUMMYFUNCTION("GOOGLETRANSLATE(B2002,""id"",""en"")"),"['promo', 'fix', 'network', 'slow', 'guarantee', 'taun', 'repair', 'network', 'consumer', 'telkomsel', 'ilang', ""]")</f>
        <v>['promo', 'fix', 'network', 'slow', 'guarantee', 'taun', 'repair', 'network', 'consumer', 'telkomsel', 'ilang', "]</v>
      </c>
      <c r="D2002" s="3">
        <v>1.0</v>
      </c>
    </row>
    <row r="2003" ht="15.75" customHeight="1">
      <c r="A2003" s="1">
        <v>2137.0</v>
      </c>
      <c r="B2003" s="3" t="s">
        <v>1931</v>
      </c>
      <c r="C2003" s="3" t="str">
        <f>IFERROR(__xludf.DUMMYFUNCTION("GOOGLETRANSLATE(B2003,""id"",""en"")"),"['network', 'dick', 'pig', 'dog', 'ngeleg', 'bet']")</f>
        <v>['network', 'dick', 'pig', 'dog', 'ngeleg', 'bet']</v>
      </c>
      <c r="D2003" s="3">
        <v>1.0</v>
      </c>
    </row>
    <row r="2004" ht="15.75" customHeight="1">
      <c r="A2004" s="1">
        <v>2138.0</v>
      </c>
      <c r="B2004" s="3" t="s">
        <v>1932</v>
      </c>
      <c r="C2004" s="3" t="str">
        <f>IFERROR(__xludf.DUMMYFUNCTION("GOOGLETRANSLATE(B2004,""id"",""en"")"),"['Cheap', 'little', 'sis', 'exsis', 'draw']")</f>
        <v>['Cheap', 'little', 'sis', 'exsis', 'draw']</v>
      </c>
      <c r="D2004" s="3">
        <v>4.0</v>
      </c>
    </row>
    <row r="2005" ht="15.75" customHeight="1">
      <c r="A2005" s="1">
        <v>2139.0</v>
      </c>
      <c r="B2005" s="3" t="s">
        <v>1933</v>
      </c>
      <c r="C2005" s="3" t="str">
        <f>IFERROR(__xludf.DUMMYFUNCTION("GOOGLETRANSLATE(B2005,""id"",""en"")"),"['Telkomsel', 'good', 'slow', 'slow', 'network', 'suggestion', 'BENAHIN', 'Management', 'The network', 'Tbah', ""]")</f>
        <v>['Telkomsel', 'good', 'slow', 'slow', 'network', 'suggestion', 'BENAHIN', 'Management', 'The network', 'Tbah', "]</v>
      </c>
      <c r="D2005" s="3">
        <v>1.0</v>
      </c>
    </row>
    <row r="2006" ht="15.75" customHeight="1">
      <c r="A2006" s="1">
        <v>2140.0</v>
      </c>
      <c r="B2006" s="3" t="s">
        <v>1934</v>
      </c>
      <c r="C2006" s="3" t="str">
        <f>IFERROR(__xludf.DUMMYFUNCTION("GOOGLETRANSLATE(B2006,""id"",""en"")"),"['Want', 'Nayak', 'Telkomsel', 'Feature', 'Difference', 'Package', 'Package', 'Data', 'Dipake', 'Credit', 'That's',' Genesis', ' right ',' play ',' game ',' that's', 'features',' bedain ',' loss', 'pulse', 'considered', 'trivial', 'pulse', 'kah', '']")</f>
        <v>['Want', 'Nayak', 'Telkomsel', 'Feature', 'Difference', 'Package', 'Package', 'Data', 'Dipake', 'Credit', 'That's',' Genesis', ' right ',' play ',' game ',' that's', 'features',' bedain ',' loss', 'pulse', 'considered', 'trivial', 'pulse', 'kah', '']</v>
      </c>
      <c r="D2006" s="3">
        <v>1.0</v>
      </c>
    </row>
    <row r="2007" ht="15.75" customHeight="1">
      <c r="A2007" s="1">
        <v>2141.0</v>
      </c>
      <c r="B2007" s="3" t="s">
        <v>1935</v>
      </c>
      <c r="C2007" s="3" t="str">
        <f>IFERROR(__xludf.DUMMYFUNCTION("GOOGLETRANSLATE(B2007,""id"",""en"")"),"['pulse', 'Sumpot', 'Mulu', 'Data', 'Life', 'Exploration', 'Media', 'Social', 'Males', 'Card', 'Telkomsel']")</f>
        <v>['pulse', 'Sumpot', 'Mulu', 'Data', 'Life', 'Exploration', 'Media', 'Social', 'Males', 'Card', 'Telkomsel']</v>
      </c>
      <c r="D2007" s="3">
        <v>1.0</v>
      </c>
    </row>
    <row r="2008" ht="15.75" customHeight="1">
      <c r="A2008" s="1">
        <v>2142.0</v>
      </c>
      <c r="B2008" s="3" t="s">
        <v>1936</v>
      </c>
      <c r="C2008" s="3" t="str">
        <f>IFERROR(__xludf.DUMMYFUNCTION("GOOGLETRANSLATE(B2008,""id"",""en"")"),"['Paketan', 'expensive', 'asw']")</f>
        <v>['Paketan', 'expensive', 'asw']</v>
      </c>
      <c r="D2008" s="3">
        <v>1.0</v>
      </c>
    </row>
    <row r="2009" ht="15.75" customHeight="1">
      <c r="A2009" s="1">
        <v>2143.0</v>
      </c>
      <c r="B2009" s="3" t="s">
        <v>1937</v>
      </c>
      <c r="C2009" s="3" t="str">
        <f>IFERROR(__xludf.DUMMYFUNCTION("GOOGLETRANSLATE(B2009,""id"",""en"")"),"['Called', 'The info', 'told', 'Postpaid', 'Love', 'Ntar', 'Ryesel', 'Deh', ""]")</f>
        <v>['Called', 'The info', 'told', 'Postpaid', 'Love', 'Ntar', 'Ryesel', 'Deh', "]</v>
      </c>
      <c r="D2009" s="3">
        <v>1.0</v>
      </c>
    </row>
    <row r="2010" ht="15.75" customHeight="1">
      <c r="A2010" s="1">
        <v>2146.0</v>
      </c>
      <c r="B2010" s="3" t="s">
        <v>1938</v>
      </c>
      <c r="C2010" s="3" t="str">
        <f>IFERROR(__xludf.DUMMYFUNCTION("GOOGLETRANSLATE(B2010,""id"",""en"")"),"['Telkomsel', 'please', 'strength', 'signal', 'Kenceng', 'quota', 'full', 'open', 'apk', 'sosmed', 'browsing', 'muter', ' Loading ',' Mulu ',' Open ',' Open ',' Tell ',' Why ',' Why ',' Tsel ',' BTW ',' already ',' a week ',' Dibales', 'chat' , 'account',"&amp;" 'twitter', 'tele', 'email', 'okay', 'dighosting', 'hlo', 'cape', 'basics',' spirit ',' mimin ',' healthy ',' ']")</f>
        <v>['Telkomsel', 'please', 'strength', 'signal', 'Kenceng', 'quota', 'full', 'open', 'apk', 'sosmed', 'browsing', 'muter', ' Loading ',' Mulu ',' Open ',' Open ',' Tell ',' Why ',' Why ',' Tsel ',' BTW ',' already ',' a week ',' Dibales', 'chat' , 'account', 'twitter', 'tele', 'email', 'okay', 'dighosting', 'hlo', 'cape', 'basics',' spirit ',' mimin ',' healthy ',' ']</v>
      </c>
      <c r="D2010" s="3">
        <v>3.0</v>
      </c>
    </row>
    <row r="2011" ht="15.75" customHeight="1">
      <c r="A2011" s="1">
        <v>2147.0</v>
      </c>
      <c r="B2011" s="3" t="s">
        <v>1939</v>
      </c>
      <c r="C2011" s="3" t="str">
        <f>IFERROR(__xludf.DUMMYFUNCTION("GOOGLETRANSLATE(B2011,""id"",""en"")"),"['Please', 'package', 'cheap', '']")</f>
        <v>['Please', 'package', 'cheap', '']</v>
      </c>
      <c r="D2011" s="3">
        <v>3.0</v>
      </c>
    </row>
    <row r="2012" ht="15.75" customHeight="1">
      <c r="A2012" s="1">
        <v>2148.0</v>
      </c>
      <c r="B2012" s="3" t="s">
        <v>1940</v>
      </c>
      <c r="C2012" s="3" t="str">
        <f>IFERROR(__xludf.DUMMYFUNCTION("GOOGLETRANSLATE(B2012,""id"",""en"")"),"['Promo', 'in the future', 'hope', 'lbh', ""]")</f>
        <v>['Promo', 'in the future', 'hope', 'lbh', "]</v>
      </c>
      <c r="D2012" s="3">
        <v>5.0</v>
      </c>
    </row>
    <row r="2013" ht="15.75" customHeight="1">
      <c r="A2013" s="1">
        <v>2149.0</v>
      </c>
      <c r="B2013" s="3" t="s">
        <v>1941</v>
      </c>
      <c r="C2013" s="3" t="str">
        <f>IFERROR(__xludf.DUMMYFUNCTION("GOOGLETRANSLATE(B2013,""id"",""en"")"),"['Recommend']")</f>
        <v>['Recommend']</v>
      </c>
      <c r="D2013" s="3">
        <v>5.0</v>
      </c>
    </row>
    <row r="2014" ht="15.75" customHeight="1">
      <c r="A2014" s="1">
        <v>2150.0</v>
      </c>
      <c r="B2014" s="3" t="s">
        <v>1942</v>
      </c>
      <c r="C2014" s="3" t="str">
        <f>IFERROR(__xludf.DUMMYFUNCTION("GOOGLETRANSLATE(B2014,""id"",""en"")"),"['Koutaa', 'expensive', 'network', 'nihil', 'Telkomsel', 'joking']")</f>
        <v>['Koutaa', 'expensive', 'network', 'nihil', 'Telkomsel', 'joking']</v>
      </c>
      <c r="D2014" s="3">
        <v>1.0</v>
      </c>
    </row>
    <row r="2015" ht="15.75" customHeight="1">
      <c r="A2015" s="1">
        <v>2151.0</v>
      </c>
      <c r="B2015" s="3" t="s">
        <v>1943</v>
      </c>
      <c r="C2015" s="3" t="str">
        <f>IFERROR(__xludf.DUMMYFUNCTION("GOOGLETRANSLATE(B2015,""id"",""en"")"),"['', 'Telkomsel', 'Fill', 'The', 'Best', 'Get', 'Additional', 'Quota', 'Free', 'Thanks', ""]")</f>
        <v>['', 'Telkomsel', 'Fill', 'The', 'Best', 'Get', 'Additional', 'Quota', 'Free', 'Thanks', "]</v>
      </c>
      <c r="D2015" s="3">
        <v>5.0</v>
      </c>
    </row>
    <row r="2016" ht="15.75" customHeight="1">
      <c r="A2016" s="1">
        <v>2152.0</v>
      </c>
      <c r="B2016" s="3" t="s">
        <v>1944</v>
      </c>
      <c r="C2016" s="3" t="str">
        <f>IFERROR(__xludf.DUMMYFUNCTION("GOOGLETRANSLATE(B2016,""id"",""en"")"),"['comment', 'negative', 'bot', 'hi', 'kak', 'blah', 'blah', 'blah', 'stale', ""]")</f>
        <v>['comment', 'negative', 'bot', 'hi', 'kak', 'blah', 'blah', 'blah', 'stale', "]</v>
      </c>
      <c r="D2016" s="3">
        <v>2.0</v>
      </c>
    </row>
    <row r="2017" ht="15.75" customHeight="1">
      <c r="A2017" s="1">
        <v>2153.0</v>
      </c>
      <c r="B2017" s="3" t="s">
        <v>1945</v>
      </c>
      <c r="C2017" s="3" t="str">
        <f>IFERROR(__xludf.DUMMYFUNCTION("GOOGLETRANSLATE(B2017,""id"",""en"")"),"['Satisfied', 'quota', 'wasteful', 'really']")</f>
        <v>['Satisfied', 'quota', 'wasteful', 'really']</v>
      </c>
      <c r="D2017" s="3">
        <v>5.0</v>
      </c>
    </row>
    <row r="2018" ht="15.75" customHeight="1">
      <c r="A2018" s="1">
        <v>2154.0</v>
      </c>
      <c r="B2018" s="3" t="s">
        <v>1946</v>
      </c>
      <c r="C2018" s="3" t="str">
        <f>IFERROR(__xludf.DUMMYFUNCTION("GOOGLETRANSLATE(B2018,""id"",""en"")"),"['already', 'already', 'migration', 'prepaid', 'sympathy', 'card', 'post', 'pay', 'hello', 'service', 'prepaid', 'number', ' Hopefully ',' Technology ',' Migration ',' Post ',' Pay ',' Hello ',' Prepaid ',' Number ',' Terms', 'Completion', 'Administration"&amp;"', 'Card', 'Post' , 'Pay', 'thank', 'love', 'kal', 'already', 'materialized', 'star', '']")</f>
        <v>['already', 'already', 'migration', 'prepaid', 'sympathy', 'card', 'post', 'pay', 'hello', 'service', 'prepaid', 'number', ' Hopefully ',' Technology ',' Migration ',' Post ',' Pay ',' Hello ',' Prepaid ',' Number ',' Terms', 'Completion', 'Administration', 'Card', 'Post' , 'Pay', 'thank', 'love', 'kal', 'already', 'materialized', 'star', '']</v>
      </c>
      <c r="D2018" s="3">
        <v>3.0</v>
      </c>
    </row>
    <row r="2019" ht="15.75" customHeight="1">
      <c r="A2019" s="1">
        <v>2155.0</v>
      </c>
      <c r="B2019" s="3" t="s">
        <v>1947</v>
      </c>
      <c r="C2019" s="3" t="str">
        <f>IFERROR(__xludf.DUMMYFUNCTION("GOOGLETRANSLATE(B2019,""id"",""en"")"),"['package', 'expensive', 'expensive', 'slow', 'really', ""]")</f>
        <v>['package', 'expensive', 'expensive', 'slow', 'really', "]</v>
      </c>
      <c r="D2019" s="3">
        <v>1.0</v>
      </c>
    </row>
    <row r="2020" ht="15.75" customHeight="1">
      <c r="A2020" s="1">
        <v>2156.0</v>
      </c>
      <c r="B2020" s="3" t="s">
        <v>1948</v>
      </c>
      <c r="C2020" s="3" t="str">
        <f>IFERROR(__xludf.DUMMYFUNCTION("GOOGLETRANSLATE(B2020,""id"",""en"")"),"['signal', 'network', 'fast', 'fast', 'fishing', 'emotion', 'bug']")</f>
        <v>['signal', 'network', 'fast', 'fast', 'fishing', 'emotion', 'bug']</v>
      </c>
      <c r="D2020" s="3">
        <v>1.0</v>
      </c>
    </row>
    <row r="2021" ht="15.75" customHeight="1">
      <c r="A2021" s="1">
        <v>2157.0</v>
      </c>
      <c r="B2021" s="3" t="s">
        <v>1949</v>
      </c>
      <c r="C2021" s="3" t="str">
        <f>IFERROR(__xludf.DUMMYFUNCTION("GOOGLETRANSLATE(B2021,""id"",""en"")"),"['Keep', '']")</f>
        <v>['Keep', '']</v>
      </c>
      <c r="D2021" s="3">
        <v>5.0</v>
      </c>
    </row>
    <row r="2022" ht="15.75" customHeight="1">
      <c r="A2022" s="1">
        <v>2158.0</v>
      </c>
      <c r="B2022" s="3" t="s">
        <v>1950</v>
      </c>
      <c r="C2022" s="3" t="str">
        <f>IFERROR(__xludf.DUMMYFUNCTION("GOOGLETRANSLATE(B2022,""id"",""en"")"),"['Package', 'confusing', 'BNYK', 'Join', 'KN', 'Need', 'Leet', ""]")</f>
        <v>['Package', 'confusing', 'BNYK', 'Join', 'KN', 'Need', 'Leet', "]</v>
      </c>
      <c r="D2022" s="3">
        <v>1.0</v>
      </c>
    </row>
    <row r="2023" ht="15.75" customHeight="1">
      <c r="A2023" s="1">
        <v>2159.0</v>
      </c>
      <c r="B2023" s="3" t="s">
        <v>1951</v>
      </c>
      <c r="C2023" s="3" t="str">
        <f>IFERROR(__xludf.DUMMYFUNCTION("GOOGLETRANSLATE(B2023,""id"",""en"")"),"['Please', 'help', 'fix', 'disorder', 'signal']")</f>
        <v>['Please', 'help', 'fix', 'disorder', 'signal']</v>
      </c>
      <c r="D2023" s="3">
        <v>1.0</v>
      </c>
    </row>
    <row r="2024" ht="15.75" customHeight="1">
      <c r="A2024" s="1">
        <v>2160.0</v>
      </c>
      <c r="B2024" s="3" t="s">
        <v>1952</v>
      </c>
      <c r="C2024" s="3" t="str">
        <f>IFERROR(__xludf.DUMMYFUNCTION("GOOGLETRANSLATE(B2024,""id"",""en"")"),"['level', 'quality', 'service']")</f>
        <v>['level', 'quality', 'service']</v>
      </c>
      <c r="D2024" s="3">
        <v>5.0</v>
      </c>
    </row>
    <row r="2025" ht="15.75" customHeight="1">
      <c r="A2025" s="1">
        <v>2161.0</v>
      </c>
      <c r="B2025" s="3" t="s">
        <v>1953</v>
      </c>
      <c r="C2025" s="3" t="str">
        <f>IFERROR(__xludf.DUMMYFUNCTION("GOOGLETRANSLATE(B2025,""id"",""en"")"),"['Sinyallllll', 'rotationkkkkk', 'report', 'asking', 'technician', 'direct', 'location', 'no', 'clarity', 'sustainnn', 'badkkkkkkk']")</f>
        <v>['Sinyallllll', 'rotationkkkkk', 'report', 'asking', 'technician', 'direct', 'location', 'no', 'clarity', 'sustainnn', 'badkkkkkkk']</v>
      </c>
      <c r="D2025" s="3">
        <v>1.0</v>
      </c>
    </row>
    <row r="2026" ht="15.75" customHeight="1">
      <c r="A2026" s="1">
        <v>2162.0</v>
      </c>
      <c r="B2026" s="3" t="s">
        <v>1954</v>
      </c>
      <c r="C2026" s="3" t="str">
        <f>IFERROR(__xludf.DUMMYFUNCTION("GOOGLETRANSLATE(B2026,""id"",""en"")"),"['apk', 'Telkomsel', 'version', 'bug']")</f>
        <v>['apk', 'Telkomsel', 'version', 'bug']</v>
      </c>
      <c r="D2026" s="3">
        <v>4.0</v>
      </c>
    </row>
    <row r="2027" ht="15.75" customHeight="1">
      <c r="A2027" s="1">
        <v>2163.0</v>
      </c>
      <c r="B2027" s="3" t="s">
        <v>1955</v>
      </c>
      <c r="C2027" s="3" t="str">
        <f>IFERROR(__xludf.DUMMYFUNCTION("GOOGLETRANSLATE(B2027,""id"",""en"")"),"['steady', '']")</f>
        <v>['steady', '']</v>
      </c>
      <c r="D2027" s="3">
        <v>5.0</v>
      </c>
    </row>
    <row r="2028" ht="15.75" customHeight="1">
      <c r="A2028" s="1">
        <v>2164.0</v>
      </c>
      <c r="B2028" s="3" t="s">
        <v>1956</v>
      </c>
      <c r="C2028" s="3" t="str">
        <f>IFERROR(__xludf.DUMMYFUNCTION("GOOGLETRANSLATE(B2028,""id"",""en"")"),"['disappointing', 'users',' Telkomsel ',' signal ',' slow ',' upload ',' task ',' school ',' failed ',' Mulu ',' Please ',' Increase ',' service']")</f>
        <v>['disappointing', 'users',' Telkomsel ',' signal ',' slow ',' upload ',' task ',' school ',' failed ',' Mulu ',' Please ',' Increase ',' service']</v>
      </c>
      <c r="D2028" s="3">
        <v>4.0</v>
      </c>
    </row>
    <row r="2029" ht="15.75" customHeight="1">
      <c r="A2029" s="1">
        <v>2165.0</v>
      </c>
      <c r="B2029" s="3" t="s">
        <v>1957</v>
      </c>
      <c r="C2029" s="3" t="str">
        <f>IFERROR(__xludf.DUMMYFUNCTION("GOOGLETRANSLATE(B2029,""id"",""en"")"),"['Use', 'Network', 'Good', 'Plus', 'Promo', 'Not bad', 'Help', ""]")</f>
        <v>['Use', 'Network', 'Good', 'Plus', 'Promo', 'Not bad', 'Help', "]</v>
      </c>
      <c r="D2029" s="3">
        <v>5.0</v>
      </c>
    </row>
    <row r="2030" ht="15.75" customHeight="1">
      <c r="A2030" s="1">
        <v>2166.0</v>
      </c>
      <c r="B2030" s="3" t="s">
        <v>1958</v>
      </c>
      <c r="C2030" s="3" t="str">
        <f>IFERROR(__xludf.DUMMYFUNCTION("GOOGLETRANSLATE(B2030,""id"",""en"")"),"['Application', 'Help']")</f>
        <v>['Application', 'Help']</v>
      </c>
      <c r="D2030" s="3">
        <v>3.0</v>
      </c>
    </row>
    <row r="2031" ht="15.75" customHeight="1">
      <c r="A2031" s="1">
        <v>2167.0</v>
      </c>
      <c r="B2031" s="3" t="s">
        <v>1959</v>
      </c>
      <c r="C2031" s="3" t="str">
        <f>IFERROR(__xludf.DUMMYFUNCTION("GOOGLETRANSLATE(B2031,""id"",""en"")"),"['Sometimes', 'emoney', 'sometimes', 'pulse']")</f>
        <v>['Sometimes', 'emoney', 'sometimes', 'pulse']</v>
      </c>
      <c r="D2031" s="3">
        <v>3.0</v>
      </c>
    </row>
    <row r="2032" ht="15.75" customHeight="1">
      <c r="A2032" s="1">
        <v>2168.0</v>
      </c>
      <c r="B2032" s="3" t="s">
        <v>1960</v>
      </c>
      <c r="C2032" s="3" t="str">
        <f>IFERROR(__xludf.DUMMYFUNCTION("GOOGLETRANSLATE(B2032,""id"",""en"")"),"['Open', 'Application', 'Error', 'Loading', 'Displays', 'Details', 'Account', 'Please', 'Fix']")</f>
        <v>['Open', 'Application', 'Error', 'Loading', 'Displays', 'Details', 'Account', 'Please', 'Fix']</v>
      </c>
      <c r="D2032" s="3">
        <v>1.0</v>
      </c>
    </row>
    <row r="2033" ht="15.75" customHeight="1">
      <c r="A2033" s="1">
        <v>2169.0</v>
      </c>
      <c r="B2033" s="3" t="s">
        <v>1961</v>
      </c>
      <c r="C2033" s="3" t="str">
        <f>IFERROR(__xludf.DUMMYFUNCTION("GOOGLETRANSLATE(B2033,""id"",""en"")"),"['Provider', 'garbage', 'Wait', 'Provider', 'Care', 'Speed', 'Network', '']")</f>
        <v>['Provider', 'garbage', 'Wait', 'Provider', 'Care', 'Speed', 'Network', '']</v>
      </c>
      <c r="D2033" s="3">
        <v>1.0</v>
      </c>
    </row>
    <row r="2034" ht="15.75" customHeight="1">
      <c r="A2034" s="1">
        <v>2170.0</v>
      </c>
      <c r="B2034" s="3" t="s">
        <v>1962</v>
      </c>
      <c r="C2034" s="3" t="str">
        <f>IFERROR(__xludf.DUMMYFUNCTION("GOOGLETRANSLATE(B2034,""id"",""en"")"),"['signal', 'Telkomsel', 'bad', 'migration', 'hello', 'quota', 'use', '']")</f>
        <v>['signal', 'Telkomsel', 'bad', 'migration', 'hello', 'quota', 'use', '']</v>
      </c>
      <c r="D2034" s="3">
        <v>4.0</v>
      </c>
    </row>
    <row r="2035" ht="15.75" customHeight="1">
      <c r="A2035" s="1">
        <v>2171.0</v>
      </c>
      <c r="B2035" s="3" t="s">
        <v>1963</v>
      </c>
      <c r="C2035" s="3" t="str">
        <f>IFERROR(__xludf.DUMMYFUNCTION("GOOGLETRANSLATE(B2035,""id"",""en"")"),"['Daily', 'check', 'repeated', 'cheat']")</f>
        <v>['Daily', 'check', 'repeated', 'cheat']</v>
      </c>
      <c r="D2035" s="3">
        <v>1.0</v>
      </c>
    </row>
    <row r="2036" ht="15.75" customHeight="1">
      <c r="A2036" s="1">
        <v>2172.0</v>
      </c>
      <c r="B2036" s="3" t="s">
        <v>1964</v>
      </c>
      <c r="C2036" s="3" t="str">
        <f>IFERROR(__xludf.DUMMYFUNCTION("GOOGLETRANSLATE(B2036,""id"",""en"")"),"['satisfying', '']")</f>
        <v>['satisfying', '']</v>
      </c>
      <c r="D2036" s="3">
        <v>5.0</v>
      </c>
    </row>
    <row r="2037" ht="15.75" customHeight="1">
      <c r="A2037" s="1">
        <v>2173.0</v>
      </c>
      <c r="B2037" s="3" t="s">
        <v>1965</v>
      </c>
      <c r="C2037" s="3" t="str">
        <f>IFERROR(__xludf.DUMMYFUNCTION("GOOGLETRANSLATE(B2037,""id"",""en"")"),"['', 'check', 'package', 'scara', 'application', 'Telkomsel', 'package', 'package', 'leftover', 'rare', 'package', 'run out', 'pulses ',' Sucked ',' Customer ',' Please ',' Concern ',' ']")</f>
        <v>['', 'check', 'package', 'scara', 'application', 'Telkomsel', 'package', 'package', 'leftover', 'rare', 'package', 'run out', 'pulses ',' Sucked ',' Customer ',' Please ',' Concern ',' ']</v>
      </c>
      <c r="D2037" s="3">
        <v>1.0</v>
      </c>
    </row>
    <row r="2038" ht="15.75" customHeight="1">
      <c r="A2038" s="1">
        <v>2174.0</v>
      </c>
      <c r="B2038" s="3" t="s">
        <v>1966</v>
      </c>
      <c r="C2038" s="3" t="str">
        <f>IFERROR(__xludf.DUMMYFUNCTION("GOOGLETRANSLATE(B2038,""id"",""en"")"),"['interesting', 'choice', '']")</f>
        <v>['interesting', 'choice', '']</v>
      </c>
      <c r="D2038" s="3">
        <v>5.0</v>
      </c>
    </row>
    <row r="2039" ht="15.75" customHeight="1">
      <c r="A2039" s="1">
        <v>2175.0</v>
      </c>
      <c r="B2039" s="3" t="s">
        <v>1967</v>
      </c>
      <c r="C2039" s="3" t="str">
        <f>IFERROR(__xludf.DUMMYFUNCTION("GOOGLETRANSLATE(B2039,""id"",""en"")"),"['The price', 'expensive', 'Tetep', 'okay', 'because' internet ',' smooth ',' price ',' expensive ',' signal ',' internet ',' ugly ',' critical', '']")</f>
        <v>['The price', 'expensive', 'Tetep', 'okay', 'because' internet ',' smooth ',' price ',' expensive ',' signal ',' internet ',' ugly ',' critical', '']</v>
      </c>
      <c r="D2039" s="3">
        <v>1.0</v>
      </c>
    </row>
    <row r="2040" ht="15.75" customHeight="1">
      <c r="A2040" s="1">
        <v>2176.0</v>
      </c>
      <c r="B2040" s="3" t="s">
        <v>1968</v>
      </c>
      <c r="C2040" s="3" t="str">
        <f>IFERROR(__xludf.DUMMYFUNCTION("GOOGLETRANSLATE(B2040,""id"",""en"")"),"['Error', 'Network', 'Lomet', 'poor']")</f>
        <v>['Error', 'Network', 'Lomet', 'poor']</v>
      </c>
      <c r="D2040" s="3">
        <v>3.0</v>
      </c>
    </row>
    <row r="2041" ht="15.75" customHeight="1">
      <c r="A2041" s="1">
        <v>2177.0</v>
      </c>
      <c r="B2041" s="3" t="s">
        <v>1969</v>
      </c>
      <c r="C2041" s="3" t="str">
        <f>IFERROR(__xludf.DUMMYFUNCTION("GOOGLETRANSLATE(B2041,""id"",""en"")"),"['Choice', 'package', 'expensive', 'customers', 'loyal', 'already', 'many years', '']")</f>
        <v>['Choice', 'package', 'expensive', 'customers', 'loyal', 'already', 'many years', '']</v>
      </c>
      <c r="D2041" s="3">
        <v>3.0</v>
      </c>
    </row>
    <row r="2042" ht="15.75" customHeight="1">
      <c r="A2042" s="1">
        <v>2178.0</v>
      </c>
      <c r="B2042" s="3" t="s">
        <v>1970</v>
      </c>
      <c r="C2042" s="3" t="str">
        <f>IFERROR(__xludf.DUMMYFUNCTION("GOOGLETRANSLATE(B2042,""id"",""en"")"),"['Telkomsel', 'Network', 'City', 'Good', 'Please', 'Notice']")</f>
        <v>['Telkomsel', 'Network', 'City', 'Good', 'Please', 'Notice']</v>
      </c>
      <c r="D2042" s="3">
        <v>5.0</v>
      </c>
    </row>
    <row r="2043" ht="15.75" customHeight="1">
      <c r="A2043" s="1">
        <v>2179.0</v>
      </c>
      <c r="B2043" s="3" t="s">
        <v>1971</v>
      </c>
      <c r="C2043" s="3" t="str">
        <f>IFERROR(__xludf.DUMMYFUNCTION("GOOGLETRANSLATE(B2043,""id"",""en"")"),"['Bukak', 'cave', 'update', 'application']")</f>
        <v>['Bukak', 'cave', 'update', 'application']</v>
      </c>
      <c r="D2043" s="3">
        <v>3.0</v>
      </c>
    </row>
    <row r="2044" ht="15.75" customHeight="1">
      <c r="A2044" s="1">
        <v>2180.0</v>
      </c>
      <c r="B2044" s="3" t="s">
        <v>1972</v>
      </c>
      <c r="C2044" s="3" t="str">
        <f>IFERROR(__xludf.DUMMYFUNCTION("GOOGLETRANSLATE(B2044,""id"",""en"")"),"['Network', 'ridiculous',' play ',' games', 'jumping', 'jumping', 'ping it', 'expensive', 'doang', 'fast', 'kagak', 'mending', ' tri ',' tri ']")</f>
        <v>['Network', 'ridiculous',' play ',' games', 'jumping', 'jumping', 'ping it', 'expensive', 'doang', 'fast', 'kagak', 'mending', ' tri ',' tri ']</v>
      </c>
      <c r="D2044" s="3">
        <v>1.0</v>
      </c>
    </row>
    <row r="2045" ht="15.75" customHeight="1">
      <c r="A2045" s="1">
        <v>2181.0</v>
      </c>
      <c r="B2045" s="3" t="s">
        <v>1973</v>
      </c>
      <c r="C2045" s="3" t="str">
        <f>IFERROR(__xludf.DUMMYFUNCTION("GOOGLETRANSLATE(B2045,""id"",""en"")"),"['Paketan', 'expensive', 'network', 'slow', 'here', 'WOI', 'Move', 'Telkomsel', 'Search', 'profit', 'Tok', 'disappointed', ' very', '']")</f>
        <v>['Paketan', 'expensive', 'network', 'slow', 'here', 'WOI', 'Move', 'Telkomsel', 'Search', 'profit', 'Tok', 'disappointed', ' very', '']</v>
      </c>
      <c r="D2045" s="3">
        <v>1.0</v>
      </c>
    </row>
    <row r="2046" ht="15.75" customHeight="1">
      <c r="A2046" s="1">
        <v>2183.0</v>
      </c>
      <c r="B2046" s="3" t="s">
        <v>1974</v>
      </c>
      <c r="C2046" s="3" t="str">
        <f>IFERROR(__xludf.DUMMYFUNCTION("GOOGLETRANSLATE(B2046,""id"",""en"")"),"['difficult', 'login']")</f>
        <v>['difficult', 'login']</v>
      </c>
      <c r="D2046" s="3">
        <v>3.0</v>
      </c>
    </row>
    <row r="2047" ht="15.75" customHeight="1">
      <c r="A2047" s="1">
        <v>2184.0</v>
      </c>
      <c r="B2047" s="3" t="s">
        <v>1975</v>
      </c>
      <c r="C2047" s="3" t="str">
        <f>IFERROR(__xludf.DUMMYFUNCTION("GOOGLETRANSLATE(B2047,""id"",""en"")"),"['Sinyal', 'ugly', 'bngt', 'inland']")</f>
        <v>['Sinyal', 'ugly', 'bngt', 'inland']</v>
      </c>
      <c r="D2047" s="3">
        <v>1.0</v>
      </c>
    </row>
    <row r="2048" ht="15.75" customHeight="1">
      <c r="A2048" s="1">
        <v>2185.0</v>
      </c>
      <c r="B2048" s="3" t="s">
        <v>1976</v>
      </c>
      <c r="C2048" s="3" t="str">
        <f>IFERROR(__xludf.DUMMYFUNCTION("GOOGLETRANSLATE(B2048,""id"",""en"")"),"['Mbo', 'Ngelintanin', 'Customers',' Computers', 'Complous',' Difficult ',' Bener ',' Error ',' Error ',' just ',' PDHAL ',' BLI ',' Package ',' right ']")</f>
        <v>['Mbo', 'Ngelintanin', 'Customers',' Computers', 'Complous',' Difficult ',' Bener ',' Error ',' Error ',' just ',' PDHAL ',' BLI ',' Package ',' right ']</v>
      </c>
      <c r="D2048" s="3">
        <v>1.0</v>
      </c>
    </row>
    <row r="2049" ht="15.75" customHeight="1">
      <c r="A2049" s="1">
        <v>2186.0</v>
      </c>
      <c r="B2049" s="3" t="s">
        <v>1977</v>
      </c>
      <c r="C2049" s="3" t="str">
        <f>IFERROR(__xludf.DUMMYFUNCTION("GOOGLETRANSLATE(B2049,""id"",""en"")"),"['already', 'download', 'application', 'open']")</f>
        <v>['already', 'download', 'application', 'open']</v>
      </c>
      <c r="D2049" s="3">
        <v>5.0</v>
      </c>
    </row>
    <row r="2050" ht="15.75" customHeight="1">
      <c r="A2050" s="1">
        <v>2187.0</v>
      </c>
      <c r="B2050" s="3" t="s">
        <v>1978</v>
      </c>
      <c r="C2050" s="3" t="str">
        <f>IFERROR(__xludf.DUMMYFUNCTION("GOOGLETRANSLATE(B2050,""id"",""en"")"),"['update', 'opened', 'application', 'Oppo', '']")</f>
        <v>['update', 'opened', 'application', 'Oppo', '']</v>
      </c>
      <c r="D2050" s="3">
        <v>1.0</v>
      </c>
    </row>
    <row r="2051" ht="15.75" customHeight="1">
      <c r="A2051" s="1">
        <v>2188.0</v>
      </c>
      <c r="B2051" s="3" t="s">
        <v>1979</v>
      </c>
      <c r="C2051" s="3" t="str">
        <f>IFERROR(__xludf.DUMMYFUNCTION("GOOGLETRANSLATE(B2051,""id"",""en"")"),"['owe', 'serious']")</f>
        <v>['owe', 'serious']</v>
      </c>
      <c r="D2051" s="3">
        <v>4.0</v>
      </c>
    </row>
    <row r="2052" ht="15.75" customHeight="1">
      <c r="A2052" s="1">
        <v>2189.0</v>
      </c>
      <c r="B2052" s="3" t="s">
        <v>1980</v>
      </c>
      <c r="C2052" s="3" t="str">
        <f>IFERROR(__xludf.DUMMYFUNCTION("GOOGLETRANSLATE(B2052,""id"",""en"")"),"['suggested', 'use', 'card', 'Hello', 'card', 'prepaid', 'delicious', 'Telkomsel', 'rules', ""]")</f>
        <v>['suggested', 'use', 'card', 'Hello', 'card', 'prepaid', 'delicious', 'Telkomsel', 'rules', "]</v>
      </c>
      <c r="D2052" s="3">
        <v>5.0</v>
      </c>
    </row>
    <row r="2053" ht="15.75" customHeight="1">
      <c r="A2053" s="1">
        <v>2190.0</v>
      </c>
      <c r="B2053" s="3" t="s">
        <v>1981</v>
      </c>
      <c r="C2053" s="3" t="str">
        <f>IFERROR(__xludf.DUMMYFUNCTION("GOOGLETRANSLATE(B2053,""id"",""en"")"),"['Display', 'Good', 'Friendly', 'User', 'Informative', '']")</f>
        <v>['Display', 'Good', 'Friendly', 'User', 'Informative', '']</v>
      </c>
      <c r="D2053" s="3">
        <v>5.0</v>
      </c>
    </row>
    <row r="2054" ht="15.75" customHeight="1">
      <c r="A2054" s="1">
        <v>2191.0</v>
      </c>
      <c r="B2054" s="3" t="s">
        <v>1982</v>
      </c>
      <c r="C2054" s="3" t="str">
        <f>IFERROR(__xludf.DUMMYFUNCTION("GOOGLETRANSLATE(B2054,""id"",""en"")"),"['signal', 'stable']")</f>
        <v>['signal', 'stable']</v>
      </c>
      <c r="D2054" s="3">
        <v>4.0</v>
      </c>
    </row>
    <row r="2055" ht="15.75" customHeight="1">
      <c r="A2055" s="1">
        <v>2192.0</v>
      </c>
      <c r="B2055" s="3" t="s">
        <v>1983</v>
      </c>
      <c r="C2055" s="3" t="str">
        <f>IFERROR(__xludf.DUMMYFUNCTION("GOOGLETRANSLATE(B2055,""id"",""en"")"),"['Hello', 'admin', 'tells',' buy ',' package ',' MyTelkomsel ',' no ',' fast ',' finish ',' package ',' already ',' dying ',' ']")</f>
        <v>['Hello', 'admin', 'tells',' buy ',' package ',' MyTelkomsel ',' no ',' fast ',' finish ',' package ',' already ',' dying ',' ']</v>
      </c>
      <c r="D2055" s="3">
        <v>1.0</v>
      </c>
    </row>
    <row r="2056" ht="15.75" customHeight="1">
      <c r="A2056" s="1">
        <v>2193.0</v>
      </c>
      <c r="B2056" s="3" t="s">
        <v>1984</v>
      </c>
      <c r="C2056" s="3" t="str">
        <f>IFERROR(__xludf.DUMMYFUNCTION("GOOGLETRANSLATE(B2056,""id"",""en"")"),"['Telephone', 'SMS', 'Error', 'Report', 'Use', 'Application', 'Robot', '']")</f>
        <v>['Telephone', 'SMS', 'Error', 'Report', 'Use', 'Application', 'Robot', '']</v>
      </c>
      <c r="D2056" s="3">
        <v>1.0</v>
      </c>
    </row>
    <row r="2057" ht="15.75" customHeight="1">
      <c r="A2057" s="1">
        <v>2194.0</v>
      </c>
      <c r="B2057" s="3" t="s">
        <v>1985</v>
      </c>
      <c r="C2057" s="3" t="str">
        <f>IFERROR(__xludf.DUMMYFUNCTION("GOOGLETRANSLATE(B2057,""id"",""en"")"),"['Here', 'LEG', 'Network', 'Stay', 'City', 'Kek', 'Gini', 'Change', 'Network', 'Please', 'Fix']")</f>
        <v>['Here', 'LEG', 'Network', 'Stay', 'City', 'Kek', 'Gini', 'Change', 'Network', 'Please', 'Fix']</v>
      </c>
      <c r="D2057" s="3">
        <v>4.0</v>
      </c>
    </row>
    <row r="2058" ht="15.75" customHeight="1">
      <c r="A2058" s="1">
        <v>2195.0</v>
      </c>
      <c r="B2058" s="3" t="s">
        <v>1986</v>
      </c>
      <c r="C2058" s="3" t="str">
        <f>IFERROR(__xludf.DUMMYFUNCTION("GOOGLETRANSLATE(B2058,""id"",""en"")"),"['package', 'InternetMax', 'thousand', 'missing', 'package', 'subscription']")</f>
        <v>['package', 'InternetMax', 'thousand', 'missing', 'package', 'subscription']</v>
      </c>
      <c r="D2058" s="3">
        <v>4.0</v>
      </c>
    </row>
    <row r="2059" ht="15.75" customHeight="1">
      <c r="A2059" s="1">
        <v>2196.0</v>
      </c>
      <c r="B2059" s="3" t="s">
        <v>1987</v>
      </c>
      <c r="C2059" s="3" t="str">
        <f>IFERROR(__xludf.DUMMYFUNCTION("GOOGLETRANSLATE(B2059,""id"",""en"")"),"['Good', 'aka', 'stingy']")</f>
        <v>['Good', 'aka', 'stingy']</v>
      </c>
      <c r="D2059" s="3">
        <v>1.0</v>
      </c>
    </row>
    <row r="2060" ht="15.75" customHeight="1">
      <c r="A2060" s="1">
        <v>2197.0</v>
      </c>
      <c r="B2060" s="3" t="s">
        <v>1988</v>
      </c>
      <c r="C2060" s="3" t="str">
        <f>IFERROR(__xludf.DUMMYFUNCTION("GOOGLETRANSLATE(B2060,""id"",""en"")"),"['Can', 'SMS', 'Promo', 'UDH', 'ISI', 'PLZ', 'Choice', 'Raying', 'Lumps', 'Plz', 'Telkomsel']")</f>
        <v>['Can', 'SMS', 'Promo', 'UDH', 'ISI', 'PLZ', 'Choice', 'Raying', 'Lumps', 'Plz', 'Telkomsel']</v>
      </c>
      <c r="D2060" s="3">
        <v>1.0</v>
      </c>
    </row>
    <row r="2061" ht="15.75" customHeight="1">
      <c r="A2061" s="1">
        <v>2198.0</v>
      </c>
      <c r="B2061" s="3" t="s">
        <v>1989</v>
      </c>
      <c r="C2061" s="3" t="str">
        <f>IFERROR(__xludf.DUMMYFUNCTION("GOOGLETRANSLATE(B2061,""id"",""en"")"),"['Signal', 'Telkomsel', 'Leet', 'The Capital', 'Leet', 'Satisfying', 'Telkomsel']")</f>
        <v>['Signal', 'Telkomsel', 'Leet', 'The Capital', 'Leet', 'Satisfying', 'Telkomsel']</v>
      </c>
      <c r="D2061" s="3">
        <v>1.0</v>
      </c>
    </row>
    <row r="2062" ht="15.75" customHeight="1">
      <c r="A2062" s="1">
        <v>2199.0</v>
      </c>
      <c r="B2062" s="3" t="s">
        <v>558</v>
      </c>
      <c r="C2062" s="3" t="str">
        <f>IFERROR(__xludf.DUMMYFUNCTION("GOOGLETRANSLATE(B2062,""id"",""en"")"),"['useful']")</f>
        <v>['useful']</v>
      </c>
      <c r="D2062" s="3">
        <v>5.0</v>
      </c>
    </row>
    <row r="2063" ht="15.75" customHeight="1">
      <c r="A2063" s="1">
        <v>2201.0</v>
      </c>
      <c r="B2063" s="3" t="s">
        <v>1990</v>
      </c>
      <c r="C2063" s="3" t="str">
        <f>IFERROR(__xludf.DUMMYFUNCTION("GOOGLETRANSLATE(B2063,""id"",""en"")"),"['Sorry', 'Telkomsel', 'Network', 'meek', 'morals',' please ',' pay attention ',' quality ',' network ',' quality ',' ad ',' promo ',' Package ',' network ',' standard ',' according to ',' price ',' understand ',' ']")</f>
        <v>['Sorry', 'Telkomsel', 'Network', 'meek', 'morals',' please ',' pay attention ',' quality ',' network ',' quality ',' ad ',' promo ',' Package ',' network ',' standard ',' according to ',' price ',' understand ',' ']</v>
      </c>
      <c r="D2063" s="3">
        <v>3.0</v>
      </c>
    </row>
    <row r="2064" ht="15.75" customHeight="1">
      <c r="A2064" s="1">
        <v>2202.0</v>
      </c>
      <c r="B2064" s="3" t="s">
        <v>1991</v>
      </c>
      <c r="C2064" s="3" t="str">
        <f>IFERROR(__xludf.DUMMYFUNCTION("GOOGLETRANSLATE(B2064,""id"",""en"")"),"['APK', 'improvement', 'steady']")</f>
        <v>['APK', 'improvement', 'steady']</v>
      </c>
      <c r="D2064" s="3">
        <v>5.0</v>
      </c>
    </row>
    <row r="2065" ht="15.75" customHeight="1">
      <c r="A2065" s="1">
        <v>2203.0</v>
      </c>
      <c r="B2065" s="3" t="s">
        <v>1992</v>
      </c>
      <c r="C2065" s="3" t="str">
        <f>IFERROR(__xludf.DUMMYFUNCTION("GOOGLETRANSLATE(B2065,""id"",""en"")"),"['Login', 'Not bad', 'fast', 'thank', 'love', 'Please', 'keep', 'please', 'quota', 'multimedia', 'according to', 'cook', ' Wait ',' quota ',' free ',' quota ',' multimedia ',' must ',' recommend ',' waiting ',' quota ',' main ',' run out ',' emnk ',' Abis"&amp;"' , 'limit', 'abis', 'run out', 'buy', 'according to', 'purposes', 'please', 'Telkomsel', 'kuita', 'like', 'use', 'trims']")</f>
        <v>['Login', 'Not bad', 'fast', 'thank', 'love', 'Please', 'keep', 'please', 'quota', 'multimedia', 'according to', 'cook', ' Wait ',' quota ',' free ',' quota ',' multimedia ',' must ',' recommend ',' waiting ',' quota ',' main ',' run out ',' emnk ',' Abis' , 'limit', 'abis', 'run out', 'buy', 'according to', 'purposes', 'please', 'Telkomsel', 'kuita', 'like', 'use', 'trims']</v>
      </c>
      <c r="D2065" s="3">
        <v>5.0</v>
      </c>
    </row>
    <row r="2066" ht="15.75" customHeight="1">
      <c r="A2066" s="1">
        <v>2204.0</v>
      </c>
      <c r="B2066" s="3" t="s">
        <v>1993</v>
      </c>
      <c r="C2066" s="3" t="str">
        <f>IFERROR(__xludf.DUMMYFUNCTION("GOOGLETRANSLATE(B2066,""id"",""en"")"),"['It's easier for', 'users']")</f>
        <v>['It's easier for', 'users']</v>
      </c>
      <c r="D2066" s="3">
        <v>5.0</v>
      </c>
    </row>
    <row r="2067" ht="15.75" customHeight="1">
      <c r="A2067" s="1">
        <v>2205.0</v>
      </c>
      <c r="B2067" s="3" t="s">
        <v>1994</v>
      </c>
      <c r="C2067" s="3" t="str">
        <f>IFERROR(__xludf.DUMMYFUNCTION("GOOGLETRANSLATE(B2067,""id"",""en"")"),"['satisfying', 'purchase', 'package', 'pulse']")</f>
        <v>['satisfying', 'purchase', 'package', 'pulse']</v>
      </c>
      <c r="D2067" s="3">
        <v>5.0</v>
      </c>
    </row>
    <row r="2068" ht="15.75" customHeight="1">
      <c r="A2068" s="1">
        <v>2206.0</v>
      </c>
      <c r="B2068" s="3" t="s">
        <v>1995</v>
      </c>
      <c r="C2068" s="3" t="str">
        <f>IFERROR(__xludf.DUMMYFUNCTION("GOOGLETRANSLATE(B2068,""id"",""en"")"),"['Mantap', 'Application']")</f>
        <v>['Mantap', 'Application']</v>
      </c>
      <c r="D2068" s="3">
        <v>5.0</v>
      </c>
    </row>
    <row r="2069" ht="15.75" customHeight="1">
      <c r="A2069" s="1">
        <v>2207.0</v>
      </c>
      <c r="B2069" s="3" t="s">
        <v>1996</v>
      </c>
      <c r="C2069" s="3" t="str">
        <f>IFERROR(__xludf.DUMMYFUNCTION("GOOGLETRANSLATE(B2069,""id"",""en"")"),"['Method', 'Payment', 'Ribet', 'Shopeepay', 'Update', 'Lost', 'Method', 'Payment']")</f>
        <v>['Method', 'Payment', 'Ribet', 'Shopeepay', 'Update', 'Lost', 'Method', 'Payment']</v>
      </c>
      <c r="D2069" s="3">
        <v>1.0</v>
      </c>
    </row>
    <row r="2070" ht="15.75" customHeight="1">
      <c r="A2070" s="1">
        <v>2208.0</v>
      </c>
      <c r="B2070" s="3" t="s">
        <v>1997</v>
      </c>
      <c r="C2070" s="3" t="str">
        <f>IFERROR(__xludf.DUMMYFUNCTION("GOOGLETRANSLATE(B2070,""id"",""en"")"),"['steady', 'times', 'Telkomsel', 'promo', 'practical', 'sip', '']")</f>
        <v>['steady', 'times', 'Telkomsel', 'promo', 'practical', 'sip', '']</v>
      </c>
      <c r="D2070" s="3">
        <v>5.0</v>
      </c>
    </row>
    <row r="2071" ht="15.75" customHeight="1">
      <c r="A2071" s="1">
        <v>2209.0</v>
      </c>
      <c r="B2071" s="3" t="s">
        <v>1998</v>
      </c>
      <c r="C2071" s="3" t="str">
        <f>IFERROR(__xludf.DUMMYFUNCTION("GOOGLETRANSLATE(B2071,""id"",""en"")"),"['Please', 'what', 'live', 'package', 'emergency', 'pulses', 'tue']")</f>
        <v>['Please', 'what', 'live', 'package', 'emergency', 'pulses', 'tue']</v>
      </c>
      <c r="D2071" s="3">
        <v>1.0</v>
      </c>
    </row>
    <row r="2072" ht="15.75" customHeight="1">
      <c r="A2072" s="1">
        <v>2210.0</v>
      </c>
      <c r="B2072" s="3" t="s">
        <v>1569</v>
      </c>
      <c r="C2072" s="3" t="str">
        <f>IFERROR(__xludf.DUMMYFUNCTION("GOOGLETRANSLATE(B2072,""id"",""en"")"),"['APK', 'good', 'really']")</f>
        <v>['APK', 'good', 'really']</v>
      </c>
      <c r="D2072" s="3">
        <v>5.0</v>
      </c>
    </row>
    <row r="2073" ht="15.75" customHeight="1">
      <c r="A2073" s="1">
        <v>2211.0</v>
      </c>
      <c r="B2073" s="3" t="s">
        <v>1999</v>
      </c>
      <c r="C2073" s="3" t="str">
        <f>IFERROR(__xludf.DUMMYFUNCTION("GOOGLETRANSLATE(B2073,""id"",""en"")"),"['Please', 'card', 'bangad', 'package', 'expensive', 'point', 'cord']")</f>
        <v>['Please', 'card', 'bangad', 'package', 'expensive', 'point', 'cord']</v>
      </c>
      <c r="D2073" s="3">
        <v>1.0</v>
      </c>
    </row>
    <row r="2074" ht="15.75" customHeight="1">
      <c r="A2074" s="1">
        <v>2212.0</v>
      </c>
      <c r="B2074" s="3" t="s">
        <v>2000</v>
      </c>
      <c r="C2074" s="3" t="str">
        <f>IFERROR(__xludf.DUMMYFUNCTION("GOOGLETRANSLATE(B2074,""id"",""en"")"),"['Slow', 'Display', 'Simple']")</f>
        <v>['Slow', 'Display', 'Simple']</v>
      </c>
      <c r="D2074" s="3">
        <v>3.0</v>
      </c>
    </row>
    <row r="2075" ht="15.75" customHeight="1">
      <c r="A2075" s="1">
        <v>2213.0</v>
      </c>
      <c r="B2075" s="3" t="s">
        <v>2001</v>
      </c>
      <c r="C2075" s="3" t="str">
        <f>IFERROR(__xludf.DUMMYFUNCTION("GOOGLETRANSLATE(B2075,""id"",""en"")"),"['signal', 'Kurg', 'good', 'taghn', 'mah', 'tetep', 'sgtu', '']")</f>
        <v>['signal', 'Kurg', 'good', 'taghn', 'mah', 'tetep', 'sgtu', '']</v>
      </c>
      <c r="D2075" s="3">
        <v>2.0</v>
      </c>
    </row>
    <row r="2076" ht="15.75" customHeight="1">
      <c r="A2076" s="1">
        <v>2214.0</v>
      </c>
      <c r="B2076" s="3" t="s">
        <v>2002</v>
      </c>
      <c r="C2076" s="3" t="str">
        <f>IFERROR(__xludf.DUMMYFUNCTION("GOOGLETRANSLATE(B2076,""id"",""en"")"),"['', 'Stay', 'City', 'Network', 'Strong']")</f>
        <v>['', 'Stay', 'City', 'Network', 'Strong']</v>
      </c>
      <c r="D2076" s="3">
        <v>3.0</v>
      </c>
    </row>
    <row r="2077" ht="15.75" customHeight="1">
      <c r="A2077" s="1">
        <v>2215.0</v>
      </c>
      <c r="B2077" s="3" t="s">
        <v>2003</v>
      </c>
      <c r="C2077" s="3" t="str">
        <f>IFERROR(__xludf.DUMMYFUNCTION("GOOGLETRANSLATE(B2077,""id"",""en"")"),"['Application', 'Easy', 'Yemen']")</f>
        <v>['Application', 'Easy', 'Yemen']</v>
      </c>
      <c r="D2077" s="3">
        <v>5.0</v>
      </c>
    </row>
    <row r="2078" ht="15.75" customHeight="1">
      <c r="A2078" s="1">
        <v>2217.0</v>
      </c>
      <c r="B2078" s="3" t="s">
        <v>2004</v>
      </c>
      <c r="C2078" s="3" t="str">
        <f>IFERROR(__xludf.DUMMYFUNCTION("GOOGLETRANSLATE(B2078,""id"",""en"")"),"['Telkomsel', 'because of', 'signal', 'Kek', 'anjink', 'Season', 'people', 'even though', 'package', 'data', 'signal', 'Tetep', ' Kek ',' anjinkkkkk ']")</f>
        <v>['Telkomsel', 'because of', 'signal', 'Kek', 'anjink', 'Season', 'people', 'even though', 'package', 'data', 'signal', 'Tetep', ' Kek ',' anjinkkkkk ']</v>
      </c>
      <c r="D2078" s="3">
        <v>1.0</v>
      </c>
    </row>
    <row r="2079" ht="15.75" customHeight="1">
      <c r="A2079" s="1">
        <v>2218.0</v>
      </c>
      <c r="B2079" s="3" t="s">
        <v>2005</v>
      </c>
      <c r="C2079" s="3" t="str">
        <f>IFERROR(__xludf.DUMMYFUNCTION("GOOGLETRANSLATE(B2079,""id"",""en"")"),"['Credit', 'Cut', 'Cut', 'In the future', 'Features', 'Lock', 'Credit', 'Arbitrarse', 'Cut']")</f>
        <v>['Credit', 'Cut', 'Cut', 'In the future', 'Features', 'Lock', 'Credit', 'Arbitrarse', 'Cut']</v>
      </c>
      <c r="D2079" s="3">
        <v>3.0</v>
      </c>
    </row>
    <row r="2080" ht="15.75" customHeight="1">
      <c r="A2080" s="1">
        <v>2219.0</v>
      </c>
      <c r="B2080" s="3" t="s">
        <v>2006</v>
      </c>
      <c r="C2080" s="3" t="str">
        <f>IFERROR(__xludf.DUMMYFUNCTION("GOOGLETRANSLATE(B2080,""id"",""en"")"),"['Buy', 'Package', 'FAILURE', 'Credit', 'Cut']")</f>
        <v>['Buy', 'Package', 'FAILURE', 'Credit', 'Cut']</v>
      </c>
      <c r="D2080" s="3">
        <v>1.0</v>
      </c>
    </row>
    <row r="2081" ht="15.75" customHeight="1">
      <c r="A2081" s="1">
        <v>2220.0</v>
      </c>
      <c r="B2081" s="3" t="s">
        <v>2007</v>
      </c>
      <c r="C2081" s="3" t="str">
        <f>IFERROR(__xludf.DUMMYFUNCTION("GOOGLETRANSLATE(B2081,""id"",""en"")"),"['My signal', 'ugly', 'Mulu', 'Where', 'Severe', 'Current', 'Jaya']")</f>
        <v>['My signal', 'ugly', 'Mulu', 'Where', 'Severe', 'Current', 'Jaya']</v>
      </c>
      <c r="D2081" s="3">
        <v>1.0</v>
      </c>
    </row>
    <row r="2082" ht="15.75" customHeight="1">
      <c r="A2082" s="1">
        <v>2221.0</v>
      </c>
      <c r="B2082" s="3" t="s">
        <v>2008</v>
      </c>
      <c r="C2082" s="3" t="str">
        <f>IFERROR(__xludf.DUMMYFUNCTION("GOOGLETRANSLATE(B2082,""id"",""en"")"),"['', 'Bner', 'a little', 'You', 'Network', 'Macem', 'You', 'Setabil', 'Disorders',' You ',' Expensive ',' Hara, 'you're' ',' Different ',' Different ',' Network ',' Application ',' Open ',' Internet ',' Slow ',' Tengok ',' Look ',' Open ',' Yusub ',' You "&amp;"',' You ', 'launch', 'network', 'times',' you ',' fast ',' spend ',' quota ',' you ',' launch ',' his greeting ',' knpa ',' you ',' cunning ',' Times', 'Tengok', '']")</f>
        <v>['', 'Bner', 'a little', 'You', 'Network', 'Macem', 'You', 'Setabil', 'Disorders',' You ',' Expensive ',' Hara, 'you're' ',' Different ',' Different ',' Network ',' Application ',' Open ',' Internet ',' Slow ',' Tengok ',' Look ',' Open ',' Yusub ',' You ',' You ', 'launch', 'network', 'times',' you ',' fast ',' spend ',' quota ',' you ',' launch ',' his greeting ',' knpa ',' you ',' cunning ',' Times', 'Tengok', '']</v>
      </c>
      <c r="D2082" s="3">
        <v>1.0</v>
      </c>
    </row>
    <row r="2083" ht="15.75" customHeight="1">
      <c r="A2083" s="1">
        <v>2222.0</v>
      </c>
      <c r="B2083" s="3" t="s">
        <v>2009</v>
      </c>
      <c r="C2083" s="3" t="str">
        <f>IFERROR(__xludf.DUMMYFUNCTION("GOOGLETRANSLATE(B2083,""id"",""en"")"),"['Increase', 'Performance', 'stability', 'network', 'throughout', 'region', 'remote']")</f>
        <v>['Increase', 'Performance', 'stability', 'network', 'throughout', 'region', 'remote']</v>
      </c>
      <c r="D2083" s="3">
        <v>4.0</v>
      </c>
    </row>
    <row r="2084" ht="15.75" customHeight="1">
      <c r="A2084" s="1">
        <v>2224.0</v>
      </c>
      <c r="B2084" s="3" t="s">
        <v>2010</v>
      </c>
      <c r="C2084" s="3" t="str">
        <f>IFERROR(__xludf.DUMMYFUNCTION("GOOGLETRANSLATE(B2084,""id"",""en"")"),"['Increase', 'Quality', 'Network', 'Smooth']")</f>
        <v>['Increase', 'Quality', 'Network', 'Smooth']</v>
      </c>
      <c r="D2084" s="3">
        <v>2.0</v>
      </c>
    </row>
    <row r="2085" ht="15.75" customHeight="1">
      <c r="A2085" s="1">
        <v>2225.0</v>
      </c>
      <c r="B2085" s="3" t="s">
        <v>2011</v>
      </c>
      <c r="C2085" s="3" t="str">
        <f>IFERROR(__xludf.DUMMYFUNCTION("GOOGLETRANSLATE(B2085,""id"",""en"")"),"['check', 'daily', 'reach', 'menu', 'chek', 'missing', 'notification', 'inbox', 'according to', 'inbox', 'deleted', 'Sema', ' Notifications', 'List', 'Inbox', 'left', ""]")</f>
        <v>['check', 'daily', 'reach', 'menu', 'chek', 'missing', 'notification', 'inbox', 'according to', 'inbox', 'deleted', 'Sema', ' Notifications', 'List', 'Inbox', 'left', "]</v>
      </c>
      <c r="D2085" s="3">
        <v>4.0</v>
      </c>
    </row>
    <row r="2086" ht="15.75" customHeight="1">
      <c r="A2086" s="1">
        <v>2226.0</v>
      </c>
      <c r="B2086" s="3" t="s">
        <v>2012</v>
      </c>
      <c r="C2086" s="3" t="str">
        <f>IFERROR(__xludf.DUMMYFUNCTION("GOOGLETRANSLATE(B2086,""id"",""en"")"),"['mayan', 'help']")</f>
        <v>['mayan', 'help']</v>
      </c>
      <c r="D2086" s="3">
        <v>5.0</v>
      </c>
    </row>
    <row r="2087" ht="15.75" customHeight="1">
      <c r="A2087" s="1">
        <v>2227.0</v>
      </c>
      <c r="B2087" s="3" t="s">
        <v>2013</v>
      </c>
      <c r="C2087" s="3" t="str">
        <f>IFERROR(__xludf.DUMMYFUNCTION("GOOGLETRANSLATE(B2087,""id"",""en"")"),"['Thank you', 'Telkomsel', 'Easy', 'Ribet', '']")</f>
        <v>['Thank you', 'Telkomsel', 'Easy', 'Ribet', '']</v>
      </c>
      <c r="D2087" s="3">
        <v>5.0</v>
      </c>
    </row>
    <row r="2088" ht="15.75" customHeight="1">
      <c r="A2088" s="1">
        <v>2228.0</v>
      </c>
      <c r="B2088" s="3" t="s">
        <v>2014</v>
      </c>
      <c r="C2088" s="3" t="str">
        <f>IFERROR(__xludf.DUMMYFUNCTION("GOOGLETRANSLATE(B2088,""id"",""en"")"),"['Thanks', 'buy', 'Package', 'Watch', 'Anime', 'Not bad', 'card', '']")</f>
        <v>['Thanks', 'buy', 'Package', 'Watch', 'Anime', 'Not bad', 'card', '']</v>
      </c>
      <c r="D2088" s="3">
        <v>5.0</v>
      </c>
    </row>
    <row r="2089" ht="15.75" customHeight="1">
      <c r="A2089" s="1">
        <v>2229.0</v>
      </c>
      <c r="B2089" s="3" t="s">
        <v>2015</v>
      </c>
      <c r="C2089" s="3" t="str">
        <f>IFERROR(__xludf.DUMMYFUNCTION("GOOGLETRANSLATE(B2089,""id"",""en"")"),"['Try', 'Updated', 'Good']")</f>
        <v>['Try', 'Updated', 'Good']</v>
      </c>
      <c r="D2089" s="3">
        <v>4.0</v>
      </c>
    </row>
    <row r="2090" ht="15.75" customHeight="1">
      <c r="A2090" s="1">
        <v>2230.0</v>
      </c>
      <c r="B2090" s="3" t="s">
        <v>2016</v>
      </c>
      <c r="C2090" s="3" t="str">
        <f>IFERROR(__xludf.DUMMYFUNCTION("GOOGLETRANSLATE(B2090,""id"",""en"")"),"['Leet', 'bin', 'slow', 'replace', 'change', 'sympathy', ""]")</f>
        <v>['Leet', 'bin', 'slow', 'replace', 'change', 'sympathy', "]</v>
      </c>
      <c r="D2090" s="3">
        <v>2.0</v>
      </c>
    </row>
    <row r="2091" ht="15.75" customHeight="1">
      <c r="A2091" s="1">
        <v>2231.0</v>
      </c>
      <c r="B2091" s="3" t="s">
        <v>2017</v>
      </c>
      <c r="C2091" s="3" t="str">
        <f>IFERROR(__xludf.DUMMYFUNCTION("GOOGLETRANSLATE(B2091,""id"",""en"")"),"['satisfying', 'Telkomunikas']")</f>
        <v>['satisfying', 'Telkomunikas']</v>
      </c>
      <c r="D2091" s="3">
        <v>5.0</v>
      </c>
    </row>
    <row r="2092" ht="15.75" customHeight="1">
      <c r="A2092" s="1">
        <v>2232.0</v>
      </c>
      <c r="B2092" s="3" t="s">
        <v>2018</v>
      </c>
      <c r="C2092" s="3" t="str">
        <f>IFERROR(__xludf.DUMMYFUNCTION("GOOGLETRANSLATE(B2092,""id"",""en"")"),"['Service', 'Good']")</f>
        <v>['Service', 'Good']</v>
      </c>
      <c r="D2092" s="3">
        <v>5.0</v>
      </c>
    </row>
    <row r="2093" ht="15.75" customHeight="1">
      <c r="A2093" s="1">
        <v>2233.0</v>
      </c>
      <c r="B2093" s="3" t="s">
        <v>2019</v>
      </c>
      <c r="C2093" s="3" t="str">
        <f>IFERROR(__xludf.DUMMYFUNCTION("GOOGLETRANSLATE(B2093,""id"",""en"")"),"['Telkomsel', 'good']")</f>
        <v>['Telkomsel', 'good']</v>
      </c>
      <c r="D2093" s="3">
        <v>5.0</v>
      </c>
    </row>
    <row r="2094" ht="15.75" customHeight="1">
      <c r="A2094" s="1">
        <v>2234.0</v>
      </c>
      <c r="B2094" s="3" t="s">
        <v>2020</v>
      </c>
      <c r="C2094" s="3" t="str">
        <f>IFERROR(__xludf.DUMMYFUNCTION("GOOGLETRANSLATE(B2094,""id"",""en"")"),"['Card', 'Telkomsel', 'Doang', 'signal', 'UDH', 'Bad', 'price', 'expensive', 'morning', 'noon', 'afternoon', 'night', ' in the city ',' Diesa ',' already ',' signal ',' threat ',' really ',' meek ',' tasty ',' contact ',' Where ',' tetep ',' no 'change' ,"&amp;" 'Disappointed', 'Moving', 'Oerator', 'Yok', 'Friend', 'Congratulations', 'Live', 'Life', 'A Day', 'Congratulations', 'Torture', ""]")</f>
        <v>['Card', 'Telkomsel', 'Doang', 'signal', 'UDH', 'Bad', 'price', 'expensive', 'morning', 'noon', 'afternoon', 'night', ' in the city ',' Diesa ',' already ',' signal ',' threat ',' really ',' meek ',' tasty ',' contact ',' Where ',' tetep ',' no 'change' , 'Disappointed', 'Moving', 'Oerator', 'Yok', 'Friend', 'Congratulations', 'Live', 'Life', 'A Day', 'Congratulations', 'Torture', "]</v>
      </c>
      <c r="D2094" s="3">
        <v>1.0</v>
      </c>
    </row>
    <row r="2095" ht="15.75" customHeight="1">
      <c r="A2095" s="1">
        <v>2235.0</v>
      </c>
      <c r="B2095" s="3" t="s">
        <v>2021</v>
      </c>
      <c r="C2095" s="3" t="str">
        <f>IFERROR(__xludf.DUMMYFUNCTION("GOOGLETRANSLATE(B2095,""id"",""en"")"),"['Slow', 'laun', 'Kek']")</f>
        <v>['Slow', 'laun', 'Kek']</v>
      </c>
      <c r="D2095" s="3">
        <v>1.0</v>
      </c>
    </row>
    <row r="2096" ht="15.75" customHeight="1">
      <c r="A2096" s="1">
        <v>2236.0</v>
      </c>
      <c r="B2096" s="3" t="s">
        <v>2022</v>
      </c>
      <c r="C2096" s="3" t="str">
        <f>IFERROR(__xludf.DUMMYFUNCTION("GOOGLETRANSLATE(B2096,""id"",""en"")"),"['Telkomsel', 'disappointing', 'network', 'slow', 'send', 'message', 'through', 'WhatsApp', 'pending', 'presentation', 'presentation', 'good', ' Because ',' Network ',' Lost ',' Embossed ',' Mari ',' Provider ',' Telkomsel ',' Having ',' Significant ',' S"&amp;"ignificant ',' Compared ',' Provider ',' Price ' , 'Package', 'expensive']")</f>
        <v>['Telkomsel', 'disappointing', 'network', 'slow', 'send', 'message', 'through', 'WhatsApp', 'pending', 'presentation', 'presentation', 'good', ' Because ',' Network ',' Lost ',' Embossed ',' Mari ',' Provider ',' Telkomsel ',' Having ',' Significant ',' Significant ',' Compared ',' Provider ',' Price ' , 'Package', 'expensive']</v>
      </c>
      <c r="D2096" s="3">
        <v>1.0</v>
      </c>
    </row>
    <row r="2097" ht="15.75" customHeight="1">
      <c r="A2097" s="1">
        <v>2237.0</v>
      </c>
      <c r="B2097" s="3" t="s">
        <v>2023</v>
      </c>
      <c r="C2097" s="3" t="str">
        <f>IFERROR(__xludf.DUMMYFUNCTION("GOOGLETRANSLATE(B2097,""id"",""en"")"),"['cyke', 'application', 'error', 'steady', 'tanks', 'Telkomsel']")</f>
        <v>['cyke', 'application', 'error', 'steady', 'tanks', 'Telkomsel']</v>
      </c>
      <c r="D2097" s="3">
        <v>5.0</v>
      </c>
    </row>
    <row r="2098" ht="15.75" customHeight="1">
      <c r="A2098" s="1">
        <v>2238.0</v>
      </c>
      <c r="B2098" s="3" t="s">
        <v>2024</v>
      </c>
      <c r="C2098" s="3" t="str">
        <f>IFERROR(__xludf.DUMMYFUNCTION("GOOGLETRANSLATE(B2098,""id"",""en"")"),"['Severe', 'Network', 'Telkomsel', 'UDH', 'Rely on', 'France', 'Troubled', 'The Network', '']")</f>
        <v>['Severe', 'Network', 'Telkomsel', 'UDH', 'Rely on', 'France', 'Troubled', 'The Network', '']</v>
      </c>
      <c r="D2098" s="3">
        <v>1.0</v>
      </c>
    </row>
    <row r="2099" ht="15.75" customHeight="1">
      <c r="A2099" s="1">
        <v>2239.0</v>
      </c>
      <c r="B2099" s="3" t="s">
        <v>2025</v>
      </c>
      <c r="C2099" s="3" t="str">
        <f>IFERROR(__xludf.DUMMYFUNCTION("GOOGLETRANSLATE(B2099,""id"",""en"")"),"['BGSS', 'BNGETT', 'Applicationaaaa', 'Wawwww', 'Ayoo', 'Hurry', 'Download', ""]")</f>
        <v>['BGSS', 'BNGETT', 'Applicationaaaa', 'Wawwww', 'Ayoo', 'Hurry', 'Download', "]</v>
      </c>
      <c r="D2099" s="3">
        <v>5.0</v>
      </c>
    </row>
    <row r="2100" ht="15.75" customHeight="1">
      <c r="A2100" s="1">
        <v>2240.0</v>
      </c>
      <c r="B2100" s="3" t="s">
        <v>2026</v>
      </c>
      <c r="C2100" s="3" t="str">
        <f>IFERROR(__xludf.DUMMYFUNCTION("GOOGLETRANSLATE(B2100,""id"",""en"")"),"['The application', 'Benerin', 'Force', 'Close', 'Mulu', 'Bener', ""]")</f>
        <v>['The application', 'Benerin', 'Force', 'Close', 'Mulu', 'Bener', "]</v>
      </c>
      <c r="D2100" s="3">
        <v>1.0</v>
      </c>
    </row>
    <row r="2101" ht="15.75" customHeight="1">
      <c r="A2101" s="1">
        <v>2241.0</v>
      </c>
      <c r="B2101" s="3" t="s">
        <v>2027</v>
      </c>
      <c r="C2101" s="3" t="str">
        <f>IFERROR(__xludf.DUMMYFUNCTION("GOOGLETRANSLATE(B2101,""id"",""en"")"),"['Maintain', 'cheap']")</f>
        <v>['Maintain', 'cheap']</v>
      </c>
      <c r="D2101" s="3">
        <v>4.0</v>
      </c>
    </row>
    <row r="2102" ht="15.75" customHeight="1">
      <c r="A2102" s="1">
        <v>2242.0</v>
      </c>
      <c r="B2102" s="3" t="s">
        <v>2028</v>
      </c>
      <c r="C2102" s="3" t="str">
        <f>IFERROR(__xludf.DUMMYFUNCTION("GOOGLETRANSLATE(B2102,""id"",""en"")"),"['update', 'cool', 'experience', 'person', 'check', 'pulse', 'buy', 'package', 'easy', 'happy', '']")</f>
        <v>['update', 'cool', 'experience', 'person', 'check', 'pulse', 'buy', 'package', 'easy', 'happy', '']</v>
      </c>
      <c r="D2102" s="3">
        <v>5.0</v>
      </c>
    </row>
    <row r="2103" ht="15.75" customHeight="1">
      <c r="A2103" s="1">
        <v>2243.0</v>
      </c>
      <c r="B2103" s="3" t="s">
        <v>2029</v>
      </c>
      <c r="C2103" s="3" t="str">
        <f>IFERROR(__xludf.DUMMYFUNCTION("GOOGLETRANSLATE(B2103,""id"",""en"")"),"['pulse', 'sucked', 'reason', 'chat', 'response', 'slow', 'really', 'responsibility', 'severe', 'company', 'state', 'kek', ' Gini ',' ']")</f>
        <v>['pulse', 'sucked', 'reason', 'chat', 'response', 'slow', 'really', 'responsibility', 'severe', 'company', 'state', 'kek', ' Gini ',' ']</v>
      </c>
      <c r="D2103" s="3">
        <v>1.0</v>
      </c>
    </row>
    <row r="2104" ht="15.75" customHeight="1">
      <c r="A2104" s="1">
        <v>2245.0</v>
      </c>
      <c r="B2104" s="3" t="s">
        <v>2030</v>
      </c>
      <c r="C2104" s="3" t="str">
        <f>IFERROR(__xludf.DUMMYFUNCTION("GOOGLETRANSLATE(B2104,""id"",""en"")"),"['promo', 'package', 'internet', 'like', '']")</f>
        <v>['promo', 'package', 'internet', 'like', '']</v>
      </c>
      <c r="D2104" s="3">
        <v>5.0</v>
      </c>
    </row>
    <row r="2105" ht="15.75" customHeight="1">
      <c r="A2105" s="1">
        <v>2246.0</v>
      </c>
      <c r="B2105" s="3" t="s">
        <v>2031</v>
      </c>
      <c r="C2105" s="3" t="str">
        <f>IFERROR(__xludf.DUMMYFUNCTION("GOOGLETRANSLATE(B2105,""id"",""en"")"),"['App', 'problematic', 'safe', 'safe']")</f>
        <v>['App', 'problematic', 'safe', 'safe']</v>
      </c>
      <c r="D2105" s="3">
        <v>3.0</v>
      </c>
    </row>
    <row r="2106" ht="15.75" customHeight="1">
      <c r="A2106" s="1">
        <v>2247.0</v>
      </c>
      <c r="B2106" s="3" t="s">
        <v>2032</v>
      </c>
      <c r="C2106" s="3" t="str">
        <f>IFERROR(__xludf.DUMMYFUNCTION("GOOGLETRANSLATE(B2106,""id"",""en"")"),"['Network', 'Telkomsel', 'bad', 'customers',' disappointed ',' really ',' lose ',' profider ',' neighbor ',' his jar ',' good ',' dokupung ',' village ',' please ',' repaired ',' no ',' moved ',' profider ',' ']")</f>
        <v>['Network', 'Telkomsel', 'bad', 'customers',' disappointed ',' really ',' lose ',' profider ',' neighbor ',' his jar ',' good ',' dokupung ',' village ',' please ',' repaired ',' no ',' moved ',' profider ',' ']</v>
      </c>
      <c r="D2106" s="3">
        <v>1.0</v>
      </c>
    </row>
    <row r="2107" ht="15.75" customHeight="1">
      <c r="A2107" s="1">
        <v>2248.0</v>
      </c>
      <c r="B2107" s="3" t="s">
        <v>2033</v>
      </c>
      <c r="C2107" s="3" t="str">
        <f>IFERROR(__xludf.DUMMYFUNCTION("GOOGLETRANSLATE(B2107,""id"",""en"")"),"['petrified', ""]")</f>
        <v>['petrified', "]</v>
      </c>
      <c r="D2107" s="3">
        <v>5.0</v>
      </c>
    </row>
    <row r="2108" ht="15.75" customHeight="1">
      <c r="A2108" s="1">
        <v>2249.0</v>
      </c>
      <c r="B2108" s="3" t="s">
        <v>2034</v>
      </c>
      <c r="C2108" s="3" t="str">
        <f>IFERROR(__xludf.DUMMYFUNCTION("GOOGLETRANSLATE(B2108,""id"",""en"")"),"['Mntak', 'renewed', 'Did', 'TTAP', 'NDK', 'BSA', 'DBAYA', 'KAMPRETT']")</f>
        <v>['Mntak', 'renewed', 'Did', 'TTAP', 'NDK', 'BSA', 'DBAYA', 'KAMPRETT']</v>
      </c>
      <c r="D2108" s="3">
        <v>1.0</v>
      </c>
    </row>
    <row r="2109" ht="15.75" customHeight="1">
      <c r="A2109" s="1">
        <v>2250.0</v>
      </c>
      <c r="B2109" s="3" t="s">
        <v>2035</v>
      </c>
      <c r="C2109" s="3" t="str">
        <f>IFERROR(__xludf.DUMMYFUNCTION("GOOGLETRANSLATE(B2109,""id"",""en"")"),"['Kenpa', 'Credit', 'Take', 'Description', 'Wear', 'Pulse', 'Untk', 'Access',' Internet ',' Non ',' Package ',' Sya ',' Access', 'Internet', 'Card', 'Indosat', 'Credit', 'Telkomsel', 'Cut', 'Fill', 'Credit', 'Extend', 'Card', 'Dispens',' Cut ' , 'Alesan',"&amp;" 'access', 'internet', 'non', 'package', 'please', 'fix', 'cheat']")</f>
        <v>['Kenpa', 'Credit', 'Take', 'Description', 'Wear', 'Pulse', 'Untk', 'Access',' Internet ',' Non ',' Package ',' Sya ',' Access', 'Internet', 'Card', 'Indosat', 'Credit', 'Telkomsel', 'Cut', 'Fill', 'Credit', 'Extend', 'Card', 'Dispens',' Cut ' , 'Alesan', 'access', 'internet', 'non', 'package', 'please', 'fix', 'cheat']</v>
      </c>
      <c r="D2109" s="3">
        <v>1.0</v>
      </c>
    </row>
    <row r="2110" ht="15.75" customHeight="1">
      <c r="A2110" s="1">
        <v>2251.0</v>
      </c>
      <c r="B2110" s="3" t="s">
        <v>2036</v>
      </c>
      <c r="C2110" s="3" t="str">
        <f>IFERROR(__xludf.DUMMYFUNCTION("GOOGLETRANSLATE(B2110,""id"",""en"")"),"['Hopefully', 'sustenance']")</f>
        <v>['Hopefully', 'sustenance']</v>
      </c>
      <c r="D2110" s="3">
        <v>5.0</v>
      </c>
    </row>
    <row r="2111" ht="15.75" customHeight="1">
      <c r="A2111" s="1">
        <v>2252.0</v>
      </c>
      <c r="B2111" s="3" t="s">
        <v>2037</v>
      </c>
      <c r="C2111" s="3" t="str">
        <f>IFERROR(__xludf.DUMMYFUNCTION("GOOGLETRANSLATE(B2111,""id"",""en"")"),"['buy', 'package', 'internet', 'balance', 'reduced', 'enter']")</f>
        <v>['buy', 'package', 'internet', 'balance', 'reduced', 'enter']</v>
      </c>
      <c r="D2111" s="3">
        <v>1.0</v>
      </c>
    </row>
    <row r="2112" ht="15.75" customHeight="1">
      <c r="A2112" s="1">
        <v>2253.0</v>
      </c>
      <c r="B2112" s="3" t="s">
        <v>2038</v>
      </c>
      <c r="C2112" s="3" t="str">
        <f>IFERROR(__xludf.DUMMYFUNCTION("GOOGLETRANSLATE(B2112,""id"",""en"")"),"['Help', 'Telkomsel', '']")</f>
        <v>['Help', 'Telkomsel', '']</v>
      </c>
      <c r="D2112" s="3">
        <v>5.0</v>
      </c>
    </row>
    <row r="2113" ht="15.75" customHeight="1">
      <c r="A2113" s="1">
        <v>2254.0</v>
      </c>
      <c r="B2113" s="3" t="s">
        <v>2039</v>
      </c>
      <c r="C2113" s="3" t="str">
        <f>IFERROR(__xludf.DUMMYFUNCTION("GOOGLETRANSLATE(B2113,""id"",""en"")"),"['Knplah', 'opened', 'BLM', 'pulse', 'sucked', 'Telkomsel']")</f>
        <v>['Knplah', 'opened', 'BLM', 'pulse', 'sucked', 'Telkomsel']</v>
      </c>
      <c r="D2113" s="3">
        <v>1.0</v>
      </c>
    </row>
    <row r="2114" ht="15.75" customHeight="1">
      <c r="A2114" s="1">
        <v>2255.0</v>
      </c>
      <c r="B2114" s="3" t="s">
        <v>223</v>
      </c>
      <c r="C2114" s="3" t="str">
        <f>IFERROR(__xludf.DUMMYFUNCTION("GOOGLETRANSLATE(B2114,""id"",""en"")"),"['']")</f>
        <v>['']</v>
      </c>
      <c r="D2114" s="3">
        <v>2.0</v>
      </c>
    </row>
    <row r="2115" ht="15.75" customHeight="1">
      <c r="A2115" s="1">
        <v>2256.0</v>
      </c>
      <c r="B2115" s="3" t="s">
        <v>264</v>
      </c>
      <c r="C2115" s="3" t="str">
        <f>IFERROR(__xludf.DUMMYFUNCTION("GOOGLETRANSLATE(B2115,""id"",""en"")"),"['Network', 'good']")</f>
        <v>['Network', 'good']</v>
      </c>
      <c r="D2115" s="3">
        <v>4.0</v>
      </c>
    </row>
    <row r="2116" ht="15.75" customHeight="1">
      <c r="A2116" s="1">
        <v>2258.0</v>
      </c>
      <c r="B2116" s="3" t="s">
        <v>2040</v>
      </c>
      <c r="C2116" s="3" t="str">
        <f>IFERROR(__xludf.DUMMYFUNCTION("GOOGLETRANSLATE(B2116,""id"",""en"")"),"['Ribet', 'BNYK', 'Verifikasi', 'Connection', 'Stable']")</f>
        <v>['Ribet', 'BNYK', 'Verifikasi', 'Connection', 'Stable']</v>
      </c>
      <c r="D2116" s="3">
        <v>1.0</v>
      </c>
    </row>
    <row r="2117" ht="15.75" customHeight="1">
      <c r="A2117" s="1">
        <v>2260.0</v>
      </c>
      <c r="B2117" s="3" t="s">
        <v>2041</v>
      </c>
      <c r="C2117" s="3" t="str">
        <f>IFERROR(__xludf.DUMMYFUNCTION("GOOGLETRANSLATE(B2117,""id"",""en"")"),"['', '']")</f>
        <v>['', '']</v>
      </c>
      <c r="D2117" s="3">
        <v>3.0</v>
      </c>
    </row>
    <row r="2118" ht="15.75" customHeight="1">
      <c r="A2118" s="1">
        <v>2261.0</v>
      </c>
      <c r="B2118" s="3" t="s">
        <v>2042</v>
      </c>
      <c r="C2118" s="3" t="str">
        <f>IFERROR(__xludf.DUMMYFUNCTION("GOOGLETRANSLATE(B2118,""id"",""en"")"),"['Network', 'ugly', 'package', 'expensive', 'quality', 'according to', 'price', 'package', 'already', 'cloud', 'rain', 'slow' very']")</f>
        <v>['Network', 'ugly', 'package', 'expensive', 'quality', 'according to', 'price', 'package', 'already', 'cloud', 'rain', 'slow' very']</v>
      </c>
      <c r="D2118" s="3">
        <v>2.0</v>
      </c>
    </row>
    <row r="2119" ht="15.75" customHeight="1">
      <c r="A2119" s="1">
        <v>2262.0</v>
      </c>
      <c r="B2119" s="3" t="s">
        <v>2043</v>
      </c>
      <c r="C2119" s="3" t="str">
        <f>IFERROR(__xludf.DUMMYFUNCTION("GOOGLETRANSLATE(B2119,""id"",""en"")"),"['apk', 'intention', 'buy', 'quota', 'hotspot', 'adek', 'quota', 'adek', 'lose', 'GB', 'CMA', 'open', ' for a while ',' APK ',' Ampasss', 'emng', 'muter', 'video', 'kek', 'youtube', 'nganggin', 'quota', 'fvk', '']")</f>
        <v>['apk', 'intention', 'buy', 'quota', 'hotspot', 'adek', 'quota', 'adek', 'lose', 'GB', 'CMA', 'open', ' for a while ',' APK ',' Ampasss', 'emng', 'muter', 'video', 'kek', 'youtube', 'nganggin', 'quota', 'fvk', '']</v>
      </c>
      <c r="D2119" s="3">
        <v>5.0</v>
      </c>
    </row>
    <row r="2120" ht="15.75" customHeight="1">
      <c r="A2120" s="1">
        <v>2263.0</v>
      </c>
      <c r="B2120" s="3" t="s">
        <v>2044</v>
      </c>
      <c r="C2120" s="3" t="str">
        <f>IFERROR(__xludf.DUMMYFUNCTION("GOOGLETRANSLATE(B2120,""id"",""en"")"),"['Please', 'Price', 'Package', 'Service', 'Burum', 'Package', 'Expensive', 'Stop', 'Eat', 'Untung']")</f>
        <v>['Please', 'Price', 'Package', 'Service', 'Burum', 'Package', 'Expensive', 'Stop', 'Eat', 'Untung']</v>
      </c>
      <c r="D2120" s="3">
        <v>1.0</v>
      </c>
    </row>
    <row r="2121" ht="15.75" customHeight="1">
      <c r="A2121" s="1">
        <v>2264.0</v>
      </c>
      <c r="B2121" s="3" t="s">
        <v>2045</v>
      </c>
      <c r="C2121" s="3" t="str">
        <f>IFERROR(__xludf.DUMMYFUNCTION("GOOGLETRANSLATE(B2121,""id"",""en"")"),"['support']")</f>
        <v>['support']</v>
      </c>
      <c r="D2121" s="3">
        <v>5.0</v>
      </c>
    </row>
    <row r="2122" ht="15.75" customHeight="1">
      <c r="A2122" s="1">
        <v>2265.0</v>
      </c>
      <c r="B2122" s="3" t="s">
        <v>2046</v>
      </c>
      <c r="C2122" s="3" t="str">
        <f>IFERROR(__xludf.DUMMYFUNCTION("GOOGLETRANSLATE(B2122,""id"",""en"")"),"['Telkomsel', 'signal', 'slow', 'really', 'already', 'Try', 'APN', 'Place', 'Signal', 'Tetep', 'Leet']")</f>
        <v>['Telkomsel', 'signal', 'slow', 'really', 'already', 'Try', 'APN', 'Place', 'Signal', 'Tetep', 'Leet']</v>
      </c>
      <c r="D2122" s="3">
        <v>1.0</v>
      </c>
    </row>
    <row r="2123" ht="15.75" customHeight="1">
      <c r="A2123" s="1">
        <v>2266.0</v>
      </c>
      <c r="B2123" s="3" t="s">
        <v>2047</v>
      </c>
      <c r="C2123" s="3" t="str">
        <f>IFERROR(__xludf.DUMMYFUNCTION("GOOGLETRANSLATE(B2123,""id"",""en"")"),"['application', 'week', 'told', 'updet', 'friend', 'alternating', 'love', 'tips',' enter ',' plastore ',' please ',' choose ',' uinstal ',' told ',' update ',' trs']")</f>
        <v>['application', 'week', 'told', 'updet', 'friend', 'alternating', 'love', 'tips',' enter ',' plastore ',' please ',' choose ',' uinstal ',' told ',' update ',' trs']</v>
      </c>
      <c r="D2123" s="3">
        <v>1.0</v>
      </c>
    </row>
    <row r="2124" ht="15.75" customHeight="1">
      <c r="A2124" s="1">
        <v>2267.0</v>
      </c>
      <c r="B2124" s="3" t="s">
        <v>2048</v>
      </c>
      <c r="C2124" s="3" t="str">
        <f>IFERROR(__xludf.DUMMYFUNCTION("GOOGLETRANSLATE(B2124,""id"",""en"")"),"['', 'best', '']")</f>
        <v>['', 'best', '']</v>
      </c>
      <c r="D2124" s="3">
        <v>1.0</v>
      </c>
    </row>
    <row r="2125" ht="15.75" customHeight="1">
      <c r="A2125" s="1">
        <v>2269.0</v>
      </c>
      <c r="B2125" s="3" t="s">
        <v>2049</v>
      </c>
      <c r="C2125" s="3" t="str">
        <f>IFERROR(__xludf.DUMMYFUNCTION("GOOGLETRANSLATE(B2125,""id"",""en"")"),"['Telkomsel', 'expensive', 'annoying', 'RWG', 'card', 'hard', 'forgiveness', '']")</f>
        <v>['Telkomsel', 'expensive', 'annoying', 'RWG', 'card', 'hard', 'forgiveness', '']</v>
      </c>
      <c r="D2125" s="3">
        <v>1.0</v>
      </c>
    </row>
    <row r="2126" ht="15.75" customHeight="1">
      <c r="A2126" s="1">
        <v>2270.0</v>
      </c>
      <c r="B2126" s="3" t="s">
        <v>2050</v>
      </c>
      <c r="C2126" s="3" t="str">
        <f>IFERROR(__xludf.DUMMYFUNCTION("GOOGLETRANSLATE(B2126,""id"",""en"")"),"['Telkomsel', 'severe', 'really', 'kouta', 'GB', 'access',' internet ',' rates', 'pulses',' lost ',' until ',' Rb ',' ']")</f>
        <v>['Telkomsel', 'severe', 'really', 'kouta', 'GB', 'access',' internet ',' rates', 'pulses',' lost ',' until ',' Rb ',' ']</v>
      </c>
      <c r="D2126" s="3">
        <v>1.0</v>
      </c>
    </row>
    <row r="2127" ht="15.75" customHeight="1">
      <c r="A2127" s="1">
        <v>2271.0</v>
      </c>
      <c r="B2127" s="3" t="s">
        <v>2051</v>
      </c>
      <c r="C2127" s="3" t="str">
        <f>IFERROR(__xludf.DUMMYFUNCTION("GOOGLETRANSLATE(B2127,""id"",""en"")"),"['Telkomsel', 'steady', 'price', 'package', 'internet', 'Telkomsel', 'The', 'Best', ""]")</f>
        <v>['Telkomsel', 'steady', 'price', 'package', 'internet', 'Telkomsel', 'The', 'Best', "]</v>
      </c>
      <c r="D2127" s="3">
        <v>5.0</v>
      </c>
    </row>
    <row r="2128" ht="15.75" customHeight="1">
      <c r="A2128" s="1">
        <v>2272.0</v>
      </c>
      <c r="B2128" s="3" t="s">
        <v>2052</v>
      </c>
      <c r="C2128" s="3" t="str">
        <f>IFERROR(__xludf.DUMMYFUNCTION("GOOGLETRANSLATE(B2128,""id"",""en"")"),"['best', 'service']")</f>
        <v>['best', 'service']</v>
      </c>
      <c r="D2128" s="3">
        <v>4.0</v>
      </c>
    </row>
    <row r="2129" ht="15.75" customHeight="1">
      <c r="A2129" s="1">
        <v>2273.0</v>
      </c>
      <c r="B2129" s="3" t="s">
        <v>2053</v>
      </c>
      <c r="C2129" s="3" t="str">
        <f>IFERROR(__xludf.DUMMYFUNCTION("GOOGLETRANSLATE(B2129,""id"",""en"")"),"['Network', 'week', 'please', 'please', 'Ironically', 'open', 'App', 'loaded', 'dissapointedddddddddddddddd'")</f>
        <v>['Network', 'week', 'please', 'please', 'Ironically', 'open', 'App', 'loaded', 'dissapointedddddddddddddddd'</v>
      </c>
      <c r="D2129" s="3">
        <v>1.0</v>
      </c>
    </row>
    <row r="2130" ht="15.75" customHeight="1">
      <c r="A2130" s="1">
        <v>2274.0</v>
      </c>
      <c r="B2130" s="3" t="s">
        <v>2054</v>
      </c>
      <c r="C2130" s="3" t="str">
        <f>IFERROR(__xludf.DUMMYFUNCTION("GOOGLETRANSLATE(B2130,""id"",""en"")"),"['APL', 'Kasi', 'Telkomsel', 'the latest', 'slow', 'LEG']")</f>
        <v>['APL', 'Kasi', 'Telkomsel', 'the latest', 'slow', 'LEG']</v>
      </c>
      <c r="D2130" s="3">
        <v>1.0</v>
      </c>
    </row>
    <row r="2131" ht="15.75" customHeight="1">
      <c r="A2131" s="1">
        <v>2275.0</v>
      </c>
      <c r="B2131" s="3" t="s">
        <v>2055</v>
      </c>
      <c r="C2131" s="3" t="str">
        <f>IFERROR(__xludf.DUMMYFUNCTION("GOOGLETRANSLATE(B2131,""id"",""en"")"),"['signal', 'sympathy', 'jelekkkkk', 'maen', 'mobilegend', 'signal', 'ngelekk', 'forgiveness',' skrng ',' yal ',' yal ',' sympathy ',' Benerr ',' Jelyk ',' Forgiveness', 'Parahh', 'Signal', 'Sympathy', 'Sekrng', 'Lost', 'Signal', 'Signal', 'Tri', 'Huhh', '"&amp;"sympathy' , 'parahhh']")</f>
        <v>['signal', 'sympathy', 'jelekkkkk', 'maen', 'mobilegend', 'signal', 'ngelekk', 'forgiveness',' skrng ',' yal ',' yal ',' sympathy ',' Benerr ',' Jelyk ',' Forgiveness', 'Parahh', 'Signal', 'Sympathy', 'Sekrng', 'Lost', 'Signal', 'Signal', 'Tri', 'Huhh', 'sympathy' , 'parahhh']</v>
      </c>
      <c r="D2131" s="3">
        <v>1.0</v>
      </c>
    </row>
    <row r="2132" ht="15.75" customHeight="1">
      <c r="A2132" s="1">
        <v>2276.0</v>
      </c>
      <c r="B2132" s="3" t="s">
        <v>2056</v>
      </c>
      <c r="C2132" s="3" t="str">
        <f>IFERROR(__xludf.DUMMYFUNCTION("GOOGLETRANSLATE(B2132,""id"",""en"")"),"['steady', 'cuy', 'information', 'subject', 'package', 'quota', 'makes it easier', 'purchase']")</f>
        <v>['steady', 'cuy', 'information', 'subject', 'package', 'quota', 'makes it easier', 'purchase']</v>
      </c>
      <c r="D2132" s="3">
        <v>5.0</v>
      </c>
    </row>
    <row r="2133" ht="15.75" customHeight="1">
      <c r="A2133" s="1">
        <v>2277.0</v>
      </c>
      <c r="B2133" s="3" t="s">
        <v>2057</v>
      </c>
      <c r="C2133" s="3" t="str">
        <f>IFERROR(__xludf.DUMMYFUNCTION("GOOGLETRANSLATE(B2133,""id"",""en"")"),"['Today', 'Mending', 'Gausah', 'Telkomsel', 'Deh', 'Disorders', 'Terips', 'Mending', 'Move', 'Card']")</f>
        <v>['Today', 'Mending', 'Gausah', 'Telkomsel', 'Deh', 'Disorders', 'Terips', 'Mending', 'Move', 'Card']</v>
      </c>
      <c r="D2133" s="3">
        <v>1.0</v>
      </c>
    </row>
    <row r="2134" ht="15.75" customHeight="1">
      <c r="A2134" s="1">
        <v>2278.0</v>
      </c>
      <c r="B2134" s="3" t="s">
        <v>2058</v>
      </c>
      <c r="C2134" s="3" t="str">
        <f>IFERROR(__xludf.DUMMYFUNCTION("GOOGLETRANSLATE(B2134,""id"",""en"")"),"['Region', 'Lampung', 'West', 'Increases', 'Putuknya', 'The rest', ""]")</f>
        <v>['Region', 'Lampung', 'West', 'Increases', 'Putuknya', 'The rest', "]</v>
      </c>
      <c r="D2134" s="3">
        <v>5.0</v>
      </c>
    </row>
    <row r="2135" ht="15.75" customHeight="1">
      <c r="A2135" s="1">
        <v>2280.0</v>
      </c>
      <c r="B2135" s="3" t="s">
        <v>2059</v>
      </c>
      <c r="C2135" s="3" t="str">
        <f>IFERROR(__xludf.DUMMYFUNCTION("GOOGLETRANSLATE(B2135,""id"",""en"")"),"['Credit', 'Data', 'Internet', 'Good', 'Leave', 'User', 'Specify']")</f>
        <v>['Credit', 'Data', 'Internet', 'Good', 'Leave', 'User', 'Specify']</v>
      </c>
      <c r="D2135" s="3">
        <v>5.0</v>
      </c>
    </row>
    <row r="2136" ht="15.75" customHeight="1">
      <c r="A2136" s="1">
        <v>2281.0</v>
      </c>
      <c r="B2136" s="3" t="s">
        <v>2060</v>
      </c>
      <c r="C2136" s="3" t="str">
        <f>IFERROR(__xludf.DUMMYFUNCTION("GOOGLETRANSLATE(B2136,""id"",""en"")"),"['Telkomsel', 'Jafi', 'Thieves',' Smooth ',' Play ',' Cut ',' Credit ',' Alesan ',' Use ',' Internet ',' Quota ',' Paketan ',' Honestly ',' Smartfren ',' Cut ',' Credit ',' Psket ',' Quota ',' Out ',' Cook ',' Telkomsel ',' Play ',' Cut ',' Credit ',' Quo"&amp;"ta ' , 'Used', 'call', 'sms',' gini ',' fate ',' my operator ',' color ',' yellow ',' ending ',' burn ',' replace ',' operator ',' honest', '']")</f>
        <v>['Telkomsel', 'Jafi', 'Thieves',' Smooth ',' Play ',' Cut ',' Credit ',' Alesan ',' Use ',' Internet ',' Quota ',' Paketan ',' Honestly ',' Smartfren ',' Cut ',' Credit ',' Psket ',' Quota ',' Out ',' Cook ',' Telkomsel ',' Play ',' Cut ',' Credit ',' Quota ' , 'Used', 'call', 'sms',' gini ',' fate ',' my operator ',' color ',' yellow ',' ending ',' burn ',' replace ',' operator ',' honest', '']</v>
      </c>
      <c r="D2136" s="3">
        <v>1.0</v>
      </c>
    </row>
    <row r="2137" ht="15.75" customHeight="1">
      <c r="A2137" s="1">
        <v>2282.0</v>
      </c>
      <c r="B2137" s="3" t="s">
        <v>2061</v>
      </c>
      <c r="C2137" s="3" t="str">
        <f>IFERROR(__xludf.DUMMYFUNCTION("GOOGLETRANSLATE(B2137,""id"",""en"")"),"['Please', 'info', 'email', 'requirements', 'change', 'card', 'lost', 'bring', 'grapari', 'thank', 'love', ""]")</f>
        <v>['Please', 'info', 'email', 'requirements', 'change', 'card', 'lost', 'bring', 'grapari', 'thank', 'love', "]</v>
      </c>
      <c r="D2137" s="3">
        <v>4.0</v>
      </c>
    </row>
    <row r="2138" ht="15.75" customHeight="1">
      <c r="A2138" s="1">
        <v>2283.0</v>
      </c>
      <c r="B2138" s="3" t="s">
        <v>2062</v>
      </c>
      <c r="C2138" s="3" t="str">
        <f>IFERROR(__xludf.DUMMYFUNCTION("GOOGLETRANSLATE(B2138,""id"",""en"")"),"['Credit', 'Live', 'Severe', 'Credit', 'Where', 'Heyyy']")</f>
        <v>['Credit', 'Live', 'Severe', 'Credit', 'Where', 'Heyyy']</v>
      </c>
      <c r="D2138" s="3">
        <v>1.0</v>
      </c>
    </row>
    <row r="2139" ht="15.75" customHeight="1">
      <c r="A2139" s="1">
        <v>2284.0</v>
      </c>
      <c r="B2139" s="3" t="s">
        <v>2063</v>
      </c>
      <c r="C2139" s="3" t="str">
        <f>IFERROR(__xludf.DUMMYFUNCTION("GOOGLETRANSLATE(B2139,""id"",""en"")"),"['It's easy', 'customers', 'Telkomsel', 'buy', 'package', 'Available', 'Telkomsel']")</f>
        <v>['It's easy', 'customers', 'Telkomsel', 'buy', 'package', 'Available', 'Telkomsel']</v>
      </c>
      <c r="D2139" s="3">
        <v>3.0</v>
      </c>
    </row>
    <row r="2140" ht="15.75" customHeight="1">
      <c r="A2140" s="1">
        <v>2285.0</v>
      </c>
      <c r="B2140" s="3" t="s">
        <v>2064</v>
      </c>
      <c r="C2140" s="3" t="str">
        <f>IFERROR(__xludf.DUMMYFUNCTION("GOOGLETRANSLATE(B2140,""id"",""en"")"),"['Bonus',' GB ',' DIPKAI ',' Internet ',' Credit ',' Sumpot ',' Telkomsel ',' GNI ',' TLG ',' Tipu ',' Ruwet ',' Ruwet ',' Ruwet ',' ']")</f>
        <v>['Bonus',' GB ',' DIPKAI ',' Internet ',' Credit ',' Sumpot ',' Telkomsel ',' GNI ',' TLG ',' Tipu ',' Ruwet ',' Ruwet ',' Ruwet ',' ']</v>
      </c>
      <c r="D2140" s="3">
        <v>1.0</v>
      </c>
    </row>
    <row r="2141" ht="15.75" customHeight="1">
      <c r="A2141" s="1">
        <v>2286.0</v>
      </c>
      <c r="B2141" s="3" t="s">
        <v>2065</v>
      </c>
      <c r="C2141" s="3" t="str">
        <f>IFERROR(__xludf.DUMMYFUNCTION("GOOGLETRANSLATE(B2141,""id"",""en"")"),"['Star', 'deh', ""]")</f>
        <v>['Star', 'deh', "]</v>
      </c>
      <c r="D2141" s="3">
        <v>5.0</v>
      </c>
    </row>
    <row r="2142" ht="15.75" customHeight="1">
      <c r="A2142" s="1">
        <v>2287.0</v>
      </c>
      <c r="B2142" s="3" t="s">
        <v>2066</v>
      </c>
      <c r="C2142" s="3" t="str">
        <f>IFERROR(__xludf.DUMMYFUNCTION("GOOGLETRANSLATE(B2142,""id"",""en"")"),"['Nanya', 'Min', 'Telkomsel', 'Belom', 'Support', 'Android', 'Abis',' Upgrade ',' Android ',' App ',' Telkomsel ',' Uninstall ',' Automatic ',' ']")</f>
        <v>['Nanya', 'Min', 'Telkomsel', 'Belom', 'Support', 'Android', 'Abis',' Upgrade ',' Android ',' App ',' Telkomsel ',' Uninstall ',' Automatic ',' ']</v>
      </c>
      <c r="D2142" s="3">
        <v>4.0</v>
      </c>
    </row>
    <row r="2143" ht="15.75" customHeight="1">
      <c r="A2143" s="1">
        <v>2288.0</v>
      </c>
      <c r="B2143" s="3" t="s">
        <v>2067</v>
      </c>
      <c r="C2143" s="3" t="str">
        <f>IFERROR(__xludf.DUMMYFUNCTION("GOOGLETRANSLATE(B2143,""id"",""en"")"),"['Lemot', 'Test', 'Jagan', 'Price', 'Doang', 'Expensive', 'The Network', 'Doong', 'Fix']")</f>
        <v>['Lemot', 'Test', 'Jagan', 'Price', 'Doang', 'Expensive', 'The Network', 'Doong', 'Fix']</v>
      </c>
      <c r="D2143" s="3">
        <v>1.0</v>
      </c>
    </row>
    <row r="2144" ht="15.75" customHeight="1">
      <c r="A2144" s="1">
        <v>2289.0</v>
      </c>
      <c r="B2144" s="3" t="s">
        <v>2068</v>
      </c>
      <c r="C2144" s="3" t="str">
        <f>IFERROR(__xludf.DUMMYFUNCTION("GOOGLETRANSLATE(B2144,""id"",""en"")"),"['Way']")</f>
        <v>['Way']</v>
      </c>
      <c r="D2144" s="3">
        <v>5.0</v>
      </c>
    </row>
    <row r="2145" ht="15.75" customHeight="1">
      <c r="A2145" s="1">
        <v>2290.0</v>
      </c>
      <c r="B2145" s="3" t="s">
        <v>2069</v>
      </c>
      <c r="C2145" s="3" t="str">
        <f>IFERROR(__xludf.DUMMYFUNCTION("GOOGLETRANSLATE(B2145,""id"",""en"")"),"['young']")</f>
        <v>['young']</v>
      </c>
      <c r="D2145" s="3">
        <v>5.0</v>
      </c>
    </row>
    <row r="2146" ht="15.75" customHeight="1">
      <c r="A2146" s="1">
        <v>2291.0</v>
      </c>
      <c r="B2146" s="3" t="s">
        <v>2070</v>
      </c>
      <c r="C2146" s="3" t="str">
        <f>IFERROR(__xludf.DUMMYFUNCTION("GOOGLETRANSLATE(B2146,""id"",""en"")"),"['Telkomsel', 'ugly', 'network', 'internet', 'ugly', 'package', 'internet', 'expensive', 'slow', 'package', 'call', 'perform', ' Telkomsel ',' Samakin ',' Bad ',' Bandungan ',' Trus', 'Consumers',' Slow ',' Laun ',' Ber ',' Experts', 'Network', 'Telkomsel"&amp;"', 'Live' , 'customer', '']")</f>
        <v>['Telkomsel', 'ugly', 'network', 'internet', 'ugly', 'package', 'internet', 'expensive', 'slow', 'package', 'call', 'perform', ' Telkomsel ',' Samakin ',' Bad ',' Bandungan ',' Trus', 'Consumers',' Slow ',' Laun ',' Ber ',' Experts', 'Network', 'Telkomsel', 'Live' , 'customer', '']</v>
      </c>
      <c r="D2146" s="3">
        <v>1.0</v>
      </c>
    </row>
    <row r="2147" ht="15.75" customHeight="1">
      <c r="A2147" s="1">
        <v>2292.0</v>
      </c>
      <c r="B2147" s="3" t="s">
        <v>2071</v>
      </c>
      <c r="C2147" s="3" t="str">
        <f>IFERROR(__xludf.DUMMYFUNCTION("GOOGLETRANSLATE(B2147,""id"",""en"")"),"['Increases', 'Quality', '']")</f>
        <v>['Increases', 'Quality', '']</v>
      </c>
      <c r="D2147" s="3">
        <v>3.0</v>
      </c>
    </row>
    <row r="2148" ht="15.75" customHeight="1">
      <c r="A2148" s="1">
        <v>2293.0</v>
      </c>
      <c r="B2148" s="3" t="s">
        <v>289</v>
      </c>
      <c r="C2148" s="3" t="str">
        <f>IFERROR(__xludf.DUMMYFUNCTION("GOOGLETRANSLATE(B2148,""id"",""en"")"),"['Good', 'help']")</f>
        <v>['Good', 'help']</v>
      </c>
      <c r="D2148" s="3">
        <v>5.0</v>
      </c>
    </row>
    <row r="2149" ht="15.75" customHeight="1">
      <c r="A2149" s="1">
        <v>2294.0</v>
      </c>
      <c r="B2149" s="3" t="s">
        <v>2072</v>
      </c>
      <c r="C2149" s="3" t="str">
        <f>IFERROR(__xludf.DUMMYFUNCTION("GOOGLETRANSLATE(B2149,""id"",""en"")"),"['Steady', 'Bre', '']")</f>
        <v>['Steady', 'Bre', '']</v>
      </c>
      <c r="D2149" s="3">
        <v>5.0</v>
      </c>
    </row>
    <row r="2150" ht="15.75" customHeight="1">
      <c r="A2150" s="1">
        <v>2295.0</v>
      </c>
      <c r="B2150" s="3" t="s">
        <v>2073</v>
      </c>
      <c r="C2150" s="3" t="str">
        <f>IFERROR(__xludf.DUMMYFUNCTION("GOOGLETRANSLATE(B2150,""id"",""en"")"),"['package', 'expensive', 'expensive']")</f>
        <v>['package', 'expensive', 'expensive']</v>
      </c>
      <c r="D2150" s="3">
        <v>3.0</v>
      </c>
    </row>
    <row r="2151" ht="15.75" customHeight="1">
      <c r="A2151" s="1">
        <v>2296.0</v>
      </c>
      <c r="B2151" s="3" t="s">
        <v>2074</v>
      </c>
      <c r="C2151" s="3" t="str">
        <f>IFERROR(__xludf.DUMMYFUNCTION("GOOGLETRANSLATE(B2151,""id"",""en"")"),"['Please', 'quota', 'game', 'max', 'useful', 'really', 'gabisa', 'play', 'game', 'signal', 'lag', 'disappointed', ' ']")</f>
        <v>['Please', 'quota', 'game', 'max', 'useful', 'really', 'gabisa', 'play', 'game', 'signal', 'lag', 'disappointed', ' ']</v>
      </c>
      <c r="D2151" s="3">
        <v>1.0</v>
      </c>
    </row>
    <row r="2152" ht="15.75" customHeight="1">
      <c r="A2152" s="1">
        <v>2297.0</v>
      </c>
      <c r="B2152" s="3" t="s">
        <v>2075</v>
      </c>
      <c r="C2152" s="3" t="str">
        <f>IFERROR(__xludf.DUMMYFUNCTION("GOOGLETRANSLATE(B2152,""id"",""en"")"),"['Good', 'easy', '']")</f>
        <v>['Good', 'easy', '']</v>
      </c>
      <c r="D2152" s="3">
        <v>5.0</v>
      </c>
    </row>
    <row r="2153" ht="15.75" customHeight="1">
      <c r="A2153" s="1">
        <v>2298.0</v>
      </c>
      <c r="B2153" s="3" t="s">
        <v>2076</v>
      </c>
      <c r="C2153" s="3" t="str">
        <f>IFERROR(__xludf.DUMMYFUNCTION("GOOGLETRANSLATE(B2153,""id"",""en"")"),"['Satisfied', 'Application', 'Telkomsel']")</f>
        <v>['Satisfied', 'Application', 'Telkomsel']</v>
      </c>
      <c r="D2153" s="3">
        <v>5.0</v>
      </c>
    </row>
    <row r="2154" ht="15.75" customHeight="1">
      <c r="A2154" s="1">
        <v>2299.0</v>
      </c>
      <c r="B2154" s="3" t="s">
        <v>2077</v>
      </c>
      <c r="C2154" s="3" t="str">
        <f>IFERROR(__xludf.DUMMYFUNCTION("GOOGLETRANSLATE(B2154,""id"",""en"")"),"['Thank you', 'responded']")</f>
        <v>['Thank you', 'responded']</v>
      </c>
      <c r="D2154" s="3">
        <v>5.0</v>
      </c>
    </row>
    <row r="2155" ht="15.75" customHeight="1">
      <c r="A2155" s="1">
        <v>2300.0</v>
      </c>
      <c r="B2155" s="3" t="s">
        <v>2078</v>
      </c>
      <c r="C2155" s="3" t="str">
        <f>IFERROR(__xludf.DUMMYFUNCTION("GOOGLETRANSLATE(B2155,""id"",""en"")"),"['Anjingg', 'pulse', 'aing', 'disappears',' already ',' package ',' expensive ',' pulse ',' cave ',' right ',' pasas', 'abis',' Edan ',' Satann ', ""]")</f>
        <v>['Anjingg', 'pulse', 'aing', 'disappears',' already ',' package ',' expensive ',' pulse ',' cave ',' right ',' pasas', 'abis',' Edan ',' Satann ', "]</v>
      </c>
      <c r="D2155" s="3">
        <v>1.0</v>
      </c>
    </row>
    <row r="2156" ht="15.75" customHeight="1">
      <c r="A2156" s="1">
        <v>2301.0</v>
      </c>
      <c r="B2156" s="3" t="s">
        <v>2079</v>
      </c>
      <c r="C2156" s="3" t="str">
        <f>IFERROR(__xludf.DUMMYFUNCTION("GOOGLETRANSLATE(B2156,""id"",""en"")"),"['Woy', 'Cok', 'think', 'cheap', 'buy', 'quota', 'buy', 'expensive', 'expensive', 'network', 'kek', 'snail', ' Road ',' Indo ',' Ampe ',' Japan ',' Slow ',' Bet ',' Block ',' Fix ',' Network ',' Tot ']")</f>
        <v>['Woy', 'Cok', 'think', 'cheap', 'buy', 'quota', 'buy', 'expensive', 'expensive', 'network', 'kek', 'snail', ' Road ',' Indo ',' Ampe ',' Japan ',' Slow ',' Bet ',' Block ',' Fix ',' Network ',' Tot ']</v>
      </c>
      <c r="D2156" s="3">
        <v>1.0</v>
      </c>
    </row>
    <row r="2157" ht="15.75" customHeight="1">
      <c r="A2157" s="1">
        <v>2302.0</v>
      </c>
      <c r="B2157" s="3" t="s">
        <v>2080</v>
      </c>
      <c r="C2157" s="3" t="str">
        <f>IFERROR(__xludf.DUMMYFUNCTION("GOOGLETRANSLATE(B2157,""id"",""en"")"),"['', 'Bejitimur', 'mahogany', 'inside', 'signal', 'internet', 'Sometimes', 'down', 'thank you', 'good', 'keep', 'enhanced', "" ]")</f>
        <v>['', 'Bejitimur', 'mahogany', 'inside', 'signal', 'internet', 'Sometimes', 'down', 'thank you', 'good', 'keep', 'enhanced', " ]</v>
      </c>
      <c r="D2157" s="3">
        <v>4.0</v>
      </c>
    </row>
    <row r="2158" ht="15.75" customHeight="1">
      <c r="A2158" s="1">
        <v>2303.0</v>
      </c>
      <c r="B2158" s="3" t="s">
        <v>2081</v>
      </c>
      <c r="C2158" s="3" t="str">
        <f>IFERROR(__xludf.DUMMYFUNCTION("GOOGLETRANSLATE(B2158,""id"",""en"")"),"['', 'as good as', 'mah', 'slow', 'buffering', 'mlu']")</f>
        <v>['', 'as good as', 'mah', 'slow', 'buffering', 'mlu']</v>
      </c>
      <c r="D2158" s="3">
        <v>2.0</v>
      </c>
    </row>
    <row r="2159" ht="15.75" customHeight="1">
      <c r="A2159" s="1">
        <v>2304.0</v>
      </c>
      <c r="B2159" s="3" t="s">
        <v>2082</v>
      </c>
      <c r="C2159" s="3" t="str">
        <f>IFERROR(__xludf.DUMMYFUNCTION("GOOGLETRANSLATE(B2159,""id"",""en"")"),"['Sometimes', 'Hbs', 'pulse', 'owes', ""]")</f>
        <v>['Sometimes', 'Hbs', 'pulse', 'owes', "]</v>
      </c>
      <c r="D2159" s="3">
        <v>5.0</v>
      </c>
    </row>
    <row r="2160" ht="15.75" customHeight="1">
      <c r="A2160" s="1">
        <v>2305.0</v>
      </c>
      <c r="B2160" s="3" t="s">
        <v>2083</v>
      </c>
      <c r="C2160" s="3" t="str">
        <f>IFERROR(__xludf.DUMMYFUNCTION("GOOGLETRANSLATE(B2160,""id"",""en"")"),"['Steady', 'Telkomsel', 'Satisfied', 'really', '']")</f>
        <v>['Steady', 'Telkomsel', 'Satisfied', 'really', '']</v>
      </c>
      <c r="D2160" s="3">
        <v>5.0</v>
      </c>
    </row>
    <row r="2161" ht="15.75" customHeight="1">
      <c r="A2161" s="1">
        <v>2306.0</v>
      </c>
      <c r="B2161" s="3" t="s">
        <v>2084</v>
      </c>
      <c r="C2161" s="3" t="str">
        <f>IFERROR(__xludf.DUMMYFUNCTION("GOOGLETRANSLATE(B2161,""id"",""en"")"),"['expensive', 'expensive', 'Lower', 'little', 'price', 'package', 'suskses', 'always', 'Telkomsel']")</f>
        <v>['expensive', 'expensive', 'Lower', 'little', 'price', 'package', 'suskses', 'always', 'Telkomsel']</v>
      </c>
      <c r="D2161" s="3">
        <v>5.0</v>
      </c>
    </row>
    <row r="2162" ht="15.75" customHeight="1">
      <c r="A2162" s="1">
        <v>2307.0</v>
      </c>
      <c r="B2162" s="3" t="s">
        <v>2085</v>
      </c>
      <c r="C2162" s="3" t="str">
        <f>IFERROR(__xludf.DUMMYFUNCTION("GOOGLETRANSLATE(B2162,""id"",""en"")"),"['Hopefully', 'Success', 'Amanah']")</f>
        <v>['Hopefully', 'Success', 'Amanah']</v>
      </c>
      <c r="D2162" s="3">
        <v>5.0</v>
      </c>
    </row>
    <row r="2163" ht="15.75" customHeight="1">
      <c r="A2163" s="1">
        <v>2308.0</v>
      </c>
      <c r="B2163" s="3" t="s">
        <v>81</v>
      </c>
      <c r="C2163" s="3" t="str">
        <f>IFERROR(__xludf.DUMMYFUNCTION("GOOGLETRANSLATE(B2163,""id"",""en"")"),"['application', 'good']")</f>
        <v>['application', 'good']</v>
      </c>
      <c r="D2163" s="3">
        <v>5.0</v>
      </c>
    </row>
    <row r="2164" ht="15.75" customHeight="1">
      <c r="A2164" s="1">
        <v>2310.0</v>
      </c>
      <c r="B2164" s="3" t="s">
        <v>2086</v>
      </c>
      <c r="C2164" s="3" t="str">
        <f>IFERROR(__xludf.DUMMYFUNCTION("GOOGLETRANSLATE(B2164,""id"",""en"")"),"['signal', 'deteriorate', 'pdahal', 'kyk', 'gini', ""]")</f>
        <v>['signal', 'deteriorate', 'pdahal', 'kyk', 'gini', "]</v>
      </c>
      <c r="D2164" s="3">
        <v>3.0</v>
      </c>
    </row>
    <row r="2165" ht="15.75" customHeight="1">
      <c r="A2165" s="1">
        <v>2312.0</v>
      </c>
      <c r="B2165" s="3" t="s">
        <v>2087</v>
      </c>
      <c r="C2165" s="3" t="str">
        <f>IFERROR(__xludf.DUMMYFUNCTION("GOOGLETRANSLATE(B2165,""id"",""en"")"),"['', 'Telkomsel', 'Help', 'Layi', 'Pundi', 'Hima', 'Bonus', 'Bonus', 'Telkomsel', 'Muantap', 'slebeewww']")</f>
        <v>['', 'Telkomsel', 'Help', 'Layi', 'Pundi', 'Hima', 'Bonus', 'Bonus', 'Telkomsel', 'Muantap', 'slebeewww']</v>
      </c>
      <c r="D2165" s="3">
        <v>5.0</v>
      </c>
    </row>
    <row r="2166" ht="15.75" customHeight="1">
      <c r="A2166" s="1">
        <v>2313.0</v>
      </c>
      <c r="B2166" s="3" t="s">
        <v>2088</v>
      </c>
      <c r="C2166" s="3" t="str">
        <f>IFERROR(__xludf.DUMMYFUNCTION("GOOGLETRANSLATE(B2166,""id"",""en"")"),"['check', 'right', 'bonus',' strange ',' emang ',' MB ',' check ',' GB ',' GB ',' writing ',' check ',' strange ',' Fix ',' yaaah ',' so ']")</f>
        <v>['check', 'right', 'bonus',' strange ',' emang ',' MB ',' check ',' GB ',' GB ',' writing ',' check ',' strange ',' Fix ',' yaaah ',' so ']</v>
      </c>
      <c r="D2166" s="3">
        <v>3.0</v>
      </c>
    </row>
    <row r="2167" ht="15.75" customHeight="1">
      <c r="A2167" s="1">
        <v>2314.0</v>
      </c>
      <c r="B2167" s="3" t="s">
        <v>2089</v>
      </c>
      <c r="C2167" s="3" t="str">
        <f>IFERROR(__xludf.DUMMYFUNCTION("GOOGLETRANSLATE(B2167,""id"",""en"")"),"['And']")</f>
        <v>['And']</v>
      </c>
      <c r="D2167" s="3">
        <v>5.0</v>
      </c>
    </row>
    <row r="2168" ht="15.75" customHeight="1">
      <c r="A2168" s="1">
        <v>2315.0</v>
      </c>
      <c r="B2168" s="3" t="s">
        <v>2090</v>
      </c>
      <c r="C2168" s="3" t="str">
        <f>IFERROR(__xludf.DUMMYFUNCTION("GOOGLETRANSLATE(B2168,""id"",""en"")"),"['Hopefully', 'Indo', 'Network', 'Kenceng', 'Telkomsel', 'Cheap', 'Price', 'Kouta', 'Karna', 'Price', 'Telkomsel', 'Friendly', ' People ',' medium ',' down ',' biggest ',' indo ',' msk ',' sell ',' expensive ',' people ',' sendri ',' tuhhh ',' ']")</f>
        <v>['Hopefully', 'Indo', 'Network', 'Kenceng', 'Telkomsel', 'Cheap', 'Price', 'Kouta', 'Karna', 'Price', 'Telkomsel', 'Friendly', ' People ',' medium ',' down ',' biggest ',' indo ',' msk ',' sell ',' expensive ',' people ',' sendri ',' tuhhh ',' ']</v>
      </c>
      <c r="D2168" s="3">
        <v>1.0</v>
      </c>
    </row>
    <row r="2169" ht="15.75" customHeight="1">
      <c r="A2169" s="1">
        <v>2316.0</v>
      </c>
      <c r="B2169" s="3" t="s">
        <v>2091</v>
      </c>
      <c r="C2169" s="3" t="str">
        <f>IFERROR(__xludf.DUMMYFUNCTION("GOOGLETRANSLATE(B2169,""id"",""en"")"),"['Loading', 'Free', 'enter', 'Halamnya', 'data', 'difficult', 'buy', 'package', 'according to', 'needs', ""]")</f>
        <v>['Loading', 'Free', 'enter', 'Halamnya', 'data', 'difficult', 'buy', 'package', 'according to', 'needs', "]</v>
      </c>
      <c r="D2169" s="3">
        <v>4.0</v>
      </c>
    </row>
    <row r="2170" ht="15.75" customHeight="1">
      <c r="A2170" s="1">
        <v>2317.0</v>
      </c>
      <c r="B2170" s="3" t="s">
        <v>2092</v>
      </c>
      <c r="C2170" s="3" t="str">
        <f>IFERROR(__xludf.DUMMYFUNCTION("GOOGLETRANSLATE(B2170,""id"",""en"")"),"['easy', 'used', 'like', '']")</f>
        <v>['easy', 'used', 'like', '']</v>
      </c>
      <c r="D2170" s="3">
        <v>5.0</v>
      </c>
    </row>
    <row r="2171" ht="15.75" customHeight="1">
      <c r="A2171" s="1">
        <v>2318.0</v>
      </c>
      <c r="B2171" s="3" t="s">
        <v>2093</v>
      </c>
      <c r="C2171" s="3" t="str">
        <f>IFERROR(__xludf.DUMMYFUNCTION("GOOGLETRANSLATE(B2171,""id"",""en"")"),"['Steady', 'package']")</f>
        <v>['Steady', 'package']</v>
      </c>
      <c r="D2171" s="3">
        <v>5.0</v>
      </c>
    </row>
    <row r="2172" ht="15.75" customHeight="1">
      <c r="A2172" s="1">
        <v>2319.0</v>
      </c>
      <c r="B2172" s="3" t="s">
        <v>2094</v>
      </c>
      <c r="C2172" s="3" t="str">
        <f>IFERROR(__xludf.DUMMYFUNCTION("GOOGLETRANSLATE(B2172,""id"",""en"")"),"['satisfying', 'check', 'get', 'quota', 'free', 'pulse', 'free', 'buy', 'quota', 'internet', 'satisfied', 'card', ' Sakti ',' cheap ']")</f>
        <v>['satisfying', 'check', 'get', 'quota', 'free', 'pulse', 'free', 'buy', 'quota', 'internet', 'satisfied', 'card', ' Sakti ',' cheap ']</v>
      </c>
      <c r="D2172" s="3">
        <v>5.0</v>
      </c>
    </row>
    <row r="2173" ht="15.75" customHeight="1">
      <c r="A2173" s="1">
        <v>2320.0</v>
      </c>
      <c r="B2173" s="3" t="s">
        <v>2095</v>
      </c>
      <c r="C2173" s="3" t="str">
        <f>IFERROR(__xludf.DUMMYFUNCTION("GOOGLETRANSLATE(B2173,""id"",""en"")"),"['Package', 'unlimitidny', 'affordable', 'lgi', 'aga', 'cheap', 'that's']")</f>
        <v>['Package', 'unlimitidny', 'affordable', 'lgi', 'aga', 'cheap', 'that's']</v>
      </c>
      <c r="D2173" s="3">
        <v>5.0</v>
      </c>
    </row>
    <row r="2174" ht="15.75" customHeight="1">
      <c r="A2174" s="1">
        <v>2321.0</v>
      </c>
      <c r="B2174" s="3" t="s">
        <v>2096</v>
      </c>
      <c r="C2174" s="3" t="str">
        <f>IFERROR(__xludf.DUMMYFUNCTION("GOOGLETRANSLATE(B2174,""id"",""en"")"),"['Love', 'Star']")</f>
        <v>['Love', 'Star']</v>
      </c>
      <c r="D2174" s="3">
        <v>3.0</v>
      </c>
    </row>
    <row r="2175" ht="15.75" customHeight="1">
      <c r="A2175" s="1">
        <v>2322.0</v>
      </c>
      <c r="B2175" s="3" t="s">
        <v>2097</v>
      </c>
      <c r="C2175" s="3" t="str">
        <f>IFERROR(__xludf.DUMMYFUNCTION("GOOGLETRANSLATE(B2175,""id"",""en"")"),"['Simple', 'Help']")</f>
        <v>['Simple', 'Help']</v>
      </c>
      <c r="D2175" s="3">
        <v>5.0</v>
      </c>
    </row>
    <row r="2176" ht="15.75" customHeight="1">
      <c r="A2176" s="1">
        <v>2323.0</v>
      </c>
      <c r="B2176" s="3" t="s">
        <v>2098</v>
      </c>
      <c r="C2176" s="3" t="str">
        <f>IFERROR(__xludf.DUMMYFUNCTION("GOOGLETRANSLATE(B2176,""id"",""en"")"),"['Most', 'error', 'right', 'buy', 'package', 'kgk', 'bsa', 'just wait', 'process',' bsa ',' bought ',' sudh ',' written ',' process', 'restart', 'restart', 'msih', 'kgk', 'bsa', 'application', 'kagak', 'useful', 'functions',' just ' , 'Display', '']")</f>
        <v>['Most', 'error', 'right', 'buy', 'package', 'kgk', 'bsa', 'just wait', 'process',' bsa ',' bought ',' sudh ',' written ',' process', 'restart', 'restart', 'msih', 'kgk', 'bsa', 'application', 'kagak', 'useful', 'functions',' just ' , 'Display', '']</v>
      </c>
      <c r="D2176" s="3">
        <v>1.0</v>
      </c>
    </row>
    <row r="2177" ht="15.75" customHeight="1">
      <c r="A2177" s="1">
        <v>2324.0</v>
      </c>
      <c r="B2177" s="3" t="s">
        <v>2099</v>
      </c>
      <c r="C2177" s="3" t="str">
        <f>IFERROR(__xludf.DUMMYFUNCTION("GOOGLETRANSLATE(B2177,""id"",""en"")"),"['Lally', 'promo', 'package', 'cheap']")</f>
        <v>['Lally', 'promo', 'package', 'cheap']</v>
      </c>
      <c r="D2177" s="3">
        <v>3.0</v>
      </c>
    </row>
    <row r="2178" ht="15.75" customHeight="1">
      <c r="A2178" s="1">
        <v>2325.0</v>
      </c>
      <c r="B2178" s="3" t="s">
        <v>2100</v>
      </c>
      <c r="C2178" s="3" t="str">
        <f>IFERROR(__xludf.DUMMYFUNCTION("GOOGLETRANSLATE(B2178,""id"",""en"")"),"['yaa', 'ndak', 'tanyak', 'syaaa']")</f>
        <v>['yaa', 'ndak', 'tanyak', 'syaaa']</v>
      </c>
      <c r="D2178" s="3">
        <v>1.0</v>
      </c>
    </row>
    <row r="2179" ht="15.75" customHeight="1">
      <c r="A2179" s="1">
        <v>2326.0</v>
      </c>
      <c r="B2179" s="3" t="s">
        <v>2101</v>
      </c>
      <c r="C2179" s="3" t="str">
        <f>IFERROR(__xludf.DUMMYFUNCTION("GOOGLETRANSLATE(B2179,""id"",""en"")"),"['', 'like', 'use', 'application', 'Telkomsel']")</f>
        <v>['', 'like', 'use', 'application', 'Telkomsel']</v>
      </c>
      <c r="D2179" s="3">
        <v>5.0</v>
      </c>
    </row>
    <row r="2180" ht="15.75" customHeight="1">
      <c r="A2180" s="1">
        <v>2328.0</v>
      </c>
      <c r="B2180" s="3" t="s">
        <v>2102</v>
      </c>
      <c r="C2180" s="3" t="str">
        <f>IFERROR(__xludf.DUMMYFUNCTION("GOOGLETRANSLATE(B2180,""id"",""en"")"),"['fast', 'contents', 'reset', 'steady', ""]")</f>
        <v>['fast', 'contents', 'reset', 'steady', "]</v>
      </c>
      <c r="D2180" s="3">
        <v>3.0</v>
      </c>
    </row>
    <row r="2181" ht="15.75" customHeight="1">
      <c r="A2181" s="1">
        <v>2329.0</v>
      </c>
      <c r="B2181" s="3" t="s">
        <v>2103</v>
      </c>
      <c r="C2181" s="3" t="str">
        <f>IFERROR(__xludf.DUMMYFUNCTION("GOOGLETRANSLATE(B2181,""id"",""en"")"),"['Sharp', 'Telkomsel', 'slow', 'update', 'app', 'noh', 'already', 'support', 'android', 'apps',' install ',' android ',' Love ',' Star ']")</f>
        <v>['Sharp', 'Telkomsel', 'slow', 'update', 'app', 'noh', 'already', 'support', 'android', 'apps',' install ',' android ',' Love ',' Star ']</v>
      </c>
      <c r="D2181" s="3">
        <v>1.0</v>
      </c>
    </row>
    <row r="2182" ht="15.75" customHeight="1">
      <c r="A2182" s="1">
        <v>2330.0</v>
      </c>
      <c r="B2182" s="3" t="s">
        <v>2104</v>
      </c>
      <c r="C2182" s="3" t="str">
        <f>IFERROR(__xludf.DUMMYFUNCTION("GOOGLETRANSLATE(B2182,""id"",""en"")"),"['already', 'expensive', 'price', 'slow', '']")</f>
        <v>['already', 'expensive', 'price', 'slow', '']</v>
      </c>
      <c r="D2182" s="3">
        <v>3.0</v>
      </c>
    </row>
    <row r="2183" ht="15.75" customHeight="1">
      <c r="A2183" s="1">
        <v>2331.0</v>
      </c>
      <c r="B2183" s="3" t="s">
        <v>2105</v>
      </c>
      <c r="C2183" s="3" t="str">
        <f>IFERROR(__xludf.DUMMYFUNCTION("GOOGLETRANSLATE(B2183,""id"",""en"")"),"['Satisfied', 'Pakenya', '']")</f>
        <v>['Satisfied', 'Pakenya', '']</v>
      </c>
      <c r="D2183" s="3">
        <v>4.0</v>
      </c>
    </row>
    <row r="2184" ht="15.75" customHeight="1">
      <c r="A2184" s="1">
        <v>2332.0</v>
      </c>
      <c r="B2184" s="3" t="s">
        <v>2106</v>
      </c>
      <c r="C2184" s="3" t="str">
        <f>IFERROR(__xludf.DUMMYFUNCTION("GOOGLETRANSLATE(B2184,""id"",""en"")"),"['level', 'strength', 'signal', 'kelurahan', 'district', 'mountain', 'kidul', '']")</f>
        <v>['level', 'strength', 'signal', 'kelurahan', 'district', 'mountain', 'kidul', '']</v>
      </c>
      <c r="D2184" s="3">
        <v>5.0</v>
      </c>
    </row>
    <row r="2185" ht="15.75" customHeight="1">
      <c r="A2185" s="1">
        <v>2333.0</v>
      </c>
      <c r="B2185" s="3" t="s">
        <v>2107</v>
      </c>
      <c r="C2185" s="3" t="str">
        <f>IFERROR(__xludf.DUMMYFUNCTION("GOOGLETRANSLATE(B2185,""id"",""en"")"),"['Asalamuallaikum', 'admin', 'Telkomsel', 'internet', 'psdahal', 'quota', 'bnyak', 'buy', 'pulse', 'admin', 'internet', 'Telkomsel', ' Please ',' Flatancing ',' ADMI ',' Telkomsel ',' Disappointed ',' Customer ',' Telkomsel ',' Internet ',' Good ',' Fast "&amp;"',' Thank ',' Kasih ']")</f>
        <v>['Asalamuallaikum', 'admin', 'Telkomsel', 'internet', 'psdahal', 'quota', 'bnyak', 'buy', 'pulse', 'admin', 'internet', 'Telkomsel', ' Please ',' Flatancing ',' ADMI ',' Telkomsel ',' Disappointed ',' Customer ',' Telkomsel ',' Internet ',' Good ',' Fast ',' Thank ',' Kasih ']</v>
      </c>
      <c r="D2185" s="3">
        <v>3.0</v>
      </c>
    </row>
    <row r="2186" ht="15.75" customHeight="1">
      <c r="A2186" s="1">
        <v>2334.0</v>
      </c>
      <c r="B2186" s="3" t="s">
        <v>2108</v>
      </c>
      <c r="C2186" s="3" t="str">
        <f>IFERROR(__xludf.DUMMYFUNCTION("GOOGLETRANSLATE(B2186,""id"",""en"")"),"['thank', 'love', 'explanation', 'star', 'rather than', 'star', '']")</f>
        <v>['thank', 'love', 'explanation', 'star', 'rather than', 'star', '']</v>
      </c>
      <c r="D2186" s="3">
        <v>1.0</v>
      </c>
    </row>
    <row r="2187" ht="15.75" customHeight="1">
      <c r="A2187" s="1">
        <v>2335.0</v>
      </c>
      <c r="B2187" s="3" t="s">
        <v>2109</v>
      </c>
      <c r="C2187" s="3" t="str">
        <f>IFERROR(__xludf.DUMMYFUNCTION("GOOGLETRANSLATE(B2187,""id"",""en"")"),"['Want', 'Win']")</f>
        <v>['Want', 'Win']</v>
      </c>
      <c r="D2187" s="3">
        <v>5.0</v>
      </c>
    </row>
    <row r="2188" ht="15.75" customHeight="1">
      <c r="A2188" s="1">
        <v>2336.0</v>
      </c>
      <c r="B2188" s="3" t="s">
        <v>2110</v>
      </c>
      <c r="C2188" s="3" t="str">
        <f>IFERROR(__xludf.DUMMYFUNCTION("GOOGLETRANSLATE(B2188,""id"",""en"")"),"['Easy', 'I use']")</f>
        <v>['Easy', 'I use']</v>
      </c>
      <c r="D2188" s="3">
        <v>5.0</v>
      </c>
    </row>
    <row r="2189" ht="15.75" customHeight="1">
      <c r="A2189" s="1">
        <v>2337.0</v>
      </c>
      <c r="B2189" s="3" t="s">
        <v>1344</v>
      </c>
      <c r="C2189" s="3" t="str">
        <f>IFERROR(__xludf.DUMMYFUNCTION("GOOGLETRANSLATE(B2189,""id"",""en"")"),"['Good', 'application']")</f>
        <v>['Good', 'application']</v>
      </c>
      <c r="D2189" s="3">
        <v>5.0</v>
      </c>
    </row>
    <row r="2190" ht="15.75" customHeight="1">
      <c r="A2190" s="1">
        <v>2338.0</v>
      </c>
      <c r="B2190" s="3" t="s">
        <v>2111</v>
      </c>
      <c r="C2190" s="3" t="str">
        <f>IFERROR(__xludf.DUMMYFUNCTION("GOOGLETRANSLATE(B2190,""id"",""en"")"),"['Sya', 'customers',' loyal ',' already ',' expensive ',' people ',' normal ',' sesuwei ',' quality ',' proudness', 'please', 'already', ' expensive ',' quata ',' wasteful ',' network ',' super ',' slow ',' sya ',' subscription ',' already ',' kga ',' buy"&amp;" ',' kga ',' doang ' , 'Kuata', 'Multimedia', 'Kga', 'Doang', 'Current', 'Open', 'Video', 'Ngeleg', 'Boro', 'Yautube', ""]")</f>
        <v>['Sya', 'customers',' loyal ',' already ',' expensive ',' people ',' normal ',' sesuwei ',' quality ',' proudness', 'please', 'already', ' expensive ',' quata ',' wasteful ',' network ',' super ',' slow ',' sya ',' subscription ',' already ',' kga ',' buy ',' kga ',' doang ' , 'Kuata', 'Multimedia', 'Kga', 'Doang', 'Current', 'Open', 'Video', 'Ngeleg', 'Boro', 'Yautube', "]</v>
      </c>
      <c r="D2190" s="3">
        <v>1.0</v>
      </c>
    </row>
    <row r="2191" ht="15.75" customHeight="1">
      <c r="A2191" s="1">
        <v>2339.0</v>
      </c>
      <c r="B2191" s="3" t="s">
        <v>2112</v>
      </c>
      <c r="C2191" s="3" t="str">
        <f>IFERROR(__xludf.DUMMYFUNCTION("GOOGLETRANSLATE(B2191,""id"",""en"")"),"['Good', 'keep', 'network', 'good', 'area', 'remote']")</f>
        <v>['Good', 'keep', 'network', 'good', 'area', 'remote']</v>
      </c>
      <c r="D2191" s="3">
        <v>5.0</v>
      </c>
    </row>
    <row r="2192" ht="15.75" customHeight="1">
      <c r="A2192" s="1">
        <v>2340.0</v>
      </c>
      <c r="B2192" s="3" t="s">
        <v>2113</v>
      </c>
      <c r="C2192" s="3" t="str">
        <f>IFERROR(__xludf.DUMMYFUNCTION("GOOGLETRANSLATE(B2192,""id"",""en"")"),"['difficult', 'already', 'week', 'buy', 'internet', 'quota', 'failed', 'how', 'his disturbance']")</f>
        <v>['difficult', 'already', 'week', 'buy', 'internet', 'quota', 'failed', 'how', 'his disturbance']</v>
      </c>
      <c r="D2192" s="3">
        <v>1.0</v>
      </c>
    </row>
    <row r="2193" ht="15.75" customHeight="1">
      <c r="A2193" s="1">
        <v>2341.0</v>
      </c>
      <c r="B2193" s="3" t="s">
        <v>2114</v>
      </c>
      <c r="C2193" s="3" t="str">
        <f>IFERROR(__xludf.DUMMYFUNCTION("GOOGLETRANSLATE(B2193,""id"",""en"")"),"['Current', 'buy', 'pulse', 'quota', 'application', 'Telkomsel', 'tapii', 'at the time', 'check', 'quota', 'it's better', 'Show', ' Check ',' Dach ',' Love ',' Bintang ',' ']")</f>
        <v>['Current', 'buy', 'pulse', 'quota', 'application', 'Telkomsel', 'tapii', 'at the time', 'check', 'quota', 'it's better', 'Show', ' Check ',' Dach ',' Love ',' Bintang ',' ']</v>
      </c>
      <c r="D2193" s="3">
        <v>2.0</v>
      </c>
    </row>
    <row r="2194" ht="15.75" customHeight="1">
      <c r="A2194" s="1">
        <v>2342.0</v>
      </c>
      <c r="B2194" s="3" t="s">
        <v>2115</v>
      </c>
      <c r="C2194" s="3" t="str">
        <f>IFERROR(__xludf.DUMMYFUNCTION("GOOGLETRANSLATE(B2194,""id"",""en"")"),"['Thank "",' Love ',' Telkomsel ',' Success', 'Current']")</f>
        <v>['Thank ",' Love ',' Telkomsel ',' Success', 'Current']</v>
      </c>
      <c r="D2194" s="3">
        <v>5.0</v>
      </c>
    </row>
    <row r="2195" ht="15.75" customHeight="1">
      <c r="A2195" s="1">
        <v>2343.0</v>
      </c>
      <c r="B2195" s="3" t="s">
        <v>2116</v>
      </c>
      <c r="C2195" s="3" t="str">
        <f>IFERROR(__xludf.DUMMYFUNCTION("GOOGLETRANSLATE(B2195,""id"",""en"")"),"['cheap', 'quota', 'Telkomsel', 'use', 'Telkomsel', 'expensive', 'price', 'quota', 'Telkomsel', 'cheap', 'Vocer', 'Vocer', ' thank you']")</f>
        <v>['cheap', 'quota', 'Telkomsel', 'use', 'Telkomsel', 'expensive', 'price', 'quota', 'Telkomsel', 'cheap', 'Vocer', 'Vocer', ' thank you']</v>
      </c>
      <c r="D2195" s="3">
        <v>5.0</v>
      </c>
    </row>
    <row r="2196" ht="15.75" customHeight="1">
      <c r="A2196" s="1">
        <v>2344.0</v>
      </c>
      <c r="B2196" s="3" t="s">
        <v>2117</v>
      </c>
      <c r="C2196" s="3" t="str">
        <f>IFERROR(__xludf.DUMMYFUNCTION("GOOGLETRANSLATE(B2196,""id"",""en"")"),"['Strong', 'signal', 'steady']")</f>
        <v>['Strong', 'signal', 'steady']</v>
      </c>
      <c r="D2196" s="3">
        <v>5.0</v>
      </c>
    </row>
    <row r="2197" ht="15.75" customHeight="1">
      <c r="A2197" s="1">
        <v>2345.0</v>
      </c>
      <c r="B2197" s="3" t="s">
        <v>2118</v>
      </c>
      <c r="C2197" s="3" t="str">
        <f>IFERROR(__xludf.DUMMYFUNCTION("GOOGLETRANSLATE(B2197,""id"",""en"")"),"['price', 'package', 'Telkomsel', 'relative', 'expensive', 'appeal', 'operator', 'collapsed', 'price', 'package']")</f>
        <v>['price', 'package', 'Telkomsel', 'relative', 'expensive', 'appeal', 'operator', 'collapsed', 'price', 'package']</v>
      </c>
      <c r="D2197" s="3">
        <v>4.0</v>
      </c>
    </row>
    <row r="2198" ht="15.75" customHeight="1">
      <c r="A2198" s="1">
        <v>2346.0</v>
      </c>
      <c r="B2198" s="3" t="s">
        <v>2119</v>
      </c>
      <c r="C2198" s="3" t="str">
        <f>IFERROR(__xludf.DUMMYFUNCTION("GOOGLETRANSLATE(B2198,""id"",""en"")"),"['', 'Telkomsel', 'Good']")</f>
        <v>['', 'Telkomsel', 'Good']</v>
      </c>
      <c r="D2198" s="3">
        <v>5.0</v>
      </c>
    </row>
    <row r="2199" ht="15.75" customHeight="1">
      <c r="A2199" s="1">
        <v>2348.0</v>
      </c>
      <c r="B2199" s="3" t="s">
        <v>2120</v>
      </c>
      <c r="C2199" s="3" t="str">
        <f>IFERROR(__xludf.DUMMYFUNCTION("GOOGLETRANSLATE(B2199,""id"",""en"")"),"['Application', 'Telkomsel', 'Best', '']")</f>
        <v>['Application', 'Telkomsel', 'Best', '']</v>
      </c>
      <c r="D2199" s="3">
        <v>5.0</v>
      </c>
    </row>
    <row r="2200" ht="15.75" customHeight="1">
      <c r="A2200" s="1">
        <v>2349.0</v>
      </c>
      <c r="B2200" s="3" t="s">
        <v>2121</v>
      </c>
      <c r="C2200" s="3" t="str">
        <f>IFERROR(__xludf.DUMMYFUNCTION("GOOGLETRANSLATE(B2200,""id"",""en"")"),"['buy', 'package', 'internet', 'the application', 'failed', 'writing', 'sorry', 'disorder', 'system', 'already', 'gini', ""]")</f>
        <v>['buy', 'package', 'internet', 'the application', 'failed', 'writing', 'sorry', 'disorder', 'system', 'already', 'gini', "]</v>
      </c>
      <c r="D2200" s="3">
        <v>1.0</v>
      </c>
    </row>
    <row r="2201" ht="15.75" customHeight="1">
      <c r="A2201" s="1">
        <v>2350.0</v>
      </c>
      <c r="B2201" s="3" t="s">
        <v>2122</v>
      </c>
      <c r="C2201" s="3" t="str">
        <f>IFERROR(__xludf.DUMMYFUNCTION("GOOGLETRANSLATE(B2201,""id"",""en"")"),"['Thank you', 'Telkomsel', 'responding', 'complaints', 'Customer', 'fix it', 'Success', 'Hopefully', 'Telkomsel', 'forward', 'work', ""]")</f>
        <v>['Thank you', 'Telkomsel', 'responding', 'complaints', 'Customer', 'fix it', 'Success', 'Hopefully', 'Telkomsel', 'forward', 'work', "]</v>
      </c>
      <c r="D2201" s="3">
        <v>5.0</v>
      </c>
    </row>
    <row r="2202" ht="15.75" customHeight="1">
      <c r="A2202" s="1">
        <v>2351.0</v>
      </c>
      <c r="B2202" s="3" t="s">
        <v>2123</v>
      </c>
      <c r="C2202" s="3" t="str">
        <f>IFERROR(__xludf.DUMMYFUNCTION("GOOGLETRANSLATE(B2202,""id"",""en"")"),"['Notif', 'force', 'rating', 'appears', 'open', 'application', 'annoying']")</f>
        <v>['Notif', 'force', 'rating', 'appears', 'open', 'application', 'annoying']</v>
      </c>
      <c r="D2202" s="3">
        <v>1.0</v>
      </c>
    </row>
    <row r="2203" ht="15.75" customHeight="1">
      <c r="A2203" s="1">
        <v>2352.0</v>
      </c>
      <c r="B2203" s="3" t="s">
        <v>2124</v>
      </c>
      <c r="C2203" s="3" t="str">
        <f>IFERROR(__xludf.DUMMYFUNCTION("GOOGLETRANSLATE(B2203,""id"",""en"")"),"['package', 'expensive', 'divided', 'package', 'signal', 'difficult', 'slow', 'really', 'buy', 'package', 'data', 'package', ' Sosmednya ',' package ',' main ',' sosmed ',' package ',' main ',' hbs', 'dluan', 'use', 'package', 'data', 'main', 'its network"&amp;"' , 'slow', 'use', 'package', 'leftover', 'package', 'sosmed', 'slow', 'network', 'browsing', 'hard', 'forgiveness',' battery ',' Low ',' CMA ',' Open ',' Link ',' News', 'Please', 'Repaired', 'Profitable', '']")</f>
        <v>['package', 'expensive', 'divided', 'package', 'signal', 'difficult', 'slow', 'really', 'buy', 'package', 'data', 'package', ' Sosmednya ',' package ',' main ',' sosmed ',' package ',' main ',' hbs', 'dluan', 'use', 'package', 'data', 'main', 'its network' , 'slow', 'use', 'package', 'leftover', 'package', 'sosmed', 'slow', 'network', 'browsing', 'hard', 'forgiveness',' battery ',' Low ',' CMA ',' Open ',' Link ',' News', 'Please', 'Repaired', 'Profitable', '']</v>
      </c>
      <c r="D2203" s="3">
        <v>1.0</v>
      </c>
    </row>
    <row r="2204" ht="15.75" customHeight="1">
      <c r="A2204" s="1">
        <v>2353.0</v>
      </c>
      <c r="B2204" s="3" t="s">
        <v>2125</v>
      </c>
      <c r="C2204" s="3" t="str">
        <f>IFERROR(__xludf.DUMMYFUNCTION("GOOGLETRANSLATE(B2204,""id"",""en"")"),"['respect', 'Telkomsel', 'Tapu', 'please', 'min', 'price', 'quota', 'dumped']")</f>
        <v>['respect', 'Telkomsel', 'Tapu', 'please', 'min', 'price', 'quota', 'dumped']</v>
      </c>
      <c r="D2204" s="3">
        <v>5.0</v>
      </c>
    </row>
    <row r="2205" ht="15.75" customHeight="1">
      <c r="A2205" s="1">
        <v>2354.0</v>
      </c>
      <c r="B2205" s="3" t="s">
        <v>2126</v>
      </c>
      <c r="C2205" s="3" t="str">
        <f>IFERROR(__xludf.DUMMYFUNCTION("GOOGLETRANSLATE(B2205,""id"",""en"")"),"['Telkomsel', 'in place', 'signal', 'bad', 'already', 'ask', 'Telkomsel', 'said', 'plus',' bts', 'please', 'followed', ' signal ',' strip ']")</f>
        <v>['Telkomsel', 'in place', 'signal', 'bad', 'already', 'ask', 'Telkomsel', 'said', 'plus',' bts', 'please', 'followed', ' signal ',' strip ']</v>
      </c>
      <c r="D2205" s="3">
        <v>3.0</v>
      </c>
    </row>
    <row r="2206" ht="15.75" customHeight="1">
      <c r="A2206" s="1">
        <v>2355.0</v>
      </c>
      <c r="B2206" s="3" t="s">
        <v>2127</v>
      </c>
      <c r="C2206" s="3" t="str">
        <f>IFERROR(__xludf.DUMMYFUNCTION("GOOGLETRANSLATE(B2206,""id"",""en"")"),"['Sometimes', 'difficulty', 'network', 'error', 'check', 'quota', 'browsing', 'internet', 'dlm', 'emergency']")</f>
        <v>['Sometimes', 'difficulty', 'network', 'error', 'check', 'quota', 'browsing', 'internet', 'dlm', 'emergency']</v>
      </c>
      <c r="D2206" s="3">
        <v>4.0</v>
      </c>
    </row>
    <row r="2207" ht="15.75" customHeight="1">
      <c r="A2207" s="1">
        <v>2356.0</v>
      </c>
      <c r="B2207" s="3" t="s">
        <v>2128</v>
      </c>
      <c r="C2207" s="3" t="str">
        <f>IFERROR(__xludf.DUMMYFUNCTION("GOOGLETRANSLATE(B2207,""id"",""en"")"),"['Strength', 'region', 'remote', 'hope', 'noticed', 'umtuk', 'region', 'Kalimantan', 'East', 'thank', 'love', ' ']")</f>
        <v>['Strength', 'region', 'remote', 'hope', 'noticed', 'umtuk', 'region', 'Kalimantan', 'East', 'thank', 'love', ' ']</v>
      </c>
      <c r="D2207" s="3">
        <v>4.0</v>
      </c>
    </row>
    <row r="2208" ht="15.75" customHeight="1">
      <c r="A2208" s="1">
        <v>2357.0</v>
      </c>
      <c r="B2208" s="3" t="s">
        <v>2129</v>
      </c>
      <c r="C2208" s="3" t="str">
        <f>IFERROR(__xludf.DUMMYFUNCTION("GOOGLETRANSLATE(B2208,""id"",""en"")"),"['APLI', 'Kasi', 'Good']")</f>
        <v>['APLI', 'Kasi', 'Good']</v>
      </c>
      <c r="D2208" s="3">
        <v>5.0</v>
      </c>
    </row>
    <row r="2209" ht="15.75" customHeight="1">
      <c r="A2209" s="1">
        <v>2358.0</v>
      </c>
      <c r="B2209" s="3" t="s">
        <v>2130</v>
      </c>
      <c r="C2209" s="3" t="str">
        <f>IFERROR(__xludf.DUMMYFUNCTION("GOOGLETRANSLATE(B2209,""id"",""en"")"),"['Application', 'Kereeeen', 'Anyway', 'Mantap', 'Success']")</f>
        <v>['Application', 'Kereeeen', 'Anyway', 'Mantap', 'Success']</v>
      </c>
      <c r="D2209" s="3">
        <v>5.0</v>
      </c>
    </row>
    <row r="2210" ht="15.75" customHeight="1">
      <c r="A2210" s="1">
        <v>2359.0</v>
      </c>
      <c r="B2210" s="3" t="s">
        <v>2131</v>
      </c>
      <c r="C2210" s="3" t="str">
        <f>IFERROR(__xludf.DUMMYFUNCTION("GOOGLETRANSLATE(B2210,""id"",""en"")"),"['Applikasih', 'MyTelkomsel', 'Best']")</f>
        <v>['Applikasih', 'MyTelkomsel', 'Best']</v>
      </c>
      <c r="D2210" s="3">
        <v>5.0</v>
      </c>
    </row>
    <row r="2211" ht="15.75" customHeight="1">
      <c r="A2211" s="1">
        <v>2360.0</v>
      </c>
      <c r="B2211" s="3" t="s">
        <v>2132</v>
      </c>
      <c r="C2211" s="3" t="str">
        <f>IFERROR(__xludf.DUMMYFUNCTION("GOOGLETRANSLATE(B2211,""id"",""en"")"),"['APK', 'Useful', 'Easy', 'Download', 'Guys', 'Fast', 'Download', 'Free', 'Package', 'Free', ""]")</f>
        <v>['APK', 'Useful', 'Easy', 'Download', 'Guys', 'Fast', 'Download', 'Free', 'Package', 'Free', "]</v>
      </c>
      <c r="D2211" s="3">
        <v>5.0</v>
      </c>
    </row>
    <row r="2212" ht="15.75" customHeight="1">
      <c r="A2212" s="1">
        <v>2361.0</v>
      </c>
      <c r="B2212" s="3" t="s">
        <v>2133</v>
      </c>
      <c r="C2212" s="3" t="str">
        <f>IFERROR(__xludf.DUMMYFUNCTION("GOOGLETRANSLATE(B2212,""id"",""en"")"),"['Sis', 'Suggestion', 'borrow', 'quota', 'GB', 'Change', 'Points', 'Delicious', 'Hopefully', 'Reply', 'Trima', 'Love']")</f>
        <v>['Sis', 'Suggestion', 'borrow', 'quota', 'GB', 'Change', 'Points', 'Delicious', 'Hopefully', 'Reply', 'Trima', 'Love']</v>
      </c>
      <c r="D2212" s="3">
        <v>3.0</v>
      </c>
    </row>
    <row r="2213" ht="15.75" customHeight="1">
      <c r="A2213" s="1">
        <v>2362.0</v>
      </c>
      <c r="B2213" s="3" t="s">
        <v>2134</v>
      </c>
      <c r="C2213" s="3" t="str">
        <f>IFERROR(__xludf.DUMMYFUNCTION("GOOGLETRANSLATE(B2213,""id"",""en"")"),"['easy', 'buy', 'quota']")</f>
        <v>['easy', 'buy', 'quota']</v>
      </c>
      <c r="D2213" s="3">
        <v>5.0</v>
      </c>
    </row>
    <row r="2214" ht="15.75" customHeight="1">
      <c r="A2214" s="1">
        <v>2363.0</v>
      </c>
      <c r="B2214" s="3" t="s">
        <v>2135</v>
      </c>
      <c r="C2214" s="3" t="str">
        <f>IFERROR(__xludf.DUMMYFUNCTION("GOOGLETRANSLATE(B2214,""id"",""en"")"),"['Hopefully', 'success', 'served', 'layer', 'community', 'forward', 'Telkomsel']")</f>
        <v>['Hopefully', 'success', 'served', 'layer', 'community', 'forward', 'Telkomsel']</v>
      </c>
      <c r="D2214" s="3">
        <v>4.0</v>
      </c>
    </row>
    <row r="2215" ht="15.75" customHeight="1">
      <c r="A2215" s="1">
        <v>2364.0</v>
      </c>
      <c r="B2215" s="3" t="s">
        <v>2136</v>
      </c>
      <c r="C2215" s="3" t="str">
        <f>IFERROR(__xludf.DUMMYFUNCTION("GOOGLETRANSLATE(B2215,""id"",""en"")"),"['What', 'quota', 'watch', 'deliberate', 'buy', 'quota', 'nonto', 'like', 'see', 'youtube', 'sumps',' quota ',' Internet ',' PDHL ',' Date ',' YouTube ',' GMN ']")</f>
        <v>['What', 'quota', 'watch', 'deliberate', 'buy', 'quota', 'nonto', 'like', 'see', 'youtube', 'sumps',' quota ',' Internet ',' PDHL ',' Date ',' YouTube ',' GMN ']</v>
      </c>
      <c r="D2215" s="3">
        <v>2.0</v>
      </c>
    </row>
    <row r="2216" ht="15.75" customHeight="1">
      <c r="A2216" s="1">
        <v>2365.0</v>
      </c>
      <c r="B2216" s="3" t="s">
        <v>2137</v>
      </c>
      <c r="C2216" s="3" t="str">
        <f>IFERROR(__xludf.DUMMYFUNCTION("GOOGLETRANSLATE(B2216,""id"",""en"")"),"['signal', 'msh']")</f>
        <v>['signal', 'msh']</v>
      </c>
      <c r="D2216" s="3">
        <v>4.0</v>
      </c>
    </row>
    <row r="2217" ht="15.75" customHeight="1">
      <c r="A2217" s="1">
        <v>2366.0</v>
      </c>
      <c r="B2217" s="3" t="s">
        <v>2138</v>
      </c>
      <c r="C2217" s="3" t="str">
        <f>IFERROR(__xludf.DUMMYFUNCTION("GOOGLETRANSLATE(B2217,""id"",""en"")"),"['Vagus', 'fast']")</f>
        <v>['Vagus', 'fast']</v>
      </c>
      <c r="D2217" s="3">
        <v>5.0</v>
      </c>
    </row>
    <row r="2218" ht="15.75" customHeight="1">
      <c r="A2218" s="1">
        <v>2368.0</v>
      </c>
      <c r="B2218" s="3" t="s">
        <v>2139</v>
      </c>
      <c r="C2218" s="3" t="str">
        <f>IFERROR(__xludf.DUMMYFUNCTION("GOOGLETRANSLATE(B2218,""id"",""en"")"),"['Hopefully', 'card', 'prepaid', 'Telkomsel', 'Sang', 'Help', 'Human', 'Please', 'Program', 'Data', 'Package', 'Internet', ' Lai ',' Down ',' Price ',' Trima ',' Love ',' Success', 'Telkomsel', 'Moving', 'Trusss',' In the future ',' Aminnn ']")</f>
        <v>['Hopefully', 'card', 'prepaid', 'Telkomsel', 'Sang', 'Help', 'Human', 'Please', 'Program', 'Data', 'Package', 'Internet', ' Lai ',' Down ',' Price ',' Trima ',' Love ',' Success', 'Telkomsel', 'Moving', 'Trusss',' In the future ',' Aminnn ']</v>
      </c>
      <c r="D2218" s="3">
        <v>5.0</v>
      </c>
    </row>
    <row r="2219" ht="15.75" customHeight="1">
      <c r="A2219" s="1">
        <v>2369.0</v>
      </c>
      <c r="B2219" s="3" t="s">
        <v>2140</v>
      </c>
      <c r="C2219" s="3" t="str">
        <f>IFERROR(__xludf.DUMMYFUNCTION("GOOGLETRANSLATE(B2219,""id"",""en"")"),"['Sangar', 'open', 'Lgsung', 'printed', 'data', 'leftover', 'credit', 'card', 'steady', 'thank you', 'MyTelkomsel', ""]")</f>
        <v>['Sangar', 'open', 'Lgsung', 'printed', 'data', 'leftover', 'credit', 'card', 'steady', 'thank you', 'MyTelkomsel', "]</v>
      </c>
      <c r="D2219" s="3">
        <v>5.0</v>
      </c>
    </row>
    <row r="2220" ht="15.75" customHeight="1">
      <c r="A2220" s="1">
        <v>2370.0</v>
      </c>
      <c r="B2220" s="3" t="s">
        <v>81</v>
      </c>
      <c r="C2220" s="3" t="str">
        <f>IFERROR(__xludf.DUMMYFUNCTION("GOOGLETRANSLATE(B2220,""id"",""en"")"),"['application', 'good']")</f>
        <v>['application', 'good']</v>
      </c>
      <c r="D2220" s="3">
        <v>5.0</v>
      </c>
    </row>
    <row r="2221" ht="15.75" customHeight="1">
      <c r="A2221" s="1">
        <v>2371.0</v>
      </c>
      <c r="B2221" s="3" t="s">
        <v>2141</v>
      </c>
      <c r="C2221" s="3" t="str">
        <f>IFERROR(__xludf.DUMMYFUNCTION("GOOGLETRANSLATE(B2221,""id"",""en"")"),"['Cool', 'Continue']")</f>
        <v>['Cool', 'Continue']</v>
      </c>
      <c r="D2221" s="3">
        <v>5.0</v>
      </c>
    </row>
    <row r="2222" ht="15.75" customHeight="1">
      <c r="A2222" s="1">
        <v>2372.0</v>
      </c>
      <c r="B2222" s="3" t="s">
        <v>2142</v>
      </c>
      <c r="C2222" s="3" t="str">
        <f>IFERROR(__xludf.DUMMYFUNCTION("GOOGLETRANSLATE(B2222,""id"",""en"")"),"['The package', 'expensive', 'signal', 'slow']")</f>
        <v>['The package', 'expensive', 'signal', 'slow']</v>
      </c>
      <c r="D2222" s="3">
        <v>1.0</v>
      </c>
    </row>
    <row r="2223" ht="15.75" customHeight="1">
      <c r="A2223" s="1">
        <v>2373.0</v>
      </c>
      <c r="B2223" s="3" t="s">
        <v>2143</v>
      </c>
      <c r="C2223" s="3" t="str">
        <f>IFERROR(__xludf.DUMMYFUNCTION("GOOGLETRANSLATE(B2223,""id"",""en"")"),"['application', 'slow', 'complicated', 'pdhl', 'operator', 'cellular', 'famous',' most expensive ',' advertising ',' if ',' given ',' star ',' ']")</f>
        <v>['application', 'slow', 'complicated', 'pdhl', 'operator', 'cellular', 'famous',' most expensive ',' advertising ',' if ',' given ',' star ',' ']</v>
      </c>
      <c r="D2223" s="3">
        <v>1.0</v>
      </c>
    </row>
    <row r="2224" ht="15.75" customHeight="1">
      <c r="A2224" s="1">
        <v>2374.0</v>
      </c>
      <c r="B2224" s="3" t="s">
        <v>2144</v>
      </c>
      <c r="C2224" s="3" t="str">
        <f>IFERROR(__xludf.DUMMYFUNCTION("GOOGLETRANSLATE(B2224,""id"",""en"")"),"['card', 'famous', 'expensive', 'signal', 'price', 'cheap']")</f>
        <v>['card', 'famous', 'expensive', 'signal', 'price', 'cheap']</v>
      </c>
      <c r="D2224" s="3">
        <v>1.0</v>
      </c>
    </row>
    <row r="2225" ht="15.75" customHeight="1">
      <c r="A2225" s="1">
        <v>2375.0</v>
      </c>
      <c r="B2225" s="3" t="s">
        <v>2145</v>
      </c>
      <c r="C2225" s="3" t="str">
        <f>IFERROR(__xludf.DUMMYFUNCTION("GOOGLETRANSLATE(B2225,""id"",""en"")"),"['It's easy', 'purchase', 'TOP', 'pulses']")</f>
        <v>['It's easy', 'purchase', 'TOP', 'pulses']</v>
      </c>
      <c r="D2225" s="3">
        <v>5.0</v>
      </c>
    </row>
    <row r="2226" ht="15.75" customHeight="1">
      <c r="A2226" s="1">
        <v>2376.0</v>
      </c>
      <c r="B2226" s="3" t="s">
        <v>2146</v>
      </c>
      <c r="C2226" s="3" t="str">
        <f>IFERROR(__xludf.DUMMYFUNCTION("GOOGLETRANSLATE(B2226,""id"",""en"")"),"['App', 'Good', '']")</f>
        <v>['App', 'Good', '']</v>
      </c>
      <c r="D2226" s="3">
        <v>5.0</v>
      </c>
    </row>
    <row r="2227" ht="15.75" customHeight="1">
      <c r="A2227" s="1">
        <v>2377.0</v>
      </c>
      <c r="B2227" s="3" t="s">
        <v>2147</v>
      </c>
      <c r="C2227" s="3" t="str">
        <f>IFERROR(__xludf.DUMMYFUNCTION("GOOGLETRANSLATE(B2227,""id"",""en"")"),"['Network', 'ugly', 'Luplep', 'Maen', 'Game', 'AFK', 'Mulu']")</f>
        <v>['Network', 'ugly', 'Luplep', 'Maen', 'Game', 'AFK', 'Mulu']</v>
      </c>
      <c r="D2227" s="3">
        <v>3.0</v>
      </c>
    </row>
    <row r="2228" ht="15.75" customHeight="1">
      <c r="A2228" s="1">
        <v>2379.0</v>
      </c>
      <c r="B2228" s="3" t="s">
        <v>2148</v>
      </c>
      <c r="C2228" s="3" t="str">
        <f>IFERROR(__xludf.DUMMYFUNCTION("GOOGLETRANSLATE(B2228,""id"",""en"")"),"['Knp', 'Telkomsel', 'skrg', 'ngeleg', 'signal', 'buffing', 'trs']")</f>
        <v>['Knp', 'Telkomsel', 'skrg', 'ngeleg', 'signal', 'buffing', 'trs']</v>
      </c>
      <c r="D2228" s="3">
        <v>1.0</v>
      </c>
    </row>
    <row r="2229" ht="15.75" customHeight="1">
      <c r="A2229" s="1">
        <v>2380.0</v>
      </c>
      <c r="B2229" s="3" t="s">
        <v>289</v>
      </c>
      <c r="C2229" s="3" t="str">
        <f>IFERROR(__xludf.DUMMYFUNCTION("GOOGLETRANSLATE(B2229,""id"",""en"")"),"['Good', 'help']")</f>
        <v>['Good', 'help']</v>
      </c>
      <c r="D2229" s="3">
        <v>4.0</v>
      </c>
    </row>
    <row r="2230" ht="15.75" customHeight="1">
      <c r="A2230" s="1">
        <v>2381.0</v>
      </c>
      <c r="B2230" s="3" t="s">
        <v>2149</v>
      </c>
      <c r="C2230" s="3" t="str">
        <f>IFERROR(__xludf.DUMMYFUNCTION("GOOGLETRANSLATE(B2230,""id"",""en"")"),"['', 'Login', 'Tuesday', 'Daily', 'Login', 'MyTelkomsel', 'Features',' Lost ',' Claim ',' Login ',' Daily ',' Wednesday ',' Feature ',' Login ',' Daily ',' Daily ',' Login ',' Lost ',' Hopefully ',' Repaired ',' Feature ',' Daily ',' Login ',' Lost ',' Lo"&amp;"st ', '']")</f>
        <v>['', 'Login', 'Tuesday', 'Daily', 'Login', 'MyTelkomsel', 'Features',' Lost ',' Claim ',' Login ',' Daily ',' Wednesday ',' Feature ',' Login ',' Daily ',' Daily ',' Login ',' Lost ',' Hopefully ',' Repaired ',' Feature ',' Daily ',' Login ',' Lost ',' Lost ', '']</v>
      </c>
      <c r="D2230" s="3">
        <v>1.0</v>
      </c>
    </row>
    <row r="2231" ht="15.75" customHeight="1">
      <c r="A2231" s="1">
        <v>2382.0</v>
      </c>
      <c r="B2231" s="3" t="s">
        <v>2150</v>
      </c>
      <c r="C2231" s="3" t="str">
        <f>IFERROR(__xludf.DUMMYFUNCTION("GOOGLETRANSLATE(B2231,""id"",""en"")"),"['complaints',' suggestion ',' signal ',' catfish ',' price ',' package ',' internet ',' expensive ',' please ',' request ',' grant ',' down ',' Price ',' Package ',' Internet ']")</f>
        <v>['complaints',' suggestion ',' signal ',' catfish ',' price ',' package ',' internet ',' expensive ',' please ',' request ',' grant ',' down ',' Price ',' Package ',' Internet ']</v>
      </c>
      <c r="D2231" s="3">
        <v>3.0</v>
      </c>
    </row>
    <row r="2232" ht="15.75" customHeight="1">
      <c r="A2232" s="1">
        <v>2383.0</v>
      </c>
      <c r="B2232" s="3" t="s">
        <v>2151</v>
      </c>
      <c r="C2232" s="3" t="str">
        <f>IFERROR(__xludf.DUMMYFUNCTION("GOOGLETRANSLATE(B2232,""id"",""en"")"),"['Sorry', 'nnya', 'card', 'package', 'sakti', 'combo', 'shopping', 'the application', 'pdhal', 'the application', 'trs',' package ',' Available ',' Different ']")</f>
        <v>['Sorry', 'nnya', 'card', 'package', 'sakti', 'combo', 'shopping', 'the application', 'pdhal', 'the application', 'trs',' package ',' Available ',' Different ']</v>
      </c>
      <c r="D2232" s="3">
        <v>3.0</v>
      </c>
    </row>
    <row r="2233" ht="15.75" customHeight="1">
      <c r="A2233" s="1">
        <v>2385.0</v>
      </c>
      <c r="B2233" s="3" t="s">
        <v>2152</v>
      </c>
      <c r="C2233" s="3" t="str">
        <f>IFERROR(__xludf.DUMMYFUNCTION("GOOGLETRANSLATE(B2233,""id"",""en"")"),"['Buy', 'Package', 'Telkomsel', 'JRINGAN', 'Cheap', 'Good', 'Jingannya', 'Emotion', 'Main', 'Game']")</f>
        <v>['Buy', 'Package', 'Telkomsel', 'JRINGAN', 'Cheap', 'Good', 'Jingannya', 'Emotion', 'Main', 'Game']</v>
      </c>
      <c r="D2233" s="3">
        <v>1.0</v>
      </c>
    </row>
    <row r="2234" ht="15.75" customHeight="1">
      <c r="A2234" s="1">
        <v>2386.0</v>
      </c>
      <c r="B2234" s="3" t="s">
        <v>2153</v>
      </c>
      <c r="C2234" s="3" t="str">
        <f>IFERROR(__xludf.DUMMYFUNCTION("GOOGLETRANSLATE(B2234,""id"",""en"")"),"['Help', 'DPT', 'Data', 'CMA', 'billion', 'Rupiah', 'Buy', 'Data', 'Can', 'More', 'Cheap']")</f>
        <v>['Help', 'DPT', 'Data', 'CMA', 'billion', 'Rupiah', 'Buy', 'Data', 'Can', 'More', 'Cheap']</v>
      </c>
      <c r="D2234" s="3">
        <v>5.0</v>
      </c>
    </row>
    <row r="2235" ht="15.75" customHeight="1">
      <c r="A2235" s="1">
        <v>2387.0</v>
      </c>
      <c r="B2235" s="3" t="s">
        <v>2154</v>
      </c>
      <c r="C2235" s="3" t="str">
        <f>IFERROR(__xludf.DUMMYFUNCTION("GOOGLETRANSLATE(B2235,""id"",""en"")"),"['cheap', 'belli', 'package', 'telkomsel']")</f>
        <v>['cheap', 'belli', 'package', 'telkomsel']</v>
      </c>
      <c r="D2235" s="3">
        <v>5.0</v>
      </c>
    </row>
    <row r="2236" ht="15.75" customHeight="1">
      <c r="A2236" s="1">
        <v>2388.0</v>
      </c>
      <c r="B2236" s="3" t="s">
        <v>2155</v>
      </c>
      <c r="C2236" s="3" t="str">
        <f>IFERROR(__xludf.DUMMYFUNCTION("GOOGLETRANSLATE(B2236,""id"",""en"")"),"['Loading', 'confiscated', 'throw', 'disappointed', '']")</f>
        <v>['Loading', 'confiscated', 'throw', 'disappointed', '']</v>
      </c>
      <c r="D2236" s="3">
        <v>2.0</v>
      </c>
    </row>
    <row r="2237" ht="15.75" customHeight="1">
      <c r="A2237" s="1">
        <v>2389.0</v>
      </c>
      <c r="B2237" s="3" t="s">
        <v>2156</v>
      </c>
      <c r="C2237" s="3" t="str">
        <f>IFERROR(__xludf.DUMMYFUNCTION("GOOGLETRANSLATE(B2237,""id"",""en"")"),"['Data', 'already', 'expensive', 'net', 'destroyed', 'bitch', 'luck', 'ku', 'network', 'klw', 'palm', 'network', ' Loss', 'Telkomsel', '']")</f>
        <v>['Data', 'already', 'expensive', 'net', 'destroyed', 'bitch', 'luck', 'ku', 'network', 'klw', 'palm', 'network', ' Loss', 'Telkomsel', '']</v>
      </c>
      <c r="D2237" s="3">
        <v>1.0</v>
      </c>
    </row>
    <row r="2238" ht="15.75" customHeight="1">
      <c r="A2238" s="1">
        <v>2390.0</v>
      </c>
      <c r="B2238" s="3" t="s">
        <v>2157</v>
      </c>
      <c r="C2238" s="3" t="str">
        <f>IFERROR(__xludf.DUMMYFUNCTION("GOOGLETRANSLATE(B2238,""id"",""en"")"),"['Steady', 'Easy', 'Telkomsel']")</f>
        <v>['Steady', 'Easy', 'Telkomsel']</v>
      </c>
      <c r="D2238" s="3">
        <v>5.0</v>
      </c>
    </row>
    <row r="2239" ht="15.75" customHeight="1">
      <c r="A2239" s="1">
        <v>2391.0</v>
      </c>
      <c r="B2239" s="3" t="s">
        <v>2158</v>
      </c>
      <c r="C2239" s="3" t="str">
        <f>IFERROR(__xludf.DUMMYFUNCTION("GOOGLETRANSLATE(B2239,""id"",""en"")"),"['APK', 'Good', 'bnget', '']")</f>
        <v>['APK', 'Good', 'bnget', '']</v>
      </c>
      <c r="D2239" s="3">
        <v>5.0</v>
      </c>
    </row>
    <row r="2240" ht="15.75" customHeight="1">
      <c r="A2240" s="1">
        <v>2392.0</v>
      </c>
      <c r="B2240" s="3" t="s">
        <v>2159</v>
      </c>
      <c r="C2240" s="3" t="str">
        <f>IFERROR(__xludf.DUMMYFUNCTION("GOOGLETRANSLATE(B2240,""id"",""en"")"),"['', 'Credit', 'Sumpot', 'Data', 'Telkomsel', 'Sedoottt', 'Teroooss',' Bener ',' Safe ',' Nyimpen ',' Credit ',' Dimari ',' Edit ',' Credit ',' Cut ',' make ',' package ',' gift ',' check ',' Ancuurr ',' Ancuurr ',' star ',' zero ',' kasi ',' star ', 'zer"&amp;"o', 'edit', 'pulse', 'sucked', 'times', 'little', 'obedience', 'quota', 'internet', 'make', 'woy', 'wo up', "" ]")</f>
        <v>['', 'Credit', 'Sumpot', 'Data', 'Telkomsel', 'Sedoottt', 'Teroooss',' Bener ',' Safe ',' Nyimpen ',' Credit ',' Dimari ',' Edit ',' Credit ',' Cut ',' make ',' package ',' gift ',' check ',' Ancuurr ',' Ancuurr ',' star ',' zero ',' kasi ',' star ', 'zero', 'edit', 'pulse', 'sucked', 'times', 'little', 'obedience', 'quota', 'internet', 'make', 'woy', 'wo up', " ]</v>
      </c>
      <c r="D2240" s="3">
        <v>1.0</v>
      </c>
    </row>
    <row r="2241" ht="15.75" customHeight="1">
      <c r="A2241" s="1">
        <v>2394.0</v>
      </c>
      <c r="B2241" s="3" t="s">
        <v>2160</v>
      </c>
      <c r="C2241" s="3" t="str">
        <f>IFERROR(__xludf.DUMMYFUNCTION("GOOGLETRANSLATE(B2241,""id"",""en"")"),"['Please', 'buy', 'package', 'internet', 'already', 'succeed', 'package', 'use', 'motif', 'package', 'managed', 'pulse', ' already ',' take ',' loss']")</f>
        <v>['Please', 'buy', 'package', 'internet', 'already', 'succeed', 'package', 'use', 'motif', 'package', 'managed', 'pulse', ' already ',' take ',' loss']</v>
      </c>
      <c r="D2241" s="3">
        <v>3.0</v>
      </c>
    </row>
    <row r="2242" ht="15.75" customHeight="1">
      <c r="A2242" s="1">
        <v>2395.0</v>
      </c>
      <c r="B2242" s="3" t="s">
        <v>2161</v>
      </c>
      <c r="C2242" s="3" t="str">
        <f>IFERROR(__xludf.DUMMYFUNCTION("GOOGLETRANSLATE(B2242,""id"",""en"")"),"['WOI', 'Telkom', 'Nau', 'Money', 'Signal', 'Really', 'Taik', 'Ksh', 'Quality', 'Kyk', 'Gini', 'Fast', ' Laa ',' bankrupt ']")</f>
        <v>['WOI', 'Telkom', 'Nau', 'Money', 'Signal', 'Really', 'Taik', 'Ksh', 'Quality', 'Kyk', 'Gini', 'Fast', ' Laa ',' bankrupt ']</v>
      </c>
      <c r="D2242" s="3">
        <v>1.0</v>
      </c>
    </row>
    <row r="2243" ht="15.75" customHeight="1">
      <c r="A2243" s="1">
        <v>2396.0</v>
      </c>
      <c r="B2243" s="3" t="s">
        <v>2162</v>
      </c>
      <c r="C2243" s="3" t="str">
        <f>IFERROR(__xludf.DUMMYFUNCTION("GOOGLETRANSLATE(B2243,""id"",""en"")"),"['Network', 'like', 'dim', 'slow', 'please', 'repaired', ""]")</f>
        <v>['Network', 'like', 'dim', 'slow', 'please', 'repaired', "]</v>
      </c>
      <c r="D2243" s="3">
        <v>3.0</v>
      </c>
    </row>
    <row r="2244" ht="15.75" customHeight="1">
      <c r="A2244" s="1">
        <v>2397.0</v>
      </c>
      <c r="B2244" s="3" t="s">
        <v>2163</v>
      </c>
      <c r="C2244" s="3" t="str">
        <f>IFERROR(__xludf.DUMMYFUNCTION("GOOGLETRANSLATE(B2244,""id"",""en"")"),"['hours',' signal ',' missing ',' UDH ',' Connection ',' Not bad ',' minutes', 'promo', 'ad', 'kluu', 'trouble', 'love', ' Notiv ',' Customer ',' Seace ',' Disappointed ',' Bintang ',' Deh ',' ']")</f>
        <v>['hours',' signal ',' missing ',' UDH ',' Connection ',' Not bad ',' minutes', 'promo', 'ad', 'kluu', 'trouble', 'love', ' Notiv ',' Customer ',' Seace ',' Disappointed ',' Bintang ',' Deh ',' ']</v>
      </c>
      <c r="D2244" s="3">
        <v>2.0</v>
      </c>
    </row>
    <row r="2245" ht="15.75" customHeight="1">
      <c r="A2245" s="1">
        <v>2398.0</v>
      </c>
      <c r="B2245" s="3" t="s">
        <v>2164</v>
      </c>
      <c r="C2245" s="3" t="str">
        <f>IFERROR(__xludf.DUMMYFUNCTION("GOOGLETRANSLATE(B2245,""id"",""en"")"),"['Provider', 'bad', 'Come here', 'signal', 'bad', 'no', 'professional', 'provider', 'buy', 'quota', 'expensive', 'signal', ' bad', '']")</f>
        <v>['Provider', 'bad', 'Come here', 'signal', 'bad', 'no', 'professional', 'provider', 'buy', 'quota', 'expensive', 'signal', ' bad', '']</v>
      </c>
      <c r="D2245" s="3">
        <v>1.0</v>
      </c>
    </row>
    <row r="2246" ht="15.75" customHeight="1">
      <c r="A2246" s="1">
        <v>2399.0</v>
      </c>
      <c r="B2246" s="3" t="s">
        <v>2165</v>
      </c>
      <c r="C2246" s="3" t="str">
        <f>IFERROR(__xludf.DUMMYFUNCTION("GOOGLETRANSLATE(B2246,""id"",""en"")"),"['Exchange', 'Points',' Wait ',' Awaited ',' Daily ',' Wait ',' situ ',' Points', 'Disorders',' notification ',' weve ',' difficult ',' ']")</f>
        <v>['Exchange', 'Points',' Wait ',' Awaited ',' Daily ',' Wait ',' situ ',' Points', 'Disorders',' notification ',' weve ',' difficult ',' ']</v>
      </c>
      <c r="D2246" s="3">
        <v>1.0</v>
      </c>
    </row>
    <row r="2247" ht="15.75" customHeight="1">
      <c r="A2247" s="1">
        <v>2400.0</v>
      </c>
      <c r="B2247" s="3" t="s">
        <v>2166</v>
      </c>
      <c r="C2247" s="3" t="str">
        <f>IFERROR(__xludf.DUMMYFUNCTION("GOOGLETRANSLATE(B2247,""id"",""en"")"),"['Mantab', 'and', 'Recommanded', 'Deh', 'Anyway', 'Success', 'Telkomsel']")</f>
        <v>['Mantab', 'and', 'Recommanded', 'Deh', 'Anyway', 'Success', 'Telkomsel']</v>
      </c>
      <c r="D2247" s="3">
        <v>5.0</v>
      </c>
    </row>
    <row r="2248" ht="15.75" customHeight="1">
      <c r="A2248" s="1">
        <v>2401.0</v>
      </c>
      <c r="B2248" s="3" t="s">
        <v>2167</v>
      </c>
      <c r="C2248" s="3" t="str">
        <f>IFERROR(__xludf.DUMMYFUNCTION("GOOGLETRANSLATE(B2248,""id"",""en"")"),"['application', 'help', 'user', 'card', 'hello', 'thank', 'love', 'Telkomsel']")</f>
        <v>['application', 'help', 'user', 'card', 'hello', 'thank', 'love', 'Telkomsel']</v>
      </c>
      <c r="D2248" s="3">
        <v>5.0</v>
      </c>
    </row>
    <row r="2249" ht="15.75" customHeight="1">
      <c r="A2249" s="1">
        <v>2402.0</v>
      </c>
      <c r="B2249" s="3" t="s">
        <v>2168</v>
      </c>
      <c r="C2249" s="3" t="str">
        <f>IFERROR(__xludf.DUMMYFUNCTION("GOOGLETRANSLATE(B2249,""id"",""en"")"),"['WOI', 'Bener', 'Ngurus',' Provider ',' Buy ',' Expensive ',' Expensive ',' Service ',' Kayak ',' Network ',' Lost ',' His Writing ',' Service ',' already ',' on ',' Matiin ',' Gamau ',' Nongol ',' Payaahhhhh ',' Mending ',' card ']")</f>
        <v>['WOI', 'Bener', 'Ngurus',' Provider ',' Buy ',' Expensive ',' Expensive ',' Service ',' Kayak ',' Network ',' Lost ',' His Writing ',' Service ',' already ',' on ',' Matiin ',' Gamau ',' Nongol ',' Payaahhhhh ',' Mending ',' card ']</v>
      </c>
      <c r="D2249" s="3">
        <v>1.0</v>
      </c>
    </row>
    <row r="2250" ht="15.75" customHeight="1">
      <c r="A2250" s="1">
        <v>2403.0</v>
      </c>
      <c r="B2250" s="3" t="s">
        <v>2169</v>
      </c>
      <c r="C2250" s="3" t="str">
        <f>IFERROR(__xludf.DUMMYFUNCTION("GOOGLETRANSLATE(B2250,""id"",""en"")"),"['Star', 'Talk', 'hehehe']")</f>
        <v>['Star', 'Talk', 'hehehe']</v>
      </c>
      <c r="D2250" s="3">
        <v>5.0</v>
      </c>
    </row>
    <row r="2251" ht="15.75" customHeight="1">
      <c r="A2251" s="1">
        <v>2404.0</v>
      </c>
      <c r="B2251" s="3" t="s">
        <v>735</v>
      </c>
      <c r="C2251" s="3" t="str">
        <f>IFERROR(__xludf.DUMMYFUNCTION("GOOGLETRANSLATE(B2251,""id"",""en"")"),"['help']")</f>
        <v>['help']</v>
      </c>
      <c r="D2251" s="3">
        <v>5.0</v>
      </c>
    </row>
    <row r="2252" ht="15.75" customHeight="1">
      <c r="A2252" s="1">
        <v>2405.0</v>
      </c>
      <c r="B2252" s="3" t="s">
        <v>2170</v>
      </c>
      <c r="C2252" s="3" t="str">
        <f>IFERROR(__xludf.DUMMYFUNCTION("GOOGLETRANSLATE(B2252,""id"",""en"")"),"['Please', 'Increase', 'APK', 'Enter', 'Code', 'Voucher', 'APK', '']")</f>
        <v>['Please', 'Increase', 'APK', 'Enter', 'Code', 'Voucher', 'APK', '']</v>
      </c>
      <c r="D2252" s="3">
        <v>4.0</v>
      </c>
    </row>
    <row r="2253" ht="15.75" customHeight="1">
      <c r="A2253" s="1">
        <v>2406.0</v>
      </c>
      <c r="B2253" s="3" t="s">
        <v>2171</v>
      </c>
      <c r="C2253" s="3" t="str">
        <f>IFERROR(__xludf.DUMMYFUNCTION("GOOGLETRANSLATE(B2253,""id"",""en"")"),"['Disorders', 'Mulu', 'please', 'fix']")</f>
        <v>['Disorders', 'Mulu', 'please', 'fix']</v>
      </c>
      <c r="D2253" s="3">
        <v>1.0</v>
      </c>
    </row>
    <row r="2254" ht="15.75" customHeight="1">
      <c r="A2254" s="1">
        <v>2407.0</v>
      </c>
      <c r="B2254" s="3" t="s">
        <v>2172</v>
      </c>
      <c r="C2254" s="3" t="str">
        <f>IFERROR(__xludf.DUMMYFUNCTION("GOOGLETRANSLATE(B2254,""id"",""en"")"),"['The application', 'good', 'easy']")</f>
        <v>['The application', 'good', 'easy']</v>
      </c>
      <c r="D2254" s="3">
        <v>5.0</v>
      </c>
    </row>
    <row r="2255" ht="15.75" customHeight="1">
      <c r="A2255" s="1">
        <v>2409.0</v>
      </c>
      <c r="B2255" s="3" t="s">
        <v>2173</v>
      </c>
      <c r="C2255" s="3" t="str">
        <f>IFERROR(__xludf.DUMMYFUNCTION("GOOGLETRANSLATE(B2255,""id"",""en"")"),"['Mantappp', 'Telkomsel', 'choice']")</f>
        <v>['Mantappp', 'Telkomsel', 'choice']</v>
      </c>
      <c r="D2255" s="3">
        <v>5.0</v>
      </c>
    </row>
    <row r="2256" ht="15.75" customHeight="1">
      <c r="A2256" s="1">
        <v>2410.0</v>
      </c>
      <c r="B2256" s="3" t="s">
        <v>2174</v>
      </c>
      <c r="C2256" s="3" t="str">
        <f>IFERROR(__xludf.DUMMYFUNCTION("GOOGLETRANSLATE(B2256,""id"",""en"")"),"['Time']")</f>
        <v>['Time']</v>
      </c>
      <c r="D2256" s="3">
        <v>1.0</v>
      </c>
    </row>
    <row r="2257" ht="15.75" customHeight="1">
      <c r="A2257" s="1">
        <v>2411.0</v>
      </c>
      <c r="B2257" s="3" t="s">
        <v>2175</v>
      </c>
      <c r="C2257" s="3" t="str">
        <f>IFERROR(__xludf.DUMMYFUNCTION("GOOGLETRANSLATE(B2257,""id"",""en"")"),"['package', 'data', 'internet', 'cheap', 'cheap', 'bangettt', '']")</f>
        <v>['package', 'data', 'internet', 'cheap', 'cheap', 'bangettt', '']</v>
      </c>
      <c r="D2257" s="3">
        <v>5.0</v>
      </c>
    </row>
    <row r="2258" ht="15.75" customHeight="1">
      <c r="A2258" s="1">
        <v>2412.0</v>
      </c>
      <c r="B2258" s="3" t="s">
        <v>2176</v>
      </c>
      <c r="C2258" s="3" t="str">
        <f>IFERROR(__xludf.DUMMYFUNCTION("GOOGLETRANSLATE(B2258,""id"",""en"")"),"['here', 'chaotic', 'mending', 'moved', 'provider', 'next door']")</f>
        <v>['here', 'chaotic', 'mending', 'moved', 'provider', 'next door']</v>
      </c>
      <c r="D2258" s="3">
        <v>1.0</v>
      </c>
    </row>
    <row r="2259" ht="15.75" customHeight="1">
      <c r="A2259" s="1">
        <v>2413.0</v>
      </c>
      <c r="B2259" s="3" t="s">
        <v>2177</v>
      </c>
      <c r="C2259" s="3" t="str">
        <f>IFERROR(__xludf.DUMMYFUNCTION("GOOGLETRANSLATE(B2259,""id"",""en"")"),"['Ngellag', 'Mulu', 'Jringn', 'Luh', 'KGK', '']")</f>
        <v>['Ngellag', 'Mulu', 'Jringn', 'Luh', 'KGK', '']</v>
      </c>
      <c r="D2259" s="3">
        <v>1.0</v>
      </c>
    </row>
    <row r="2260" ht="15.75" customHeight="1">
      <c r="A2260" s="1">
        <v>2414.0</v>
      </c>
      <c r="B2260" s="3" t="s">
        <v>2178</v>
      </c>
      <c r="C2260" s="3" t="str">
        <f>IFERROR(__xludf.DUMMYFUNCTION("GOOGLETRANSLATE(B2260,""id"",""en"")"),"['Jngn', 'Leet']")</f>
        <v>['Jngn', 'Leet']</v>
      </c>
      <c r="D2260" s="3">
        <v>5.0</v>
      </c>
    </row>
    <row r="2261" ht="15.75" customHeight="1">
      <c r="A2261" s="1">
        <v>2415.0</v>
      </c>
      <c r="B2261" s="3" t="s">
        <v>2179</v>
      </c>
      <c r="C2261" s="3" t="str">
        <f>IFERROR(__xludf.DUMMYFUNCTION("GOOGLETRANSLATE(B2261,""id"",""en"")"),"['Hopefully', 'Win', 'Bang', 'Lottery']")</f>
        <v>['Hopefully', 'Win', 'Bang', 'Lottery']</v>
      </c>
      <c r="D2261" s="3">
        <v>5.0</v>
      </c>
    </row>
    <row r="2262" ht="15.75" customHeight="1">
      <c r="A2262" s="1">
        <v>2417.0</v>
      </c>
      <c r="B2262" s="3" t="s">
        <v>2180</v>
      </c>
      <c r="C2262" s="3" t="str">
        <f>IFERROR(__xludf.DUMMYFUNCTION("GOOGLETRANSLATE(B2262,""id"",""en"")"),"['expensive', 'expensive', 'quota', 'boss',' ppkm ',' sett ',' dahh ',' package ',' rb ',' kemane ',' kaga ',' appears', ' Sue ',' Bener ',' Dahh ',' Boss']")</f>
        <v>['expensive', 'expensive', 'quota', 'boss',' ppkm ',' sett ',' dahh ',' package ',' rb ',' kemane ',' kaga ',' appears', ' Sue ',' Bener ',' Dahh ',' Boss']</v>
      </c>
      <c r="D2262" s="3">
        <v>3.0</v>
      </c>
    </row>
    <row r="2263" ht="15.75" customHeight="1">
      <c r="A2263" s="1">
        <v>2418.0</v>
      </c>
      <c r="B2263" s="3" t="s">
        <v>2181</v>
      </c>
      <c r="C2263" s="3" t="str">
        <f>IFERROR(__xludf.DUMMYFUNCTION("GOOGLETRANSLATE(B2263,""id"",""en"")"),"['', 'suggestion', 'signal', '']")</f>
        <v>['', 'suggestion', 'signal', '']</v>
      </c>
      <c r="D2263" s="3">
        <v>1.0</v>
      </c>
    </row>
    <row r="2264" ht="15.75" customHeight="1">
      <c r="A2264" s="1">
        <v>2419.0</v>
      </c>
      <c r="B2264" s="3" t="s">
        <v>2182</v>
      </c>
      <c r="C2264" s="3" t="str">
        <f>IFERROR(__xludf.DUMMYFUNCTION("GOOGLETRANSLATE(B2264,""id"",""en"")"),"['Daily', 'check', 'Where', 'ilang', 'ngeapain', 'ngeutin', 'apply', 'bonus',' missing ',' update ',' no ',' notif ',' No ',' disappointing ',' Sometimes', 'network', 'stable', 'please', 'fix', '']")</f>
        <v>['Daily', 'check', 'Where', 'ilang', 'ngeapain', 'ngeutin', 'apply', 'bonus',' missing ',' update ',' no ',' notif ',' No ',' disappointing ',' Sometimes', 'network', 'stable', 'please', 'fix', '']</v>
      </c>
      <c r="D2264" s="3">
        <v>2.0</v>
      </c>
    </row>
    <row r="2265" ht="15.75" customHeight="1">
      <c r="A2265" s="1">
        <v>2421.0</v>
      </c>
      <c r="B2265" s="3" t="s">
        <v>2183</v>
      </c>
      <c r="C2265" s="3" t="str">
        <f>IFERROR(__xludf.DUMMYFUNCTION("GOOGLETRANSLATE(B2265,""id"",""en"")"),"['buy', 'package', 'masok', 'ajg', 'emang', 'apk', 'try', 'loss', 'mulu', 'cave']")</f>
        <v>['buy', 'package', 'masok', 'ajg', 'emang', 'apk', 'try', 'loss', 'mulu', 'cave']</v>
      </c>
      <c r="D2265" s="3">
        <v>1.0</v>
      </c>
    </row>
    <row r="2266" ht="15.75" customHeight="1">
      <c r="A2266" s="1">
        <v>2422.0</v>
      </c>
      <c r="B2266" s="3" t="s">
        <v>2184</v>
      </c>
      <c r="C2266" s="3" t="str">
        <f>IFERROR(__xludf.DUMMYFUNCTION("GOOGLETRANSLATE(B2266,""id"",""en"")"),"['application', 'good', 'please', 'price', 'quota', 'collapse', 'little', 'work', 'hard', 'result', 'different', 'network', ' card ',' SIM ',' Telkomsel ',' Nge ',' lag ',' network ',' please ',' magnitude ',' update ']")</f>
        <v>['application', 'good', 'please', 'price', 'quota', 'collapse', 'little', 'work', 'hard', 'result', 'different', 'network', ' card ',' SIM ',' Telkomsel ',' Nge ',' lag ',' network ',' please ',' magnitude ',' update ']</v>
      </c>
      <c r="D2266" s="3">
        <v>5.0</v>
      </c>
    </row>
    <row r="2267" ht="15.75" customHeight="1">
      <c r="A2267" s="1">
        <v>2423.0</v>
      </c>
      <c r="B2267" s="3" t="s">
        <v>2185</v>
      </c>
      <c r="C2267" s="3" t="str">
        <f>IFERROR(__xludf.DUMMYFUNCTION("GOOGLETRANSLATE(B2267,""id"",""en"")"),"['Bonus', 'Diamond', 'MLLB', 'Kasi', 'Biay']")</f>
        <v>['Bonus', 'Diamond', 'MLLB', 'Kasi', 'Biay']</v>
      </c>
      <c r="D2267" s="3">
        <v>5.0</v>
      </c>
    </row>
    <row r="2268" ht="15.75" customHeight="1">
      <c r="A2268" s="1">
        <v>2424.0</v>
      </c>
      <c r="B2268" s="3" t="s">
        <v>2186</v>
      </c>
      <c r="C2268" s="3" t="str">
        <f>IFERROR(__xludf.DUMMYFUNCTION("GOOGLETRANSLATE(B2268,""id"",""en"")"),"['need help']")</f>
        <v>['need help']</v>
      </c>
      <c r="D2268" s="3">
        <v>5.0</v>
      </c>
    </row>
    <row r="2269" ht="15.75" customHeight="1">
      <c r="A2269" s="1">
        <v>2425.0</v>
      </c>
      <c r="B2269" s="3" t="s">
        <v>2187</v>
      </c>
      <c r="C2269" s="3" t="str">
        <f>IFERROR(__xludf.DUMMYFUNCTION("GOOGLETRANSLATE(B2269,""id"",""en"")"),"['sympathy', 'network', 'leg', 'leg', 'expensive', 'kerugu', 'good', 'sympathy', 'internet', 'garbage', 'expensive', 'number', ' network ',' lose ',' cheap ',' internet ',' sympathy ',' kaga ',' sudi ',' sympathy ',' telkomsel ',' garbage ']")</f>
        <v>['sympathy', 'network', 'leg', 'leg', 'expensive', 'kerugu', 'good', 'sympathy', 'internet', 'garbage', 'expensive', 'number', ' network ',' lose ',' cheap ',' internet ',' sympathy ',' kaga ',' sudi ',' sympathy ',' telkomsel ',' garbage ']</v>
      </c>
      <c r="D2269" s="3">
        <v>1.0</v>
      </c>
    </row>
    <row r="2270" ht="15.75" customHeight="1">
      <c r="A2270" s="1">
        <v>2426.0</v>
      </c>
      <c r="B2270" s="3" t="s">
        <v>2188</v>
      </c>
      <c r="C2270" s="3" t="str">
        <f>IFERROR(__xludf.DUMMYFUNCTION("GOOGLETRANSLATE(B2270,""id"",""en"")"),"['Performance', 'Not bad', 'good']")</f>
        <v>['Performance', 'Not bad', 'good']</v>
      </c>
      <c r="D2270" s="3">
        <v>5.0</v>
      </c>
    </row>
    <row r="2271" ht="15.75" customHeight="1">
      <c r="A2271" s="1">
        <v>2427.0</v>
      </c>
      <c r="B2271" s="3" t="s">
        <v>2189</v>
      </c>
      <c r="C2271" s="3" t="str">
        <f>IFERROR(__xludf.DUMMYFUNCTION("GOOGLETRANSLATE(B2271,""id"",""en"")"),"['card', 'expensive', 'slow', 'signal', 'card', 'used', 'expensive', 'package', 'data', 'please', 'Telkomsel', 'love', ' Customers', 'use', 'cards',' kurah ',' buy ',' data ',' package ']")</f>
        <v>['card', 'expensive', 'slow', 'signal', 'card', 'used', 'expensive', 'package', 'data', 'please', 'Telkomsel', 'love', ' Customers', 'use', 'cards',' kurah ',' buy ',' data ',' package ']</v>
      </c>
      <c r="D2271" s="3">
        <v>1.0</v>
      </c>
    </row>
    <row r="2272" ht="15.75" customHeight="1">
      <c r="A2272" s="1">
        <v>2428.0</v>
      </c>
      <c r="B2272" s="3" t="s">
        <v>2190</v>
      </c>
      <c r="C2272" s="3" t="str">
        <f>IFERROR(__xludf.DUMMYFUNCTION("GOOGLETRANSLATE(B2272,""id"",""en"")"),"['application', 'good', 'makes it easy', 'check', 'status',' pulse ',' promo ',' lottery ',' gift ',' hope ',' win ',' Lottery ',' Application ',' Telkomsel ',' Thanks', 'Min']")</f>
        <v>['application', 'good', 'makes it easy', 'check', 'status',' pulse ',' promo ',' lottery ',' gift ',' hope ',' win ',' Lottery ',' Application ',' Telkomsel ',' Thanks', 'Min']</v>
      </c>
      <c r="D2272" s="3">
        <v>5.0</v>
      </c>
    </row>
    <row r="2273" ht="15.75" customHeight="1">
      <c r="A2273" s="1">
        <v>2429.0</v>
      </c>
      <c r="B2273" s="3" t="s">
        <v>2191</v>
      </c>
      <c r="C2273" s="3" t="str">
        <f>IFERROR(__xludf.DUMMYFUNCTION("GOOGLETRANSLATE(B2273,""id"",""en"")"),"['Telkomsel', 'quota', 'chat', 'MB', 'used', 'please', 'Telkomsel', 'please', 'as big', 'Gituin', ""]")</f>
        <v>['Telkomsel', 'quota', 'chat', 'MB', 'used', 'please', 'Telkomsel', 'please', 'as big', 'Gituin', "]</v>
      </c>
      <c r="D2273" s="3">
        <v>4.0</v>
      </c>
    </row>
    <row r="2274" ht="15.75" customHeight="1">
      <c r="A2274" s="1">
        <v>2430.0</v>
      </c>
      <c r="B2274" s="3" t="s">
        <v>2192</v>
      </c>
      <c r="C2274" s="3" t="str">
        <f>IFERROR(__xludf.DUMMYFUNCTION("GOOGLETRANSLATE(B2274,""id"",""en"")"),"['', 'confused', 'buy', 'package', 'quota', 'dimytelkomsel']")</f>
        <v>['', 'confused', 'buy', 'package', 'quota', 'dimytelkomsel']</v>
      </c>
      <c r="D2274" s="3">
        <v>5.0</v>
      </c>
    </row>
    <row r="2275" ht="15.75" customHeight="1">
      <c r="A2275" s="1">
        <v>2431.0</v>
      </c>
      <c r="B2275" s="3" t="s">
        <v>2193</v>
      </c>
      <c r="C2275" s="3" t="str">
        <f>IFERROR(__xludf.DUMMYFUNCTION("GOOGLETRANSLATE(B2275,""id"",""en"")"),"['Please', 'Signal', 'Telkomsel', 'Reinforced', 'LGI', 'User', 'Telkomsel', 'Sendajur', 'Believe', 'Selayed', 'Customer', 'Telkomsel', ' signal ',' Telkomsel ',' ugly ', ""]")</f>
        <v>['Please', 'Signal', 'Telkomsel', 'Reinforced', 'LGI', 'User', 'Telkomsel', 'Sendajur', 'Believe', 'Selayed', 'Customer', 'Telkomsel', ' signal ',' Telkomsel ',' ugly ', "]</v>
      </c>
      <c r="D2275" s="3">
        <v>1.0</v>
      </c>
    </row>
    <row r="2276" ht="15.75" customHeight="1">
      <c r="A2276" s="1">
        <v>2432.0</v>
      </c>
      <c r="B2276" s="3" t="s">
        <v>2194</v>
      </c>
      <c r="C2276" s="3" t="str">
        <f>IFERROR(__xludf.DUMMYFUNCTION("GOOGLETRANSLATE(B2276,""id"",""en"")"),"['Sometimes', 'signal', 'strong', 'sometimes', 'slow', 'npain', 'cok', 'telkomsel']")</f>
        <v>['Sometimes', 'signal', 'strong', 'sometimes', 'slow', 'npain', 'cok', 'telkomsel']</v>
      </c>
      <c r="D2276" s="3">
        <v>2.0</v>
      </c>
    </row>
    <row r="2277" ht="15.75" customHeight="1">
      <c r="A2277" s="1">
        <v>2433.0</v>
      </c>
      <c r="B2277" s="3" t="s">
        <v>2195</v>
      </c>
      <c r="C2277" s="3" t="str">
        <f>IFERROR(__xludf.DUMMYFUNCTION("GOOGLETRANSLATE(B2277,""id"",""en"")"),"['Please', 'Miss', 'Transaction']")</f>
        <v>['Please', 'Miss', 'Transaction']</v>
      </c>
      <c r="D2277" s="3">
        <v>5.0</v>
      </c>
    </row>
    <row r="2278" ht="15.75" customHeight="1">
      <c r="A2278" s="1">
        <v>2434.0</v>
      </c>
      <c r="B2278" s="3" t="s">
        <v>2196</v>
      </c>
      <c r="C2278" s="3" t="str">
        <f>IFERROR(__xludf.DUMMYFUNCTION("GOOGLETRANSLATE(B2278,""id"",""en"")"),"['open', 'application', 'slow', 'please', 'repair']")</f>
        <v>['open', 'application', 'slow', 'please', 'repair']</v>
      </c>
      <c r="D2278" s="3">
        <v>1.0</v>
      </c>
    </row>
    <row r="2279" ht="15.75" customHeight="1">
      <c r="A2279" s="1">
        <v>2435.0</v>
      </c>
      <c r="B2279" s="3" t="s">
        <v>2197</v>
      </c>
      <c r="C2279" s="3" t="str">
        <f>IFERROR(__xludf.DUMMYFUNCTION("GOOGLETRANSLATE(B2279,""id"",""en"")"),"['brafoo', 'MyTelkomsel', 'Success', 'rivals', 'match', 'Hasilis', 'Doog', 'Joop', ""]")</f>
        <v>['brafoo', 'MyTelkomsel', 'Success', 'rivals', 'match', 'Hasilis', 'Doog', 'Joop', "]</v>
      </c>
      <c r="D2279" s="3">
        <v>5.0</v>
      </c>
    </row>
    <row r="2280" ht="15.75" customHeight="1">
      <c r="A2280" s="1">
        <v>2436.0</v>
      </c>
      <c r="B2280" s="3" t="s">
        <v>2198</v>
      </c>
      <c r="C2280" s="3" t="str">
        <f>IFERROR(__xludf.DUMMYFUNCTION("GOOGLETRANSLATE(B2280,""id"",""en"")"),"['His comments', 'Disappointed', 'Telkomsel', 'Good', 'Very', 'Sousal', 'Strong', 'Unlimited', 'Fast', 'Wonder']")</f>
        <v>['His comments', 'Disappointed', 'Telkomsel', 'Good', 'Very', 'Sousal', 'Strong', 'Unlimited', 'Fast', 'Wonder']</v>
      </c>
      <c r="D2280" s="3">
        <v>5.0</v>
      </c>
    </row>
    <row r="2281" ht="15.75" customHeight="1">
      <c r="A2281" s="1">
        <v>2437.0</v>
      </c>
      <c r="B2281" s="3" t="s">
        <v>2199</v>
      </c>
      <c r="C2281" s="3" t="str">
        <f>IFERROR(__xludf.DUMMYFUNCTION("GOOGLETRANSLATE(B2281,""id"",""en"")"),"['Help', 'free']")</f>
        <v>['Help', 'free']</v>
      </c>
      <c r="D2281" s="3">
        <v>5.0</v>
      </c>
    </row>
    <row r="2282" ht="15.75" customHeight="1">
      <c r="A2282" s="1">
        <v>2438.0</v>
      </c>
      <c r="B2282" s="3" t="s">
        <v>2200</v>
      </c>
      <c r="C2282" s="3" t="str">
        <f>IFERROR(__xludf.DUMMYFUNCTION("GOOGLETRANSLATE(B2282,""id"",""en"")"),"['Love', 'Bintang', 'That Sege', 'Disappointed', 'Price', 'Purchase', 'Quota', 'Expensive', 'Provider', 'Cheap', 'Signal', 'Lost', ' arise ',' worse ',' electricity ',' go out ',' signal ',' missing ',' total ',' provider ',' safe ',' electricity ',' go o"&amp;"ut ',' users', 'Telkomsel' , 'please', 'fix', 'drawback', 'obligation', 'please', 'right', 'user', 'provider', 'maximum', 'thank you, ""]")</f>
        <v>['Love', 'Bintang', 'That Sege', 'Disappointed', 'Price', 'Purchase', 'Quota', 'Expensive', 'Provider', 'Cheap', 'Signal', 'Lost', ' arise ',' worse ',' electricity ',' go out ',' signal ',' missing ',' total ',' provider ',' safe ',' electricity ',' go out ',' users', 'Telkomsel' , 'please', 'fix', 'drawback', 'obligation', 'please', 'right', 'user', 'provider', 'maximum', 'thank you, "]</v>
      </c>
      <c r="D2282" s="3">
        <v>2.0</v>
      </c>
    </row>
    <row r="2283" ht="15.75" customHeight="1">
      <c r="A2283" s="1">
        <v>2439.0</v>
      </c>
      <c r="B2283" s="3" t="s">
        <v>2201</v>
      </c>
      <c r="C2283" s="3" t="str">
        <f>IFERROR(__xludf.DUMMYFUNCTION("GOOGLETRANSLATE(B2283,""id"",""en"")"),"['', 'BSA', 'Bukak']")</f>
        <v>['', 'BSA', 'Bukak']</v>
      </c>
      <c r="D2283" s="3">
        <v>2.0</v>
      </c>
    </row>
    <row r="2284" ht="15.75" customHeight="1">
      <c r="A2284" s="1">
        <v>2440.0</v>
      </c>
      <c r="B2284" s="3" t="s">
        <v>2202</v>
      </c>
      <c r="C2284" s="3" t="str">
        <f>IFERROR(__xludf.DUMMYFUNCTION("GOOGLETRANSLATE(B2284,""id"",""en"")"),"['application', 'Telkomsel', 'ugly', 'contents',' pulse ',' check ',' pulse ',' apk ',' telkomsel ',' exchange ',' point ',' really ',' Quality ',' Telkomsel ',' ugly ']")</f>
        <v>['application', 'Telkomsel', 'ugly', 'contents',' pulse ',' check ',' pulse ',' apk ',' telkomsel ',' exchange ',' point ',' really ',' Quality ',' Telkomsel ',' ugly ']</v>
      </c>
      <c r="D2284" s="3">
        <v>1.0</v>
      </c>
    </row>
    <row r="2285" ht="15.75" customHeight="1">
      <c r="A2285" s="1">
        <v>2441.0</v>
      </c>
      <c r="B2285" s="3" t="s">
        <v>2203</v>
      </c>
      <c r="C2285" s="3" t="str">
        <f>IFERROR(__xludf.DUMMYFUNCTION("GOOGLETRANSLATE(B2285,""id"",""en"")"),"['like', 'application', 'help']")</f>
        <v>['like', 'application', 'help']</v>
      </c>
      <c r="D2285" s="3">
        <v>5.0</v>
      </c>
    </row>
    <row r="2286" ht="15.75" customHeight="1">
      <c r="A2286" s="1">
        <v>2442.0</v>
      </c>
      <c r="B2286" s="3" t="s">
        <v>2204</v>
      </c>
      <c r="C2286" s="3" t="str">
        <f>IFERROR(__xludf.DUMMYFUNCTION("GOOGLETRANSLATE(B2286,""id"",""en"")"),"['Network', 'Benerin', 'WOI']")</f>
        <v>['Network', 'Benerin', 'WOI']</v>
      </c>
      <c r="D2286" s="3">
        <v>1.0</v>
      </c>
    </row>
    <row r="2287" ht="15.75" customHeight="1">
      <c r="A2287" s="1">
        <v>2443.0</v>
      </c>
      <c r="B2287" s="3" t="s">
        <v>2205</v>
      </c>
      <c r="C2287" s="3" t="str">
        <f>IFERROR(__xludf.DUMMYFUNCTION("GOOGLETRANSLATE(B2287,""id"",""en"")"),"['like', 'tsel']")</f>
        <v>['like', 'tsel']</v>
      </c>
      <c r="D2287" s="3">
        <v>5.0</v>
      </c>
    </row>
    <row r="2288" ht="15.75" customHeight="1">
      <c r="A2288" s="1">
        <v>2444.0</v>
      </c>
      <c r="B2288" s="3" t="s">
        <v>2206</v>
      </c>
      <c r="C2288" s="3" t="str">
        <f>IFERROR(__xludf.DUMMYFUNCTION("GOOGLETRANSLATE(B2288,""id"",""en"")"),"['Help', 'Purchase', 'Package']")</f>
        <v>['Help', 'Purchase', 'Package']</v>
      </c>
      <c r="D2288" s="3">
        <v>5.0</v>
      </c>
    </row>
    <row r="2289" ht="15.75" customHeight="1">
      <c r="A2289" s="1">
        <v>2445.0</v>
      </c>
      <c r="B2289" s="3" t="s">
        <v>2207</v>
      </c>
      <c r="C2289" s="3" t="str">
        <f>IFERROR(__xludf.DUMMYFUNCTION("GOOGLETRANSLATE(B2289,""id"",""en"")"),"['Package', 'Data', 'expensive', 'signal', 'kek', 'taii', 'dick "",' regret ',' use ',' Telkomsel ',' dilapidated ',' kontollllllllllll ']")</f>
        <v>['Package', 'Data', 'expensive', 'signal', 'kek', 'taii', 'dick ",' regret ',' use ',' Telkomsel ',' dilapidated ',' kontollllllllllll ']</v>
      </c>
      <c r="D2289" s="3">
        <v>1.0</v>
      </c>
    </row>
    <row r="2290" ht="15.75" customHeight="1">
      <c r="A2290" s="1">
        <v>2446.0</v>
      </c>
      <c r="B2290" s="3" t="s">
        <v>2208</v>
      </c>
      <c r="C2290" s="3" t="str">
        <f>IFERROR(__xludf.DUMMYFUNCTION("GOOGLETRANSLATE(B2290,""id"",""en"")"),"['Life', 'getting', 'prank', 'pain', 'thing', 'Telkomsel', 'Damn', 'quota', 'expensive', 'slow', 'forgiveness',' already ',' bought ',' package ',' hour ',' price ',' tail ',' chicken ',' garbage ',' harmed ',' comment ',' written ',' October ', ""]")</f>
        <v>['Life', 'getting', 'prank', 'pain', 'thing', 'Telkomsel', 'Damn', 'quota', 'expensive', 'slow', 'forgiveness',' already ',' bought ',' package ',' hour ',' price ',' tail ',' chicken ',' garbage ',' harmed ',' comment ',' written ',' October ', "]</v>
      </c>
      <c r="D2290" s="3">
        <v>1.0</v>
      </c>
    </row>
    <row r="2291" ht="15.75" customHeight="1">
      <c r="A2291" s="1">
        <v>2447.0</v>
      </c>
      <c r="B2291" s="3" t="s">
        <v>2209</v>
      </c>
      <c r="C2291" s="3" t="str">
        <f>IFERROR(__xludf.DUMMYFUNCTION("GOOGLETRANSLATE(B2291,""id"",""en"")"),"['ugly', 'signal', 'Busett', 'Kek', 'already', 'suburbs', 'Island', 'Anying']")</f>
        <v>['ugly', 'signal', 'Busett', 'Kek', 'already', 'suburbs', 'Island', 'Anying']</v>
      </c>
      <c r="D2291" s="3">
        <v>2.0</v>
      </c>
    </row>
    <row r="2292" ht="15.75" customHeight="1">
      <c r="A2292" s="1">
        <v>2449.0</v>
      </c>
      <c r="B2292" s="3" t="s">
        <v>2210</v>
      </c>
      <c r="C2292" s="3" t="str">
        <f>IFERROR(__xludf.DUMMYFUNCTION("GOOGLETRANSLATE(B2292,""id"",""en"")"),"['quota', 'sosmed', 'game', 'gimic', 'doang', 'raise', 'price', 'sell', 'package', 'original', 'pulp', 'use', ' ']")</f>
        <v>['quota', 'sosmed', 'game', 'gimic', 'doang', 'raise', 'price', 'sell', 'package', 'original', 'pulp', 'use', ' ']</v>
      </c>
      <c r="D2292" s="3">
        <v>1.0</v>
      </c>
    </row>
    <row r="2293" ht="15.75" customHeight="1">
      <c r="A2293" s="1">
        <v>2450.0</v>
      </c>
      <c r="B2293" s="3" t="s">
        <v>2211</v>
      </c>
      <c r="C2293" s="3" t="str">
        <f>IFERROR(__xludf.DUMMYFUNCTION("GOOGLETRANSLATE(B2293,""id"",""en"")"),"['signal', 'fix', 'tariff', 'expensive', 'signal', 'you', 'kayak', 'taik', ""]")</f>
        <v>['signal', 'fix', 'tariff', 'expensive', 'signal', 'you', 'kayak', 'taik', "]</v>
      </c>
      <c r="D2293" s="3">
        <v>1.0</v>
      </c>
    </row>
    <row r="2294" ht="15.75" customHeight="1">
      <c r="A2294" s="1">
        <v>2451.0</v>
      </c>
      <c r="B2294" s="3" t="s">
        <v>2212</v>
      </c>
      <c r="C2294" s="3" t="str">
        <f>IFERROR(__xludf.DUMMYFUNCTION("GOOGLETRANSLATE(B2294,""id"",""en"")"),"['already', 'put together', 'free', 'telephone', 'operator', 'pulses', 'tetep', 'sumps']")</f>
        <v>['already', 'put together', 'free', 'telephone', 'operator', 'pulses', 'tetep', 'sumps']</v>
      </c>
      <c r="D2294" s="3">
        <v>1.0</v>
      </c>
    </row>
    <row r="2295" ht="15.75" customHeight="1">
      <c r="A2295" s="1">
        <v>2452.0</v>
      </c>
      <c r="B2295" s="3" t="s">
        <v>2213</v>
      </c>
      <c r="C2295" s="3" t="str">
        <f>IFERROR(__xludf.DUMMYFUNCTION("GOOGLETRANSLATE(B2295,""id"",""en"")"),"['', 'LOL', 'Ngellag', 'Beg', 'Ngapsih', 'That's', 'Ngelag', 'Najis', 'Beg', 'LOL', 'Brain']")</f>
        <v>['', 'LOL', 'Ngellag', 'Beg', 'Ngapsih', 'That's', 'Ngelag', 'Najis', 'Beg', 'LOL', 'Brain']</v>
      </c>
      <c r="D2295" s="3">
        <v>1.0</v>
      </c>
    </row>
    <row r="2296" ht="15.75" customHeight="1">
      <c r="A2296" s="1">
        <v>2453.0</v>
      </c>
      <c r="B2296" s="3" t="s">
        <v>2214</v>
      </c>
      <c r="C2296" s="3" t="str">
        <f>IFERROR(__xludf.DUMMYFUNCTION("GOOGLETRANSLATE(B2296,""id"",""en"")"),"['signal', 'bad', 'in the area', 'comparable', 'price', 'package', 'data', 'offered', 'severe', ""]")</f>
        <v>['signal', 'bad', 'in the area', 'comparable', 'price', 'package', 'data', 'offered', 'severe', "]</v>
      </c>
      <c r="D2296" s="3">
        <v>1.0</v>
      </c>
    </row>
    <row r="2297" ht="15.75" customHeight="1">
      <c r="A2297" s="1">
        <v>2454.0</v>
      </c>
      <c r="B2297" s="3" t="s">
        <v>2215</v>
      </c>
      <c r="C2297" s="3" t="str">
        <f>IFERROR(__xludf.DUMMYFUNCTION("GOOGLETRANSLATE(B2297,""id"",""en"")"),"['signal', 'sudden', 'difficult', 'open', 'application', 'sissahnya', 'forgiveness', 'please', 'fix', 'good', 'disturbed']")</f>
        <v>['signal', 'sudden', 'difficult', 'open', 'application', 'sissahnya', 'forgiveness', 'please', 'fix', 'good', 'disturbed']</v>
      </c>
      <c r="D2297" s="3">
        <v>1.0</v>
      </c>
    </row>
    <row r="2298" ht="15.75" customHeight="1">
      <c r="A2298" s="1">
        <v>2455.0</v>
      </c>
      <c r="B2298" s="3" t="s">
        <v>2216</v>
      </c>
      <c r="C2298" s="3" t="str">
        <f>IFERROR(__xludf.DUMMYFUNCTION("GOOGLETRANSLATE(B2298,""id"",""en"")"),"['', 'Mantap', 'Trusted']")</f>
        <v>['', 'Mantap', 'Trusted']</v>
      </c>
      <c r="D2298" s="3">
        <v>5.0</v>
      </c>
    </row>
    <row r="2299" ht="15.75" customHeight="1">
      <c r="A2299" s="1">
        <v>2456.0</v>
      </c>
      <c r="B2299" s="3" t="s">
        <v>2217</v>
      </c>
      <c r="C2299" s="3" t="str">
        <f>IFERROR(__xludf.DUMMYFUNCTION("GOOGLETRANSLATE(B2299,""id"",""en"")"),"['Mimin', 'sorry', 'responsibility', 'cheats']")</f>
        <v>['Mimin', 'sorry', 'responsibility', 'cheats']</v>
      </c>
      <c r="D2299" s="3">
        <v>1.0</v>
      </c>
    </row>
    <row r="2300" ht="15.75" customHeight="1">
      <c r="A2300" s="1">
        <v>2457.0</v>
      </c>
      <c r="B2300" s="3" t="s">
        <v>2218</v>
      </c>
      <c r="C2300" s="3" t="str">
        <f>IFERROR(__xludf.DUMMYFUNCTION("GOOGLETRANSLATE(B2300,""id"",""en"")"),"['Mentang', 'oprtaor', 'service', 'signal', 'enek', ""]")</f>
        <v>['Mentang', 'oprtaor', 'service', 'signal', 'enek', "]</v>
      </c>
      <c r="D2300" s="3">
        <v>1.0</v>
      </c>
    </row>
    <row r="2301" ht="15.75" customHeight="1">
      <c r="A2301" s="1">
        <v>2458.0</v>
      </c>
      <c r="B2301" s="3" t="s">
        <v>2219</v>
      </c>
      <c r="C2301" s="3" t="str">
        <f>IFERROR(__xludf.DUMMYFUNCTION("GOOGLETRANSLATE(B2301,""id"",""en"")"),"['palm', 'gontain', 'replace', 'tetep', 'card', 'prime', 'telkomsel', 'replace', 'emang', 'telkomsel', 'complicated', 'friend', ' Believe ',' Try ',' Change ',' Tetep ',' Use ',' Telkomsel ']")</f>
        <v>['palm', 'gontain', 'replace', 'tetep', 'card', 'prime', 'telkomsel', 'replace', 'emang', 'telkomsel', 'complicated', 'friend', ' Believe ',' Try ',' Change ',' Tetep ',' Use ',' Telkomsel ']</v>
      </c>
      <c r="D2301" s="3">
        <v>5.0</v>
      </c>
    </row>
    <row r="2302" ht="15.75" customHeight="1">
      <c r="A2302" s="1">
        <v>2459.0</v>
      </c>
      <c r="B2302" s="3" t="s">
        <v>2220</v>
      </c>
      <c r="C2302" s="3" t="str">
        <f>IFERROR(__xludf.DUMMYFUNCTION("GOOGLETRANSLATE(B2302,""id"",""en"")"),"['satisfying', 'Telkomsel', '']")</f>
        <v>['satisfying', 'Telkomsel', '']</v>
      </c>
      <c r="D2302" s="3">
        <v>5.0</v>
      </c>
    </row>
    <row r="2303" ht="15.75" customHeight="1">
      <c r="A2303" s="1">
        <v>2460.0</v>
      </c>
      <c r="B2303" s="3" t="s">
        <v>2221</v>
      </c>
      <c r="C2303" s="3" t="str">
        <f>IFERROR(__xludf.DUMMYFUNCTION("GOOGLETRANSLATE(B2303,""id"",""en"")"),"['unlimited', 'YouTube', 'replace', 'zoom', 'replace', 'zoom', 'back', 'youtube', 'school', 'looked', 'face', 'skrg', ' Zoom ',' ']")</f>
        <v>['unlimited', 'YouTube', 'replace', 'zoom', 'replace', 'zoom', 'back', 'youtube', 'school', 'looked', 'face', 'skrg', ' Zoom ',' ']</v>
      </c>
      <c r="D2303" s="3">
        <v>1.0</v>
      </c>
    </row>
    <row r="2304" ht="15.75" customHeight="1">
      <c r="A2304" s="1">
        <v>2461.0</v>
      </c>
      <c r="B2304" s="3" t="s">
        <v>2222</v>
      </c>
      <c r="C2304" s="3" t="str">
        <f>IFERROR(__xludf.DUMMYFUNCTION("GOOGLETRANSLATE(B2304,""id"",""en"")"),"['Satisfied', 'Telkomsel']")</f>
        <v>['Satisfied', 'Telkomsel']</v>
      </c>
      <c r="D2304" s="3">
        <v>5.0</v>
      </c>
    </row>
    <row r="2305" ht="15.75" customHeight="1">
      <c r="A2305" s="1">
        <v>2463.0</v>
      </c>
      <c r="B2305" s="3" t="s">
        <v>2223</v>
      </c>
      <c r="C2305" s="3" t="str">
        <f>IFERROR(__xludf.DUMMYFUNCTION("GOOGLETRANSLATE(B2305,""id"",""en"")"),"['', 'Telkomsel', 'help', ""]")</f>
        <v>['', 'Telkomsel', 'help', "]</v>
      </c>
      <c r="D2305" s="3">
        <v>5.0</v>
      </c>
    </row>
    <row r="2306" ht="15.75" customHeight="1">
      <c r="A2306" s="1">
        <v>2464.0</v>
      </c>
      <c r="B2306" s="3" t="s">
        <v>2224</v>
      </c>
      <c r="C2306" s="3" t="str">
        <f>IFERROR(__xludf.DUMMYFUNCTION("GOOGLETRANSLATE(B2306,""id"",""en"")"),"['Please', 'Signal', 'Telkomsel', 'Mangkang', 'City', 'Semarang', 'Enhanced', 'Lost', 'Indos', ""]")</f>
        <v>['Please', 'Signal', 'Telkomsel', 'Mangkang', 'City', 'Semarang', 'Enhanced', 'Lost', 'Indos', "]</v>
      </c>
      <c r="D2306" s="3">
        <v>3.0</v>
      </c>
    </row>
    <row r="2307" ht="15.75" customHeight="1">
      <c r="A2307" s="1">
        <v>2465.0</v>
      </c>
      <c r="B2307" s="3" t="s">
        <v>2225</v>
      </c>
      <c r="C2307" s="3" t="str">
        <f>IFERROR(__xludf.DUMMYFUNCTION("GOOGLETRANSLATE(B2307,""id"",""en"")"),"['APK', 'Bagsss']")</f>
        <v>['APK', 'Bagsss']</v>
      </c>
      <c r="D2307" s="3">
        <v>5.0</v>
      </c>
    </row>
    <row r="2308" ht="15.75" customHeight="1">
      <c r="A2308" s="1">
        <v>2466.0</v>
      </c>
      <c r="B2308" s="3" t="s">
        <v>2226</v>
      </c>
      <c r="C2308" s="3" t="str">
        <f>IFERROR(__xludf.DUMMYFUNCTION("GOOGLETRANSLATE(B2308,""id"",""en"")"),"['Try', 'Good']")</f>
        <v>['Try', 'Good']</v>
      </c>
      <c r="D2308" s="3">
        <v>3.0</v>
      </c>
    </row>
    <row r="2309" ht="15.75" customHeight="1">
      <c r="A2309" s="1">
        <v>2467.0</v>
      </c>
      <c r="B2309" s="3" t="s">
        <v>2227</v>
      </c>
      <c r="C2309" s="3" t="str">
        <f>IFERROR(__xludf.DUMMYFUNCTION("GOOGLETRANSLATE(B2309,""id"",""en"")"),"['Please', 'fix', 'network', 'internet']")</f>
        <v>['Please', 'fix', 'network', 'internet']</v>
      </c>
      <c r="D2309" s="3">
        <v>2.0</v>
      </c>
    </row>
    <row r="2310" ht="15.75" customHeight="1">
      <c r="A2310" s="1">
        <v>2468.0</v>
      </c>
      <c r="B2310" s="3" t="s">
        <v>2228</v>
      </c>
      <c r="C2310" s="3" t="str">
        <f>IFERROR(__xludf.DUMMYFUNCTION("GOOGLETRANSLATE(B2310,""id"",""en"")"),"['Thank you', 'blessing', 'Telkomsel', 'easy', 'buy', 'package', 'etc.', 'Anyway', 'happy', 'useful']")</f>
        <v>['Thank you', 'blessing', 'Telkomsel', 'easy', 'buy', 'package', 'etc.', 'Anyway', 'happy', 'useful']</v>
      </c>
      <c r="D2310" s="3">
        <v>5.0</v>
      </c>
    </row>
    <row r="2311" ht="15.75" customHeight="1">
      <c r="A2311" s="1">
        <v>2469.0</v>
      </c>
      <c r="B2311" s="3" t="s">
        <v>2229</v>
      </c>
      <c r="C2311" s="3" t="str">
        <f>IFERROR(__xludf.DUMMYFUNCTION("GOOGLETRANSLATE(B2311,""id"",""en"")"),"['', 'Telkomsel', 'easy', 'understood', 'developed', 'thank', 'love', ""]")</f>
        <v>['', 'Telkomsel', 'easy', 'understood', 'developed', 'thank', 'love', "]</v>
      </c>
      <c r="D2311" s="3">
        <v>4.0</v>
      </c>
    </row>
    <row r="2312" ht="15.75" customHeight="1">
      <c r="A2312" s="1">
        <v>2470.0</v>
      </c>
      <c r="B2312" s="3" t="s">
        <v>2230</v>
      </c>
      <c r="C2312" s="3" t="str">
        <f>IFERROR(__xludf.DUMMYFUNCTION("GOOGLETRANSLATE(B2312,""id"",""en"")"),"['', 'contact', 'Wear', 'Telkomsel', 'signal', 'Good', 'Where']")</f>
        <v>['', 'contact', 'Wear', 'Telkomsel', 'signal', 'Good', 'Where']</v>
      </c>
      <c r="D2312" s="3">
        <v>5.0</v>
      </c>
    </row>
    <row r="2313" ht="15.75" customHeight="1">
      <c r="A2313" s="1">
        <v>2471.0</v>
      </c>
      <c r="B2313" s="3" t="s">
        <v>2231</v>
      </c>
      <c r="C2313" s="3" t="str">
        <f>IFERROR(__xludf.DUMMYFUNCTION("GOOGLETRANSLATE(B2313,""id"",""en"")"),"['', 'Worst', 'Provider', 'Indonesia', 'Network', 'Karuan', 'Internet', 'Lemot', 'Lost', 'Price', 'Expensive', 'Quality', 'Equivalent ',' PTOvider ',' medium ',' ']")</f>
        <v>['', 'Worst', 'Provider', 'Indonesia', 'Network', 'Karuan', 'Internet', 'Lemot', 'Lost', 'Price', 'Expensive', 'Quality', 'Equivalent ',' PTOvider ',' medium ',' ']</v>
      </c>
      <c r="D2313" s="3">
        <v>1.0</v>
      </c>
    </row>
    <row r="2314" ht="15.75" customHeight="1">
      <c r="A2314" s="1">
        <v>2472.0</v>
      </c>
      <c r="B2314" s="3" t="s">
        <v>2232</v>
      </c>
      <c r="C2314" s="3" t="str">
        <f>IFERROR(__xludf.DUMMYFUNCTION("GOOGLETRANSLATE(B2314,""id"",""en"")"),"['lucky', 'really', 'application', 'MyTelkomsel', 'promo', '']")</f>
        <v>['lucky', 'really', 'application', 'MyTelkomsel', 'promo', '']</v>
      </c>
      <c r="D2314" s="3">
        <v>5.0</v>
      </c>
    </row>
    <row r="2315" ht="15.75" customHeight="1">
      <c r="A2315" s="1">
        <v>2473.0</v>
      </c>
      <c r="B2315" s="3" t="s">
        <v>2233</v>
      </c>
      <c r="C2315" s="3" t="str">
        <f>IFERROR(__xludf.DUMMYFUNCTION("GOOGLETRANSLATE(B2315,""id"",""en"")"),"['Cost', 'your internet', 'expensive', 'provider', 'please', 'fix', 'the network', '']")</f>
        <v>['Cost', 'your internet', 'expensive', 'provider', 'please', 'fix', 'the network', '']</v>
      </c>
      <c r="D2315" s="3">
        <v>2.0</v>
      </c>
    </row>
    <row r="2316" ht="15.75" customHeight="1">
      <c r="A2316" s="1">
        <v>2475.0</v>
      </c>
      <c r="B2316" s="3" t="s">
        <v>2234</v>
      </c>
      <c r="C2316" s="3" t="str">
        <f>IFERROR(__xludf.DUMMYFUNCTION("GOOGLETRANSLATE(B2316,""id"",""en"")"),"['Satisfied', 'Disappointed', 'Mecca', 'Contact', 'Kel', 'Indonesia', 'Mehong', 'Thn', 'Lemot', 'Unt', 'Jkt', 'Ancol', ' Ngak ',' max ',' lose ',' application ',' shame ',' org ',' crew ']")</f>
        <v>['Satisfied', 'Disappointed', 'Mecca', 'Contact', 'Kel', 'Indonesia', 'Mehong', 'Thn', 'Lemot', 'Unt', 'Jkt', 'Ancol', ' Ngak ',' max ',' lose ',' application ',' shame ',' org ',' crew ']</v>
      </c>
      <c r="D2316" s="3">
        <v>5.0</v>
      </c>
    </row>
    <row r="2317" ht="15.75" customHeight="1">
      <c r="A2317" s="1">
        <v>2476.0</v>
      </c>
      <c r="B2317" s="3" t="s">
        <v>2235</v>
      </c>
      <c r="C2317" s="3" t="str">
        <f>IFERROR(__xludf.DUMMYFUNCTION("GOOGLETRANSLATE(B2317,""id"",""en"")"),"['Please', 'Sorry', 'complaining', 'Karna', 'Telkomsel', 'Error', 'signal', 'influential', 'work', 'Driver', 'Online']")</f>
        <v>['Please', 'Sorry', 'complaining', 'Karna', 'Telkomsel', 'Error', 'signal', 'influential', 'work', 'Driver', 'Online']</v>
      </c>
      <c r="D2317" s="3">
        <v>4.0</v>
      </c>
    </row>
    <row r="2318" ht="15.75" customHeight="1">
      <c r="A2318" s="1">
        <v>2477.0</v>
      </c>
      <c r="B2318" s="3" t="s">
        <v>2236</v>
      </c>
      <c r="C2318" s="3" t="str">
        <f>IFERROR(__xludf.DUMMYFUNCTION("GOOGLETRANSLATE(B2318,""id"",""en"")"),"['The network', 'Please', 'repaired', 'Serimaksih', ""]")</f>
        <v>['The network', 'Please', 'repaired', 'Serimaksih', "]</v>
      </c>
      <c r="D2318" s="3">
        <v>4.0</v>
      </c>
    </row>
    <row r="2319" ht="15.75" customHeight="1">
      <c r="A2319" s="1">
        <v>2478.0</v>
      </c>
      <c r="B2319" s="3" t="s">
        <v>2237</v>
      </c>
      <c r="C2319" s="3" t="str">
        <f>IFERROR(__xludf.DUMMYFUNCTION("GOOGLETRANSLATE(B2319,""id"",""en"")"),"['Toloong', 'Min', 'The network', 'Benerin', 'Cape', 'Rich', 'Gini', 'Leg', 'Mulu', 'Main', 'Game', 'Please', ' Min ',' as soon as possible ',' Benerin ',' dontooooooooooool ']")</f>
        <v>['Toloong', 'Min', 'The network', 'Benerin', 'Cape', 'Rich', 'Gini', 'Leg', 'Mulu', 'Main', 'Game', 'Please', ' Min ',' as soon as possible ',' Benerin ',' dontooooooooooool ']</v>
      </c>
      <c r="D2319" s="3">
        <v>1.0</v>
      </c>
    </row>
    <row r="2320" ht="15.75" customHeight="1">
      <c r="A2320" s="1">
        <v>2479.0</v>
      </c>
      <c r="B2320" s="3" t="s">
        <v>2238</v>
      </c>
      <c r="C2320" s="3" t="str">
        <f>IFERROR(__xludf.DUMMYFUNCTION("GOOGLETRANSLATE(B2320,""id"",""en"")"),"['The name', 'play', 'sometimes',' yellow ',' and then ',' price ',' expensive ',' luck ',' already ',' Indosat ',' Bye ',' Telkomsel ',' Goodbye', '']")</f>
        <v>['The name', 'play', 'sometimes',' yellow ',' and then ',' price ',' expensive ',' luck ',' already ',' Indosat ',' Bye ',' Telkomsel ',' Goodbye', '']</v>
      </c>
      <c r="D2320" s="3">
        <v>2.0</v>
      </c>
    </row>
    <row r="2321" ht="15.75" customHeight="1">
      <c r="A2321" s="1">
        <v>2480.0</v>
      </c>
      <c r="B2321" s="3" t="s">
        <v>2239</v>
      </c>
      <c r="C2321" s="3" t="str">
        <f>IFERROR(__xludf.DUMMYFUNCTION("GOOGLETRANSLATE(B2321,""id"",""en"")"),"['Help', 'really', ""]")</f>
        <v>['Help', 'really', "]</v>
      </c>
      <c r="D2321" s="3">
        <v>5.0</v>
      </c>
    </row>
    <row r="2322" ht="15.75" customHeight="1">
      <c r="A2322" s="1">
        <v>2481.0</v>
      </c>
      <c r="B2322" s="3" t="s">
        <v>2240</v>
      </c>
      <c r="C2322" s="3" t="str">
        <f>IFERROR(__xludf.DUMMYFUNCTION("GOOGLETRANSLATE(B2322,""id"",""en"")"),"['See', 'comment', 'friend', 'Remember', 'Cut', 'Credit', 'Pay', 'Credit', 'Emergency', 'Borrow', 'Deliberate', 'Kekeke', ' Honestly ',' no ',' reward ',' friend ',' think ',' ']")</f>
        <v>['See', 'comment', 'friend', 'Remember', 'Cut', 'Credit', 'Pay', 'Credit', 'Emergency', 'Borrow', 'Deliberate', 'Kekeke', ' Honestly ',' no ',' reward ',' friend ',' think ',' ']</v>
      </c>
      <c r="D2322" s="3">
        <v>2.0</v>
      </c>
    </row>
    <row r="2323" ht="15.75" customHeight="1">
      <c r="A2323" s="1">
        <v>2482.0</v>
      </c>
      <c r="B2323" s="3" t="s">
        <v>2241</v>
      </c>
      <c r="C2323" s="3" t="str">
        <f>IFERROR(__xludf.DUMMYFUNCTION("GOOGLETRANSLATE(B2323,""id"",""en"")"),"['Min', 'Kayak', 'Network', 'Telkomsel', 'Disappointed', '']")</f>
        <v>['Min', 'Kayak', 'Network', 'Telkomsel', 'Disappointed', '']</v>
      </c>
      <c r="D2323" s="3">
        <v>1.0</v>
      </c>
    </row>
    <row r="2324" ht="15.75" customHeight="1">
      <c r="A2324" s="1">
        <v>2483.0</v>
      </c>
      <c r="B2324" s="3" t="s">
        <v>2242</v>
      </c>
      <c r="C2324" s="3" t="str">
        <f>IFERROR(__xludf.DUMMYFUNCTION("GOOGLETRANSLATE(B2324,""id"",""en"")"),"['Telkomsel', 'TTP', 'Heart', ""]")</f>
        <v>['Telkomsel', 'TTP', 'Heart', "]</v>
      </c>
      <c r="D2324" s="3">
        <v>5.0</v>
      </c>
    </row>
    <row r="2325" ht="15.75" customHeight="1">
      <c r="A2325" s="1">
        <v>2484.0</v>
      </c>
      <c r="B2325" s="3" t="s">
        <v>2243</v>
      </c>
      <c r="C2325" s="3" t="str">
        <f>IFERROR(__xludf.DUMMYFUNCTION("GOOGLETRANSLATE(B2325,""id"",""en"")"),"['Network', 'Good', 'all', 'Kondiai']")</f>
        <v>['Network', 'Good', 'all', 'Kondiai']</v>
      </c>
      <c r="D2325" s="3">
        <v>5.0</v>
      </c>
    </row>
    <row r="2326" ht="15.75" customHeight="1">
      <c r="A2326" s="1">
        <v>2485.0</v>
      </c>
      <c r="B2326" s="3" t="s">
        <v>2244</v>
      </c>
      <c r="C2326" s="3" t="str">
        <f>IFERROR(__xludf.DUMMYFUNCTION("GOOGLETRANSLATE(B2326,""id"",""en"")"),"['Thank you', 'Help']")</f>
        <v>['Thank you', 'Help']</v>
      </c>
      <c r="D2326" s="3">
        <v>5.0</v>
      </c>
    </row>
    <row r="2327" ht="15.75" customHeight="1">
      <c r="A2327" s="1">
        <v>2486.0</v>
      </c>
      <c r="B2327" s="3" t="s">
        <v>2245</v>
      </c>
      <c r="C2327" s="3" t="str">
        <f>IFERROR(__xludf.DUMMYFUNCTION("GOOGLETRANSLATE(B2327,""id"",""en"")"),"['The network', 'slow', 'expensive', 'quota', '']")</f>
        <v>['The network', 'slow', 'expensive', 'quota', '']</v>
      </c>
      <c r="D2327" s="3">
        <v>1.0</v>
      </c>
    </row>
    <row r="2328" ht="15.75" customHeight="1">
      <c r="A2328" s="1">
        <v>2488.0</v>
      </c>
      <c r="B2328" s="3" t="s">
        <v>2246</v>
      </c>
      <c r="C2328" s="3" t="str">
        <f>IFERROR(__xludf.DUMMYFUNCTION("GOOGLETRANSLATE(B2328,""id"",""en"")"),"['signal', 'full', 'its network', 'kek', 'Dajjal', 'expensive', 'doang', 'quality', 'signal', 'kek', ""]")</f>
        <v>['signal', 'full', 'its network', 'kek', 'Dajjal', 'expensive', 'doang', 'quality', 'signal', 'kek', "]</v>
      </c>
      <c r="D2328" s="3">
        <v>1.0</v>
      </c>
    </row>
    <row r="2329" ht="15.75" customHeight="1">
      <c r="A2329" s="1">
        <v>2489.0</v>
      </c>
      <c r="B2329" s="3" t="s">
        <v>2247</v>
      </c>
      <c r="C2329" s="3" t="str">
        <f>IFERROR(__xludf.DUMMYFUNCTION("GOOGLETRANSLATE(B2329,""id"",""en"")"),"['error', 'continued', 'class', 'Telkomsel', 'the application', 'error', 'difficult', 'opened', 'understand', ""]")</f>
        <v>['error', 'continued', 'class', 'Telkomsel', 'the application', 'error', 'difficult', 'opened', 'understand', "]</v>
      </c>
      <c r="D2329" s="3">
        <v>1.0</v>
      </c>
    </row>
    <row r="2330" ht="15.75" customHeight="1">
      <c r="A2330" s="1">
        <v>2490.0</v>
      </c>
      <c r="B2330" s="3" t="s">
        <v>2248</v>
      </c>
      <c r="C2330" s="3" t="str">
        <f>IFERROR(__xludf.DUMMYFUNCTION("GOOGLETRANSLATE(B2330,""id"",""en"")"),"['Steady', 'Anyway', 'promo']")</f>
        <v>['Steady', 'Anyway', 'promo']</v>
      </c>
      <c r="D2330" s="3">
        <v>5.0</v>
      </c>
    </row>
    <row r="2331" ht="15.75" customHeight="1">
      <c r="A2331" s="1">
        <v>2491.0</v>
      </c>
      <c r="B2331" s="3" t="s">
        <v>2249</v>
      </c>
      <c r="C2331" s="3" t="str">
        <f>IFERROR(__xludf.DUMMYFUNCTION("GOOGLETRANSLATE(B2331,""id"",""en"")"),"['strange', 'shortcut', 'appears', 'cellphone', 'open', 'Appkasi', 'Open', 'Playstore']")</f>
        <v>['strange', 'shortcut', 'appears', 'cellphone', 'open', 'Appkasi', 'Open', 'Playstore']</v>
      </c>
      <c r="D2331" s="3">
        <v>5.0</v>
      </c>
    </row>
    <row r="2332" ht="15.75" customHeight="1">
      <c r="A2332" s="1">
        <v>2493.0</v>
      </c>
      <c r="B2332" s="3" t="s">
        <v>2250</v>
      </c>
      <c r="C2332" s="3" t="str">
        <f>IFERROR(__xludf.DUMMYFUNCTION("GOOGLETRANSLATE(B2332,""id"",""en"")"),"['Telkomsel', 'declined', 'Kualisnya', 'signal', 'sakabat', 'lose', 'next door', 'next door', 'Telkomsel', 'famous',' at least ',' quality ',' Kojadi ',' please ',' fix ',' ']")</f>
        <v>['Telkomsel', 'declined', 'Kualisnya', 'signal', 'sakabat', 'lose', 'next door', 'next door', 'Telkomsel', 'famous',' at least ',' quality ',' Kojadi ',' please ',' fix ',' ']</v>
      </c>
      <c r="D2332" s="3">
        <v>1.0</v>
      </c>
    </row>
    <row r="2333" ht="15.75" customHeight="1">
      <c r="A2333" s="1">
        <v>2494.0</v>
      </c>
      <c r="B2333" s="3" t="s">
        <v>2251</v>
      </c>
      <c r="C2333" s="3" t="str">
        <f>IFERROR(__xludf.DUMMYFUNCTION("GOOGLETRANSLATE(B2333,""id"",""en"")"),"['What's',' Meaning ',' Paketan ',' Multimedia ',' Dipake ',' Loading ',' Mulu ',' Buffering ',' Mulu ',' Paketan ',' GB ',' A month ',' CMN ',' Gibs', 'GB', 'Doank', 'because', 'Leet', 'Time', 'Signal', 'Game', 'Disappointed', 'Anyway', 'Annual' , 'Cave'"&amp;", 'Hold', 'Hold', 'Tetep', 'Change', 'Lolll']")</f>
        <v>['What's',' Meaning ',' Paketan ',' Multimedia ',' Dipake ',' Loading ',' Mulu ',' Buffering ',' Mulu ',' Paketan ',' GB ',' A month ',' CMN ',' Gibs', 'GB', 'Doank', 'because', 'Leet', 'Time', 'Signal', 'Game', 'Disappointed', 'Anyway', 'Annual' , 'Cave', 'Hold', 'Hold', 'Tetep', 'Change', 'Lolll']</v>
      </c>
      <c r="D2333" s="3">
        <v>1.0</v>
      </c>
    </row>
    <row r="2334" ht="15.75" customHeight="1">
      <c r="A2334" s="1">
        <v>2495.0</v>
      </c>
      <c r="B2334" s="3" t="s">
        <v>2252</v>
      </c>
      <c r="C2334" s="3" t="str">
        <f>IFERROR(__xludf.DUMMYFUNCTION("GOOGLETRANSLATE(B2334,""id"",""en"")"),"['Jngn', 'like', 'sucked', 'pulse', 'bangse']")</f>
        <v>['Jngn', 'like', 'sucked', 'pulse', 'bangse']</v>
      </c>
      <c r="D2334" s="3">
        <v>2.0</v>
      </c>
    </row>
    <row r="2335" ht="15.75" customHeight="1">
      <c r="A2335" s="1">
        <v>2496.0</v>
      </c>
      <c r="B2335" s="3" t="s">
        <v>2253</v>
      </c>
      <c r="C2335" s="3" t="str">
        <f>IFERROR(__xludf.DUMMYFUNCTION("GOOGLETRANSLATE(B2335,""id"",""en"")"),"['Network', 'number', 'Indonesia', 'Ngelag', 'Play', 'Store', 'Get', 'Rating', 'Oath', 'Strange', 'Bangat']")</f>
        <v>['Network', 'number', 'Indonesia', 'Ngelag', 'Play', 'Store', 'Get', 'Rating', 'Oath', 'Strange', 'Bangat']</v>
      </c>
      <c r="D2335" s="3">
        <v>1.0</v>
      </c>
    </row>
    <row r="2336" ht="15.75" customHeight="1">
      <c r="A2336" s="1">
        <v>2497.0</v>
      </c>
      <c r="B2336" s="3" t="s">
        <v>2254</v>
      </c>
      <c r="C2336" s="3" t="str">
        <f>IFERROR(__xludf.DUMMYFUNCTION("GOOGLETRANSLATE(B2336,""id"",""en"")"),"['AHIR', 'AHIR', 'Telkomsel', 'Good', 'please', 'Telkomsel', 'Attention', 'Customer', 'Price', 'Financing', 'Not bad', 'Please', ' best']")</f>
        <v>['AHIR', 'AHIR', 'Telkomsel', 'Good', 'please', 'Telkomsel', 'Attention', 'Customer', 'Price', 'Financing', 'Not bad', 'Please', ' best']</v>
      </c>
      <c r="D2336" s="3">
        <v>1.0</v>
      </c>
    </row>
    <row r="2337" ht="15.75" customHeight="1">
      <c r="A2337" s="1">
        <v>2498.0</v>
      </c>
      <c r="B2337" s="3" t="s">
        <v>2255</v>
      </c>
      <c r="C2337" s="3" t="str">
        <f>IFERROR(__xludf.DUMMYFUNCTION("GOOGLETRANSLATE(B2337,""id"",""en"")"),"['Help', 'Purchase', 'Package', 'Recommendation', 'Very']")</f>
        <v>['Help', 'Purchase', 'Package', 'Recommendation', 'Very']</v>
      </c>
      <c r="D2337" s="3">
        <v>5.0</v>
      </c>
    </row>
    <row r="2338" ht="15.75" customHeight="1">
      <c r="A2338" s="1">
        <v>2499.0</v>
      </c>
      <c r="B2338" s="3" t="s">
        <v>2256</v>
      </c>
      <c r="C2338" s="3" t="str">
        <f>IFERROR(__xludf.DUMMYFUNCTION("GOOGLETRANSLATE(B2338,""id"",""en"")"),"['Increase', 'Quality', 'Sousal']")</f>
        <v>['Increase', 'Quality', 'Sousal']</v>
      </c>
      <c r="D2338" s="3">
        <v>3.0</v>
      </c>
    </row>
    <row r="2339" ht="15.75" customHeight="1">
      <c r="A2339" s="1">
        <v>2500.0</v>
      </c>
      <c r="B2339" s="3" t="s">
        <v>2257</v>
      </c>
      <c r="C2339" s="3" t="str">
        <f>IFERROR(__xludf.DUMMYFUNCTION("GOOGLETRANSLATE(B2339,""id"",""en"")"),"['Lally', 'promo']")</f>
        <v>['Lally', 'promo']</v>
      </c>
      <c r="D2339" s="3">
        <v>5.0</v>
      </c>
    </row>
    <row r="2340" ht="15.75" customHeight="1">
      <c r="A2340" s="1">
        <v>2502.0</v>
      </c>
      <c r="B2340" s="3" t="s">
        <v>2258</v>
      </c>
      <c r="C2340" s="3" t="str">
        <f>IFERROR(__xludf.DUMMYFUNCTION("GOOGLETRANSLATE(B2340,""id"",""en"")"),"['weve', 'package', 'internet', 'cheap', 'net', 'ugly', 'you', 'sell', 'Telkomsel', 'worsen', 'ideal', 'Ngk', ' embarrassed ',' it's', 'slow', 'rich', 'gini', 'shy', 'in']")</f>
        <v>['weve', 'package', 'internet', 'cheap', 'net', 'ugly', 'you', 'sell', 'Telkomsel', 'worsen', 'ideal', 'Ngk', ' embarrassed ',' it's', 'slow', 'rich', 'gini', 'shy', 'in']</v>
      </c>
      <c r="D2340" s="3">
        <v>1.0</v>
      </c>
    </row>
    <row r="2341" ht="15.75" customHeight="1">
      <c r="A2341" s="1">
        <v>2503.0</v>
      </c>
      <c r="B2341" s="3" t="s">
        <v>2259</v>
      </c>
      <c r="C2341" s="3" t="str">
        <f>IFERROR(__xludf.DUMMYFUNCTION("GOOGLETRANSLATE(B2341,""id"",""en"")"),"['kings',' king ',' lemoooooooot ',' cateeeeet ',' in place ',' cook ',' lose ',' tri ',' smart ',' fren ',' sukka ',' thief ',' Credit ',' Data ',' Out ',' Forgot ',' Matiin ',' Credit ',' Sembat ',' Fox ',' Sestem ',' Disight ',' NGK ',' Rich ',' That's"&amp;"' , 'NGK', 'repaired', 'his web', 'BLI', 'Data', 'Mubazir', 'Mbuang', 'Money', 'internet', 'rich', 'NGK', 'quota', ' BLI ',' Night ',' Data ',' MB ',' NGK ',' Out ',' NGK ',' Road ',' Mubazir ',' Machine ',' Telkom ',' already ',' Rongsok ' , 'Change', 'j"&amp;"ust', 'crew', 'sell', 'data', 'expensive', 'NGK', 'match', 'qualitasny']")</f>
        <v>['kings',' king ',' lemoooooooot ',' cateeeeet ',' in place ',' cook ',' lose ',' tri ',' smart ',' fren ',' sukka ',' thief ',' Credit ',' Data ',' Out ',' Forgot ',' Matiin ',' Credit ',' Sembat ',' Fox ',' Sestem ',' Disight ',' NGK ',' Rich ',' That's' , 'NGK', 'repaired', 'his web', 'BLI', 'Data', 'Mubazir', 'Mbuang', 'Money', 'internet', 'rich', 'NGK', 'quota', ' BLI ',' Night ',' Data ',' MB ',' NGK ',' Out ',' NGK ',' Road ',' Mubazir ',' Machine ',' Telkom ',' already ',' Rongsok ' , 'Change', 'just', 'crew', 'sell', 'data', 'expensive', 'NGK', 'match', 'qualitasny']</v>
      </c>
      <c r="D2341" s="3">
        <v>1.0</v>
      </c>
    </row>
    <row r="2342" ht="15.75" customHeight="1">
      <c r="A2342" s="1">
        <v>2504.0</v>
      </c>
      <c r="B2342" s="3" t="s">
        <v>2260</v>
      </c>
      <c r="C2342" s="3" t="str">
        <f>IFERROR(__xludf.DUMMYFUNCTION("GOOGLETRANSLATE(B2342,""id"",""en"")"),"['package', 'fill in', 'belom', 'a week', 'slow', 'really', 'disappointed', 'deh', 'padal', 'uda', 'use', 'tsel', ' times', 'Ngecewain', 'really']")</f>
        <v>['package', 'fill in', 'belom', 'a week', 'slow', 'really', 'disappointed', 'deh', 'padal', 'uda', 'use', 'tsel', ' times', 'Ngecewain', 'really']</v>
      </c>
      <c r="D2342" s="3">
        <v>1.0</v>
      </c>
    </row>
    <row r="2343" ht="15.75" customHeight="1">
      <c r="A2343" s="1">
        <v>2505.0</v>
      </c>
      <c r="B2343" s="3" t="s">
        <v>2261</v>
      </c>
      <c r="C2343" s="3" t="str">
        <f>IFERROR(__xludf.DUMMYFUNCTION("GOOGLETRANSLATE(B2343,""id"",""en"")"),"['Sis',' admin ',' please ',' convey ',' company ',' Telkomsel ',' closed ',' the network ',' repaired ',' UDH ',' week ',' slow ',' signal ',' Disappointed ',' User ',' Telkomsel ',' UDH ',' Times', 'Disappointed', 'Times', ""]")</f>
        <v>['Sis',' admin ',' please ',' convey ',' company ',' Telkomsel ',' closed ',' the network ',' repaired ',' UDH ',' week ',' slow ',' signal ',' Disappointed ',' User ',' Telkomsel ',' UDH ',' Times', 'Disappointed', 'Times', "]</v>
      </c>
      <c r="D2343" s="3">
        <v>1.0</v>
      </c>
    </row>
    <row r="2344" ht="15.75" customHeight="1">
      <c r="A2344" s="1">
        <v>2506.0</v>
      </c>
      <c r="B2344" s="3" t="s">
        <v>2262</v>
      </c>
      <c r="C2344" s="3" t="str">
        <f>IFERROR(__xludf.DUMMYFUNCTION("GOOGLETRANSLATE(B2344,""id"",""en"")"),"['already', 'expensive', 'network', 'BERIK', 'really', 'reason', 'Males',' fill in ',' quota ',' Telkomsel ',' Total ',' slow ',' ']")</f>
        <v>['already', 'expensive', 'network', 'BERIK', 'really', 'reason', 'Males',' fill in ',' quota ',' Telkomsel ',' Total ',' slow ',' ']</v>
      </c>
      <c r="D2344" s="3">
        <v>1.0</v>
      </c>
    </row>
    <row r="2345" ht="15.75" customHeight="1">
      <c r="A2345" s="1">
        <v>2507.0</v>
      </c>
      <c r="B2345" s="3" t="s">
        <v>2263</v>
      </c>
      <c r="C2345" s="3" t="str">
        <f>IFERROR(__xludf.DUMMYFUNCTION("GOOGLETRANSLATE(B2345,""id"",""en"")"),"['Thank you', 'Telkomsel', 'Application', 'Help']")</f>
        <v>['Thank you', 'Telkomsel', 'Application', 'Help']</v>
      </c>
      <c r="D2345" s="3">
        <v>5.0</v>
      </c>
    </row>
    <row r="2346" ht="15.75" customHeight="1">
      <c r="A2346" s="1">
        <v>2508.0</v>
      </c>
      <c r="B2346" s="3" t="s">
        <v>2264</v>
      </c>
      <c r="C2346" s="3" t="str">
        <f>IFERROR(__xludf.DUMMYFUNCTION("GOOGLETRANSLATE(B2346,""id"",""en"")"),"['buy', 'number', 'beautiful', 'expensive', 'bonus',' friend ',' friend ',' fair ',' person ',' success', 'honesty', ' Look ',' service ',' sympathy ',' fair ',' decline ',' reting ',' downhill ',' ']")</f>
        <v>['buy', 'number', 'beautiful', 'expensive', 'bonus',' friend ',' friend ',' fair ',' person ',' success', 'honesty', ' Look ',' service ',' sympathy ',' fair ',' decline ',' reting ',' downhill ',' ']</v>
      </c>
      <c r="D2346" s="3">
        <v>1.0</v>
      </c>
    </row>
    <row r="2347" ht="15.75" customHeight="1">
      <c r="A2347" s="1">
        <v>2509.0</v>
      </c>
      <c r="B2347" s="3" t="s">
        <v>2265</v>
      </c>
      <c r="C2347" s="3" t="str">
        <f>IFERROR(__xludf.DUMMYFUNCTION("GOOGLETRANSLATE(B2347,""id"",""en"")"),"['Clarity', 'Information']")</f>
        <v>['Clarity', 'Information']</v>
      </c>
      <c r="D2347" s="3">
        <v>4.0</v>
      </c>
    </row>
    <row r="2348" ht="15.75" customHeight="1">
      <c r="A2348" s="1">
        <v>2510.0</v>
      </c>
      <c r="B2348" s="3" t="s">
        <v>2266</v>
      </c>
      <c r="C2348" s="3" t="str">
        <f>IFERROR(__xludf.DUMMYFUNCTION("GOOGLETRANSLATE(B2348,""id"",""en"")"),"['good', 'just', 'sometimes', 'difficult', 'entry', 'error', 'network', 'weak']")</f>
        <v>['good', 'just', 'sometimes', 'difficult', 'entry', 'error', 'network', 'weak']</v>
      </c>
      <c r="D2348" s="3">
        <v>4.0</v>
      </c>
    </row>
    <row r="2349" ht="15.75" customHeight="1">
      <c r="A2349" s="1">
        <v>2511.0</v>
      </c>
      <c r="B2349" s="3" t="s">
        <v>2267</v>
      </c>
      <c r="C2349" s="3" t="str">
        <f>IFERROR(__xludf.DUMMYFUNCTION("GOOGLETRANSLATE(B2349,""id"",""en"")"),"['Lumbling', 'package', 'difficult', 'told', 'Wait', 'Minute', 'Remove', 'APK', 'Telkomsel', 'exchange', 'Points',' Hard ',' Sis', 'Please', 'Fix', '']")</f>
        <v>['Lumbling', 'package', 'difficult', 'told', 'Wait', 'Minute', 'Remove', 'APK', 'Telkomsel', 'exchange', 'Points',' Hard ',' Sis', 'Please', 'Fix', '']</v>
      </c>
      <c r="D2349" s="3">
        <v>1.0</v>
      </c>
    </row>
    <row r="2350" ht="15.75" customHeight="1">
      <c r="A2350" s="1">
        <v>2512.0</v>
      </c>
      <c r="B2350" s="3" t="s">
        <v>2268</v>
      </c>
      <c r="C2350" s="3" t="str">
        <f>IFERROR(__xludf.DUMMYFUNCTION("GOOGLETRANSLATE(B2350,""id"",""en"")"),"['The network', 'SKR', 'ugly', 'super', 'slow']")</f>
        <v>['The network', 'SKR', 'ugly', 'super', 'slow']</v>
      </c>
      <c r="D2350" s="3">
        <v>3.0</v>
      </c>
    </row>
    <row r="2351" ht="15.75" customHeight="1">
      <c r="A2351" s="1">
        <v>2513.0</v>
      </c>
      <c r="B2351" s="3" t="s">
        <v>2269</v>
      </c>
      <c r="C2351" s="3" t="str">
        <f>IFERROR(__xludf.DUMMYFUNCTION("GOOGLETRANSLATE(B2351,""id"",""en"")"),"['Telkomsel', 'Competitive', 'Operator', 'Network', 'Lost', 'Embossed', 'Fun', 'Lost', 'Signal', 'Date', 'ugly', 'No', ' Check ',' Check ',' Points', 'Pay', 'Severe', 'Telkomsel', 'Friends',' Mending ',' Use ',' Operator ',' Axis', 'Bonus',' Sunday ' , 'N"&amp;"etwork', 'Super', 'Boost', 'Tipu', 'kagak', 'operator', 'Telkomsel', 'ugly', 'operator']")</f>
        <v>['Telkomsel', 'Competitive', 'Operator', 'Network', 'Lost', 'Embossed', 'Fun', 'Lost', 'Signal', 'Date', 'ugly', 'No', ' Check ',' Check ',' Points', 'Pay', 'Severe', 'Telkomsel', 'Friends',' Mending ',' Use ',' Operator ',' Axis', 'Bonus',' Sunday ' , 'Network', 'Super', 'Boost', 'Tipu', 'kagak', 'operator', 'Telkomsel', 'ugly', 'operator']</v>
      </c>
      <c r="D2351" s="3">
        <v>1.0</v>
      </c>
    </row>
    <row r="2352" ht="15.75" customHeight="1">
      <c r="A2352" s="1">
        <v>2514.0</v>
      </c>
      <c r="B2352" s="3" t="s">
        <v>2270</v>
      </c>
      <c r="C2352" s="3" t="str">
        <f>IFERROR(__xludf.DUMMYFUNCTION("GOOGLETRANSLATE(B2352,""id"",""en"")"),"['MyTelkomsel', 'package', 'may', 'expensive', 'then', 'package', 'udh', 'buy', 'buy', 'unistal', 'mytelkpmsel', 'please', ' Fix ',' Donk ',' ']")</f>
        <v>['MyTelkomsel', 'package', 'may', 'expensive', 'then', 'package', 'udh', 'buy', 'buy', 'unistal', 'mytelkpmsel', 'please', ' Fix ',' Donk ',' ']</v>
      </c>
      <c r="D2352" s="3">
        <v>1.0</v>
      </c>
    </row>
    <row r="2353" ht="15.75" customHeight="1">
      <c r="A2353" s="1">
        <v>2515.0</v>
      </c>
      <c r="B2353" s="3" t="s">
        <v>2271</v>
      </c>
      <c r="C2353" s="3" t="str">
        <f>IFERROR(__xludf.DUMMYFUNCTION("GOOGLETRANSLATE(B2353,""id"",""en"")"),"['Points', 'exchanged', 'exchanged', 'pulse', 'toddd', '']")</f>
        <v>['Points', 'exchanged', 'exchanged', 'pulse', 'toddd', '']</v>
      </c>
      <c r="D2353" s="3">
        <v>1.0</v>
      </c>
    </row>
    <row r="2354" ht="15.75" customHeight="1">
      <c r="A2354" s="1">
        <v>2516.0</v>
      </c>
      <c r="B2354" s="3" t="s">
        <v>2272</v>
      </c>
      <c r="C2354" s="3" t="str">
        <f>IFERROR(__xludf.DUMMYFUNCTION("GOOGLETRANSLATE(B2354,""id"",""en"")"),"['user', 'card', 'Hello', 'disappointed', 'service', 'signal', 'Telkomsel', 'regret', 'choose', 'card', 'Hello', 'repeated', ' times', 'reports',' repairs', 'blah', 'blah', 'blah', 'professional', 'comparable', 'billing', 'pay', 'fall', 'tempo', 'direct' "&amp;", 'Worn', 'pay', 'If', 'service', 'maximum', 'reality', 'Sangaaaa', 'disappointing', 'as a result', 'mngggu', 'work', 'bsa', ' Connect ',' Internet ']")</f>
        <v>['user', 'card', 'Hello', 'disappointed', 'service', 'signal', 'Telkomsel', 'regret', 'choose', 'card', 'Hello', 'repeated', ' times', 'reports',' repairs', 'blah', 'blah', 'blah', 'professional', 'comparable', 'billing', 'pay', 'fall', 'tempo', 'direct' , 'Worn', 'pay', 'If', 'service', 'maximum', 'reality', 'Sangaaaa', 'disappointing', 'as a result', 'mngggu', 'work', 'bsa', ' Connect ',' Internet ']</v>
      </c>
      <c r="D2354" s="3">
        <v>1.0</v>
      </c>
    </row>
    <row r="2355" ht="15.75" customHeight="1">
      <c r="A2355" s="1">
        <v>2517.0</v>
      </c>
      <c r="B2355" s="3" t="s">
        <v>2273</v>
      </c>
      <c r="C2355" s="3" t="str">
        <f>IFERROR(__xludf.DUMMYFUNCTION("GOOGLETRANSLATE(B2355,""id"",""en"")"),"['Telkomsel', 'Gini', 'Maen', 'Game', 'Training', 'Current', 'Turn', 'Maen', 'Rank', 'Lemot']")</f>
        <v>['Telkomsel', 'Gini', 'Maen', 'Game', 'Training', 'Current', 'Turn', 'Maen', 'Rank', 'Lemot']</v>
      </c>
      <c r="D2355" s="3">
        <v>1.0</v>
      </c>
    </row>
    <row r="2356" ht="15.75" customHeight="1">
      <c r="A2356" s="1">
        <v>2518.0</v>
      </c>
      <c r="B2356" s="3" t="s">
        <v>2274</v>
      </c>
      <c r="C2356" s="3" t="str">
        <f>IFERROR(__xludf.DUMMYFUNCTION("GOOGLETRANSLATE(B2356,""id"",""en"")"),"['network', 'Telkomsel', 'bad', 'internet', 'please', 'fix', 'network', 'internet']")</f>
        <v>['network', 'Telkomsel', 'bad', 'internet', 'please', 'fix', 'network', 'internet']</v>
      </c>
      <c r="D2356" s="3">
        <v>2.0</v>
      </c>
    </row>
    <row r="2357" ht="15.75" customHeight="1">
      <c r="A2357" s="1">
        <v>2519.0</v>
      </c>
      <c r="B2357" s="3" t="s">
        <v>2275</v>
      </c>
      <c r="C2357" s="3" t="str">
        <f>IFERROR(__xludf.DUMMYFUNCTION("GOOGLETRANSLATE(B2357,""id"",""en"")"),"['Telkomsel', 'Kontollll', 'Ngellag', 'taekkk']")</f>
        <v>['Telkomsel', 'Kontollll', 'Ngellag', 'taekkk']</v>
      </c>
      <c r="D2357" s="3">
        <v>1.0</v>
      </c>
    </row>
    <row r="2358" ht="15.75" customHeight="1">
      <c r="A2358" s="1">
        <v>2520.0</v>
      </c>
      <c r="B2358" s="3" t="s">
        <v>2276</v>
      </c>
      <c r="C2358" s="3" t="str">
        <f>IFERROR(__xludf.DUMMYFUNCTION("GOOGLETRANSLATE(B2358,""id"",""en"")"),"['Please', 'updated', 'used', 'Android', '']")</f>
        <v>['Please', 'updated', 'used', 'Android', '']</v>
      </c>
      <c r="D2358" s="3">
        <v>3.0</v>
      </c>
    </row>
    <row r="2359" ht="15.75" customHeight="1">
      <c r="A2359" s="1">
        <v>2521.0</v>
      </c>
      <c r="B2359" s="3" t="s">
        <v>2277</v>
      </c>
      <c r="C2359" s="3" t="str">
        <f>IFERROR(__xludf.DUMMYFUNCTION("GOOGLETRANSLATE(B2359,""id"",""en"")"),"['Honest', 'love', 'star', 'Monday', 'Tuesday', 'Internet', 'Telkomsel', 'surfing', 'Need', 'Network', 'Telkomsel', 'data', ' network ',' decreases ',' rapid ',' troublesome ',' work ',' please ',' admin ',' Telkomsel ',' read ',' please ',' as soon as po"&amp;"ssible, 'repaired', ""]")</f>
        <v>['Honest', 'love', 'star', 'Monday', 'Tuesday', 'Internet', 'Telkomsel', 'surfing', 'Need', 'Network', 'Telkomsel', 'data', ' network ',' decreases ',' rapid ',' troublesome ',' work ',' please ',' admin ',' Telkomsel ',' read ',' please ',' as soon as possible, 'repaired', "]</v>
      </c>
      <c r="D2359" s="3">
        <v>1.0</v>
      </c>
    </row>
    <row r="2360" ht="15.75" customHeight="1">
      <c r="A2360" s="1">
        <v>2522.0</v>
      </c>
      <c r="B2360" s="3" t="s">
        <v>2278</v>
      </c>
      <c r="C2360" s="3" t="str">
        <f>IFERROR(__xludf.DUMMYFUNCTION("GOOGLETRANSLATE(B2360,""id"",""en"")"),"['woi', 'pulse', 'lose', 'asw', 'kontl']")</f>
        <v>['woi', 'pulse', 'lose', 'asw', 'kontl']</v>
      </c>
      <c r="D2360" s="3">
        <v>1.0</v>
      </c>
    </row>
    <row r="2361" ht="15.75" customHeight="1">
      <c r="A2361" s="1">
        <v>2523.0</v>
      </c>
      <c r="B2361" s="3" t="s">
        <v>2279</v>
      </c>
      <c r="C2361" s="3" t="str">
        <f>IFERROR(__xludf.DUMMYFUNCTION("GOOGLETRANSLATE(B2361,""id"",""en"")"),"['Package', 'Peace', '']")</f>
        <v>['Package', 'Peace', '']</v>
      </c>
      <c r="D2361" s="3">
        <v>1.0</v>
      </c>
    </row>
    <row r="2362" ht="15.75" customHeight="1">
      <c r="A2362" s="1">
        <v>2524.0</v>
      </c>
      <c r="B2362" s="3" t="s">
        <v>2280</v>
      </c>
      <c r="C2362" s="3" t="str">
        <f>IFERROR(__xludf.DUMMYFUNCTION("GOOGLETRANSLATE(B2362,""id"",""en"")"),"['Sasngat', 'Help', 'Perfect']")</f>
        <v>['Sasngat', 'Help', 'Perfect']</v>
      </c>
      <c r="D2362" s="3">
        <v>5.0</v>
      </c>
    </row>
    <row r="2363" ht="15.75" customHeight="1">
      <c r="A2363" s="1">
        <v>2525.0</v>
      </c>
      <c r="B2363" s="3" t="s">
        <v>2281</v>
      </c>
      <c r="C2363" s="3" t="str">
        <f>IFERROR(__xludf.DUMMYFUNCTION("GOOGLETRANSLATE(B2363,""id"",""en"")"),"['Love', 'already', 'good', 'love']")</f>
        <v>['Love', 'already', 'good', 'love']</v>
      </c>
      <c r="D2363" s="3">
        <v>3.0</v>
      </c>
    </row>
    <row r="2364" ht="15.75" customHeight="1">
      <c r="A2364" s="1">
        <v>2526.0</v>
      </c>
      <c r="B2364" s="3" t="s">
        <v>2282</v>
      </c>
      <c r="C2364" s="3" t="str">
        <f>IFERROR(__xludf.DUMMYFUNCTION("GOOGLETRANSLATE(B2364,""id"",""en"")"),"['Class',' BUMN ',' Rates', 'Tel', 'Expensive', 'Package', 'Data', 'Expensive', 'Naturally', 'Network', 'Special', 'belongs',' Country ',' subsidized ',' state ',' after ',' in ',' tetep ',' expensive ',' then ',' function ',' point ',' blass', 'BUMN', 's"&amp;"trange' ]")</f>
        <v>['Class',' BUMN ',' Rates', 'Tel', 'Expensive', 'Package', 'Data', 'Expensive', 'Naturally', 'Network', 'Special', 'belongs',' Country ',' subsidized ',' state ',' after ',' in ',' tetep ',' expensive ',' then ',' function ',' point ',' blass', 'BUMN', 'strange' ]</v>
      </c>
      <c r="D2364" s="3">
        <v>1.0</v>
      </c>
    </row>
    <row r="2365" ht="15.75" customHeight="1">
      <c r="A2365" s="1">
        <v>2527.0</v>
      </c>
      <c r="B2365" s="3" t="s">
        <v>2283</v>
      </c>
      <c r="C2365" s="3" t="str">
        <f>IFERROR(__xludf.DUMMYFUNCTION("GOOGLETRANSLATE(B2365,""id"",""en"")"),"['Cool', 'fast', 'network']")</f>
        <v>['Cool', 'fast', 'network']</v>
      </c>
      <c r="D2365" s="3">
        <v>4.0</v>
      </c>
    </row>
    <row r="2366" ht="15.75" customHeight="1">
      <c r="A2366" s="1">
        <v>2528.0</v>
      </c>
      <c r="B2366" s="3" t="s">
        <v>2284</v>
      </c>
      <c r="C2366" s="3" t="str">
        <f>IFERROR(__xludf.DUMMYFUNCTION("GOOGLETRANSLATE(B2366,""id"",""en"")"),"['easy', 'process', 'purchase', 'package', 'data']")</f>
        <v>['easy', 'process', 'purchase', 'package', 'data']</v>
      </c>
      <c r="D2366" s="3">
        <v>5.0</v>
      </c>
    </row>
    <row r="2367" ht="15.75" customHeight="1">
      <c r="A2367" s="1">
        <v>2529.0</v>
      </c>
      <c r="B2367" s="3" t="s">
        <v>2285</v>
      </c>
      <c r="C2367" s="3" t="str">
        <f>IFERROR(__xludf.DUMMYFUNCTION("GOOGLETRANSLATE(B2367,""id"",""en"")"),"['application', 'bad', 'ugly', 'basic', 'Telkomsel', 'bad', 'signal', 'fix', 'annoyed', 'play', 'base', 'application', ' Bad ',' disappointing ',' use ',' card ',' sleep ',' signal ',' bad ',' lost ',' use ', ""]")</f>
        <v>['application', 'bad', 'ugly', 'basic', 'Telkomsel', 'bad', 'signal', 'fix', 'annoyed', 'play', 'base', 'application', ' Bad ',' disappointing ',' use ',' card ',' sleep ',' signal ',' bad ',' lost ',' use ', "]</v>
      </c>
      <c r="D2367" s="3">
        <v>1.0</v>
      </c>
    </row>
    <row r="2368" ht="15.75" customHeight="1">
      <c r="A2368" s="1">
        <v>2530.0</v>
      </c>
      <c r="B2368" s="3" t="s">
        <v>2286</v>
      </c>
      <c r="C2368" s="3" t="str">
        <f>IFERROR(__xludf.DUMMYFUNCTION("GOOGLETRANSLATE(B2368,""id"",""en"")"),"['Install', 'Application', 'Telkomsel', '']")</f>
        <v>['Install', 'Application', 'Telkomsel', '']</v>
      </c>
      <c r="D2368" s="3">
        <v>1.0</v>
      </c>
    </row>
    <row r="2369" ht="15.75" customHeight="1">
      <c r="A2369" s="1">
        <v>2531.0</v>
      </c>
      <c r="B2369" s="3" t="s">
        <v>2287</v>
      </c>
      <c r="C2369" s="3" t="str">
        <f>IFERROR(__xludf.DUMMYFUNCTION("GOOGLETRANSLATE(B2369,""id"",""en"")"),"['', 'really', 'app', 'like', '']")</f>
        <v>['', 'really', 'app', 'like', '']</v>
      </c>
      <c r="D2369" s="3">
        <v>5.0</v>
      </c>
    </row>
    <row r="2370" ht="15.75" customHeight="1">
      <c r="A2370" s="1">
        <v>2532.0</v>
      </c>
      <c r="B2370" s="3" t="s">
        <v>2288</v>
      </c>
      <c r="C2370" s="3" t="str">
        <f>IFERROR(__xludf.DUMMYFUNCTION("GOOGLETRANSLATE(B2370,""id"",""en"")"),"['network', 'UDH', 'price', 'expensive', 'network', 'access', 'anything', ""]")</f>
        <v>['network', 'UDH', 'price', 'expensive', 'network', 'access', 'anything', "]</v>
      </c>
      <c r="D2370" s="3">
        <v>1.0</v>
      </c>
    </row>
    <row r="2371" ht="15.75" customHeight="1">
      <c r="A2371" s="1">
        <v>2533.0</v>
      </c>
      <c r="B2371" s="3" t="s">
        <v>2289</v>
      </c>
      <c r="C2371" s="3" t="str">
        <f>IFERROR(__xludf.DUMMYFUNCTION("GOOGLETRANSLATE(B2371,""id"",""en"")"),"['Cheap', 'package']")</f>
        <v>['Cheap', 'package']</v>
      </c>
      <c r="D2371" s="3">
        <v>5.0</v>
      </c>
    </row>
    <row r="2372" ht="15.75" customHeight="1">
      <c r="A2372" s="1">
        <v>2534.0</v>
      </c>
      <c r="B2372" s="3" t="s">
        <v>2290</v>
      </c>
      <c r="C2372" s="3" t="str">
        <f>IFERROR(__xludf.DUMMYFUNCTION("GOOGLETRANSLATE(B2372,""id"",""en"")"),"['Application', 'open', 'enter', 'page', 'main']")</f>
        <v>['Application', 'open', 'enter', 'page', 'main']</v>
      </c>
      <c r="D2372" s="3">
        <v>1.0</v>
      </c>
    </row>
    <row r="2373" ht="15.75" customHeight="1">
      <c r="A2373" s="1">
        <v>2536.0</v>
      </c>
      <c r="B2373" s="3" t="s">
        <v>2291</v>
      </c>
      <c r="C2373" s="3" t="str">
        <f>IFERROR(__xludf.DUMMYFUNCTION("GOOGLETRANSLATE(B2373,""id"",""en"")"),"['The name', 'ugly', 'buy', 'expensive', 'expensive', 'network', 'ugly', 'uda', 'buy', 'Telkomsel']")</f>
        <v>['The name', 'ugly', 'buy', 'expensive', 'expensive', 'network', 'ugly', 'uda', 'buy', 'Telkomsel']</v>
      </c>
      <c r="D2373" s="3">
        <v>1.0</v>
      </c>
    </row>
    <row r="2374" ht="15.75" customHeight="1">
      <c r="A2374" s="1">
        <v>2537.0</v>
      </c>
      <c r="B2374" s="3" t="s">
        <v>2292</v>
      </c>
      <c r="C2374" s="3" t="str">
        <f>IFERROR(__xludf.DUMMYFUNCTION("GOOGLETRANSLATE(B2374,""id"",""en"")"),"['Help', 'recommended', 'bangetttt']")</f>
        <v>['Help', 'recommended', 'bangetttt']</v>
      </c>
      <c r="D2374" s="3">
        <v>5.0</v>
      </c>
    </row>
    <row r="2375" ht="15.75" customHeight="1">
      <c r="A2375" s="1">
        <v>2539.0</v>
      </c>
      <c r="B2375" s="3" t="s">
        <v>2293</v>
      </c>
      <c r="C2375" s="3" t="str">
        <f>IFERROR(__xludf.DUMMYFUNCTION("GOOGLETRANSLATE(B2375,""id"",""en"")"),"['parahhh', 'oath', 'skrng', 'open', 'Telkomsel', 'ihhh', 'sihhhh']")</f>
        <v>['parahhh', 'oath', 'skrng', 'open', 'Telkomsel', 'ihhh', 'sihhhh']</v>
      </c>
      <c r="D2375" s="3">
        <v>5.0</v>
      </c>
    </row>
    <row r="2376" ht="15.75" customHeight="1">
      <c r="A2376" s="1">
        <v>2540.0</v>
      </c>
      <c r="B2376" s="3" t="s">
        <v>2294</v>
      </c>
      <c r="C2376" s="3" t="str">
        <f>IFERROR(__xludf.DUMMYFUNCTION("GOOGLETRANSLATE(B2376,""id"",""en"")"),"['Trying', 'Minsal', 'satisfying', 'star']")</f>
        <v>['Trying', 'Minsal', 'satisfying', 'star']</v>
      </c>
      <c r="D2376" s="3">
        <v>3.0</v>
      </c>
    </row>
    <row r="2377" ht="15.75" customHeight="1">
      <c r="A2377" s="1">
        <v>2541.0</v>
      </c>
      <c r="B2377" s="3" t="s">
        <v>2295</v>
      </c>
      <c r="C2377" s="3" t="str">
        <f>IFERROR(__xludf.DUMMYFUNCTION("GOOGLETRANSLATE(B2377,""id"",""en"")"),"['Telkomsel', 'Network', 'Sumatra', 'West', 'please', 'fix', 'strange', 'network', 'rain', 'direct', 'ilang', 'network', ' Internet ',' package ',' expensive ']")</f>
        <v>['Telkomsel', 'Network', 'Sumatra', 'West', 'please', 'fix', 'strange', 'network', 'rain', 'direct', 'ilang', 'network', ' Internet ',' package ',' expensive ']</v>
      </c>
      <c r="D2377" s="3">
        <v>1.0</v>
      </c>
    </row>
    <row r="2378" ht="15.75" customHeight="1">
      <c r="A2378" s="1">
        <v>2542.0</v>
      </c>
      <c r="B2378" s="3" t="s">
        <v>2296</v>
      </c>
      <c r="C2378" s="3" t="str">
        <f>IFERROR(__xludf.DUMMYFUNCTION("GOOGLETRANSLATE(B2378,""id"",""en"")"),"['fast', 'respond']")</f>
        <v>['fast', 'respond']</v>
      </c>
      <c r="D2378" s="3">
        <v>4.0</v>
      </c>
    </row>
    <row r="2379" ht="15.75" customHeight="1">
      <c r="A2379" s="1">
        <v>2543.0</v>
      </c>
      <c r="B2379" s="3" t="s">
        <v>2297</v>
      </c>
      <c r="C2379" s="3" t="str">
        <f>IFERROR(__xludf.DUMMYFUNCTION("GOOGLETRANSLATE(B2379,""id"",""en"")"),"['My APK', 'Good']")</f>
        <v>['My APK', 'Good']</v>
      </c>
      <c r="D2379" s="3">
        <v>5.0</v>
      </c>
    </row>
    <row r="2380" ht="15.75" customHeight="1">
      <c r="A2380" s="1">
        <v>2544.0</v>
      </c>
      <c r="B2380" s="3" t="s">
        <v>2298</v>
      </c>
      <c r="C2380" s="3" t="str">
        <f>IFERROR(__xludf.DUMMYFUNCTION("GOOGLETRANSLATE(B2380,""id"",""en"")"),"['hopefully barokah']")</f>
        <v>['hopefully barokah']</v>
      </c>
      <c r="D2380" s="3">
        <v>5.0</v>
      </c>
    </row>
    <row r="2381" ht="15.75" customHeight="1">
      <c r="A2381" s="1">
        <v>2545.0</v>
      </c>
      <c r="B2381" s="3" t="s">
        <v>2299</v>
      </c>
      <c r="C2381" s="3" t="str">
        <f>IFERROR(__xludf.DUMMYFUNCTION("GOOGLETRANSLATE(B2381,""id"",""en"")"),"['Application', 'Help']")</f>
        <v>['Application', 'Help']</v>
      </c>
      <c r="D2381" s="3">
        <v>4.0</v>
      </c>
    </row>
    <row r="2382" ht="15.75" customHeight="1">
      <c r="A2382" s="1">
        <v>2546.0</v>
      </c>
      <c r="B2382" s="3" t="s">
        <v>2300</v>
      </c>
      <c r="C2382" s="3" t="str">
        <f>IFERROR(__xludf.DUMMYFUNCTION("GOOGLETRANSLATE(B2382,""id"",""en"")"),"['fun', 'check', 'pulse', 'quota']")</f>
        <v>['fun', 'check', 'pulse', 'quota']</v>
      </c>
      <c r="D2382" s="3">
        <v>5.0</v>
      </c>
    </row>
    <row r="2383" ht="15.75" customHeight="1">
      <c r="A2383" s="1">
        <v>2547.0</v>
      </c>
      <c r="B2383" s="3" t="s">
        <v>2301</v>
      </c>
      <c r="C2383" s="3" t="str">
        <f>IFERROR(__xludf.DUMMYFUNCTION("GOOGLETRANSLATE(B2383,""id"",""en"")"),"['Telkomsel', 'Bener', 'uda', 'week', 'card', 'Hello', 'signal', 'in the area', 'tebet', 'manggarai', 'pay', 'package', ' expensive ',' signal ',' kayak ',' because ',' post ',' pay ',' uda ',' replace ',' card ',' ']")</f>
        <v>['Telkomsel', 'Bener', 'uda', 'week', 'card', 'Hello', 'signal', 'in the area', 'tebet', 'manggarai', 'pay', 'package', ' expensive ',' signal ',' kayak ',' because ',' post ',' pay ',' uda ',' replace ',' card ',' ']</v>
      </c>
      <c r="D2383" s="3">
        <v>1.0</v>
      </c>
    </row>
    <row r="2384" ht="15.75" customHeight="1">
      <c r="A2384" s="1">
        <v>2548.0</v>
      </c>
      <c r="B2384" s="3" t="s">
        <v>2302</v>
      </c>
      <c r="C2384" s="3" t="str">
        <f>IFERROR(__xludf.DUMMYFUNCTION("GOOGLETRANSLATE(B2384,""id"",""en"")"),"['pulse', 'run out', 'leftover', 'leftover', 'pulse', 'loss']")</f>
        <v>['pulse', 'run out', 'leftover', 'leftover', 'pulse', 'loss']</v>
      </c>
      <c r="D2384" s="3">
        <v>2.0</v>
      </c>
    </row>
    <row r="2385" ht="15.75" customHeight="1">
      <c r="A2385" s="1">
        <v>2549.0</v>
      </c>
      <c r="B2385" s="3" t="s">
        <v>2303</v>
      </c>
      <c r="C2385" s="3" t="str">
        <f>IFERROR(__xludf.DUMMYFUNCTION("GOOGLETRANSLATE(B2385,""id"",""en"")"),"['Good', 'really', 'choice', 'package']")</f>
        <v>['Good', 'really', 'choice', 'package']</v>
      </c>
      <c r="D2385" s="3">
        <v>5.0</v>
      </c>
    </row>
    <row r="2386" ht="15.75" customHeight="1">
      <c r="A2386" s="1">
        <v>2550.0</v>
      </c>
      <c r="B2386" s="3" t="s">
        <v>2304</v>
      </c>
      <c r="C2386" s="3" t="str">
        <f>IFERROR(__xludf.DUMMYFUNCTION("GOOGLETRANSLATE(B2386,""id"",""en"")"),"['hope', 'Telkomsel', 'advanced', 'heart', 'hope', 'win', 'lottery', 'coin']")</f>
        <v>['hope', 'Telkomsel', 'advanced', 'heart', 'hope', 'win', 'lottery', 'coin']</v>
      </c>
      <c r="D2386" s="3">
        <v>5.0</v>
      </c>
    </row>
    <row r="2387" ht="15.75" customHeight="1">
      <c r="A2387" s="1">
        <v>2551.0</v>
      </c>
      <c r="B2387" s="3" t="s">
        <v>2305</v>
      </c>
      <c r="C2387" s="3" t="str">
        <f>IFERROR(__xludf.DUMMYFUNCTION("GOOGLETRANSLATE(B2387,""id"",""en"")"),"['signal', 'fix', 'price', 'quota', 'doang', 'quality', 'down', '']")</f>
        <v>['signal', 'fix', 'price', 'quota', 'doang', 'quality', 'down', '']</v>
      </c>
      <c r="D2387" s="3">
        <v>1.0</v>
      </c>
    </row>
    <row r="2388" ht="15.75" customHeight="1">
      <c r="A2388" s="1">
        <v>2552.0</v>
      </c>
      <c r="B2388" s="3" t="s">
        <v>2306</v>
      </c>
      <c r="C2388" s="3" t="str">
        <f>IFERROR(__xludf.DUMMYFUNCTION("GOOGLETRANSLATE(B2388,""id"",""en"")"),"['Like', 'application', 'Telkomsel', 'Top', 'really']")</f>
        <v>['Like', 'application', 'Telkomsel', 'Top', 'really']</v>
      </c>
      <c r="D2388" s="3">
        <v>5.0</v>
      </c>
    </row>
    <row r="2389" ht="15.75" customHeight="1">
      <c r="A2389" s="1">
        <v>2553.0</v>
      </c>
      <c r="B2389" s="3" t="s">
        <v>2307</v>
      </c>
      <c r="C2389" s="3" t="str">
        <f>IFERROR(__xludf.DUMMYFUNCTION("GOOGLETRANSLATE(B2389,""id"",""en"")"),"['Application', 'watch', 'bokep', 'mimin', 'please', 'fix']")</f>
        <v>['Application', 'watch', 'bokep', 'mimin', 'please', 'fix']</v>
      </c>
      <c r="D2389" s="3">
        <v>5.0</v>
      </c>
    </row>
    <row r="2390" ht="15.75" customHeight="1">
      <c r="A2390" s="1">
        <v>2554.0</v>
      </c>
      <c r="B2390" s="3" t="s">
        <v>2308</v>
      </c>
      <c r="C2390" s="3" t="str">
        <f>IFERROR(__xludf.DUMMYFUNCTION("GOOGLETRANSLATE(B2390,""id"",""en"")"),"['', 'disappointed', 'quality', 'network', 'internet', 'stay', 'city', 'bekasi', 'customer', 'udh', 'lbih', 'routine', 'buy ',' Package ',' Telkomsel ',' forced ',' moved ',' network ',' lbih ',' stable ',' price ',' lbih ',' affordable ',' Telkomsel ',' "&amp;"fix ', 'Thank you', 'trimakasih']")</f>
        <v>['', 'disappointed', 'quality', 'network', 'internet', 'stay', 'city', 'bekasi', 'customer', 'udh', 'lbih', 'routine', 'buy ',' Package ',' Telkomsel ',' forced ',' moved ',' network ',' lbih ',' stable ',' price ',' lbih ',' affordable ',' Telkomsel ',' fix ', 'Thank you', 'trimakasih']</v>
      </c>
      <c r="D2390" s="3">
        <v>1.0</v>
      </c>
    </row>
    <row r="2391" ht="15.75" customHeight="1">
      <c r="A2391" s="1">
        <v>2555.0</v>
      </c>
      <c r="B2391" s="3" t="s">
        <v>2309</v>
      </c>
      <c r="C2391" s="3" t="str">
        <f>IFERROR(__xludf.DUMMYFUNCTION("GOOGLETRANSLATE(B2391,""id"",""en"")"),"['Fix', 'network', 'already', 'buy', 'quota', 'expensive', 'TPI', 'network', 'lag', 'battery', 'me', 'drop', ' Gara ',' internet ',' slow ',' ']")</f>
        <v>['Fix', 'network', 'already', 'buy', 'quota', 'expensive', 'TPI', 'network', 'lag', 'battery', 'me', 'drop', ' Gara ',' internet ',' slow ',' ']</v>
      </c>
      <c r="D2391" s="3">
        <v>1.0</v>
      </c>
    </row>
    <row r="2392" ht="15.75" customHeight="1">
      <c r="A2392" s="1">
        <v>2558.0</v>
      </c>
      <c r="B2392" s="3" t="s">
        <v>2310</v>
      </c>
      <c r="C2392" s="3" t="str">
        <f>IFERROR(__xludf.DUMMYFUNCTION("GOOGLETRANSLATE(B2392,""id"",""en"")"),"['signal', 'here', 'Severe', 'watch', 'YouTube', 'JGA', 'BINTASS', 'Super', 'Severe', '']")</f>
        <v>['signal', 'here', 'Severe', 'watch', 'YouTube', 'JGA', 'BINTASS', 'Super', 'Severe', '']</v>
      </c>
      <c r="D2392" s="3">
        <v>3.0</v>
      </c>
    </row>
    <row r="2393" ht="15.75" customHeight="1">
      <c r="A2393" s="1">
        <v>2559.0</v>
      </c>
      <c r="B2393" s="3" t="s">
        <v>2311</v>
      </c>
      <c r="C2393" s="3" t="str">
        <f>IFERROR(__xludf.DUMMYFUNCTION("GOOGLETRANSLATE(B2393,""id"",""en"")"),"['pulseku', 'chick']")</f>
        <v>['pulseku', 'chick']</v>
      </c>
      <c r="D2393" s="3">
        <v>4.0</v>
      </c>
    </row>
    <row r="2394" ht="15.75" customHeight="1">
      <c r="A2394" s="1">
        <v>2560.0</v>
      </c>
      <c r="B2394" s="3" t="s">
        <v>80</v>
      </c>
      <c r="C2394" s="3" t="str">
        <f>IFERROR(__xludf.DUMMYFUNCTION("GOOGLETRANSLATE(B2394,""id"",""en"")"),"['help', '']")</f>
        <v>['help', '']</v>
      </c>
      <c r="D2394" s="3">
        <v>4.0</v>
      </c>
    </row>
    <row r="2395" ht="15.75" customHeight="1">
      <c r="A2395" s="1">
        <v>2561.0</v>
      </c>
      <c r="B2395" s="3" t="s">
        <v>2312</v>
      </c>
      <c r="C2395" s="3" t="str">
        <f>IFERROR(__xludf.DUMMYFUNCTION("GOOGLETRANSLATE(B2395,""id"",""en"")"),"['Telkomsel', 'Jabodetabek', 'Disruption', 'Males', 'Telkomsel', 'Kyak', 'Gini', 'Telkomsel', 'Different', 'Disappointed', 'Telkomsel']")</f>
        <v>['Telkomsel', 'Jabodetabek', 'Disruption', 'Males', 'Telkomsel', 'Kyak', 'Gini', 'Telkomsel', 'Different', 'Disappointed', 'Telkomsel']</v>
      </c>
      <c r="D2395" s="3">
        <v>2.0</v>
      </c>
    </row>
    <row r="2396" ht="15.75" customHeight="1">
      <c r="A2396" s="1">
        <v>2562.0</v>
      </c>
      <c r="B2396" s="3" t="s">
        <v>2041</v>
      </c>
      <c r="C2396" s="3" t="str">
        <f>IFERROR(__xludf.DUMMYFUNCTION("GOOGLETRANSLATE(B2396,""id"",""en"")"),"['', '']")</f>
        <v>['', '']</v>
      </c>
      <c r="D2396" s="3">
        <v>4.0</v>
      </c>
    </row>
    <row r="2397" ht="15.75" customHeight="1">
      <c r="A2397" s="1">
        <v>2563.0</v>
      </c>
      <c r="B2397" s="3" t="s">
        <v>2313</v>
      </c>
      <c r="C2397" s="3" t="str">
        <f>IFERROR(__xludf.DUMMYFUNCTION("GOOGLETRANSLATE(B2397,""id"",""en"")"),"['Hello', 'Hello', 'Network', 'Mangkin', 'LEGK', 'Ryesel', 'Switch', 'Prabayyar', 'Balikin', 'Smail', 'Anggus',' Change ',' Severe ',' Bener ']")</f>
        <v>['Hello', 'Hello', 'Network', 'Mangkin', 'LEGK', 'Ryesel', 'Switch', 'Prabayyar', 'Balikin', 'Smail', 'Anggus',' Change ',' Severe ',' Bener ']</v>
      </c>
      <c r="D2397" s="3">
        <v>1.0</v>
      </c>
    </row>
    <row r="2398" ht="15.75" customHeight="1">
      <c r="A2398" s="1">
        <v>2564.0</v>
      </c>
      <c r="B2398" s="3" t="s">
        <v>2314</v>
      </c>
      <c r="C2398" s="3" t="str">
        <f>IFERROR(__xludf.DUMMYFUNCTION("GOOGLETRANSLATE(B2398,""id"",""en"")"),"['Application', 'cheap', 'buy', 'package', 'Banya', 'promo', 'package']")</f>
        <v>['Application', 'cheap', 'buy', 'package', 'Banya', 'promo', 'package']</v>
      </c>
      <c r="D2398" s="3">
        <v>5.0</v>
      </c>
    </row>
    <row r="2399" ht="15.75" customHeight="1">
      <c r="A2399" s="1">
        <v>2565.0</v>
      </c>
      <c r="B2399" s="3" t="s">
        <v>2315</v>
      </c>
      <c r="C2399" s="3" t="str">
        <f>IFERROR(__xludf.DUMMYFUNCTION("GOOGLETRANSLATE(B2399,""id"",""en"")"),"['experience', 'network', 'internet', 'nominal', 'data', 'package', 'internet', 'hope', 'Telkomsel', 'Jaya', ""]")</f>
        <v>['experience', 'network', 'internet', 'nominal', 'data', 'package', 'internet', 'hope', 'Telkomsel', 'Jaya', "]</v>
      </c>
      <c r="D2399" s="3">
        <v>5.0</v>
      </c>
    </row>
    <row r="2400" ht="15.75" customHeight="1">
      <c r="A2400" s="1">
        <v>2566.0</v>
      </c>
      <c r="B2400" s="3" t="s">
        <v>2316</v>
      </c>
      <c r="C2400" s="3" t="str">
        <f>IFERROR(__xludf.DUMMYFUNCTION("GOOGLETRANSLATE(B2400,""id"",""en"")"),"['signal', 'good', 'fast', 'bnyak', 'functions']")</f>
        <v>['signal', 'good', 'fast', 'bnyak', 'functions']</v>
      </c>
      <c r="D2400" s="3">
        <v>5.0</v>
      </c>
    </row>
    <row r="2401" ht="15.75" customHeight="1">
      <c r="A2401" s="1">
        <v>2567.0</v>
      </c>
      <c r="B2401" s="3" t="s">
        <v>2317</v>
      </c>
      <c r="C2401" s="3" t="str">
        <f>IFERROR(__xludf.DUMMYFUNCTION("GOOGLETRANSLATE(B2401,""id"",""en"")"),"['Network', 'Telkomsel', 'Anjeng', 'Bakar', 'Company', 'Lonte', 'Gkbisa', 'Powered', 'Annoyed', 'Telkomsel', 'Child', ' Pepek ',' Telkomsel ',' dick ',' network ',' anjeng ',' child ',' dick ',' network ',' Telkomsel ',' Telkomsel ',' pig ',' animal ',' h"&amp;"aram ' ]")</f>
        <v>['Network', 'Telkomsel', 'Anjeng', 'Bakar', 'Company', 'Lonte', 'Gkbisa', 'Powered', 'Annoyed', 'Telkomsel', 'Child', ' Pepek ',' Telkomsel ',' dick ',' network ',' anjeng ',' child ',' dick ',' network ',' Telkomsel ',' Telkomsel ',' pig ',' animal ',' haram ' ]</v>
      </c>
      <c r="D2401" s="3">
        <v>1.0</v>
      </c>
    </row>
    <row r="2402" ht="15.75" customHeight="1">
      <c r="A2402" s="1">
        <v>2568.0</v>
      </c>
      <c r="B2402" s="3" t="s">
        <v>137</v>
      </c>
      <c r="C2402" s="3" t="str">
        <f>IFERROR(__xludf.DUMMYFUNCTION("GOOGLETRANSLATE(B2402,""id"",""en"")"),"Of course")</f>
        <v>Of course</v>
      </c>
      <c r="D2402" s="3">
        <v>5.0</v>
      </c>
    </row>
    <row r="2403" ht="15.75" customHeight="1">
      <c r="A2403" s="1">
        <v>2569.0</v>
      </c>
      <c r="B2403" s="3" t="s">
        <v>2318</v>
      </c>
      <c r="C2403" s="3" t="str">
        <f>IFERROR(__xludf.DUMMYFUNCTION("GOOGLETRANSLATE(B2403,""id"",""en"")"),"['Cool', 'steady', 'times']")</f>
        <v>['Cool', 'steady', 'times']</v>
      </c>
      <c r="D2403" s="3">
        <v>5.0</v>
      </c>
    </row>
    <row r="2404" ht="15.75" customHeight="1">
      <c r="A2404" s="1">
        <v>2571.0</v>
      </c>
      <c r="B2404" s="3" t="s">
        <v>2319</v>
      </c>
      <c r="C2404" s="3" t="str">
        <f>IFERROR(__xludf.DUMMYFUNCTION("GOOGLETRANSLATE(B2404,""id"",""en"")"),"['Affordable', 'mountains', 'countryside']")</f>
        <v>['Affordable', 'mountains', 'countryside']</v>
      </c>
      <c r="D2404" s="3">
        <v>3.0</v>
      </c>
    </row>
    <row r="2405" ht="15.75" customHeight="1">
      <c r="A2405" s="1">
        <v>2572.0</v>
      </c>
      <c r="B2405" s="3" t="s">
        <v>2320</v>
      </c>
      <c r="C2405" s="3" t="str">
        <f>IFERROR(__xludf.DUMMYFUNCTION("GOOGLETRANSLATE(B2405,""id"",""en"")"),"['virtualacond', 'method', 'payment', 'cheap']")</f>
        <v>['virtualacond', 'method', 'payment', 'cheap']</v>
      </c>
      <c r="D2405" s="3">
        <v>5.0</v>
      </c>
    </row>
    <row r="2406" ht="15.75" customHeight="1">
      <c r="A2406" s="1">
        <v>2573.0</v>
      </c>
      <c r="B2406" s="3" t="s">
        <v>2321</v>
      </c>
      <c r="C2406" s="3" t="str">
        <f>IFERROR(__xludf.DUMMYFUNCTION("GOOGLETRANSLATE(B2406,""id"",""en"")"),"['signal', '']")</f>
        <v>['signal', '']</v>
      </c>
      <c r="D2406" s="3">
        <v>5.0</v>
      </c>
    </row>
    <row r="2407" ht="15.75" customHeight="1">
      <c r="A2407" s="1">
        <v>2575.0</v>
      </c>
      <c r="B2407" s="3" t="s">
        <v>2322</v>
      </c>
      <c r="C2407" s="3" t="str">
        <f>IFERROR(__xludf.DUMMYFUNCTION("GOOGLETRANSLATE(B2407,""id"",""en"")"),"['', 'OK']")</f>
        <v>['', 'OK']</v>
      </c>
      <c r="D2407" s="3">
        <v>5.0</v>
      </c>
    </row>
    <row r="2408" ht="15.75" customHeight="1">
      <c r="A2408" s="1">
        <v>2576.0</v>
      </c>
      <c r="B2408" s="3" t="s">
        <v>2323</v>
      </c>
      <c r="C2408" s="3" t="str">
        <f>IFERROR(__xludf.DUMMYFUNCTION("GOOGLETRANSLATE(B2408,""id"",""en"")"),"['', 'disappointed', 'buy', 'quota', 'package', 'data', 'for', 'thousand', 'can', 'GB', 'signal', 'internet', 'chaother ',' according to ',' hope ',' signal ',' city ',' Makassar ',' district ',' Gowa ',' bad ',' aka ',' stable ',' signal ',' missing ', '"&amp;"Original', 'slow', 'really', 'at the time', 'rain', 'down', 'open', 'Facebook', 'WhatsApp', 'difficult', 'really', 'msk', 'original ',' Parahhhhh ',' Telkomsel ']")</f>
        <v>['', 'disappointed', 'buy', 'quota', 'package', 'data', 'for', 'thousand', 'can', 'GB', 'signal', 'internet', 'chaother ',' according to ',' hope ',' signal ',' city ',' Makassar ',' district ',' Gowa ',' bad ',' aka ',' stable ',' signal ',' missing ', 'Original', 'slow', 'really', 'at the time', 'rain', 'down', 'open', 'Facebook', 'WhatsApp', 'difficult', 'really', 'msk', 'original ',' Parahhhhh ',' Telkomsel ']</v>
      </c>
      <c r="D2408" s="3">
        <v>1.0</v>
      </c>
    </row>
    <row r="2409" ht="15.75" customHeight="1">
      <c r="A2409" s="1">
        <v>2577.0</v>
      </c>
      <c r="B2409" s="3" t="s">
        <v>2324</v>
      </c>
      <c r="C2409" s="3" t="str">
        <f>IFERROR(__xludf.DUMMYFUNCTION("GOOGLETRANSLATE(B2409,""id"",""en"")"),"['Telkomsel', 'steady', 'network', 'steady', 'his draw', 'steady']")</f>
        <v>['Telkomsel', 'steady', 'network', 'steady', 'his draw', 'steady']</v>
      </c>
      <c r="D2409" s="3">
        <v>5.0</v>
      </c>
    </row>
    <row r="2410" ht="15.75" customHeight="1">
      <c r="A2410" s="1">
        <v>2578.0</v>
      </c>
      <c r="B2410" s="3" t="s">
        <v>2325</v>
      </c>
      <c r="C2410" s="3" t="str">
        <f>IFERROR(__xludf.DUMMYFUNCTION("GOOGLETRANSLATE(B2410,""id"",""en"")"),"['Package', 'expensive', 'Different', 'Different']")</f>
        <v>['Package', 'expensive', 'Different', 'Different']</v>
      </c>
      <c r="D2410" s="3">
        <v>1.0</v>
      </c>
    </row>
    <row r="2411" ht="15.75" customHeight="1">
      <c r="A2411" s="1">
        <v>2579.0</v>
      </c>
      <c r="B2411" s="3" t="s">
        <v>2326</v>
      </c>
      <c r="C2411" s="3" t="str">
        <f>IFERROR(__xludf.DUMMYFUNCTION("GOOGLETRANSLATE(B2411,""id"",""en"")"),"['', 'promo', 'pdahal', 'cave', 'custener', 'loyal', 'turn', 'card', 'dpet', 'promo', 'cheap', 'ngeselin', 'times ']")</f>
        <v>['', 'promo', 'pdahal', 'cave', 'custener', 'loyal', 'turn', 'card', 'dpet', 'promo', 'cheap', 'ngeselin', 'times ']</v>
      </c>
      <c r="D2411" s="3">
        <v>1.0</v>
      </c>
    </row>
    <row r="2412" ht="15.75" customHeight="1">
      <c r="A2412" s="1">
        <v>2580.0</v>
      </c>
      <c r="B2412" s="3" t="s">
        <v>2327</v>
      </c>
      <c r="C2412" s="3" t="str">
        <f>IFERROR(__xludf.DUMMYFUNCTION("GOOGLETRANSLATE(B2412,""id"",""en"")"),"['Delicious', 'comfortable']")</f>
        <v>['Delicious', 'comfortable']</v>
      </c>
      <c r="D2412" s="3">
        <v>5.0</v>
      </c>
    </row>
    <row r="2413" ht="15.75" customHeight="1">
      <c r="A2413" s="1">
        <v>2581.0</v>
      </c>
      <c r="B2413" s="3" t="s">
        <v>2328</v>
      </c>
      <c r="C2413" s="3" t="str">
        <f>IFERROR(__xludf.DUMMYFUNCTION("GOOGLETRANSLATE(B2413,""id"",""en"")"),"['Daily', 'Chek', 'NGK', 'UDH', 'Bankrupt', 'kah']")</f>
        <v>['Daily', 'Chek', 'NGK', 'UDH', 'Bankrupt', 'kah']</v>
      </c>
      <c r="D2413" s="3">
        <v>1.0</v>
      </c>
    </row>
    <row r="2414" ht="15.75" customHeight="1">
      <c r="A2414" s="1">
        <v>2582.0</v>
      </c>
      <c r="B2414" s="3" t="s">
        <v>2329</v>
      </c>
      <c r="C2414" s="3" t="str">
        <f>IFERROR(__xludf.DUMMYFUNCTION("GOOGLETRANSLATE(B2414,""id"",""en"")"),"['Steady', 'Package', 'Special', '']")</f>
        <v>['Steady', 'Package', 'Special', '']</v>
      </c>
      <c r="D2414" s="3">
        <v>5.0</v>
      </c>
    </row>
    <row r="2415" ht="15.75" customHeight="1">
      <c r="A2415" s="1">
        <v>2583.0</v>
      </c>
      <c r="B2415" s="3" t="s">
        <v>2330</v>
      </c>
      <c r="C2415" s="3" t="str">
        <f>IFERROR(__xludf.DUMMYFUNCTION("GOOGLETRANSLATE(B2415,""id"",""en"")"),"['Ngilake']")</f>
        <v>['Ngilake']</v>
      </c>
      <c r="D2415" s="3">
        <v>1.0</v>
      </c>
    </row>
    <row r="2416" ht="15.75" customHeight="1">
      <c r="A2416" s="1">
        <v>2584.0</v>
      </c>
      <c r="B2416" s="3" t="s">
        <v>2331</v>
      </c>
      <c r="C2416" s="3" t="str">
        <f>IFERROR(__xludf.DUMMYFUNCTION("GOOGLETRANSLATE(B2416,""id"",""en"")"),"['application', 'help', 'suskses', 'then', 'just']")</f>
        <v>['application', 'help', 'suskses', 'then', 'just']</v>
      </c>
      <c r="D2416" s="3">
        <v>5.0</v>
      </c>
    </row>
    <row r="2417" ht="15.75" customHeight="1">
      <c r="A2417" s="1">
        <v>2585.0</v>
      </c>
      <c r="B2417" s="3" t="s">
        <v>2222</v>
      </c>
      <c r="C2417" s="3" t="str">
        <f>IFERROR(__xludf.DUMMYFUNCTION("GOOGLETRANSLATE(B2417,""id"",""en"")"),"['Satisfied', 'Telkomsel']")</f>
        <v>['Satisfied', 'Telkomsel']</v>
      </c>
      <c r="D2417" s="3">
        <v>5.0</v>
      </c>
    </row>
    <row r="2418" ht="15.75" customHeight="1">
      <c r="A2418" s="1">
        <v>2586.0</v>
      </c>
      <c r="B2418" s="3" t="s">
        <v>2332</v>
      </c>
      <c r="C2418" s="3" t="str">
        <f>IFERROR(__xludf.DUMMYFUNCTION("GOOGLETRANSLATE(B2418,""id"",""en"")"),"['thank', 'love', 'application', 'easy', 'buy', 'pulse', 'package', '']")</f>
        <v>['thank', 'love', 'application', 'easy', 'buy', 'pulse', 'package', '']</v>
      </c>
      <c r="D2418" s="3">
        <v>5.0</v>
      </c>
    </row>
    <row r="2419" ht="15.75" customHeight="1">
      <c r="A2419" s="1">
        <v>2587.0</v>
      </c>
      <c r="B2419" s="3" t="s">
        <v>2333</v>
      </c>
      <c r="C2419" s="3" t="str">
        <f>IFERROR(__xludf.DUMMYFUNCTION("GOOGLETRANSLATE(B2419,""id"",""en"")"),"['Hello', 'Telkomsel', 'Telkomsel', 'policy', 'migration', 'cards',' postpaid ',' prepaid ',' help ',' users', 'Telkomsel', 'all', ' thank you', '']")</f>
        <v>['Hello', 'Telkomsel', 'Telkomsel', 'policy', 'migration', 'cards',' postpaid ',' prepaid ',' help ',' users', 'Telkomsel', 'all', ' thank you', '']</v>
      </c>
      <c r="D2419" s="3">
        <v>3.0</v>
      </c>
    </row>
    <row r="2420" ht="15.75" customHeight="1">
      <c r="A2420" s="1">
        <v>2588.0</v>
      </c>
      <c r="B2420" s="3" t="s">
        <v>2334</v>
      </c>
      <c r="C2420" s="3" t="str">
        <f>IFERROR(__xludf.DUMMYFUNCTION("GOOGLETRANSLATE(B2420,""id"",""en"")"),"['Ribet', 'really', 'use', 'Telkomsel', 'card', 'missing', 'Activate', 'reasons',' nik ',' KTP ',' according to ',' already ',' The proof is', 'application', 'login', 'as',' proof ',' told ',' buy ',' card ',' solution ',' buy ',' card ',' severe ',' para"&amp;"hh ' , 'parahhhhhhhhhh', 'service', 'GraPARI', 'ask', 'Unjung', 'told', 'buy', 'card', 'GISAN', 'SIE']")</f>
        <v>['Ribet', 'really', 'use', 'Telkomsel', 'card', 'missing', 'Activate', 'reasons',' nik ',' KTP ',' according to ',' already ',' The proof is', 'application', 'login', 'as',' proof ',' told ',' buy ',' card ',' solution ',' buy ',' card ',' severe ',' parahh ' , 'parahhhhhhhhhh', 'service', 'GraPARI', 'ask', 'Unjung', 'told', 'buy', 'card', 'GISAN', 'SIE']</v>
      </c>
      <c r="D2420" s="3">
        <v>5.0</v>
      </c>
    </row>
    <row r="2421" ht="15.75" customHeight="1">
      <c r="A2421" s="1">
        <v>2589.0</v>
      </c>
      <c r="B2421" s="3" t="s">
        <v>2335</v>
      </c>
      <c r="C2421" s="3" t="str">
        <f>IFERROR(__xludf.DUMMYFUNCTION("GOOGLETRANSLATE(B2421,""id"",""en"")"),"['Complete', 'package', 'stay', 'choose', 'according to', 'need']")</f>
        <v>['Complete', 'package', 'stay', 'choose', 'according to', 'need']</v>
      </c>
      <c r="D2421" s="3">
        <v>5.0</v>
      </c>
    </row>
    <row r="2422" ht="15.75" customHeight="1">
      <c r="A2422" s="1">
        <v>2590.0</v>
      </c>
      <c r="B2422" s="3" t="s">
        <v>2336</v>
      </c>
      <c r="C2422" s="3" t="str">
        <f>IFERROR(__xludf.DUMMYFUNCTION("GOOGLETRANSLATE(B2422,""id"",""en"")"),"['entry', 'apk', 'delete', 'data', 'apk', 'bad', 'increase', 'data', 'mahallllll']")</f>
        <v>['entry', 'apk', 'delete', 'data', 'apk', 'bad', 'increase', 'data', 'mahallllll']</v>
      </c>
      <c r="D2422" s="3">
        <v>1.0</v>
      </c>
    </row>
    <row r="2423" ht="15.75" customHeight="1">
      <c r="A2423" s="1">
        <v>2591.0</v>
      </c>
      <c r="B2423" s="3" t="s">
        <v>2337</v>
      </c>
      <c r="C2423" s="3" t="str">
        <f>IFERROR(__xludf.DUMMYFUNCTION("GOOGLETRANSLATE(B2423,""id"",""en"")"),"['Network', 'Aga', 'good', 'price', 'quota', 'cheap', 'okay']")</f>
        <v>['Network', 'Aga', 'good', 'price', 'quota', 'cheap', 'okay']</v>
      </c>
      <c r="D2423" s="3">
        <v>4.0</v>
      </c>
    </row>
    <row r="2424" ht="15.75" customHeight="1">
      <c r="A2424" s="1">
        <v>2592.0</v>
      </c>
      <c r="B2424" s="3" t="s">
        <v>2338</v>
      </c>
      <c r="C2424" s="3" t="str">
        <f>IFERROR(__xludf.DUMMYFUNCTION("GOOGLETRANSLATE(B2424,""id"",""en"")"),"['Good', 'Price', 'Combo', 'Sakti', 'Expensive', '']")</f>
        <v>['Good', 'Price', 'Combo', 'Sakti', 'Expensive', '']</v>
      </c>
      <c r="D2424" s="3">
        <v>4.0</v>
      </c>
    </row>
    <row r="2425" ht="15.75" customHeight="1">
      <c r="A2425" s="1">
        <v>2593.0</v>
      </c>
      <c r="B2425" s="3" t="s">
        <v>2339</v>
      </c>
      <c r="C2425" s="3" t="str">
        <f>IFERROR(__xludf.DUMMYFUNCTION("GOOGLETRANSLATE(B2425,""id"",""en"")"),"['contents',' pulses', 'sumps',' run out ',' put together ',' brewhasil ',' Santoy ',' pulses', 'quota', 'strange', 'please', 'fix it', ' Jan ',' Sampe ',' Rough ',' Bls', 'Boss',' Tlong ',' ']")</f>
        <v>['contents',' pulses', 'sumps',' run out ',' put together ',' brewhasil ',' Santoy ',' pulses', 'quota', 'strange', 'please', 'fix it', ' Jan ',' Sampe ',' Rough ',' Bls', 'Boss',' Tlong ',' ']</v>
      </c>
      <c r="D2425" s="3">
        <v>1.0</v>
      </c>
    </row>
    <row r="2426" ht="15.75" customHeight="1">
      <c r="A2426" s="1">
        <v>2594.0</v>
      </c>
      <c r="B2426" s="3" t="s">
        <v>2340</v>
      </c>
      <c r="C2426" s="3" t="str">
        <f>IFERROR(__xludf.DUMMYFUNCTION("GOOGLETRANSLATE(B2426,""id"",""en"")"),"['The application', 'suda', 'delete', 'ngak', 'open', 'ngelec', 'ngak', 'motion', 'skli']")</f>
        <v>['The application', 'suda', 'delete', 'ngak', 'open', 'ngelec', 'ngak', 'motion', 'skli']</v>
      </c>
      <c r="D2426" s="3">
        <v>1.0</v>
      </c>
    </row>
    <row r="2427" ht="15.75" customHeight="1">
      <c r="A2427" s="1">
        <v>2595.0</v>
      </c>
      <c r="B2427" s="3" t="s">
        <v>2341</v>
      </c>
      <c r="C2427" s="3" t="str">
        <f>IFERROR(__xludf.DUMMYFUNCTION("GOOGLETRANSLATE(B2427,""id"",""en"")"),"['Word']")</f>
        <v>['Word']</v>
      </c>
      <c r="D2427" s="3">
        <v>5.0</v>
      </c>
    </row>
    <row r="2428" ht="15.75" customHeight="1">
      <c r="A2428" s="1">
        <v>2596.0</v>
      </c>
      <c r="B2428" s="3" t="s">
        <v>2342</v>
      </c>
      <c r="C2428" s="3" t="str">
        <f>IFERROR(__xludf.DUMMYFUNCTION("GOOGLETRANSLATE(B2428,""id"",""en"")"),"['Good', 'hope', 'win it']")</f>
        <v>['Good', 'hope', 'win it']</v>
      </c>
      <c r="D2428" s="3">
        <v>5.0</v>
      </c>
    </row>
    <row r="2429" ht="15.75" customHeight="1">
      <c r="A2429" s="1">
        <v>2597.0</v>
      </c>
      <c r="B2429" s="3" t="s">
        <v>2343</v>
      </c>
      <c r="C2429" s="3" t="str">
        <f>IFERROR(__xludf.DUMMYFUNCTION("GOOGLETRANSLATE(B2429,""id"",""en"")"),"['internet', 'connected', 'data', 'network', 'full', 'quota', 'internet', 'go', 'city', 'smooth', 'right', 'village', ' No ',' Connect ',' Tower ',' Telkomsel ',' ']")</f>
        <v>['internet', 'connected', 'data', 'network', 'full', 'quota', 'internet', 'go', 'city', 'smooth', 'right', 'village', ' No ',' Connect ',' Tower ',' Telkomsel ',' ']</v>
      </c>
      <c r="D2429" s="3">
        <v>1.0</v>
      </c>
    </row>
    <row r="2430" ht="15.75" customHeight="1">
      <c r="A2430" s="1">
        <v>2598.0</v>
      </c>
      <c r="B2430" s="3" t="s">
        <v>2344</v>
      </c>
      <c r="C2430" s="3" t="str">
        <f>IFERROR(__xludf.DUMMYFUNCTION("GOOGLETRANSLATE(B2430,""id"",""en"")"),"['Bener', 'Severe', 'Telkomsel', 'Road', 'Take', 'Number', 'Lost', 'Because', 'Nik', 'Taunya', 'Buy', 'Package', ' Data ',' number ',' AKTIP ',' proof ',' number ',' Severe ', ""]")</f>
        <v>['Bener', 'Severe', 'Telkomsel', 'Road', 'Take', 'Number', 'Lost', 'Because', 'Nik', 'Taunya', 'Buy', 'Package', ' Data ',' number ',' AKTIP ',' proof ',' number ',' Severe ', "]</v>
      </c>
      <c r="D2430" s="3">
        <v>1.0</v>
      </c>
    </row>
    <row r="2431" ht="15.75" customHeight="1">
      <c r="A2431" s="1">
        <v>2599.0</v>
      </c>
      <c r="B2431" s="3" t="s">
        <v>2345</v>
      </c>
      <c r="C2431" s="3" t="str">
        <f>IFERROR(__xludf.DUMMYFUNCTION("GOOGLETRANSLATE(B2431,""id"",""en"")"),"['understand', 'take', 'quota', 'emergency', 'got', 'tap', 'sms', '']")</f>
        <v>['understand', 'take', 'quota', 'emergency', 'got', 'tap', 'sms', '']</v>
      </c>
      <c r="D2431" s="3">
        <v>1.0</v>
      </c>
    </row>
    <row r="2432" ht="15.75" customHeight="1">
      <c r="A2432" s="1">
        <v>2601.0</v>
      </c>
      <c r="B2432" s="3" t="s">
        <v>2346</v>
      </c>
      <c r="C2432" s="3" t="str">
        <f>IFERROR(__xludf.DUMMYFUNCTION("GOOGLETRANSLATE(B2432,""id"",""en"")"),"['ugly', 'application', 'buy', 'pulse', 'rb', 'link', 'choice']")</f>
        <v>['ugly', 'application', 'buy', 'pulse', 'rb', 'link', 'choice']</v>
      </c>
      <c r="D2432" s="3">
        <v>1.0</v>
      </c>
    </row>
    <row r="2433" ht="15.75" customHeight="1">
      <c r="A2433" s="1">
        <v>2602.0</v>
      </c>
      <c r="B2433" s="3" t="s">
        <v>2347</v>
      </c>
      <c r="C2433" s="3" t="str">
        <f>IFERROR(__xludf.DUMMYFUNCTION("GOOGLETRANSLATE(B2433,""id"",""en"")"),"['', 'Rusunawa', 'strong', 'signal', '']")</f>
        <v>['', 'Rusunawa', 'strong', 'signal', '']</v>
      </c>
      <c r="D2433" s="3">
        <v>5.0</v>
      </c>
    </row>
    <row r="2434" ht="15.75" customHeight="1">
      <c r="A2434" s="1">
        <v>2603.0</v>
      </c>
      <c r="B2434" s="3" t="s">
        <v>2348</v>
      </c>
      <c r="C2434" s="3" t="str">
        <f>IFERROR(__xludf.DUMMYFUNCTION("GOOGLETRANSLATE(B2434,""id"",""en"")"),"['application', 'help', 'exchange', 'pulses', ""]")</f>
        <v>['application', 'help', 'exchange', 'pulses', "]</v>
      </c>
      <c r="D2434" s="3">
        <v>5.0</v>
      </c>
    </row>
    <row r="2435" ht="15.75" customHeight="1">
      <c r="A2435" s="1">
        <v>2604.0</v>
      </c>
      <c r="B2435" s="3" t="s">
        <v>2349</v>
      </c>
      <c r="C2435" s="3" t="str">
        <f>IFERROR(__xludf.DUMMYFUNCTION("GOOGLETRANSLATE(B2435,""id"",""en"")"),"['Disappointed', 'Network', 'Bad']")</f>
        <v>['Disappointed', 'Network', 'Bad']</v>
      </c>
      <c r="D2435" s="3">
        <v>1.0</v>
      </c>
    </row>
    <row r="2436" ht="15.75" customHeight="1">
      <c r="A2436" s="1">
        <v>2605.0</v>
      </c>
      <c r="B2436" s="3" t="s">
        <v>2350</v>
      </c>
      <c r="C2436" s="3" t="str">
        <f>IFERROR(__xludf.DUMMYFUNCTION("GOOGLETRANSLATE(B2436,""id"",""en"")"),"['Please', 'SDK', 'Telkomsel', 'Support', 'Android', 'Version', 'Thank', 'Love']")</f>
        <v>['Please', 'SDK', 'Telkomsel', 'Support', 'Android', 'Version', 'Thank', 'Love']</v>
      </c>
      <c r="D2436" s="3">
        <v>5.0</v>
      </c>
    </row>
    <row r="2437" ht="15.75" customHeight="1">
      <c r="A2437" s="1">
        <v>2606.0</v>
      </c>
      <c r="B2437" s="3" t="s">
        <v>2351</v>
      </c>
      <c r="C2437" s="3" t="str">
        <f>IFERROR(__xludf.DUMMYFUNCTION("GOOGLETRANSLATE(B2437,""id"",""en"")"),"['', 'Region', 'Banjarmasin', 'West', 'Network', 'No "",' Stable ',' Sometimes ',' Hopefully ',' In the future ',' Network ',' Stable ',' User ',' rich ',' consumers', 'disappointed', 'getting', 'network', 'stable']")</f>
        <v>['', 'Region', 'Banjarmasin', 'West', 'Network', 'No ",' Stable ',' Sometimes ',' Hopefully ',' In the future ',' Network ',' Stable ',' User ',' rich ',' consumers', 'disappointed', 'getting', 'network', 'stable']</v>
      </c>
      <c r="D2437" s="3">
        <v>1.0</v>
      </c>
    </row>
    <row r="2438" ht="15.75" customHeight="1">
      <c r="A2438" s="1">
        <v>2607.0</v>
      </c>
      <c r="B2438" s="3" t="s">
        <v>2352</v>
      </c>
      <c r="C2438" s="3" t="str">
        <f>IFERROR(__xludf.DUMMYFUNCTION("GOOGLETRANSLATE(B2438,""id"",""en"")"),"['application', 'help', 'bangett', 'hope', 'smooth', 'sellaminal']")</f>
        <v>['application', 'help', 'bangett', 'hope', 'smooth', 'sellaminal']</v>
      </c>
      <c r="D2438" s="3">
        <v>5.0</v>
      </c>
    </row>
    <row r="2439" ht="15.75" customHeight="1">
      <c r="A2439" s="1">
        <v>2608.0</v>
      </c>
      <c r="B2439" s="3" t="s">
        <v>2353</v>
      </c>
      <c r="C2439" s="3" t="str">
        <f>IFERROR(__xludf.DUMMYFUNCTION("GOOGLETRANSLATE(B2439,""id"",""en"")"),"['Points',' Telkomsel ',' Tuker ',' Package ',' Points', 'GB', 'GB', 'GB', 'Tukerin', 'Message', 'Sorry', 'System', ' Error ',' reasons', 'ngery', 'reworkin', 'tetep', 'rich', 'gth', 'explanation', 'how', 'udh', 'make', 'telkom', 'cell' , 'Already', '']")</f>
        <v>['Points',' Telkomsel ',' Tuker ',' Package ',' Points', 'GB', 'GB', 'GB', 'Tukerin', 'Message', 'Sorry', 'System', ' Error ',' reasons', 'ngery', 'reworkin', 'tetep', 'rich', 'gth', 'explanation', 'how', 'udh', 'make', 'telkom', 'cell' , 'Already', '']</v>
      </c>
      <c r="D2439" s="3">
        <v>1.0</v>
      </c>
    </row>
    <row r="2440" ht="15.75" customHeight="1">
      <c r="A2440" s="1">
        <v>2609.0</v>
      </c>
      <c r="B2440" s="3" t="s">
        <v>2354</v>
      </c>
      <c r="C2440" s="3" t="str">
        <f>IFERROR(__xludf.DUMMYFUNCTION("GOOGLETRANSLATE(B2440,""id"",""en"")"),"['Exchange', 'coin', 'click']")</f>
        <v>['Exchange', 'coin', 'click']</v>
      </c>
      <c r="D2440" s="3">
        <v>4.0</v>
      </c>
    </row>
    <row r="2441" ht="15.75" customHeight="1">
      <c r="A2441" s="1">
        <v>2610.0</v>
      </c>
      <c r="B2441" s="3" t="s">
        <v>2355</v>
      </c>
      <c r="C2441" s="3" t="str">
        <f>IFERROR(__xludf.DUMMYFUNCTION("GOOGLETRANSLATE(B2441,""id"",""en"")"),"['Please', 'fix', 'network', 'pekanbaru', 'special', 'coast', 'tassel', 'network', 'Telkomsel', 'missing', 'there', 'please', ' Telkomsel ',' fix ',' ']")</f>
        <v>['Please', 'fix', 'network', 'pekanbaru', 'special', 'coast', 'tassel', 'network', 'Telkomsel', 'missing', 'there', 'please', ' Telkomsel ',' fix ',' ']</v>
      </c>
      <c r="D2441" s="3">
        <v>1.0</v>
      </c>
    </row>
    <row r="2442" ht="15.75" customHeight="1">
      <c r="A2442" s="1">
        <v>2611.0</v>
      </c>
      <c r="B2442" s="3" t="s">
        <v>2356</v>
      </c>
      <c r="C2442" s="3" t="str">
        <f>IFERROR(__xludf.DUMMYFUNCTION("GOOGLETRANSLATE(B2442,""id"",""en"")"),"['Hopefully', 'Prima', 'innovate', 'service', 'Customer']")</f>
        <v>['Hopefully', 'Prima', 'innovate', 'service', 'Customer']</v>
      </c>
      <c r="D2442" s="3">
        <v>5.0</v>
      </c>
    </row>
    <row r="2443" ht="15.75" customHeight="1">
      <c r="A2443" s="1">
        <v>2612.0</v>
      </c>
      <c r="B2443" s="3" t="s">
        <v>2357</v>
      </c>
      <c r="C2443" s="3" t="str">
        <f>IFERROR(__xludf.DUMMYFUNCTION("GOOGLETRANSLATE(B2443,""id"",""en"")"),"['Okay', 'easy', 'access']")</f>
        <v>['Okay', 'easy', 'access']</v>
      </c>
      <c r="D2443" s="3">
        <v>5.0</v>
      </c>
    </row>
    <row r="2444" ht="15.75" customHeight="1">
      <c r="A2444" s="1">
        <v>2613.0</v>
      </c>
      <c r="B2444" s="3" t="s">
        <v>2358</v>
      </c>
      <c r="C2444" s="3" t="str">
        <f>IFERROR(__xludf.DUMMYFUNCTION("GOOGLETRANSLATE(B2444,""id"",""en"")"),"['', 'area', 'airport', 'adi', 'sumarmo', 'solo', 'signal', 'sympathy', 'slow', 'min', 'beg', 'upgrade', 'network ',' Internet ',' Telkomsel ',' ']")</f>
        <v>['', 'area', 'airport', 'adi', 'sumarmo', 'solo', 'signal', 'sympathy', 'slow', 'min', 'beg', 'upgrade', 'network ',' Internet ',' Telkomsel ',' ']</v>
      </c>
      <c r="D2444" s="3">
        <v>5.0</v>
      </c>
    </row>
    <row r="2445" ht="15.75" customHeight="1">
      <c r="A2445" s="1">
        <v>2614.0</v>
      </c>
      <c r="B2445" s="3" t="s">
        <v>2359</v>
      </c>
      <c r="C2445" s="3" t="str">
        <f>IFERROR(__xludf.DUMMYFUNCTION("GOOGLETRANSLATE(B2445,""id"",""en"")"),"['Help', 'ATIIII']")</f>
        <v>['Help', 'ATIIII']</v>
      </c>
      <c r="D2445" s="3">
        <v>5.0</v>
      </c>
    </row>
    <row r="2446" ht="15.75" customHeight="1">
      <c r="A2446" s="1">
        <v>2615.0</v>
      </c>
      <c r="B2446" s="3" t="s">
        <v>2360</v>
      </c>
      <c r="C2446" s="3" t="str">
        <f>IFERROR(__xludf.DUMMYFUNCTION("GOOGLETRANSLATE(B2446,""id"",""en"")"),"['Good', 'promo', 'interesting']")</f>
        <v>['Good', 'promo', 'interesting']</v>
      </c>
      <c r="D2446" s="3">
        <v>5.0</v>
      </c>
    </row>
    <row r="2447" ht="15.75" customHeight="1">
      <c r="A2447" s="1">
        <v>2616.0</v>
      </c>
      <c r="B2447" s="3" t="s">
        <v>2361</v>
      </c>
      <c r="C2447" s="3" t="str">
        <f>IFERROR(__xludf.DUMMYFUNCTION("GOOGLETRANSLATE(B2447,""id"",""en"")"),"['Steady', 'buy', 'package', 'data', 'cheap', 'promo']")</f>
        <v>['Steady', 'buy', 'package', 'data', 'cheap', 'promo']</v>
      </c>
      <c r="D2447" s="3">
        <v>5.0</v>
      </c>
    </row>
    <row r="2448" ht="15.75" customHeight="1">
      <c r="A2448" s="1">
        <v>2617.0</v>
      </c>
      <c r="B2448" s="3" t="s">
        <v>2362</v>
      </c>
      <c r="C2448" s="3" t="str">
        <f>IFERROR(__xludf.DUMMYFUNCTION("GOOGLETRANSLATE(B2448,""id"",""en"")"),"['How', 'turn', 'claim', 'check', 'point', 'missing', 'check', 'point', 'Neat', 'giving', 'gift', 'mending', ' Delete ',' application ']")</f>
        <v>['How', 'turn', 'claim', 'check', 'point', 'missing', 'check', 'point', 'Neat', 'giving', 'gift', 'mending', ' Delete ',' application ']</v>
      </c>
      <c r="D2448" s="3">
        <v>2.0</v>
      </c>
    </row>
    <row r="2449" ht="15.75" customHeight="1">
      <c r="A2449" s="1">
        <v>2618.0</v>
      </c>
      <c r="B2449" s="3" t="s">
        <v>2363</v>
      </c>
      <c r="C2449" s="3" t="str">
        <f>IFERROR(__xludf.DUMMYFUNCTION("GOOGLETRANSLATE(B2449,""id"",""en"")"),"['Package', 'quota', 'cheap']")</f>
        <v>['Package', 'quota', 'cheap']</v>
      </c>
      <c r="D2449" s="3">
        <v>2.0</v>
      </c>
    </row>
    <row r="2450" ht="15.75" customHeight="1">
      <c r="A2450" s="1">
        <v>2619.0</v>
      </c>
      <c r="B2450" s="3" t="s">
        <v>2364</v>
      </c>
      <c r="C2450" s="3" t="str">
        <f>IFERROR(__xludf.DUMMYFUNCTION("GOOGLETRANSLATE(B2450,""id"",""en"")"),"['Good', 'help', 'makes it easy', 'transaction', 'frend', 'pulse']")</f>
        <v>['Good', 'help', 'makes it easy', 'transaction', 'frend', 'pulse']</v>
      </c>
      <c r="D2450" s="3">
        <v>4.0</v>
      </c>
    </row>
    <row r="2451" ht="15.75" customHeight="1">
      <c r="A2451" s="1">
        <v>2620.0</v>
      </c>
      <c r="B2451" s="3" t="s">
        <v>2365</v>
      </c>
      <c r="C2451" s="3" t="str">
        <f>IFERROR(__xludf.DUMMYFUNCTION("GOOGLETRANSLATE(B2451,""id"",""en"")"),"['Sorry', 'Tonlong', 'signal', 'network', 'fix', 'use', 'area', 'dadap', 'may', 'can use', 'stable', ' slow ',' network ',' sometimes', 'sometimes',' ksih ',' assessment ',' trmax ',' ']")</f>
        <v>['Sorry', 'Tonlong', 'signal', 'network', 'fix', 'use', 'area', 'dadap', 'may', 'can use', 'stable', ' slow ',' network ',' sometimes', 'sometimes',' ksih ',' assessment ',' trmax ',' ']</v>
      </c>
      <c r="D2451" s="3">
        <v>2.0</v>
      </c>
    </row>
    <row r="2452" ht="15.75" customHeight="1">
      <c r="A2452" s="1">
        <v>2621.0</v>
      </c>
      <c r="B2452" s="3" t="s">
        <v>2366</v>
      </c>
      <c r="C2452" s="3" t="str">
        <f>IFERROR(__xludf.DUMMYFUNCTION("GOOGLETRANSLATE(B2452,""id"",""en"")"),"['Dileh', 'really', 'connection', 'cave', 'already', 'package', 'expensive', 'connection', 'kek', 'taik', 'exactly', 'kayak', ' connection ',' If ',' cave ',' Telkomsel ',' cave ',' kill ',' person ', ""]")</f>
        <v>['Dileh', 'really', 'connection', 'cave', 'already', 'package', 'expensive', 'connection', 'kek', 'taik', 'exactly', 'kayak', ' connection ',' If ',' cave ',' Telkomsel ',' cave ',' kill ',' person ', "]</v>
      </c>
      <c r="D2452" s="3">
        <v>1.0</v>
      </c>
    </row>
    <row r="2453" ht="15.75" customHeight="1">
      <c r="A2453" s="1">
        <v>2622.0</v>
      </c>
      <c r="B2453" s="3" t="s">
        <v>2367</v>
      </c>
      <c r="C2453" s="3" t="str">
        <f>IFERROR(__xludf.DUMMYFUNCTION("GOOGLETRANSLATE(B2453,""id"",""en"")"),"['oath', 'jakarta', 'sinya', 'Telkomsel', 'kek', 'snail', 'slow', 'severe', '']")</f>
        <v>['oath', 'jakarta', 'sinya', 'Telkomsel', 'kek', 'snail', 'slow', 'severe', '']</v>
      </c>
      <c r="D2453" s="3">
        <v>1.0</v>
      </c>
    </row>
    <row r="2454" ht="15.75" customHeight="1">
      <c r="A2454" s="1">
        <v>2623.0</v>
      </c>
      <c r="B2454" s="3" t="s">
        <v>2368</v>
      </c>
      <c r="C2454" s="3" t="str">
        <f>IFERROR(__xludf.DUMMYFUNCTION("GOOGLETRANSLATE(B2454,""id"",""en"")"),"['bug', 'update', 'difficult', 'log', 'once', 'log', 'transaction', 'purchase', 'pulse', 'install', 'help', ""]")</f>
        <v>['bug', 'update', 'difficult', 'log', 'once', 'log', 'transaction', 'purchase', 'pulse', 'install', 'help', "]</v>
      </c>
      <c r="D2454" s="3">
        <v>1.0</v>
      </c>
    </row>
    <row r="2455" ht="15.75" customHeight="1">
      <c r="A2455" s="1">
        <v>2624.0</v>
      </c>
      <c r="B2455" s="3" t="s">
        <v>2369</v>
      </c>
      <c r="C2455" s="3" t="str">
        <f>IFERROR(__xludf.DUMMYFUNCTION("GOOGLETRANSLATE(B2455,""id"",""en"")"),"['Telkosel', 'Severe', 'here', 'yes',' already ',' Daftakan ',' package ',' all ',' operator ',' pulse ',' main ',' sumps', ' Strange ',' Telkomsel ',' Severe ',' ']")</f>
        <v>['Telkosel', 'Severe', 'here', 'yes',' already ',' Daftakan ',' package ',' all ',' operator ',' pulse ',' main ',' sumps', ' Strange ',' Telkomsel ',' Severe ',' ']</v>
      </c>
      <c r="D2455" s="3">
        <v>1.0</v>
      </c>
    </row>
    <row r="2456" ht="15.75" customHeight="1">
      <c r="A2456" s="1">
        <v>2625.0</v>
      </c>
      <c r="B2456" s="3" t="s">
        <v>2370</v>
      </c>
      <c r="C2456" s="3" t="str">
        <f>IFERROR(__xludf.DUMMYFUNCTION("GOOGLETRANSLATE(B2456,""id"",""en"")"),"['expensive', 'quota', 'Telkomsel']")</f>
        <v>['expensive', 'quota', 'Telkomsel']</v>
      </c>
      <c r="D2456" s="3">
        <v>5.0</v>
      </c>
    </row>
    <row r="2457" ht="15.75" customHeight="1">
      <c r="A2457" s="1">
        <v>2626.0</v>
      </c>
      <c r="B2457" s="3" t="s">
        <v>2371</v>
      </c>
      <c r="C2457" s="3" t="str">
        <f>IFERROR(__xludf.DUMMYFUNCTION("GOOGLETRANSLATE(B2457,""id"",""en"")"),"['Muantap', 'Application', 'Easy']")</f>
        <v>['Muantap', 'Application', 'Easy']</v>
      </c>
      <c r="D2457" s="3">
        <v>5.0</v>
      </c>
    </row>
    <row r="2458" ht="15.75" customHeight="1">
      <c r="A2458" s="1">
        <v>2627.0</v>
      </c>
      <c r="B2458" s="3" t="s">
        <v>2372</v>
      </c>
      <c r="C2458" s="3" t="str">
        <f>IFERROR(__xludf.DUMMYFUNCTION("GOOGLETRANSLATE(B2458,""id"",""en"")"),"['open', 'notification', 'number', 'scorched', 'active']")</f>
        <v>['open', 'notification', 'number', 'scorched', 'active']</v>
      </c>
      <c r="D2458" s="3">
        <v>3.0</v>
      </c>
    </row>
    <row r="2459" ht="15.75" customHeight="1">
      <c r="A2459" s="1">
        <v>2628.0</v>
      </c>
      <c r="B2459" s="3" t="s">
        <v>2373</v>
      </c>
      <c r="C2459" s="3" t="str">
        <f>IFERROR(__xludf.DUMMYFUNCTION("GOOGLETRANSLATE(B2459,""id"",""en"")"),"['Blm', 'spookail']")</f>
        <v>['Blm', 'spookail']</v>
      </c>
      <c r="D2459" s="3">
        <v>3.0</v>
      </c>
    </row>
    <row r="2460" ht="15.75" customHeight="1">
      <c r="A2460" s="1">
        <v>2629.0</v>
      </c>
      <c r="B2460" s="3" t="s">
        <v>2374</v>
      </c>
      <c r="C2460" s="3" t="str">
        <f>IFERROR(__xludf.DUMMYFUNCTION("GOOGLETRANSLATE(B2460,""id"",""en"")"),"['Severe', 'times', 'network', 'package', 'expensive', 'network', 'abal', 'Damn', 'times', 'pay', 'expensive', 'according to' network ',' hopefully ',' fast ',' destroyed ',' bored ',' person ',' plead ',' network ',' please ',' sorry ',' change ',' packa"&amp;"ge ',' road ' , 'Network', 'Sempak', 'Use', 'Good', 'Bye', 'Network', 'Leet']")</f>
        <v>['Severe', 'times', 'network', 'package', 'expensive', 'network', 'abal', 'Damn', 'times', 'pay', 'expensive', 'according to' network ',' hopefully ',' fast ',' destroyed ',' bored ',' person ',' plead ',' network ',' please ',' sorry ',' change ',' package ',' road ' , 'Network', 'Sempak', 'Use', 'Good', 'Bye', 'Network', 'Leet']</v>
      </c>
      <c r="D2460" s="3">
        <v>1.0</v>
      </c>
    </row>
    <row r="2461" ht="15.75" customHeight="1">
      <c r="A2461" s="1">
        <v>2630.0</v>
      </c>
      <c r="B2461" s="3" t="s">
        <v>2375</v>
      </c>
      <c r="C2461" s="3" t="str">
        <f>IFERROR(__xludf.DUMMYFUNCTION("GOOGLETRANSLATE(B2461,""id"",""en"")"),"['good', 'job', 'hope', 'promo', 'card', 'priority', 'card', 'replace', 'fit', 'see', 'promo', 'survive', ' Many "", 'promo', 'sis']")</f>
        <v>['good', 'job', 'hope', 'promo', 'card', 'priority', 'card', 'replace', 'fit', 'see', 'promo', 'survive', ' Many ", 'promo', 'sis']</v>
      </c>
      <c r="D2461" s="3">
        <v>5.0</v>
      </c>
    </row>
    <row r="2462" ht="15.75" customHeight="1">
      <c r="A2462" s="1">
        <v>2631.0</v>
      </c>
      <c r="B2462" s="3" t="s">
        <v>2376</v>
      </c>
      <c r="C2462" s="3" t="str">
        <f>IFERROR(__xludf.DUMMYFUNCTION("GOOGLETRANSLATE(B2462,""id"",""en"")"),"['already', 'contents', 'package', 'pulse', 'date', 'octbr', 'notif', 'quota', 'berahchir', 'card', 'run out']")</f>
        <v>['already', 'contents', 'package', 'pulse', 'date', 'octbr', 'notif', 'quota', 'berahchir', 'card', 'run out']</v>
      </c>
      <c r="D2462" s="3">
        <v>2.0</v>
      </c>
    </row>
    <row r="2463" ht="15.75" customHeight="1">
      <c r="A2463" s="1">
        <v>2632.0</v>
      </c>
      <c r="B2463" s="3" t="s">
        <v>2377</v>
      </c>
      <c r="C2463" s="3" t="str">
        <f>IFERROR(__xludf.DUMMYFUNCTION("GOOGLETRANSLATE(B2463,""id"",""en"")"),"['Disappointed', 'Sad', '']")</f>
        <v>['Disappointed', 'Sad', '']</v>
      </c>
      <c r="D2463" s="3">
        <v>1.0</v>
      </c>
    </row>
    <row r="2464" ht="15.75" customHeight="1">
      <c r="A2464" s="1">
        <v>2633.0</v>
      </c>
      <c r="B2464" s="3" t="s">
        <v>2378</v>
      </c>
      <c r="C2464" s="3" t="str">
        <f>IFERROR(__xludf.DUMMYFUNCTION("GOOGLETRANSLATE(B2464,""id"",""en"")"),"['Network', 'slow', 'really', 'oath', '']")</f>
        <v>['Network', 'slow', 'really', 'oath', '']</v>
      </c>
      <c r="D2464" s="3">
        <v>1.0</v>
      </c>
    </row>
    <row r="2465" ht="15.75" customHeight="1">
      <c r="A2465" s="1">
        <v>2634.0</v>
      </c>
      <c r="B2465" s="3" t="s">
        <v>2379</v>
      </c>
      <c r="C2465" s="3" t="str">
        <f>IFERROR(__xludf.DUMMYFUNCTION("GOOGLETRANSLATE(B2465,""id"",""en"")"),"['promo', 'cheap', 'star']")</f>
        <v>['promo', 'cheap', 'star']</v>
      </c>
      <c r="D2465" s="3">
        <v>1.0</v>
      </c>
    </row>
    <row r="2466" ht="15.75" customHeight="1">
      <c r="A2466" s="1">
        <v>2635.0</v>
      </c>
      <c r="B2466" s="3" t="s">
        <v>2380</v>
      </c>
      <c r="C2466" s="3" t="str">
        <f>IFERROR(__xludf.DUMMYFUNCTION("GOOGLETRANSLATE(B2466,""id"",""en"")"),"['mayan', 'list', 'direct', 'can', 'quota', 'GB', 'free']")</f>
        <v>['mayan', 'list', 'direct', 'can', 'quota', 'GB', 'free']</v>
      </c>
      <c r="D2466" s="3">
        <v>5.0</v>
      </c>
    </row>
    <row r="2467" ht="15.75" customHeight="1">
      <c r="A2467" s="1">
        <v>2636.0</v>
      </c>
      <c r="B2467" s="3" t="s">
        <v>2381</v>
      </c>
      <c r="C2467" s="3" t="str">
        <f>IFERROR(__xludf.DUMMYFUNCTION("GOOGLETRANSLATE(B2467,""id"",""en"")"),"['thank', 'love', 'yaaa']")</f>
        <v>['thank', 'love', 'yaaa']</v>
      </c>
      <c r="D2467" s="3">
        <v>5.0</v>
      </c>
    </row>
    <row r="2468" ht="15.75" customHeight="1">
      <c r="A2468" s="1">
        <v>2637.0</v>
      </c>
      <c r="B2468" s="3" t="s">
        <v>424</v>
      </c>
      <c r="C2468" s="3" t="str">
        <f>IFERROR(__xludf.DUMMYFUNCTION("GOOGLETRANSLATE(B2468,""id"",""en"")"),"['fast']")</f>
        <v>['fast']</v>
      </c>
      <c r="D2468" s="3">
        <v>4.0</v>
      </c>
    </row>
    <row r="2469" ht="15.75" customHeight="1">
      <c r="A2469" s="1">
        <v>2638.0</v>
      </c>
      <c r="B2469" s="3" t="s">
        <v>2382</v>
      </c>
      <c r="C2469" s="3" t="str">
        <f>IFERROR(__xludf.DUMMYFUNCTION("GOOGLETRANSLATE(B2469,""id"",""en"")"),"['Siipp', 'help', 'check', 'pulse', 'active', 'quota', ""]")</f>
        <v>['Siipp', 'help', 'check', 'pulse', 'active', 'quota', "]</v>
      </c>
      <c r="D2469" s="3">
        <v>5.0</v>
      </c>
    </row>
    <row r="2470" ht="15.75" customHeight="1">
      <c r="A2470" s="1">
        <v>2639.0</v>
      </c>
      <c r="B2470" s="3" t="s">
        <v>2383</v>
      </c>
      <c r="C2470" s="3" t="str">
        <f>IFERROR(__xludf.DUMMYFUNCTION("GOOGLETRANSLATE(B2470,""id"",""en"")"),"['Hopefully', 'fast', 'service', 'network', 'pay attention']")</f>
        <v>['Hopefully', 'fast', 'service', 'network', 'pay attention']</v>
      </c>
      <c r="D2470" s="3">
        <v>5.0</v>
      </c>
    </row>
    <row r="2471" ht="15.75" customHeight="1">
      <c r="A2471" s="1">
        <v>2640.0</v>
      </c>
      <c r="B2471" s="3" t="s">
        <v>2384</v>
      </c>
      <c r="C2471" s="3" t="str">
        <f>IFERROR(__xludf.DUMMYFUNCTION("GOOGLETRANSLATE(B2471,""id"",""en"")"),"['ugly', 'ugly', 'bangett', 'application', 'network', 'mulu', 'benerin', 'signal', 'telkomsel', 'good', 'mls',' me ',' Pakek ',' Telkomsel ']")</f>
        <v>['ugly', 'ugly', 'bangett', 'application', 'network', 'mulu', 'benerin', 'signal', 'telkomsel', 'good', 'mls',' me ',' Pakek ',' Telkomsel ']</v>
      </c>
      <c r="D2471" s="3">
        <v>1.0</v>
      </c>
    </row>
    <row r="2472" ht="15.75" customHeight="1">
      <c r="A2472" s="1">
        <v>2641.0</v>
      </c>
      <c r="B2472" s="3" t="s">
        <v>2385</v>
      </c>
      <c r="C2472" s="3" t="str">
        <f>IFERROR(__xludf.DUMMYFUNCTION("GOOGLETRANSLATE(B2472,""id"",""en"")"),"['Satisfied', 'Wear', 'App', 'Check', 'Quota', 'Purchase', 'Credit', 'quotes', 'check', 'Points', 'Reward', ""]")</f>
        <v>['Satisfied', 'Wear', 'App', 'Check', 'Quota', 'Purchase', 'Credit', 'quotes', 'check', 'Points', 'Reward', "]</v>
      </c>
      <c r="D2472" s="3">
        <v>5.0</v>
      </c>
    </row>
    <row r="2473" ht="15.75" customHeight="1">
      <c r="A2473" s="1">
        <v>2642.0</v>
      </c>
      <c r="B2473" s="3" t="s">
        <v>2386</v>
      </c>
      <c r="C2473" s="3" t="str">
        <f>IFERROR(__xludf.DUMMYFUNCTION("GOOGLETRANSLATE(B2473,""id"",""en"")"),"['Help', 'at the time', 'internet']")</f>
        <v>['Help', 'at the time', 'internet']</v>
      </c>
      <c r="D2473" s="3">
        <v>5.0</v>
      </c>
    </row>
    <row r="2474" ht="15.75" customHeight="1">
      <c r="A2474" s="1">
        <v>2643.0</v>
      </c>
      <c r="B2474" s="3" t="s">
        <v>2387</v>
      </c>
      <c r="C2474" s="3" t="str">
        <f>IFERROR(__xludf.DUMMYFUNCTION("GOOGLETRANSLATE(B2474,""id"",""en"")"),"['Application', 'LEG', 'CERATICAN', 'Package', 'Please', 'Fix', 'Current', 'Application', ""]")</f>
        <v>['Application', 'LEG', 'CERATICAN', 'Package', 'Please', 'Fix', 'Current', 'Application', "]</v>
      </c>
      <c r="D2474" s="3">
        <v>3.0</v>
      </c>
    </row>
    <row r="2475" ht="15.75" customHeight="1">
      <c r="A2475" s="1">
        <v>2644.0</v>
      </c>
      <c r="B2475" s="3" t="s">
        <v>2388</v>
      </c>
      <c r="C2475" s="3" t="str">
        <f>IFERROR(__xludf.DUMMYFUNCTION("GOOGLETRANSLATE(B2475,""id"",""en"")"),"['Please', 'Connect', 'Signal', 'Sampe', 'Movers']")</f>
        <v>['Please', 'Connect', 'Signal', 'Sampe', 'Movers']</v>
      </c>
      <c r="D2475" s="3">
        <v>4.0</v>
      </c>
    </row>
    <row r="2476" ht="15.75" customHeight="1">
      <c r="A2476" s="1">
        <v>2645.0</v>
      </c>
      <c r="B2476" s="3" t="s">
        <v>2389</v>
      </c>
      <c r="C2476" s="3" t="str">
        <f>IFERROR(__xludf.DUMMYFUNCTION("GOOGLETRANSLATE(B2476,""id"",""en"")"),"['Package', 'Available', 'Appliced', 'Complete', 'Confused', 'Buy', 'Package', 'Call', 'Application', 'Available']")</f>
        <v>['Package', 'Available', 'Appliced', 'Complete', 'Confused', 'Buy', 'Package', 'Call', 'Application', 'Available']</v>
      </c>
      <c r="D2476" s="3">
        <v>1.0</v>
      </c>
    </row>
    <row r="2477" ht="15.75" customHeight="1">
      <c r="A2477" s="1">
        <v>2646.0</v>
      </c>
      <c r="B2477" s="3" t="s">
        <v>2390</v>
      </c>
      <c r="C2477" s="3" t="str">
        <f>IFERROR(__xludf.DUMMYFUNCTION("GOOGLETRANSLATE(B2477,""id"",""en"")"),"['multiply', 'promo', 'internet']")</f>
        <v>['multiply', 'promo', 'internet']</v>
      </c>
      <c r="D2477" s="3">
        <v>5.0</v>
      </c>
    </row>
    <row r="2478" ht="15.75" customHeight="1">
      <c r="A2478" s="1">
        <v>2647.0</v>
      </c>
      <c r="B2478" s="3" t="s">
        <v>2391</v>
      </c>
      <c r="C2478" s="3" t="str">
        <f>IFERROR(__xludf.DUMMYFUNCTION("GOOGLETRANSLATE(B2478,""id"",""en"")"),"['already', 'expensive', 'slow', 'network', 'area', 'already', 'use', 'network', 'please', 'Murah', 'yaa', 'already', ' expensive ',' quality ',' ngak ',' bikes']")</f>
        <v>['already', 'expensive', 'slow', 'network', 'area', 'already', 'use', 'network', 'please', 'Murah', 'yaa', 'already', ' expensive ',' quality ',' ngak ',' bikes']</v>
      </c>
      <c r="D2478" s="3">
        <v>1.0</v>
      </c>
    </row>
    <row r="2479" ht="15.75" customHeight="1">
      <c r="A2479" s="1">
        <v>2648.0</v>
      </c>
      <c r="B2479" s="3" t="s">
        <v>2392</v>
      </c>
      <c r="C2479" s="3" t="str">
        <f>IFERROR(__xludf.DUMMYFUNCTION("GOOGLETRANSLATE(B2479,""id"",""en"")"),"['package', 'expensive', 'quality', 'network', 'bad', 'cook', 'stay', 'city', 'signal', 'tsel', 'healthy']")</f>
        <v>['package', 'expensive', 'quality', 'network', 'bad', 'cook', 'stay', 'city', 'signal', 'tsel', 'healthy']</v>
      </c>
      <c r="D2479" s="3">
        <v>1.0</v>
      </c>
    </row>
    <row r="2480" ht="15.75" customHeight="1">
      <c r="A2480" s="1">
        <v>2649.0</v>
      </c>
      <c r="B2480" s="3" t="s">
        <v>2393</v>
      </c>
      <c r="C2480" s="3" t="str">
        <f>IFERROR(__xludf.DUMMYFUNCTION("GOOGLETRANSLATE(B2480,""id"",""en"")"),"['Cang', 'Child', 'Dayu', 'Ida', 'Good', 'Child', 'Dewa', 'Surya']")</f>
        <v>['Cang', 'Child', 'Dayu', 'Ida', 'Good', 'Child', 'Dewa', 'Surya']</v>
      </c>
      <c r="D2480" s="3">
        <v>5.0</v>
      </c>
    </row>
    <row r="2481" ht="15.75" customHeight="1">
      <c r="A2481" s="1">
        <v>2650.0</v>
      </c>
      <c r="B2481" s="3" t="s">
        <v>2394</v>
      </c>
      <c r="C2481" s="3" t="str">
        <f>IFERROR(__xludf.DUMMYFUNCTION("GOOGLETRANSLATE(B2481,""id"",""en"")"),"['', 'watch', 'youtube', 'open', 'tick', 'tok', 'game', 'road', 'open', 'youtube', 'wattpad', 'goggle', 'need ',' YouTube ',' goggle ',' etc. ',' open ',' tick ',' tok ',' game ',' kak ',' gini ',' loss', ""]")</f>
        <v>['', 'watch', 'youtube', 'open', 'tick', 'tok', 'game', 'road', 'open', 'youtube', 'wattpad', 'goggle', 'need ',' YouTube ',' goggle ',' etc. ',' open ',' tick ',' tok ',' game ',' kak ',' gini ',' loss', "]</v>
      </c>
      <c r="D2481" s="3">
        <v>1.0</v>
      </c>
    </row>
    <row r="2482" ht="15.75" customHeight="1">
      <c r="A2482" s="1">
        <v>2651.0</v>
      </c>
      <c r="B2482" s="3" t="s">
        <v>2395</v>
      </c>
      <c r="C2482" s="3" t="str">
        <f>IFERROR(__xludf.DUMMYFUNCTION("GOOGLETRANSLATE(B2482,""id"",""en"")"),"['dapet', 'internet', 'free', '']")</f>
        <v>['dapet', 'internet', 'free', '']</v>
      </c>
      <c r="D2482" s="3">
        <v>5.0</v>
      </c>
    </row>
    <row r="2483" ht="15.75" customHeight="1">
      <c r="A2483" s="1">
        <v>2652.0</v>
      </c>
      <c r="B2483" s="3" t="s">
        <v>2396</v>
      </c>
      <c r="C2483" s="3" t="str">
        <f>IFERROR(__xludf.DUMMYFUNCTION("GOOGLETRANSLATE(B2483,""id"",""en"")"),"['regret', 'use', 'Telkomsel', 'already', 'slow', 'nglag', 'expensive', 'bankrupt']")</f>
        <v>['regret', 'use', 'Telkomsel', 'already', 'slow', 'nglag', 'expensive', 'bankrupt']</v>
      </c>
      <c r="D2483" s="3">
        <v>1.0</v>
      </c>
    </row>
    <row r="2484" ht="15.75" customHeight="1">
      <c r="A2484" s="1">
        <v>2653.0</v>
      </c>
      <c r="B2484" s="3" t="s">
        <v>2397</v>
      </c>
      <c r="C2484" s="3" t="str">
        <f>IFERROR(__xludf.DUMMYFUNCTION("GOOGLETRANSLATE(B2484,""id"",""en"")"),"['Hopefully', 'Helpful', 'Customer', 'Setia', '']")</f>
        <v>['Hopefully', 'Helpful', 'Customer', 'Setia', '']</v>
      </c>
      <c r="D2484" s="3">
        <v>4.0</v>
      </c>
    </row>
    <row r="2485" ht="15.75" customHeight="1">
      <c r="A2485" s="1">
        <v>2654.0</v>
      </c>
      <c r="B2485" s="3" t="s">
        <v>2398</v>
      </c>
      <c r="C2485" s="3" t="str">
        <f>IFERROR(__xludf.DUMMYFUNCTION("GOOGLETRANSLATE(B2485,""id"",""en"")"),"['Hopefully', 'cheap', 'quota']")</f>
        <v>['Hopefully', 'cheap', 'quota']</v>
      </c>
      <c r="D2485" s="3">
        <v>4.0</v>
      </c>
    </row>
    <row r="2486" ht="15.75" customHeight="1">
      <c r="A2486" s="1">
        <v>2655.0</v>
      </c>
      <c r="B2486" s="3" t="s">
        <v>2399</v>
      </c>
      <c r="C2486" s="3" t="str">
        <f>IFERROR(__xludf.DUMMYFUNCTION("GOOGLETRANSLATE(B2486,""id"",""en"")"),"['How', 'Bukak', ""]")</f>
        <v>['How', 'Bukak', "]</v>
      </c>
      <c r="D2486" s="3">
        <v>1.0</v>
      </c>
    </row>
    <row r="2487" ht="15.75" customHeight="1">
      <c r="A2487" s="1">
        <v>2656.0</v>
      </c>
      <c r="B2487" s="3" t="s">
        <v>2400</v>
      </c>
      <c r="C2487" s="3" t="str">
        <f>IFERROR(__xludf.DUMMYFUNCTION("GOOGLETRANSLATE(B2487,""id"",""en"")"),"['Please', 'Sorry', 'Telkomsel', 'number', 'Telkomsel', 'grace', 'fill out', 'pulse', 'grace', 'please', 'help', 'to' Telkomsel ']")</f>
        <v>['Please', 'Sorry', 'Telkomsel', 'number', 'Telkomsel', 'grace', 'fill out', 'pulse', 'grace', 'please', 'help', 'to' Telkomsel ']</v>
      </c>
      <c r="D2487" s="3">
        <v>1.0</v>
      </c>
    </row>
    <row r="2488" ht="15.75" customHeight="1">
      <c r="A2488" s="1">
        <v>2658.0</v>
      </c>
      <c r="B2488" s="3" t="s">
        <v>2401</v>
      </c>
      <c r="C2488" s="3" t="str">
        <f>IFERROR(__xludf.DUMMYFUNCTION("GOOGLETRANSLATE(B2488,""id"",""en"")"),"['Increases', 'Service', 'Best', 'Good', '']")</f>
        <v>['Increases', 'Service', 'Best', 'Good', '']</v>
      </c>
      <c r="D2488" s="3">
        <v>5.0</v>
      </c>
    </row>
    <row r="2489" ht="15.75" customHeight="1">
      <c r="A2489" s="1">
        <v>2659.0</v>
      </c>
      <c r="B2489" s="3" t="s">
        <v>2402</v>
      </c>
      <c r="C2489" s="3" t="str">
        <f>IFERROR(__xludf.DUMMYFUNCTION("GOOGLETRANSLATE(B2489,""id"",""en"")"),"['application', 'developer', 'service', 'bad', 'solution', '']")</f>
        <v>['application', 'developer', 'service', 'bad', 'solution', '']</v>
      </c>
      <c r="D2489" s="3">
        <v>1.0</v>
      </c>
    </row>
    <row r="2490" ht="15.75" customHeight="1">
      <c r="A2490" s="1">
        <v>2660.0</v>
      </c>
      <c r="B2490" s="3" t="s">
        <v>2403</v>
      </c>
      <c r="C2490" s="3" t="str">
        <f>IFERROR(__xludf.DUMMYFUNCTION("GOOGLETRANSLATE(B2490,""id"",""en"")"),"['Telkomsel', 'okay', 'suggestion', 'signal', 'stable']")</f>
        <v>['Telkomsel', 'okay', 'suggestion', 'signal', 'stable']</v>
      </c>
      <c r="D2490" s="3">
        <v>5.0</v>
      </c>
    </row>
    <row r="2491" ht="15.75" customHeight="1">
      <c r="A2491" s="1">
        <v>2661.0</v>
      </c>
      <c r="B2491" s="3" t="s">
        <v>2404</v>
      </c>
      <c r="C2491" s="3" t="str">
        <f>IFERROR(__xludf.DUMMYFUNCTION("GOOGLETRANSLATE(B2491,""id"",""en"")"),"['Success', 'Jaya', 'Telkomsel']")</f>
        <v>['Success', 'Jaya', 'Telkomsel']</v>
      </c>
      <c r="D2491" s="3">
        <v>5.0</v>
      </c>
    </row>
    <row r="2492" ht="15.75" customHeight="1">
      <c r="A2492" s="1">
        <v>2662.0</v>
      </c>
      <c r="B2492" s="3" t="s">
        <v>2405</v>
      </c>
      <c r="C2492" s="3" t="str">
        <f>IFERROR(__xludf.DUMMYFUNCTION("GOOGLETRANSLATE(B2492,""id"",""en"")"),"['already', 'topup', 'credit', 'Telkomsel', 'entered', 'pulses', 'disorder', 'what', 'please', ""]")</f>
        <v>['already', 'topup', 'credit', 'Telkomsel', 'entered', 'pulses', 'disorder', 'what', 'please', "]</v>
      </c>
      <c r="D2492" s="3">
        <v>5.0</v>
      </c>
    </row>
    <row r="2493" ht="15.75" customHeight="1">
      <c r="A2493" s="1">
        <v>2663.0</v>
      </c>
      <c r="B2493" s="3" t="s">
        <v>2406</v>
      </c>
      <c r="C2493" s="3" t="str">
        <f>IFERROR(__xludf.DUMMYFUNCTION("GOOGLETRANSLATE(B2493,""id"",""en"")"),"['check', 'GB', 'check', 'missing', 'Telkomsel', 'cheating', 'forced', 'love', 'quota', 'nga', ""]")</f>
        <v>['check', 'GB', 'check', 'missing', 'Telkomsel', 'cheating', 'forced', 'love', 'quota', 'nga', "]</v>
      </c>
      <c r="D2493" s="3">
        <v>1.0</v>
      </c>
    </row>
    <row r="2494" ht="15.75" customHeight="1">
      <c r="A2494" s="1">
        <v>2664.0</v>
      </c>
      <c r="B2494" s="3" t="s">
        <v>2407</v>
      </c>
      <c r="C2494" s="3" t="str">
        <f>IFERROR(__xludf.DUMMYFUNCTION("GOOGLETRANSLATE(B2494,""id"",""en"")"),"['Not bad', 'difficult', 'entry', 'heavy', 'APK']")</f>
        <v>['Not bad', 'difficult', 'entry', 'heavy', 'APK']</v>
      </c>
      <c r="D2494" s="3">
        <v>4.0</v>
      </c>
    </row>
    <row r="2495" ht="15.75" customHeight="1">
      <c r="A2495" s="1">
        <v>2665.0</v>
      </c>
      <c r="B2495" s="3" t="s">
        <v>2408</v>
      </c>
      <c r="C2495" s="3" t="str">
        <f>IFERROR(__xludf.DUMMYFUNCTION("GOOGLETRANSLATE(B2495,""id"",""en"")"),"['card', 'his writing', 'expiration', 'pdhal', 'already', 'buy', 'pulse', 'buy', 'package']")</f>
        <v>['card', 'his writing', 'expiration', 'pdhal', 'already', 'buy', 'pulse', 'buy', 'package']</v>
      </c>
      <c r="D2495" s="3">
        <v>1.0</v>
      </c>
    </row>
    <row r="2496" ht="15.75" customHeight="1">
      <c r="A2496" s="1">
        <v>2666.0</v>
      </c>
      <c r="B2496" s="3" t="s">
        <v>2409</v>
      </c>
      <c r="C2496" s="3" t="str">
        <f>IFERROR(__xludf.DUMMYFUNCTION("GOOGLETRANSLATE(B2496,""id"",""en"")"),"['Network', 'Where', '']")</f>
        <v>['Network', 'Where', '']</v>
      </c>
      <c r="D2496" s="3">
        <v>5.0</v>
      </c>
    </row>
    <row r="2497" ht="15.75" customHeight="1">
      <c r="A2497" s="1">
        <v>2667.0</v>
      </c>
      <c r="B2497" s="3" t="s">
        <v>2410</v>
      </c>
      <c r="C2497" s="3" t="str">
        <f>IFERROR(__xludf.DUMMYFUNCTION("GOOGLETRANSLATE(B2497,""id"",""en"")"),"['Network', 'good', 'package', 'use', 'network', 'good', 'eah', 'expensive', 'buy', 'pound', 'used', 'Gara', ' Gara ',' Network ',' poor ',' ']")</f>
        <v>['Network', 'good', 'package', 'use', 'network', 'good', 'eah', 'expensive', 'buy', 'pound', 'used', 'Gara', ' Gara ',' Network ',' poor ',' ']</v>
      </c>
      <c r="D2497" s="3">
        <v>3.0</v>
      </c>
    </row>
    <row r="2498" ht="15.75" customHeight="1">
      <c r="A2498" s="1">
        <v>2668.0</v>
      </c>
      <c r="B2498" s="3" t="s">
        <v>2411</v>
      </c>
      <c r="C2498" s="3" t="str">
        <f>IFERROR(__xludf.DUMMYFUNCTION("GOOGLETRANSLATE(B2498,""id"",""en"")"),"['signal', 'Telkomsel', 'weak', 'ugly', 'comfortable', 'users', 'network', 'ugly', 'Indonesia']")</f>
        <v>['signal', 'Telkomsel', 'weak', 'ugly', 'comfortable', 'users', 'network', 'ugly', 'Indonesia']</v>
      </c>
      <c r="D2498" s="3">
        <v>1.0</v>
      </c>
    </row>
    <row r="2499" ht="15.75" customHeight="1">
      <c r="A2499" s="1">
        <v>2669.0</v>
      </c>
      <c r="B2499" s="3" t="s">
        <v>2412</v>
      </c>
      <c r="C2499" s="3" t="str">
        <f>IFERROR(__xludf.DUMMYFUNCTION("GOOGLETRANSLATE(B2499,""id"",""en"")"),"['contents', 'pulse', 'description', 'grace', 'belongs', 'grace', 'risih']")</f>
        <v>['contents', 'pulse', 'description', 'grace', 'belongs', 'grace', 'risih']</v>
      </c>
      <c r="D2499" s="3">
        <v>1.0</v>
      </c>
    </row>
    <row r="2500" ht="15.75" customHeight="1">
      <c r="A2500" s="1">
        <v>2670.0</v>
      </c>
      <c r="B2500" s="3" t="s">
        <v>2413</v>
      </c>
      <c r="C2500" s="3" t="str">
        <f>IFERROR(__xludf.DUMMYFUNCTION("GOOGLETRANSLATE(B2500,""id"",""en"")"),"['Star', 'because', 'buy', 'Kouta', 'coin', 'tired', 'collect', 'TPI', 'Doang', 'times',' bother ',' Kouta ',' Good ',' TPI ',' Doang ']")</f>
        <v>['Star', 'because', 'buy', 'Kouta', 'coin', 'tired', 'collect', 'TPI', 'Doang', 'times',' bother ',' Kouta ',' Good ',' TPI ',' Doang ']</v>
      </c>
      <c r="D2500" s="3">
        <v>3.0</v>
      </c>
    </row>
    <row r="2501" ht="15.75" customHeight="1">
      <c r="A2501" s="1">
        <v>2672.0</v>
      </c>
      <c r="B2501" s="3" t="s">
        <v>2414</v>
      </c>
      <c r="C2501" s="3" t="str">
        <f>IFERROR(__xludf.DUMMYFUNCTION("GOOGLETRANSLATE(B2501,""id"",""en"")"),"['contents',' pulse ',' buy ',' package ',' Telkomsel ',' love ',' description ',' quota ',' out ',' date ',' October ',' buy ',' package ',' tggal ',' contents', 'pulse', 'buy', 'package', 'maintain', 'card', 'check', 'card', 'active', 'date', 'Nov' , 'a"&amp;"ccount', 'Telkomsel', 'reply', 'Please', 'his direction', '']")</f>
        <v>['contents',' pulse ',' buy ',' package ',' Telkomsel ',' love ',' description ',' quota ',' out ',' date ',' October ',' buy ',' package ',' tggal ',' contents', 'pulse', 'buy', 'package', 'maintain', 'card', 'check', 'card', 'active', 'date', 'Nov' , 'account', 'Telkomsel', 'reply', 'Please', 'his direction', '']</v>
      </c>
      <c r="D2501" s="3">
        <v>1.0</v>
      </c>
    </row>
    <row r="2502" ht="15.75" customHeight="1">
      <c r="A2502" s="1">
        <v>2673.0</v>
      </c>
      <c r="B2502" s="3" t="s">
        <v>2415</v>
      </c>
      <c r="C2502" s="3" t="str">
        <f>IFERROR(__xludf.DUMMYFUNCTION("GOOGLETRANSLATE(B2502,""id"",""en"")"),"['Telkomsel', 'customer', 'here', 'bad', 'service', 'Kuliady', 'network', 'price', 'package', 'quota', 'expensive', 'Telkomsel', ' Sell ​​',' Quality ',' Network ',' Lose ',' Indosat ', ""]")</f>
        <v>['Telkomsel', 'customer', 'here', 'bad', 'service', 'Kuliady', 'network', 'price', 'package', 'quota', 'expensive', 'Telkomsel', ' Sell ​​',' Quality ',' Network ',' Lose ',' Indosat ', "]</v>
      </c>
      <c r="D2502" s="3">
        <v>1.0</v>
      </c>
    </row>
    <row r="2503" ht="15.75" customHeight="1">
      <c r="A2503" s="1">
        <v>2674.0</v>
      </c>
      <c r="B2503" s="3" t="s">
        <v>2416</v>
      </c>
      <c r="C2503" s="3" t="str">
        <f>IFERROR(__xludf.DUMMYFUNCTION("GOOGLETRANSLATE(B2503,""id"",""en"")"),"['application', 'garbage', 'network', 'contents',' pulse ',' list ',' package ',' right ',' open ',' application ',' pulses', 'directly', ' Suck ',' Satan ',' ']")</f>
        <v>['application', 'garbage', 'network', 'contents',' pulse ',' list ',' package ',' right ',' open ',' application ',' pulses', 'directly', ' Suck ',' Satan ',' ']</v>
      </c>
      <c r="D2503" s="3">
        <v>1.0</v>
      </c>
    </row>
    <row r="2504" ht="15.75" customHeight="1">
      <c r="A2504" s="1">
        <v>2675.0</v>
      </c>
      <c r="B2504" s="3" t="s">
        <v>2417</v>
      </c>
      <c r="C2504" s="3" t="str">
        <f>IFERROR(__xludf.DUMMYFUNCTION("GOOGLETRANSLATE(B2504,""id"",""en"")"),"['Network', 'Error', 'Pubg', 'Good', 'Location', 'City']")</f>
        <v>['Network', 'Error', 'Pubg', 'Good', 'Location', 'City']</v>
      </c>
      <c r="D2504" s="3">
        <v>5.0</v>
      </c>
    </row>
    <row r="2505" ht="15.75" customHeight="1">
      <c r="A2505" s="1">
        <v>2676.0</v>
      </c>
      <c r="B2505" s="3" t="s">
        <v>2418</v>
      </c>
      <c r="C2505" s="3" t="str">
        <f>IFERROR(__xludf.DUMMYFUNCTION("GOOGLETRANSLATE(B2505,""id"",""en"")"),"['Satisfied', 'Service', 'Application', 'BLM', 'SPECIAL']")</f>
        <v>['Satisfied', 'Service', 'Application', 'BLM', 'SPECIAL']</v>
      </c>
      <c r="D2505" s="3">
        <v>3.0</v>
      </c>
    </row>
    <row r="2506" ht="15.75" customHeight="1">
      <c r="A2506" s="1">
        <v>2677.0</v>
      </c>
      <c r="B2506" s="3" t="s">
        <v>2419</v>
      </c>
      <c r="C2506" s="3" t="str">
        <f>IFERROR(__xludf.DUMMYFUNCTION("GOOGLETRANSLATE(B2506,""id"",""en"")"),"['best', 'heart', 'steady', 'charging', 'pulse', 'bonus', 'quota', 'network', 'next door', '']")</f>
        <v>['best', 'heart', 'steady', 'charging', 'pulse', 'bonus', 'quota', 'network', 'next door', '']</v>
      </c>
      <c r="D2506" s="3">
        <v>5.0</v>
      </c>
    </row>
    <row r="2507" ht="15.75" customHeight="1">
      <c r="A2507" s="1">
        <v>2679.0</v>
      </c>
      <c r="B2507" s="3" t="s">
        <v>2420</v>
      </c>
      <c r="C2507" s="3" t="str">
        <f>IFERROR(__xludf.DUMMYFUNCTION("GOOGLETRANSLATE(B2507,""id"",""en"")"),"['Ribet', 'buy', 'Package', 'MyTelkomsel', 'Slalu', 'Slalu', 'Disorders', 'Cobalagi', 'truss', ""]")</f>
        <v>['Ribet', 'buy', 'Package', 'MyTelkomsel', 'Slalu', 'Slalu', 'Disorders', 'Cobalagi', 'truss', "]</v>
      </c>
      <c r="D2507" s="3">
        <v>4.0</v>
      </c>
    </row>
    <row r="2508" ht="15.75" customHeight="1">
      <c r="A2508" s="1">
        <v>2680.0</v>
      </c>
      <c r="B2508" s="3" t="s">
        <v>2421</v>
      </c>
      <c r="C2508" s="3" t="str">
        <f>IFERROR(__xludf.DUMMYFUNCTION("GOOGLETRANSLATE(B2508,""id"",""en"")"),"['It's easy', 'transaction']")</f>
        <v>['It's easy', 'transaction']</v>
      </c>
      <c r="D2508" s="3">
        <v>5.0</v>
      </c>
    </row>
    <row r="2509" ht="15.75" customHeight="1">
      <c r="A2509" s="1">
        <v>2681.0</v>
      </c>
      <c r="B2509" s="3" t="s">
        <v>2422</v>
      </c>
      <c r="C2509" s="3" t="str">
        <f>IFERROR(__xludf.DUMMYFUNCTION("GOOGLETRANSLATE(B2509,""id"",""en"")"),"['connection', 'bad', 'times', '']")</f>
        <v>['connection', 'bad', 'times', '']</v>
      </c>
      <c r="D2509" s="3">
        <v>4.0</v>
      </c>
    </row>
    <row r="2510" ht="15.75" customHeight="1">
      <c r="A2510" s="1">
        <v>2682.0</v>
      </c>
      <c r="B2510" s="3" t="s">
        <v>2423</v>
      </c>
      <c r="C2510" s="3" t="str">
        <f>IFERROR(__xludf.DUMMYFUNCTION("GOOGLETRANSLATE(B2510,""id"",""en"")"),"['serving', 'bad', 'report', 'Krna', 'Package', 'Local', 'GPS', 'On', 'Central Java', 'Reasons', 'Doly "",' Cirebon ',' Strange ',' Application ',' Realtime ',' Signal ',' Lost ',' Privoder ',' Best ',' Lost ',' Equek ',' Next ""]")</f>
        <v>['serving', 'bad', 'report', 'Krna', 'Package', 'Local', 'GPS', 'On', 'Central Java', 'Reasons', 'Doly ",' Cirebon ',' Strange ',' Application ',' Realtime ',' Signal ',' Lost ',' Privoder ',' Best ',' Lost ',' Equek ',' Next "]</v>
      </c>
      <c r="D2510" s="3">
        <v>1.0</v>
      </c>
    </row>
    <row r="2511" ht="15.75" customHeight="1">
      <c r="A2511" s="1">
        <v>2683.0</v>
      </c>
      <c r="B2511" s="3" t="s">
        <v>2424</v>
      </c>
      <c r="C2511" s="3" t="str">
        <f>IFERROR(__xludf.DUMMYFUNCTION("GOOGLETRANSLATE(B2511,""id"",""en"")"),"['Mission', 'Check', 'Live', 'Ngome', 'Intention', 'Claims', 'Disappointed', ""]")</f>
        <v>['Mission', 'Check', 'Live', 'Ngome', 'Intention', 'Claims', 'Disappointed', "]</v>
      </c>
      <c r="D2511" s="3">
        <v>3.0</v>
      </c>
    </row>
    <row r="2512" ht="15.75" customHeight="1">
      <c r="A2512" s="1">
        <v>2684.0</v>
      </c>
      <c r="B2512" s="3" t="s">
        <v>2425</v>
      </c>
      <c r="C2512" s="3" t="str">
        <f>IFERROR(__xludf.DUMMYFUNCTION("GOOGLETRANSLATE(B2512,""id"",""en"")"),"['Beginner', 'Love', 'Bintang', 'Sis']")</f>
        <v>['Beginner', 'Love', 'Bintang', 'Sis']</v>
      </c>
      <c r="D2512" s="3">
        <v>3.0</v>
      </c>
    </row>
    <row r="2513" ht="15.75" customHeight="1">
      <c r="A2513" s="1">
        <v>2685.0</v>
      </c>
      <c r="B2513" s="3" t="s">
        <v>2426</v>
      </c>
      <c r="C2513" s="3" t="str">
        <f>IFERROR(__xludf.DUMMYFUNCTION("GOOGLETRANSLATE(B2513,""id"",""en"")"),"['Data', 'run out', 'pulse', 'missing', 'Different', 'operator', 'data', 'run out', 'internet', 'direct', 'connect']")</f>
        <v>['Data', 'run out', 'pulse', 'missing', 'Different', 'operator', 'data', 'run out', 'internet', 'direct', 'connect']</v>
      </c>
      <c r="D2513" s="3">
        <v>1.0</v>
      </c>
    </row>
    <row r="2514" ht="15.75" customHeight="1">
      <c r="A2514" s="1">
        <v>2686.0</v>
      </c>
      <c r="B2514" s="3" t="s">
        <v>2427</v>
      </c>
      <c r="C2514" s="3" t="str">
        <f>IFERROR(__xludf.DUMMYFUNCTION("GOOGLETRANSLATE(B2514,""id"",""en"")"),"['Satisfying', 'Save', 'Costs', 'Mantul', '']")</f>
        <v>['Satisfying', 'Save', 'Costs', 'Mantul', '']</v>
      </c>
      <c r="D2514" s="3">
        <v>5.0</v>
      </c>
    </row>
    <row r="2515" ht="15.75" customHeight="1">
      <c r="A2515" s="1">
        <v>2687.0</v>
      </c>
      <c r="B2515" s="3" t="s">
        <v>2428</v>
      </c>
      <c r="C2515" s="3" t="str">
        <f>IFERROR(__xludf.DUMMYFUNCTION("GOOGLETRANSLATE(B2515,""id"",""en"")"),"['Promo', 'good', 'interesting', 'hope', 'Sanggin', 'innovative', 'creative']")</f>
        <v>['Promo', 'good', 'interesting', 'hope', 'Sanggin', 'innovative', 'creative']</v>
      </c>
      <c r="D2515" s="3">
        <v>5.0</v>
      </c>
    </row>
    <row r="2516" ht="15.75" customHeight="1">
      <c r="A2516" s="1">
        <v>2688.0</v>
      </c>
      <c r="B2516" s="3" t="s">
        <v>2429</v>
      </c>
      <c r="C2516" s="3" t="str">
        <f>IFERROR(__xludf.DUMMYFUNCTION("GOOGLETRANSLATE(B2516,""id"",""en"")"),"['like', 'application', 'good']")</f>
        <v>['like', 'application', 'good']</v>
      </c>
      <c r="D2516" s="3">
        <v>5.0</v>
      </c>
    </row>
    <row r="2517" ht="15.75" customHeight="1">
      <c r="A2517" s="1">
        <v>2689.0</v>
      </c>
      <c r="B2517" s="3" t="s">
        <v>2430</v>
      </c>
      <c r="C2517" s="3" t="str">
        <f>IFERROR(__xludf.DUMMYFUNCTION("GOOGLETRANSLATE(B2517,""id"",""en"")"),"['Package', 'unlimited', 'RB', 'used', 'signal', '']")</f>
        <v>['Package', 'unlimited', 'RB', 'used', 'signal', '']</v>
      </c>
      <c r="D2517" s="3">
        <v>3.0</v>
      </c>
    </row>
    <row r="2518" ht="15.75" customHeight="1">
      <c r="A2518" s="1">
        <v>2691.0</v>
      </c>
      <c r="B2518" s="3" t="s">
        <v>81</v>
      </c>
      <c r="C2518" s="3" t="str">
        <f>IFERROR(__xludf.DUMMYFUNCTION("GOOGLETRANSLATE(B2518,""id"",""en"")"),"['application', 'good']")</f>
        <v>['application', 'good']</v>
      </c>
      <c r="D2518" s="3">
        <v>5.0</v>
      </c>
    </row>
    <row r="2519" ht="15.75" customHeight="1">
      <c r="A2519" s="1">
        <v>2692.0</v>
      </c>
      <c r="B2519" s="3" t="s">
        <v>2431</v>
      </c>
      <c r="C2519" s="3" t="str">
        <f>IFERROR(__xludf.DUMMYFUNCTION("GOOGLETRANSLATE(B2519,""id"",""en"")"),"['signal', 'ugly', 'pke', 'maen', 'game', '']")</f>
        <v>['signal', 'ugly', 'pke', 'maen', 'game', '']</v>
      </c>
      <c r="D2519" s="3">
        <v>1.0</v>
      </c>
    </row>
    <row r="2520" ht="15.75" customHeight="1">
      <c r="A2520" s="1">
        <v>2693.0</v>
      </c>
      <c r="B2520" s="3" t="s">
        <v>2432</v>
      </c>
      <c r="C2520" s="3" t="str">
        <f>IFERROR(__xludf.DUMMYFUNCTION("GOOGLETRANSLATE(B2520,""id"",""en"")"),"['How', 'NIH', 'Network', 'Leg', 'LIKUR', 'Increases', 'Dooong', ""]")</f>
        <v>['How', 'NIH', 'Network', 'Leg', 'LIKUR', 'Increases', 'Dooong', "]</v>
      </c>
      <c r="D2520" s="3">
        <v>2.0</v>
      </c>
    </row>
    <row r="2521" ht="15.75" customHeight="1">
      <c r="A2521" s="1">
        <v>2694.0</v>
      </c>
      <c r="B2521" s="3" t="s">
        <v>2433</v>
      </c>
      <c r="C2521" s="3" t="str">
        <f>IFERROR(__xludf.DUMMYFUNCTION("GOOGLETRANSLATE(B2521,""id"",""en"")"),"['NPA', 'data', 'package', 'gamemax', 'high school', 'maxstream', 'bigger', 'error', 'tlg', 'donk', 'fix', 'he married', ' thanks', '']")</f>
        <v>['NPA', 'data', 'package', 'gamemax', 'high school', 'maxstream', 'bigger', 'error', 'tlg', 'donk', 'fix', 'he married', ' thanks', '']</v>
      </c>
      <c r="D2521" s="3">
        <v>1.0</v>
      </c>
    </row>
    <row r="2522" ht="15.75" customHeight="1">
      <c r="A2522" s="1">
        <v>2696.0</v>
      </c>
      <c r="B2522" s="3" t="s">
        <v>2434</v>
      </c>
      <c r="C2522" s="3" t="str">
        <f>IFERROR(__xludf.DUMMYFUNCTION("GOOGLETRANSLATE(B2522,""id"",""en"")"),"['apk', 'lalet', 'reason', 'lazy', 'buy', 'pulse', 'package', 'Disney', 'because' every time, 'open', 'apk', ' CMN ',' White ',' Bru ',' appears', 'Notif', 'APK', 'responding', '']")</f>
        <v>['apk', 'lalet', 'reason', 'lazy', 'buy', 'pulse', 'package', 'Disney', 'because' every time, 'open', 'apk', ' CMN ',' White ',' Bru ',' appears', 'Notif', 'APK', 'responding', '']</v>
      </c>
      <c r="D2522" s="3">
        <v>1.0</v>
      </c>
    </row>
    <row r="2523" ht="15.75" customHeight="1">
      <c r="A2523" s="1">
        <v>2697.0</v>
      </c>
      <c r="B2523" s="3" t="s">
        <v>122</v>
      </c>
      <c r="C2523" s="3" t="str">
        <f>IFERROR(__xludf.DUMMYFUNCTION("GOOGLETRANSLATE(B2523,""id"",""en"")"),"['easy']")</f>
        <v>['easy']</v>
      </c>
      <c r="D2523" s="3">
        <v>5.0</v>
      </c>
    </row>
    <row r="2524" ht="15.75" customHeight="1">
      <c r="A2524" s="1">
        <v>2698.0</v>
      </c>
      <c r="B2524" s="3" t="s">
        <v>2435</v>
      </c>
      <c r="C2524" s="3" t="str">
        <f>IFERROR(__xludf.DUMMYFUNCTION("GOOGLETRANSLATE(B2524,""id"",""en"")"),"['Telkomsel', 'friend', 'Truthful', '']")</f>
        <v>['Telkomsel', 'friend', 'Truthful', '']</v>
      </c>
      <c r="D2524" s="3">
        <v>5.0</v>
      </c>
    </row>
    <row r="2525" ht="15.75" customHeight="1">
      <c r="A2525" s="1">
        <v>2699.0</v>
      </c>
      <c r="B2525" s="3" t="s">
        <v>2436</v>
      </c>
      <c r="C2525" s="3" t="str">
        <f>IFERROR(__xludf.DUMMYFUNCTION("GOOGLETRANSLATE(B2525,""id"",""en"")"),"['Increase']")</f>
        <v>['Increase']</v>
      </c>
      <c r="D2525" s="3">
        <v>3.0</v>
      </c>
    </row>
    <row r="2526" ht="15.75" customHeight="1">
      <c r="A2526" s="1">
        <v>2700.0</v>
      </c>
      <c r="B2526" s="3" t="s">
        <v>2437</v>
      </c>
      <c r="C2526" s="3" t="str">
        <f>IFERROR(__xludf.DUMMYFUNCTION("GOOGLETRANSLATE(B2526,""id"",""en"")"),"['Please', 'sorry', 'love', 'rate', 'that way', 'just', 'content', 'pulse', 'buy', 'quota', 'right', 'open', ' Application ',' MyTelkomsel ',' given ',' Notif ',' card ',' grace ',' why ',' just ',' contents', 'pulses',' directly ',' buy it ',' quota ' , "&amp;"'strange', 'Telkomsel']")</f>
        <v>['Please', 'sorry', 'love', 'rate', 'that way', 'just', 'content', 'pulse', 'buy', 'quota', 'right', 'open', ' Application ',' MyTelkomsel ',' given ',' Notif ',' card ',' grace ',' why ',' just ',' contents', 'pulses',' directly ',' buy it ',' quota ' , 'strange', 'Telkomsel']</v>
      </c>
      <c r="D2526" s="3">
        <v>1.0</v>
      </c>
    </row>
    <row r="2527" ht="15.75" customHeight="1">
      <c r="A2527" s="1">
        <v>2701.0</v>
      </c>
      <c r="B2527" s="3" t="s">
        <v>2438</v>
      </c>
      <c r="C2527" s="3" t="str">
        <f>IFERROR(__xludf.DUMMYFUNCTION("GOOGLETRANSLATE(B2527,""id"",""en"")"),"['JGAN', 'Eliminate', 'Unlimited', 'Telkom']")</f>
        <v>['JGAN', 'Eliminate', 'Unlimited', 'Telkom']</v>
      </c>
      <c r="D2527" s="3">
        <v>5.0</v>
      </c>
    </row>
    <row r="2528" ht="15.75" customHeight="1">
      <c r="A2528" s="1">
        <v>2702.0</v>
      </c>
      <c r="B2528" s="3" t="s">
        <v>2439</v>
      </c>
      <c r="C2528" s="3" t="str">
        <f>IFERROR(__xludf.DUMMYFUNCTION("GOOGLETRANSLATE(B2528,""id"",""en"")"),"['Package', 'expensive', 'promo', 'cheap', '']")</f>
        <v>['Package', 'expensive', 'promo', 'cheap', '']</v>
      </c>
      <c r="D2528" s="3">
        <v>1.0</v>
      </c>
    </row>
    <row r="2529" ht="15.75" customHeight="1">
      <c r="A2529" s="1">
        <v>2703.0</v>
      </c>
      <c r="B2529" s="3" t="s">
        <v>2440</v>
      </c>
      <c r="C2529" s="3" t="str">
        <f>IFERROR(__xludf.DUMMYFUNCTION("GOOGLETRANSLATE(B2529,""id"",""en"")"),"['It's easy', 'access']")</f>
        <v>['It's easy', 'access']</v>
      </c>
      <c r="D2529" s="3">
        <v>5.0</v>
      </c>
    </row>
    <row r="2530" ht="15.75" customHeight="1">
      <c r="A2530" s="1">
        <v>2704.0</v>
      </c>
      <c r="B2530" s="3" t="s">
        <v>2441</v>
      </c>
      <c r="C2530" s="3" t="str">
        <f>IFERROR(__xludf.DUMMYFUNCTION("GOOGLETRANSLATE(B2530,""id"",""en"")"),"['Application', 'profitable']")</f>
        <v>['Application', 'profitable']</v>
      </c>
      <c r="D2530" s="3">
        <v>5.0</v>
      </c>
    </row>
    <row r="2531" ht="15.75" customHeight="1">
      <c r="A2531" s="1">
        <v>2705.0</v>
      </c>
      <c r="B2531" s="3" t="s">
        <v>2442</v>
      </c>
      <c r="C2531" s="3" t="str">
        <f>IFERROR(__xludf.DUMMYFUNCTION("GOOGLETRANSLATE(B2531,""id"",""en"")"),"['Fun', 'use', 'Telkomsel']")</f>
        <v>['Fun', 'use', 'Telkomsel']</v>
      </c>
      <c r="D2531" s="3">
        <v>5.0</v>
      </c>
    </row>
    <row r="2532" ht="15.75" customHeight="1">
      <c r="A2532" s="1">
        <v>2706.0</v>
      </c>
      <c r="B2532" s="3" t="s">
        <v>2443</v>
      </c>
      <c r="C2532" s="3" t="str">
        <f>IFERROR(__xludf.DUMMYFUNCTION("GOOGLETRANSLATE(B2532,""id"",""en"")"),"['Lotten', 'bonus', 'bonus', 'steady']")</f>
        <v>['Lotten', 'bonus', 'bonus', 'steady']</v>
      </c>
      <c r="D2532" s="3">
        <v>5.0</v>
      </c>
    </row>
    <row r="2533" ht="15.75" customHeight="1">
      <c r="A2533" s="1">
        <v>2707.0</v>
      </c>
      <c r="B2533" s="3" t="s">
        <v>137</v>
      </c>
      <c r="C2533" s="3" t="str">
        <f>IFERROR(__xludf.DUMMYFUNCTION("GOOGLETRANSLATE(B2533,""id"",""en"")"),"Of course")</f>
        <v>Of course</v>
      </c>
      <c r="D2533" s="3">
        <v>3.0</v>
      </c>
    </row>
    <row r="2534" ht="15.75" customHeight="1">
      <c r="A2534" s="1">
        <v>2708.0</v>
      </c>
      <c r="B2534" s="3" t="s">
        <v>2444</v>
      </c>
      <c r="C2534" s="3" t="str">
        <f>IFERROR(__xludf.DUMMYFUNCTION("GOOGLETRANSLATE(B2534,""id"",""en"")"),"['Please', 'Sorry', 'Edit', 'Star', 'Since', 'Change', 'Logo', 'Update', 'Universe', 'Lag', 'Bug']")</f>
        <v>['Please', 'Sorry', 'Edit', 'Star', 'Since', 'Change', 'Logo', 'Update', 'Universe', 'Lag', 'Bug']</v>
      </c>
      <c r="D2534" s="3">
        <v>1.0</v>
      </c>
    </row>
    <row r="2535" ht="15.75" customHeight="1">
      <c r="A2535" s="1">
        <v>2709.0</v>
      </c>
      <c r="B2535" s="3" t="s">
        <v>2445</v>
      </c>
      <c r="C2535" s="3" t="str">
        <f>IFERROR(__xludf.DUMMYFUNCTION("GOOGLETRANSLATE(B2535,""id"",""en"")"),"['beneficial']")</f>
        <v>['beneficial']</v>
      </c>
      <c r="D2535" s="3">
        <v>5.0</v>
      </c>
    </row>
    <row r="2536" ht="15.75" customHeight="1">
      <c r="A2536" s="1">
        <v>2710.0</v>
      </c>
      <c r="B2536" s="3" t="s">
        <v>2446</v>
      </c>
      <c r="C2536" s="3" t="str">
        <f>IFERROR(__xludf.DUMMYFUNCTION("GOOGLETRANSLATE(B2536,""id"",""en"")"),"['active', 'card', 'I', 'Sampe', 'Nov', 'Taun', 'NJING', 'Kasih', 'warning', 'grace', 'dick']")</f>
        <v>['active', 'card', 'I', 'Sampe', 'Nov', 'Taun', 'NJING', 'Kasih', 'warning', 'grace', 'dick']</v>
      </c>
      <c r="D2536" s="3">
        <v>1.0</v>
      </c>
    </row>
    <row r="2537" ht="15.75" customHeight="1">
      <c r="A2537" s="1">
        <v>2711.0</v>
      </c>
      <c r="B2537" s="3" t="s">
        <v>2447</v>
      </c>
      <c r="C2537" s="3" t="str">
        <f>IFERROR(__xludf.DUMMYFUNCTION("GOOGLETRANSLATE(B2537,""id"",""en"")"),"['Signal', 'Telkomsel', 'lemoooooooottttttt', 'Bangeeet', 'UDH', 'buy', 'Pakeet', 'mahaaaaaaaaallllllllll', 'signal', 'lemoooooooottt', 'please', 'package', ' expensive ',' internet ',' lancaar ',' lose ',' provider ',' ']")</f>
        <v>['Signal', 'Telkomsel', 'lemoooooooottttttt', 'Bangeeet', 'UDH', 'buy', 'Pakeet', 'mahaaaaaaaaallllllllll', 'signal', 'lemoooooooottt', 'please', 'package', ' expensive ',' internet ',' lancaar ',' lose ',' provider ',' ']</v>
      </c>
      <c r="D2537" s="3">
        <v>5.0</v>
      </c>
    </row>
    <row r="2538" ht="15.75" customHeight="1">
      <c r="A2538" s="1">
        <v>2712.0</v>
      </c>
      <c r="B2538" s="3" t="s">
        <v>2448</v>
      </c>
      <c r="C2538" s="3" t="str">
        <f>IFERROR(__xludf.DUMMYFUNCTION("GOOGLETRANSLATE(B2538,""id"",""en"")"),"['Get', 'quota', 'Daily', 'Ceck', 'ilang']")</f>
        <v>['Get', 'quota', 'Daily', 'Ceck', 'ilang']</v>
      </c>
      <c r="D2538" s="3">
        <v>1.0</v>
      </c>
    </row>
    <row r="2539" ht="15.75" customHeight="1">
      <c r="A2539" s="1">
        <v>2714.0</v>
      </c>
      <c r="B2539" s="3" t="s">
        <v>2449</v>
      </c>
      <c r="C2539" s="3" t="str">
        <f>IFERROR(__xludf.DUMMYFUNCTION("GOOGLETRANSLATE(B2539,""id"",""en"")"),"['ksih', 'promo', 'interesting']")</f>
        <v>['ksih', 'promo', 'interesting']</v>
      </c>
      <c r="D2539" s="3">
        <v>5.0</v>
      </c>
    </row>
    <row r="2540" ht="15.75" customHeight="1">
      <c r="A2540" s="1">
        <v>2715.0</v>
      </c>
      <c r="B2540" s="3" t="s">
        <v>2450</v>
      </c>
      <c r="C2540" s="3" t="str">
        <f>IFERROR(__xludf.DUMMYFUNCTION("GOOGLETRANSLATE(B2540,""id"",""en"")"),"['Lally', 'promo', '']")</f>
        <v>['Lally', 'promo', '']</v>
      </c>
      <c r="D2540" s="3">
        <v>5.0</v>
      </c>
    </row>
    <row r="2541" ht="15.75" customHeight="1">
      <c r="A2541" s="1">
        <v>2717.0</v>
      </c>
      <c r="B2541" s="3" t="s">
        <v>2451</v>
      </c>
      <c r="C2541" s="3" t="str">
        <f>IFERROR(__xludf.DUMMYFUNCTION("GOOGLETRANSLATE(B2541,""id"",""en"")"),"['application', 'Telkomsel', 'already', 'good', 'update', 'daily', 'check', 'lost', 'redeem', 'Points',' Please ',' help ',' Telkomsel ']")</f>
        <v>['application', 'Telkomsel', 'already', 'good', 'update', 'daily', 'check', 'lost', 'redeem', 'Points',' Please ',' help ',' Telkomsel ']</v>
      </c>
      <c r="D2541" s="3">
        <v>3.0</v>
      </c>
    </row>
    <row r="2542" ht="15.75" customHeight="1">
      <c r="A2542" s="1">
        <v>2718.0</v>
      </c>
      <c r="B2542" s="3" t="s">
        <v>2452</v>
      </c>
      <c r="C2542" s="3" t="str">
        <f>IFERROR(__xludf.DUMMYFUNCTION("GOOGLETRANSLATE(B2542,""id"",""en"")"),"['signal', 'here', 'according to', 'predicate', 'provider', 'best', 'indo', 'reliable', ""]")</f>
        <v>['signal', 'here', 'according to', 'predicate', 'provider', 'best', 'indo', 'reliable', "]</v>
      </c>
      <c r="D2542" s="3">
        <v>1.0</v>
      </c>
    </row>
    <row r="2543" ht="15.75" customHeight="1">
      <c r="A2543" s="1">
        <v>2719.0</v>
      </c>
      <c r="B2543" s="3" t="s">
        <v>2453</v>
      </c>
      <c r="C2543" s="3" t="str">
        <f>IFERROR(__xludf.DUMMYFUNCTION("GOOGLETRANSLATE(B2543,""id"",""en"")"),"['buy', 'package', 'pulse', 'buy', 'package', 'please']")</f>
        <v>['buy', 'package', 'pulse', 'buy', 'package', 'please']</v>
      </c>
      <c r="D2543" s="3">
        <v>3.0</v>
      </c>
    </row>
    <row r="2544" ht="15.75" customHeight="1">
      <c r="A2544" s="1">
        <v>2720.0</v>
      </c>
      <c r="B2544" s="3" t="s">
        <v>2454</v>
      </c>
      <c r="C2544" s="3" t="str">
        <f>IFERROR(__xludf.DUMMYFUNCTION("GOOGLETRANSLATE(B2544,""id"",""en"")"),"['Knpa', 'like', 'application', 'input', 'name', 'complete', 'ddan', 'email']")</f>
        <v>['Knpa', 'like', 'application', 'input', 'name', 'complete', 'ddan', 'email']</v>
      </c>
      <c r="D2544" s="3">
        <v>5.0</v>
      </c>
    </row>
    <row r="2545" ht="15.75" customHeight="1">
      <c r="A2545" s="1">
        <v>2722.0</v>
      </c>
      <c r="B2545" s="3" t="s">
        <v>2455</v>
      </c>
      <c r="C2545" s="3" t="str">
        <f>IFERROR(__xludf.DUMMYFUNCTION("GOOGLETRANSLATE(B2545,""id"",""en"")"),"['Help', 'promo', 'tantalizing']")</f>
        <v>['Help', 'promo', 'tantalizing']</v>
      </c>
      <c r="D2545" s="3">
        <v>5.0</v>
      </c>
    </row>
    <row r="2546" ht="15.75" customHeight="1">
      <c r="A2546" s="1">
        <v>2723.0</v>
      </c>
      <c r="B2546" s="3" t="s">
        <v>2456</v>
      </c>
      <c r="C2546" s="3" t="str">
        <f>IFERROR(__xludf.DUMMYFUNCTION("GOOGLETRANSLATE(B2546,""id"",""en"")"),"['Please', 'Stabilized', 'Speed', 'Connection', 'Miss', 'Use', 'Quota', 'Internet', 'Local', ""]")</f>
        <v>['Please', 'Stabilized', 'Speed', 'Connection', 'Miss', 'Use', 'Quota', 'Internet', 'Local', "]</v>
      </c>
      <c r="D2546" s="3">
        <v>5.0</v>
      </c>
    </row>
    <row r="2547" ht="15.75" customHeight="1">
      <c r="A2547" s="1">
        <v>2724.0</v>
      </c>
      <c r="B2547" s="3" t="s">
        <v>2457</v>
      </c>
      <c r="C2547" s="3" t="str">
        <f>IFERROR(__xludf.DUMMYFUNCTION("GOOGLETRANSLATE(B2547,""id"",""en"")"),"['Telkomsel', 'heart', 'community', ""]")</f>
        <v>['Telkomsel', 'heart', 'community', "]</v>
      </c>
      <c r="D2547" s="3">
        <v>5.0</v>
      </c>
    </row>
    <row r="2548" ht="15.75" customHeight="1">
      <c r="A2548" s="1">
        <v>2725.0</v>
      </c>
      <c r="B2548" s="3" t="s">
        <v>2458</v>
      </c>
      <c r="C2548" s="3" t="str">
        <f>IFERROR(__xludf.DUMMYFUNCTION("GOOGLETRANSLATE(B2548,""id"",""en"")"),"['Telkomsel', 'innovate', 'improve', 'service', 'customer', 'The', 'Best']")</f>
        <v>['Telkomsel', 'innovate', 'improve', 'service', 'customer', 'The', 'Best']</v>
      </c>
      <c r="D2548" s="3">
        <v>5.0</v>
      </c>
    </row>
    <row r="2549" ht="15.75" customHeight="1">
      <c r="A2549" s="1">
        <v>2726.0</v>
      </c>
      <c r="B2549" s="3" t="s">
        <v>2459</v>
      </c>
      <c r="C2549" s="3" t="str">
        <f>IFERROR(__xludf.DUMMYFUNCTION("GOOGLETRANSLATE(B2549,""id"",""en"")"),"['Increase', ""]")</f>
        <v>['Increase', "]</v>
      </c>
      <c r="D2549" s="3">
        <v>5.0</v>
      </c>
    </row>
    <row r="2550" ht="15.75" customHeight="1">
      <c r="A2550" s="1">
        <v>2727.0</v>
      </c>
      <c r="B2550" s="3" t="s">
        <v>2460</v>
      </c>
      <c r="C2550" s="3" t="str">
        <f>IFERROR(__xludf.DUMMYFUNCTION("GOOGLETRANSLATE(B2550,""id"",""en"")"),"['Good', 'deh', 'mmbantu', 'ubtuk', 'menge', 'check', 'quota', 'us']")</f>
        <v>['Good', 'deh', 'mmbantu', 'ubtuk', 'menge', 'check', 'quota', 'us']</v>
      </c>
      <c r="D2550" s="3">
        <v>5.0</v>
      </c>
    </row>
    <row r="2551" ht="15.75" customHeight="1">
      <c r="A2551" s="1">
        <v>2728.0</v>
      </c>
      <c r="B2551" s="3" t="s">
        <v>2461</v>
      </c>
      <c r="C2551" s="3" t="str">
        <f>IFERROR(__xludf.DUMMYFUNCTION("GOOGLETRANSLATE(B2551,""id"",""en"")"),"['ugly', 'the application', 'buy', 'quota', 'pakek', 'udh', 'run out', 'loss', ""]")</f>
        <v>['ugly', 'the application', 'buy', 'quota', 'pakek', 'udh', 'run out', 'loss', "]</v>
      </c>
      <c r="D2551" s="3">
        <v>1.0</v>
      </c>
    </row>
    <row r="2552" ht="15.75" customHeight="1">
      <c r="A2552" s="1">
        <v>2729.0</v>
      </c>
      <c r="B2552" s="3" t="s">
        <v>2462</v>
      </c>
      <c r="C2552" s="3" t="str">
        <f>IFERROR(__xludf.DUMMYFUNCTION("GOOGLETRANSLATE(B2552,""id"",""en"")"),"['Hi', 'Telkomsel', 'KNPA', 'check', 'dapt', 'quota', 'GB', 'check', 'missing', 'germanagn', 'jngn', 'makes it difficult', ' Have ',' centerbantuan ',' twiter ',' directly ',' assisted ',' community ',' difficult ',' jngn ',' make it difficult ',' ']")</f>
        <v>['Hi', 'Telkomsel', 'KNPA', 'check', 'dapt', 'quota', 'GB', 'check', 'missing', 'germanagn', 'jngn', 'makes it difficult', ' Have ',' centerbantuan ',' twiter ',' directly ',' assisted ',' community ',' difficult ',' jngn ',' make it difficult ',' ']</v>
      </c>
      <c r="D2552" s="3">
        <v>1.0</v>
      </c>
    </row>
    <row r="2553" ht="15.75" customHeight="1">
      <c r="A2553" s="1">
        <v>2730.0</v>
      </c>
      <c r="B2553" s="3" t="s">
        <v>2463</v>
      </c>
      <c r="C2553" s="3" t="str">
        <f>IFERROR(__xludf.DUMMYFUNCTION("GOOGLETRANSLATE(B2553,""id"",""en"")"),"['Out', 'update', 'open']")</f>
        <v>['Out', 'update', 'open']</v>
      </c>
      <c r="D2553" s="3">
        <v>1.0</v>
      </c>
    </row>
    <row r="2554" ht="15.75" customHeight="1">
      <c r="A2554" s="1">
        <v>2731.0</v>
      </c>
      <c r="B2554" s="3" t="s">
        <v>2464</v>
      </c>
      <c r="C2554" s="3" t="str">
        <f>IFERROR(__xludf.DUMMYFUNCTION("GOOGLETRANSLATE(B2554,""id"",""en"")"),"['bro', 'complaints', 'share', 'history', 'edit', 'until', 'gini', 'honest', 'friend', 'surprised', 'here', 'strange']")</f>
        <v>['bro', 'complaints', 'share', 'history', 'edit', 'until', 'gini', 'honest', 'friend', 'surprised', 'here', 'strange']</v>
      </c>
      <c r="D2554" s="3">
        <v>1.0</v>
      </c>
    </row>
    <row r="2555" ht="15.75" customHeight="1">
      <c r="A2555" s="1">
        <v>2732.0</v>
      </c>
      <c r="B2555" s="3" t="s">
        <v>2465</v>
      </c>
      <c r="C2555" s="3" t="str">
        <f>IFERROR(__xludf.DUMMYFUNCTION("GOOGLETRANSLATE(B2555,""id"",""en"")"),"['signal', 'ksini', 'ugly', 'signal', 'good', 'jeeelleeeeeek', 'really', 'sesuain', 'price', 'price', 'expensive', 'service', ' bad']")</f>
        <v>['signal', 'ksini', 'ugly', 'signal', 'good', 'jeeelleeeeeek', 'really', 'sesuain', 'price', 'price', 'expensive', 'service', ' bad']</v>
      </c>
      <c r="D2555" s="3">
        <v>1.0</v>
      </c>
    </row>
    <row r="2556" ht="15.75" customHeight="1">
      <c r="A2556" s="1">
        <v>2733.0</v>
      </c>
      <c r="B2556" s="3" t="s">
        <v>2466</v>
      </c>
      <c r="C2556" s="3" t="str">
        <f>IFERROR(__xludf.DUMMYFUNCTION("GOOGLETRANSLATE(B2556,""id"",""en"")"),"['Package', 'free']")</f>
        <v>['Package', 'free']</v>
      </c>
      <c r="D2556" s="3">
        <v>5.0</v>
      </c>
    </row>
    <row r="2557" ht="15.75" customHeight="1">
      <c r="A2557" s="1">
        <v>2734.0</v>
      </c>
      <c r="B2557" s="3" t="s">
        <v>2467</v>
      </c>
      <c r="C2557" s="3" t="str">
        <f>IFERROR(__xludf.DUMMYFUNCTION("GOOGLETRANSLATE(B2557,""id"",""en"")"),"['thank', 'love', 'Telkomsel', 'like', 'buy', 'package']")</f>
        <v>['thank', 'love', 'Telkomsel', 'like', 'buy', 'package']</v>
      </c>
      <c r="D2557" s="3">
        <v>5.0</v>
      </c>
    </row>
    <row r="2558" ht="15.75" customHeight="1">
      <c r="A2558" s="1">
        <v>2735.0</v>
      </c>
      <c r="B2558" s="3" t="s">
        <v>2468</v>
      </c>
      <c r="C2558" s="3" t="str">
        <f>IFERROR(__xludf.DUMMYFUNCTION("GOOGLETRANSLATE(B2558,""id"",""en"")"),"['ask', 'package', 'internet', 'price', 'no', 'already', 'no', 'buy', 'maap', 'love', 'star']")</f>
        <v>['ask', 'package', 'internet', 'price', 'no', 'already', 'no', 'buy', 'maap', 'love', 'star']</v>
      </c>
      <c r="D2558" s="3">
        <v>3.0</v>
      </c>
    </row>
    <row r="2559" ht="15.75" customHeight="1">
      <c r="A2559" s="1">
        <v>2736.0</v>
      </c>
      <c r="B2559" s="3" t="s">
        <v>2469</v>
      </c>
      <c r="C2559" s="3" t="str">
        <f>IFERROR(__xludf.DUMMYFUNCTION("GOOGLETRANSLATE(B2559,""id"",""en"")"),"['Increase', 'Network']")</f>
        <v>['Increase', 'Network']</v>
      </c>
      <c r="D2559" s="3">
        <v>4.0</v>
      </c>
    </row>
    <row r="2560" ht="15.75" customHeight="1">
      <c r="A2560" s="1">
        <v>2738.0</v>
      </c>
      <c r="B2560" s="3" t="s">
        <v>2470</v>
      </c>
      <c r="C2560" s="3" t="str">
        <f>IFERROR(__xludf.DUMMYFUNCTION("GOOGLETRANSLATE(B2560,""id"",""en"")"),"['Tuker', 'Points']")</f>
        <v>['Tuker', 'Points']</v>
      </c>
      <c r="D2560" s="3">
        <v>1.0</v>
      </c>
    </row>
    <row r="2561" ht="15.75" customHeight="1">
      <c r="A2561" s="1">
        <v>2739.0</v>
      </c>
      <c r="B2561" s="3" t="s">
        <v>2471</v>
      </c>
      <c r="C2561" s="3" t="str">
        <f>IFERROR(__xludf.DUMMYFUNCTION("GOOGLETRANSLATE(B2561,""id"",""en"")"),"['Mept']")</f>
        <v>['Mept']</v>
      </c>
      <c r="D2561" s="3">
        <v>4.0</v>
      </c>
    </row>
    <row r="2562" ht="15.75" customHeight="1">
      <c r="A2562" s="1">
        <v>2740.0</v>
      </c>
      <c r="B2562" s="3" t="s">
        <v>2096</v>
      </c>
      <c r="C2562" s="3" t="str">
        <f>IFERROR(__xludf.DUMMYFUNCTION("GOOGLETRANSLATE(B2562,""id"",""en"")"),"['Love', 'Star']")</f>
        <v>['Love', 'Star']</v>
      </c>
      <c r="D2562" s="3">
        <v>5.0</v>
      </c>
    </row>
    <row r="2563" ht="15.75" customHeight="1">
      <c r="A2563" s="1">
        <v>2741.0</v>
      </c>
      <c r="B2563" s="3" t="s">
        <v>2472</v>
      </c>
      <c r="C2563" s="3" t="str">
        <f>IFERROR(__xludf.DUMMYFUNCTION("GOOGLETRANSLATE(B2563,""id"",""en"")"),"['Disappointing', 'opened', 'Direct', 'kept' qn ',' contents', 'pulse', 'use', 'pulse', 'said', 'app', 'scare']")</f>
        <v>['Disappointing', 'opened', 'Direct', 'kept' qn ',' contents', 'pulse', 'use', 'pulse', 'said', 'app', 'scare']</v>
      </c>
      <c r="D2563" s="3">
        <v>1.0</v>
      </c>
    </row>
    <row r="2564" ht="15.75" customHeight="1">
      <c r="A2564" s="1">
        <v>2742.0</v>
      </c>
      <c r="B2564" s="3" t="s">
        <v>2473</v>
      </c>
      <c r="C2564" s="3" t="str">
        <f>IFERROR(__xludf.DUMMYFUNCTION("GOOGLETRANSLATE(B2564,""id"",""en"")"),"['Please', 'fix', 'interface', 'application', 'login', 'make it difficult', 'input', 'number']")</f>
        <v>['Please', 'fix', 'interface', 'application', 'login', 'make it difficult', 'input', 'number']</v>
      </c>
      <c r="D2564" s="3">
        <v>1.0</v>
      </c>
    </row>
    <row r="2565" ht="15.75" customHeight="1">
      <c r="A2565" s="1">
        <v>2743.0</v>
      </c>
      <c r="B2565" s="3" t="s">
        <v>137</v>
      </c>
      <c r="C2565" s="3" t="str">
        <f>IFERROR(__xludf.DUMMYFUNCTION("GOOGLETRANSLATE(B2565,""id"",""en"")"),"Of course")</f>
        <v>Of course</v>
      </c>
      <c r="D2565" s="3">
        <v>3.0</v>
      </c>
    </row>
    <row r="2566" ht="15.75" customHeight="1">
      <c r="A2566" s="1">
        <v>2744.0</v>
      </c>
      <c r="B2566" s="3" t="s">
        <v>2474</v>
      </c>
      <c r="C2566" s="3" t="str">
        <f>IFERROR(__xludf.DUMMYFUNCTION("GOOGLETRANSLATE(B2566,""id"",""en"")"),"['bad', 'signal', 'JLS', 'check out', 'daily', 'check out', 'knp']")</f>
        <v>['bad', 'signal', 'JLS', 'check out', 'daily', 'check out', 'knp']</v>
      </c>
      <c r="D2566" s="3">
        <v>1.0</v>
      </c>
    </row>
    <row r="2567" ht="15.75" customHeight="1">
      <c r="A2567" s="1">
        <v>2745.0</v>
      </c>
      <c r="B2567" s="3" t="s">
        <v>2475</v>
      </c>
      <c r="C2567" s="3" t="str">
        <f>IFERROR(__xludf.DUMMYFUNCTION("GOOGLETRANSLATE(B2567,""id"",""en"")"),"['knpa', 'no', 'banking', 'kalaw', 'fill', 'quota']")</f>
        <v>['knpa', 'no', 'banking', 'kalaw', 'fill', 'quota']</v>
      </c>
      <c r="D2567" s="3">
        <v>5.0</v>
      </c>
    </row>
    <row r="2568" ht="15.75" customHeight="1">
      <c r="A2568" s="1">
        <v>2746.0</v>
      </c>
      <c r="B2568" s="3" t="s">
        <v>2476</v>
      </c>
      <c r="C2568" s="3" t="str">
        <f>IFERROR(__xludf.DUMMYFUNCTION("GOOGLETRANSLATE(B2568,""id"",""en"")"),"['News', 'news', 'Telkomsel', 'village', 'nggk', 'feeling', 'eluh', 'people', 'rich', 'confused', ""]")</f>
        <v>['News', 'news', 'Telkomsel', 'village', 'nggk', 'feeling', 'eluh', 'people', 'rich', 'confused', "]</v>
      </c>
      <c r="D2568" s="3">
        <v>2.0</v>
      </c>
    </row>
    <row r="2569" ht="15.75" customHeight="1">
      <c r="A2569" s="1">
        <v>2747.0</v>
      </c>
      <c r="B2569" s="3" t="s">
        <v>2477</v>
      </c>
      <c r="C2569" s="3" t="str">
        <f>IFERROR(__xludf.DUMMYFUNCTION("GOOGLETRANSLATE(B2569,""id"",""en"")"),"['Telkomsel', 'Maling', 'Credit', 'Suck', 'Rb', 'Sunday', 'Check', 'Application', 'Description', 'Karna', 'savage', 'Maling', ' Corruptors', 'Plates',' Red ',' Begal ',' People ']")</f>
        <v>['Telkomsel', 'Maling', 'Credit', 'Suck', 'Rb', 'Sunday', 'Check', 'Application', 'Description', 'Karna', 'savage', 'Maling', ' Corruptors', 'Plates',' Red ',' Begal ',' People ']</v>
      </c>
      <c r="D2569" s="3">
        <v>1.0</v>
      </c>
    </row>
    <row r="2570" ht="15.75" customHeight="1">
      <c r="A2570" s="1">
        <v>2748.0</v>
      </c>
      <c r="B2570" s="3" t="s">
        <v>2478</v>
      </c>
      <c r="C2570" s="3" t="str">
        <f>IFERROR(__xludf.DUMMYFUNCTION("GOOGLETRANSLATE(B2570,""id"",""en"")"),"['signal', 'network', 'ugly', 'really', 'lose', 'axis', 'indosat', 'smartfren', 'cmn', 'slow', 'telkomsel']")</f>
        <v>['signal', 'network', 'ugly', 'really', 'lose', 'axis', 'indosat', 'smartfren', 'cmn', 'slow', 'telkomsel']</v>
      </c>
      <c r="D2570" s="3">
        <v>1.0</v>
      </c>
    </row>
    <row r="2571" ht="15.75" customHeight="1">
      <c r="A2571" s="1">
        <v>2749.0</v>
      </c>
      <c r="B2571" s="3" t="s">
        <v>2479</v>
      </c>
      <c r="C2571" s="3" t="str">
        <f>IFERROR(__xludf.DUMMYFUNCTION("GOOGLETRANSLATE(B2571,""id"",""en"")"),"['stupid', 'fool', 'contents',' package ',' MB ',' Gopay ',' pay ',' pulse ',' gopay ',' abis', 'rb', 'packetan', ' Sumpot ',' pulse ',' mmng ',' Telkomsel ',' UDH ',' expensive ',' dripping ',' money ',' severe ', ""]")</f>
        <v>['stupid', 'fool', 'contents',' package ',' MB ',' Gopay ',' pay ',' pulse ',' gopay ',' abis', 'rb', 'packetan', ' Sumpot ',' pulse ',' mmng ',' Telkomsel ',' UDH ',' expensive ',' dripping ',' money ',' severe ', "]</v>
      </c>
      <c r="D2571" s="3">
        <v>1.0</v>
      </c>
    </row>
    <row r="2572" ht="15.75" customHeight="1">
      <c r="A2572" s="1">
        <v>2750.0</v>
      </c>
      <c r="B2572" s="3" t="s">
        <v>2480</v>
      </c>
      <c r="C2572" s="3" t="str">
        <f>IFERROR(__xludf.DUMMYFUNCTION("GOOGLETRANSLATE(B2572,""id"",""en"")"),"['Application', 'Disight', 'Select', 'Pajet', 'Combo', 'Sakti', 'Unlimited', 'GB', 'PAS', 'Package', 'Disney', 'GB', ' Please, 'Restore', 'Money', 'Package', 'Click', 'Combo', 'Sakti', 'Unlimited', 'Activein', 'Package', ""]")</f>
        <v>['Application', 'Disight', 'Select', 'Pajet', 'Combo', 'Sakti', 'Unlimited', 'GB', 'PAS', 'Package', 'Disney', 'GB', ' Please, 'Restore', 'Money', 'Package', 'Click', 'Combo', 'Sakti', 'Unlimited', 'Activein', 'Package', "]</v>
      </c>
      <c r="D2572" s="3">
        <v>1.0</v>
      </c>
    </row>
    <row r="2573" ht="15.75" customHeight="1">
      <c r="A2573" s="1">
        <v>2751.0</v>
      </c>
      <c r="B2573" s="3" t="s">
        <v>2481</v>
      </c>
      <c r="C2573" s="3" t="str">
        <f>IFERROR(__xludf.DUMMYFUNCTION("GOOGLETRANSLATE(B2573,""id"",""en"")"),"['pulse', 'right', 'buy', 'package', 'notification', 'pulses', 'what', '']")</f>
        <v>['pulse', 'right', 'buy', 'package', 'notification', 'pulses', 'what', '']</v>
      </c>
      <c r="D2573" s="3">
        <v>2.0</v>
      </c>
    </row>
    <row r="2574" ht="15.75" customHeight="1">
      <c r="A2574" s="1">
        <v>2752.0</v>
      </c>
      <c r="B2574" s="3" t="s">
        <v>2482</v>
      </c>
      <c r="C2574" s="3" t="str">
        <f>IFERROR(__xludf.DUMMYFUNCTION("GOOGLETRANSLATE(B2574,""id"",""en"")"),"['Please', 'fix', 'signal', 'kyk', 'signal', 'difficult', 'pdhl', 'near', 'tower']")</f>
        <v>['Please', 'fix', 'signal', 'kyk', 'signal', 'difficult', 'pdhl', 'near', 'tower']</v>
      </c>
      <c r="D2574" s="3">
        <v>2.0</v>
      </c>
    </row>
    <row r="2575" ht="15.75" customHeight="1">
      <c r="A2575" s="1">
        <v>2753.0</v>
      </c>
      <c r="B2575" s="3" t="s">
        <v>2483</v>
      </c>
      <c r="C2575" s="3" t="str">
        <f>IFERROR(__xludf.DUMMYFUNCTION("GOOGLETRANSLATE(B2575,""id"",""en"")"),"['Network', 'strong', 'area']")</f>
        <v>['Network', 'strong', 'area']</v>
      </c>
      <c r="D2575" s="3">
        <v>5.0</v>
      </c>
    </row>
    <row r="2576" ht="15.75" customHeight="1">
      <c r="A2576" s="1">
        <v>2754.0</v>
      </c>
      <c r="B2576" s="3" t="s">
        <v>2484</v>
      </c>
      <c r="C2576" s="3" t="str">
        <f>IFERROR(__xludf.DUMMYFUNCTION("GOOGLETRANSLATE(B2576,""id"",""en"")"),"['Simple', 'complicated', 'in', 'service', 'easy', 'easy', 'person', 'circles', 'age']")</f>
        <v>['Simple', 'complicated', 'in', 'service', 'easy', 'easy', 'person', 'circles', 'age']</v>
      </c>
      <c r="D2576" s="3">
        <v>4.0</v>
      </c>
    </row>
    <row r="2577" ht="15.75" customHeight="1">
      <c r="A2577" s="1">
        <v>2755.0</v>
      </c>
      <c r="B2577" s="3" t="s">
        <v>2485</v>
      </c>
      <c r="C2577" s="3" t="str">
        <f>IFERROR(__xludf.DUMMYFUNCTION("GOOGLETRANSLATE(B2577,""id"",""en"")"),"['Sassa', 'credit', 'Telkomsel', 'credit', 'kebadine', 'pket', 'pulse', 'thousand', 'disappear', 'pairs',' package ',' call ',' Credit ',' Tide ',' Description ',' Credit ',' Out ',' Hadeh ',' chaotic ', ""]")</f>
        <v>['Sassa', 'credit', 'Telkomsel', 'credit', 'kebadine', 'pket', 'pulse', 'thousand', 'disappear', 'pairs',' package ',' call ',' Credit ',' Tide ',' Description ',' Credit ',' Out ',' Hadeh ',' chaotic ', "]</v>
      </c>
      <c r="D2577" s="3">
        <v>1.0</v>
      </c>
    </row>
    <row r="2578" ht="15.75" customHeight="1">
      <c r="A2578" s="1">
        <v>2757.0</v>
      </c>
      <c r="B2578" s="3" t="s">
        <v>2486</v>
      </c>
      <c r="C2578" s="3" t="str">
        <f>IFERROR(__xludf.DUMMYFUNCTION("GOOGLETRANSLATE(B2578,""id"",""en"")"),"['Sunday', 'updated', 'addition', 'features', 'price', 'quota', 'expensive', 'signal', 'Please', 'repaired', ""]")</f>
        <v>['Sunday', 'updated', 'addition', 'features', 'price', 'quota', 'expensive', 'signal', 'Please', 'repaired', "]</v>
      </c>
      <c r="D2578" s="3">
        <v>1.0</v>
      </c>
    </row>
    <row r="2579" ht="15.75" customHeight="1">
      <c r="A2579" s="1">
        <v>2758.0</v>
      </c>
      <c r="B2579" s="3" t="s">
        <v>2487</v>
      </c>
      <c r="C2579" s="3" t="str">
        <f>IFERROR(__xludf.DUMMYFUNCTION("GOOGLETRANSLATE(B2579,""id"",""en"")"),"['Ngerti', 'quota', 'open', 'youtube', 'twitter', 'situ', 'written', 'medsos',' quota ',' main ',' contents', 'combo', ' Sakti ',' KNP ',' quota ',' main ',' HBS ',' use ',' JLS ',' Situ ',' Written ',' Msh ',' Please ',' Explanation ',' Min ' , 'trs', 'b"&amp;"right', 'disappointed', '']")</f>
        <v>['Ngerti', 'quota', 'open', 'youtube', 'twitter', 'situ', 'written', 'medsos',' quota ',' main ',' contents', 'combo', ' Sakti ',' KNP ',' quota ',' main ',' HBS ',' use ',' JLS ',' Situ ',' Written ',' Msh ',' Please ',' Explanation ',' Min ' , 'trs', 'bright', 'disappointed', '']</v>
      </c>
      <c r="D2579" s="3">
        <v>1.0</v>
      </c>
    </row>
    <row r="2580" ht="15.75" customHeight="1">
      <c r="A2580" s="1">
        <v>2759.0</v>
      </c>
      <c r="B2580" s="3" t="s">
        <v>2488</v>
      </c>
      <c r="C2580" s="3" t="str">
        <f>IFERROR(__xludf.DUMMYFUNCTION("GOOGLETRANSLATE(B2580,""id"",""en"")"),"['promo', 'multiply', 'cheap', '']")</f>
        <v>['promo', 'multiply', 'cheap', '']</v>
      </c>
      <c r="D2580" s="3">
        <v>5.0</v>
      </c>
    </row>
    <row r="2581" ht="15.75" customHeight="1">
      <c r="A2581" s="1">
        <v>2760.0</v>
      </c>
      <c r="B2581" s="3" t="s">
        <v>2489</v>
      </c>
      <c r="C2581" s="3" t="str">
        <f>IFERROR(__xludf.DUMMYFUNCTION("GOOGLETRANSLATE(B2581,""id"",""en"")"),"['Credit', 'sufficient', 'knpa', 'buy', 'package', 'chaotic', 'Telkomsel']")</f>
        <v>['Credit', 'sufficient', 'knpa', 'buy', 'package', 'chaotic', 'Telkomsel']</v>
      </c>
      <c r="D2581" s="3">
        <v>1.0</v>
      </c>
    </row>
    <row r="2582" ht="15.75" customHeight="1">
      <c r="A2582" s="1">
        <v>2761.0</v>
      </c>
      <c r="B2582" s="3" t="s">
        <v>2490</v>
      </c>
      <c r="C2582" s="3" t="str">
        <f>IFERROR(__xludf.DUMMYFUNCTION("GOOGLETRANSLATE(B2582,""id"",""en"")"),"['Klau', 'Good', 'Sya', 'Cadih', 'bntang']")</f>
        <v>['Klau', 'Good', 'Sya', 'Cadih', 'bntang']</v>
      </c>
      <c r="D2582" s="3">
        <v>4.0</v>
      </c>
    </row>
    <row r="2583" ht="15.75" customHeight="1">
      <c r="A2583" s="1">
        <v>2762.0</v>
      </c>
      <c r="B2583" s="3" t="s">
        <v>2491</v>
      </c>
      <c r="C2583" s="3" t="str">
        <f>IFERROR(__xludf.DUMMYFUNCTION("GOOGLETRANSLATE(B2583,""id"",""en"")"),"['gift', 'check', 'claim', 'missing', 'then', 'menu', 'check', 'already', 'package', 'run out', 'buy', 'packetan', ' Prizes', 'Claims']")</f>
        <v>['gift', 'check', 'claim', 'missing', 'then', 'menu', 'check', 'already', 'package', 'run out', 'buy', 'packetan', ' Prizes', 'Claims']</v>
      </c>
      <c r="D2583" s="3">
        <v>3.0</v>
      </c>
    </row>
    <row r="2584" ht="15.75" customHeight="1">
      <c r="A2584" s="1">
        <v>2763.0</v>
      </c>
      <c r="B2584" s="3" t="s">
        <v>1659</v>
      </c>
      <c r="C2584" s="3" t="str">
        <f>IFERROR(__xludf.DUMMYFUNCTION("GOOGLETRANSLATE(B2584,""id"",""en"")"),"['', 'good']")</f>
        <v>['', 'good']</v>
      </c>
      <c r="D2584" s="3">
        <v>4.0</v>
      </c>
    </row>
    <row r="2585" ht="15.75" customHeight="1">
      <c r="A2585" s="1">
        <v>2765.0</v>
      </c>
      <c r="B2585" s="3" t="s">
        <v>2492</v>
      </c>
      <c r="C2585" s="3" t="str">
        <f>IFERROR(__xludf.DUMMYFUNCTION("GOOGLETRANSLATE(B2585,""id"",""en"")"),"['Come', 'price', 'quota', 'internet', 'expensive', 'plus', 'package', 'omg', 'choice', 'signal', 'honest', 'difficult']")</f>
        <v>['Come', 'price', 'quota', 'internet', 'expensive', 'plus', 'package', 'omg', 'choice', 'signal', 'honest', 'difficult']</v>
      </c>
      <c r="D2585" s="3">
        <v>1.0</v>
      </c>
    </row>
    <row r="2586" ht="15.75" customHeight="1">
      <c r="A2586" s="1">
        <v>2766.0</v>
      </c>
      <c r="B2586" s="3" t="s">
        <v>2493</v>
      </c>
      <c r="C2586" s="3" t="str">
        <f>IFERROR(__xludf.DUMMYFUNCTION("GOOGLETRANSLATE(B2586,""id"",""en"")"),"['Bayu', 'Nugroho', 'Good']")</f>
        <v>['Bayu', 'Nugroho', 'Good']</v>
      </c>
      <c r="D2586" s="3">
        <v>4.0</v>
      </c>
    </row>
    <row r="2587" ht="15.75" customHeight="1">
      <c r="A2587" s="1">
        <v>2767.0</v>
      </c>
      <c r="B2587" s="3" t="s">
        <v>2494</v>
      </c>
      <c r="C2587" s="3" t="str">
        <f>IFERROR(__xludf.DUMMYFUNCTION("GOOGLETRANSLATE(B2587,""id"",""en"")"),"['network', 'error', 'annoying', 'drever', 'online', 'please', 'is new']")</f>
        <v>['network', 'error', 'annoying', 'drever', 'online', 'please', 'is new']</v>
      </c>
      <c r="D2587" s="3">
        <v>3.0</v>
      </c>
    </row>
    <row r="2588" ht="15.75" customHeight="1">
      <c r="A2588" s="1">
        <v>2768.0</v>
      </c>
      <c r="B2588" s="3" t="s">
        <v>2495</v>
      </c>
      <c r="C2588" s="3" t="str">
        <f>IFERROR(__xludf.DUMMYFUNCTION("GOOGLETRANSLATE(B2588,""id"",""en"")"),"['routine', 'buy', 'pulse', 'package', 'data', 'TB', 'DPT', 'notification', 'card', 'grace', 'rare', 'buy', ' pulse ',' pie ']")</f>
        <v>['routine', 'buy', 'pulse', 'package', 'data', 'TB', 'DPT', 'notification', 'card', 'grace', 'rare', 'buy', ' pulse ',' pie ']</v>
      </c>
      <c r="D2588" s="3">
        <v>3.0</v>
      </c>
    </row>
    <row r="2589" ht="15.75" customHeight="1">
      <c r="A2589" s="1">
        <v>2769.0</v>
      </c>
      <c r="B2589" s="3" t="s">
        <v>2496</v>
      </c>
      <c r="C2589" s="3" t="str">
        <f>IFERROR(__xludf.DUMMYFUNCTION("GOOGLETRANSLATE(B2589,""id"",""en"")"),"['', 'Telkomsel', 'darling', 'area', 'home', 'signal', 'bad', '']")</f>
        <v>['', 'Telkomsel', 'darling', 'area', 'home', 'signal', 'bad', '']</v>
      </c>
      <c r="D2589" s="3">
        <v>5.0</v>
      </c>
    </row>
    <row r="2590" ht="15.75" customHeight="1">
      <c r="A2590" s="1">
        <v>2770.0</v>
      </c>
      <c r="B2590" s="3" t="s">
        <v>2497</v>
      </c>
      <c r="C2590" s="3" t="str">
        <f>IFERROR(__xludf.DUMMYFUNCTION("GOOGLETRANSLATE(B2590,""id"",""en"")"),"['Telkomsel', 'pulse', 'missing', 'rupiah', 'quota', 'internet', 'telephone', 'sms', '']")</f>
        <v>['Telkomsel', 'pulse', 'missing', 'rupiah', 'quota', 'internet', 'telephone', 'sms', '']</v>
      </c>
      <c r="D2590" s="3">
        <v>3.0</v>
      </c>
    </row>
    <row r="2591" ht="15.75" customHeight="1">
      <c r="A2591" s="1">
        <v>2771.0</v>
      </c>
      <c r="B2591" s="3" t="s">
        <v>2498</v>
      </c>
      <c r="C2591" s="3" t="str">
        <f>IFERROR(__xludf.DUMMYFUNCTION("GOOGLETRANSLATE(B2591,""id"",""en"")"),"['Network', 'slow', 'please', 'fix', 'provider', 'Telkomsel', 'Massa', 'Problems',' Network ',' Disappointing ',' Please ',' Listen ',' Complaints', 'Customers',' Tks', '']")</f>
        <v>['Network', 'slow', 'please', 'fix', 'provider', 'Telkomsel', 'Massa', 'Problems',' Network ',' Disappointing ',' Please ',' Listen ',' Complaints', 'Customers',' Tks', '']</v>
      </c>
      <c r="D2591" s="3">
        <v>1.0</v>
      </c>
    </row>
    <row r="2592" ht="15.75" customHeight="1">
      <c r="A2592" s="1">
        <v>2772.0</v>
      </c>
      <c r="B2592" s="3" t="s">
        <v>2499</v>
      </c>
      <c r="C2592" s="3" t="str">
        <f>IFERROR(__xludf.DUMMYFUNCTION("GOOGLETRANSLATE(B2592,""id"",""en"")"),"['Steady', 'Putie', ""]")</f>
        <v>['Steady', 'Putie', "]</v>
      </c>
      <c r="D2592" s="3">
        <v>5.0</v>
      </c>
    </row>
    <row r="2593" ht="15.75" customHeight="1">
      <c r="A2593" s="1">
        <v>2773.0</v>
      </c>
      <c r="B2593" s="3" t="s">
        <v>2500</v>
      </c>
      <c r="C2593" s="3" t="str">
        <f>IFERROR(__xludf.DUMMYFUNCTION("GOOGLETRANSLATE(B2593,""id"",""en"")"),"['like', 'application', 'use', 'easy', 'quota', 'free', '']")</f>
        <v>['like', 'application', 'use', 'easy', 'quota', 'free', '']</v>
      </c>
      <c r="D2593" s="3">
        <v>5.0</v>
      </c>
    </row>
    <row r="2594" ht="15.75" customHeight="1">
      <c r="A2594" s="1">
        <v>2774.0</v>
      </c>
      <c r="B2594" s="3" t="s">
        <v>2501</v>
      </c>
      <c r="C2594" s="3" t="str">
        <f>IFERROR(__xludf.DUMMYFUNCTION("GOOGLETRANSLATE(B2594,""id"",""en"")"),"['signal', 'quota', 'game', 'play', 'game', 'that's', 'boong', 'gajelas', 'really']")</f>
        <v>['signal', 'quota', 'game', 'play', 'game', 'that's', 'boong', 'gajelas', 'really']</v>
      </c>
      <c r="D2594" s="3">
        <v>1.0</v>
      </c>
    </row>
    <row r="2595" ht="15.75" customHeight="1">
      <c r="A2595" s="1">
        <v>2775.0</v>
      </c>
      <c r="B2595" s="3" t="s">
        <v>2502</v>
      </c>
      <c r="C2595" s="3" t="str">
        <f>IFERROR(__xludf.DUMMYFUNCTION("GOOGLETRANSLATE(B2595,""id"",""en"")"),"['signal', 'difficult', 'in my opinion', '']")</f>
        <v>['signal', 'difficult', 'in my opinion', '']</v>
      </c>
      <c r="D2595" s="3">
        <v>2.0</v>
      </c>
    </row>
    <row r="2596" ht="15.75" customHeight="1">
      <c r="A2596" s="1">
        <v>2777.0</v>
      </c>
      <c r="B2596" s="3" t="s">
        <v>2503</v>
      </c>
      <c r="C2596" s="3" t="str">
        <f>IFERROR(__xludf.DUMMYFUNCTION("GOOGLETRANSLATE(B2596,""id"",""en"")"),"['sophisticated', 'Useful']")</f>
        <v>['sophisticated', 'Useful']</v>
      </c>
      <c r="D2596" s="3">
        <v>5.0</v>
      </c>
    </row>
    <row r="2597" ht="15.75" customHeight="1">
      <c r="A2597" s="1">
        <v>2778.0</v>
      </c>
      <c r="B2597" s="3" t="s">
        <v>2504</v>
      </c>
      <c r="C2597" s="3" t="str">
        <f>IFERROR(__xludf.DUMMYFUNCTION("GOOGLETRANSLATE(B2597,""id"",""en"")"),"['steady', 'signal', 'price', 'package', 'tsel']")</f>
        <v>['steady', 'signal', 'price', 'package', 'tsel']</v>
      </c>
      <c r="D2597" s="3">
        <v>5.0</v>
      </c>
    </row>
    <row r="2598" ht="15.75" customHeight="1">
      <c r="A2598" s="1">
        <v>2779.0</v>
      </c>
      <c r="B2598" s="3" t="s">
        <v>2505</v>
      </c>
      <c r="C2598" s="3" t="str">
        <f>IFERROR(__xludf.DUMMYFUNCTION("GOOGLETRANSLATE(B2598,""id"",""en"")"),"['Satisfied', 'use', 'Telkomsel', 'Network', 'fast']")</f>
        <v>['Satisfied', 'use', 'Telkomsel', 'Network', 'fast']</v>
      </c>
      <c r="D2598" s="3">
        <v>5.0</v>
      </c>
    </row>
    <row r="2599" ht="15.75" customHeight="1">
      <c r="A2599" s="1">
        <v>2780.0</v>
      </c>
      <c r="B2599" s="3" t="s">
        <v>2506</v>
      </c>
      <c r="C2599" s="3" t="str">
        <f>IFERROR(__xludf.DUMMYFUNCTION("GOOGLETRANSLATE(B2599,""id"",""en"")"),"['steady', 'checked', 'balance', 'package', 'pulse', 'efficient']")</f>
        <v>['steady', 'checked', 'balance', 'package', 'pulse', 'efficient']</v>
      </c>
      <c r="D2599" s="3">
        <v>5.0</v>
      </c>
    </row>
    <row r="2600" ht="15.75" customHeight="1">
      <c r="A2600" s="1">
        <v>2781.0</v>
      </c>
      <c r="B2600" s="3" t="s">
        <v>2507</v>
      </c>
      <c r="C2600" s="3" t="str">
        <f>IFERROR(__xludf.DUMMYFUNCTION("GOOGLETRANSLATE(B2600,""id"",""en"")"),"['Simple', 'Sangan', 'Facilitated']")</f>
        <v>['Simple', 'Sangan', 'Facilitated']</v>
      </c>
      <c r="D2600" s="3">
        <v>5.0</v>
      </c>
    </row>
    <row r="2601" ht="15.75" customHeight="1">
      <c r="A2601" s="1">
        <v>2782.0</v>
      </c>
      <c r="B2601" s="3" t="s">
        <v>2508</v>
      </c>
      <c r="C2601" s="3" t="str">
        <f>IFERROR(__xludf.DUMMYFUNCTION("GOOGLETRANSLATE(B2601,""id"",""en"")"),"['Sukak', 'staple', 'please', 'love', 'vocer', 'sya', 'min']")</f>
        <v>['Sukak', 'staple', 'please', 'love', 'vocer', 'sya', 'min']</v>
      </c>
      <c r="D2601" s="3">
        <v>5.0</v>
      </c>
    </row>
    <row r="2602" ht="15.75" customHeight="1">
      <c r="A2602" s="1">
        <v>2783.0</v>
      </c>
      <c r="B2602" s="3" t="s">
        <v>2509</v>
      </c>
      <c r="C2602" s="3" t="str">
        <f>IFERROR(__xludf.DUMMYFUNCTION("GOOGLETRANSLATE(B2602,""id"",""en"")"),"['pulse', 'no', 'reduced']")</f>
        <v>['pulse', 'no', 'reduced']</v>
      </c>
      <c r="D2602" s="3">
        <v>2.0</v>
      </c>
    </row>
    <row r="2603" ht="15.75" customHeight="1">
      <c r="A2603" s="1">
        <v>2784.0</v>
      </c>
      <c r="B2603" s="3" t="s">
        <v>2510</v>
      </c>
      <c r="C2603" s="3" t="str">
        <f>IFERROR(__xludf.DUMMYFUNCTION("GOOGLETRANSLATE(B2603,""id"",""en"")"),"['Number', 'grace', 'quota', 'pulse', 'contents', 'Yesterday']")</f>
        <v>['Number', 'grace', 'quota', 'pulse', 'contents', 'Yesterday']</v>
      </c>
      <c r="D2603" s="3">
        <v>1.0</v>
      </c>
    </row>
    <row r="2604" ht="15.75" customHeight="1">
      <c r="A2604" s="1">
        <v>2785.0</v>
      </c>
      <c r="B2604" s="3" t="s">
        <v>2511</v>
      </c>
      <c r="C2604" s="3" t="str">
        <f>IFERROR(__xludf.DUMMYFUNCTION("GOOGLETRANSLATE(B2604,""id"",""en"")"),"['Ngga', 'Login']")</f>
        <v>['Ngga', 'Login']</v>
      </c>
      <c r="D2604" s="3">
        <v>2.0</v>
      </c>
    </row>
    <row r="2605" ht="15.75" customHeight="1">
      <c r="A2605" s="1">
        <v>2786.0</v>
      </c>
      <c r="B2605" s="3" t="s">
        <v>2512</v>
      </c>
      <c r="C2605" s="3" t="str">
        <f>IFERROR(__xludf.DUMMYFUNCTION("GOOGLETRANSLATE(B2605,""id"",""en"")"),"['Telkomsel', 'Leading', '']")</f>
        <v>['Telkomsel', 'Leading', '']</v>
      </c>
      <c r="D2605" s="3">
        <v>4.0</v>
      </c>
    </row>
    <row r="2606" ht="15.75" customHeight="1">
      <c r="A2606" s="1">
        <v>2787.0</v>
      </c>
      <c r="B2606" s="3" t="s">
        <v>2513</v>
      </c>
      <c r="C2606" s="3" t="str">
        <f>IFERROR(__xludf.DUMMYFUNCTION("GOOGLETRANSLATE(B2606,""id"",""en"")"),"['Good', 'really', 'makes it easy', 'buy', 'pulse']")</f>
        <v>['Good', 'really', 'makes it easy', 'buy', 'pulse']</v>
      </c>
      <c r="D2606" s="3">
        <v>5.0</v>
      </c>
    </row>
    <row r="2607" ht="15.75" customHeight="1">
      <c r="A2607" s="1">
        <v>2788.0</v>
      </c>
      <c r="B2607" s="3" t="s">
        <v>2514</v>
      </c>
      <c r="C2607" s="3" t="str">
        <f>IFERROR(__xludf.DUMMYFUNCTION("GOOGLETRANSLATE(B2607,""id"",""en"")"),"['Increases', 'Quality', 'Region', 'Remote', 'Village']")</f>
        <v>['Increases', 'Quality', 'Region', 'Remote', 'Village']</v>
      </c>
      <c r="D2607" s="3">
        <v>4.0</v>
      </c>
    </row>
    <row r="2608" ht="15.75" customHeight="1">
      <c r="A2608" s="1">
        <v>2789.0</v>
      </c>
      <c r="B2608" s="3" t="s">
        <v>2515</v>
      </c>
      <c r="C2608" s="3" t="str">
        <f>IFERROR(__xludf.DUMMYFUNCTION("GOOGLETRANSLATE(B2608,""id"",""en"")"),"['Good', 'complete', 'beginners', 'blm', 'understand', 'easy', 'hopefully', 'help']")</f>
        <v>['Good', 'complete', 'beginners', 'blm', 'understand', 'easy', 'hopefully', 'help']</v>
      </c>
      <c r="D2608" s="3">
        <v>5.0</v>
      </c>
    </row>
    <row r="2609" ht="15.75" customHeight="1">
      <c r="A2609" s="1">
        <v>2790.0</v>
      </c>
      <c r="B2609" s="3" t="s">
        <v>2516</v>
      </c>
      <c r="C2609" s="3" t="str">
        <f>IFERROR(__xludf.DUMMYFUNCTION("GOOGLETRANSLATE(B2609,""id"",""en"")"),"['Bill', 'Pay', 'SMS', 'Card', 'Hello', 'Blmkar "",' BLM ',' Pay ',' Bill ',' How ',' Gen ',' Telkomsel ',' Disight ',' Customer ',' ']")</f>
        <v>['Bill', 'Pay', 'SMS', 'Card', 'Hello', 'Blmkar ",' BLM ',' Pay ',' Bill ',' How ',' Gen ',' Telkomsel ',' Disight ',' Customer ',' ']</v>
      </c>
      <c r="D2609" s="3">
        <v>5.0</v>
      </c>
    </row>
    <row r="2610" ht="15.75" customHeight="1">
      <c r="A2610" s="1">
        <v>2791.0</v>
      </c>
      <c r="B2610" s="3" t="s">
        <v>2517</v>
      </c>
      <c r="C2610" s="3" t="str">
        <f>IFERROR(__xludf.DUMMYFUNCTION("GOOGLETRANSLATE(B2610,""id"",""en"")"),"['Bnyikin', 'promo', '']")</f>
        <v>['Bnyikin', 'promo', '']</v>
      </c>
      <c r="D2610" s="3">
        <v>4.0</v>
      </c>
    </row>
    <row r="2611" ht="15.75" customHeight="1">
      <c r="A2611" s="1">
        <v>2792.0</v>
      </c>
      <c r="B2611" s="3" t="s">
        <v>2518</v>
      </c>
      <c r="C2611" s="3" t="str">
        <f>IFERROR(__xludf.DUMMYFUNCTION("GOOGLETRANSLATE(B2611,""id"",""en"")"),"['information', '']")</f>
        <v>['information', '']</v>
      </c>
      <c r="D2611" s="3">
        <v>5.0</v>
      </c>
    </row>
    <row r="2612" ht="15.75" customHeight="1">
      <c r="A2612" s="1">
        <v>2793.0</v>
      </c>
      <c r="B2612" s="3" t="s">
        <v>2519</v>
      </c>
      <c r="C2612" s="3" t="str">
        <f>IFERROR(__xludf.DUMMYFUNCTION("GOOGLETRANSLATE(B2612,""id"",""en"")"),"['wonder', 'policy', 'Telkomsel', 'price', 'package', 'Telkomsel', 'user', 'price', 'expensive', 'compared', 'users',' Telkomsel ',' Compared to ',' Please ',' Price ',' Leveled ',' Price ',' Thank you ']")</f>
        <v>['wonder', 'policy', 'Telkomsel', 'price', 'package', 'Telkomsel', 'user', 'price', 'expensive', 'compared', 'users',' Telkomsel ',' Compared to ',' Please ',' Price ',' Leveled ',' Price ',' Thank you ']</v>
      </c>
      <c r="D2612" s="3">
        <v>1.0</v>
      </c>
    </row>
    <row r="2613" ht="15.75" customHeight="1">
      <c r="A2613" s="1">
        <v>2794.0</v>
      </c>
      <c r="B2613" s="3" t="s">
        <v>2520</v>
      </c>
      <c r="C2613" s="3" t="str">
        <f>IFERROR(__xludf.DUMMYFUNCTION("GOOGLETRANSLATE(B2613,""id"",""en"")"),"['Zimpati', 'Jwancuk', 'Maling', 'Pulse', 'Connection', 'Bad', 'Azuu']")</f>
        <v>['Zimpati', 'Jwancuk', 'Maling', 'Pulse', 'Connection', 'Bad', 'Azuu']</v>
      </c>
      <c r="D2613" s="3">
        <v>2.0</v>
      </c>
    </row>
    <row r="2614" ht="15.75" customHeight="1">
      <c r="A2614" s="1">
        <v>2795.0</v>
      </c>
      <c r="B2614" s="3" t="s">
        <v>2521</v>
      </c>
      <c r="C2614" s="3" t="str">
        <f>IFERROR(__xludf.DUMMYFUNCTION("GOOGLETRANSLATE(B2614,""id"",""en"")"),"['already', 'update', 'open', 'my apk', 'told', 'update', '']")</f>
        <v>['already', 'update', 'open', 'my apk', 'told', 'update', '']</v>
      </c>
      <c r="D2614" s="3">
        <v>2.0</v>
      </c>
    </row>
    <row r="2615" ht="15.75" customHeight="1">
      <c r="A2615" s="1">
        <v>2796.0</v>
      </c>
      <c r="B2615" s="3" t="s">
        <v>2522</v>
      </c>
      <c r="C2615" s="3" t="str">
        <f>IFERROR(__xludf.DUMMYFUNCTION("GOOGLETRANSLATE(B2615,""id"",""en"")"),"['buy', 'quota', 'taunya', 'zonkk', 'network', 'original', 'blokkk', 'nangiss']")</f>
        <v>['buy', 'quota', 'taunya', 'zonkk', 'network', 'original', 'blokkk', 'nangiss']</v>
      </c>
      <c r="D2615" s="3">
        <v>1.0</v>
      </c>
    </row>
    <row r="2616" ht="15.75" customHeight="1">
      <c r="A2616" s="1">
        <v>2797.0</v>
      </c>
      <c r="B2616" s="3" t="s">
        <v>2523</v>
      </c>
      <c r="C2616" s="3" t="str">
        <f>IFERROR(__xludf.DUMMYFUNCTION("GOOGLETRANSLATE(B2616,""id"",""en"")"),"['thank', 'love', 'help']")</f>
        <v>['thank', 'love', 'help']</v>
      </c>
      <c r="D2616" s="3">
        <v>5.0</v>
      </c>
    </row>
    <row r="2617" ht="15.75" customHeight="1">
      <c r="A2617" s="1">
        <v>2798.0</v>
      </c>
      <c r="B2617" s="3" t="s">
        <v>2524</v>
      </c>
      <c r="C2617" s="3" t="str">
        <f>IFERROR(__xludf.DUMMYFUNCTION("GOOGLETRANSLATE(B2617,""id"",""en"")"),"['Increases',' Service ',' Quality ',' Increases', 'Promo', 'Paketan', 'Tel', 'Internet', 'Promo', 'Giganet', 'Get', 'Family', ' ']")</f>
        <v>['Increases',' Service ',' Quality ',' Increases', 'Promo', 'Paketan', 'Tel', 'Internet', 'Promo', 'Giganet', 'Get', 'Family', ' ']</v>
      </c>
      <c r="D2617" s="3">
        <v>5.0</v>
      </c>
    </row>
    <row r="2618" ht="15.75" customHeight="1">
      <c r="A2618" s="1">
        <v>2799.0</v>
      </c>
      <c r="B2618" s="3" t="s">
        <v>2525</v>
      </c>
      <c r="C2618" s="3" t="str">
        <f>IFERROR(__xludf.DUMMYFUNCTION("GOOGLETRANSLATE(B2618,""id"",""en"")"),"['Very', 'Combo', 'Sakti', 'LBIH', 'Enhanced', 'Network', 'Outside', 'Jangakauan', 'Side', 'Border', 'TKS', 'Telkomsel', ' ']")</f>
        <v>['Very', 'Combo', 'Sakti', 'LBIH', 'Enhanced', 'Network', 'Outside', 'Jangakauan', 'Side', 'Border', 'TKS', 'Telkomsel', ' ']</v>
      </c>
      <c r="D2618" s="3">
        <v>4.0</v>
      </c>
    </row>
    <row r="2619" ht="15.75" customHeight="1">
      <c r="A2619" s="1">
        <v>2800.0</v>
      </c>
      <c r="B2619" s="3" t="s">
        <v>2526</v>
      </c>
      <c r="C2619" s="3" t="str">
        <f>IFERROR(__xludf.DUMMYFUNCTION("GOOGLETRANSLATE(B2619,""id"",""en"")"),"['Settlement', 'Signal', 'Lamban', '']")</f>
        <v>['Settlement', 'Signal', 'Lamban', '']</v>
      </c>
      <c r="D2619" s="3">
        <v>1.0</v>
      </c>
    </row>
    <row r="2620" ht="15.75" customHeight="1">
      <c r="A2620" s="1">
        <v>2801.0</v>
      </c>
      <c r="B2620" s="3" t="s">
        <v>2527</v>
      </c>
      <c r="C2620" s="3" t="str">
        <f>IFERROR(__xludf.DUMMYFUNCTION("GOOGLETRANSLATE(B2620,""id"",""en"")"),"['Sangaatt', 'Useful']")</f>
        <v>['Sangaatt', 'Useful']</v>
      </c>
      <c r="D2620" s="3">
        <v>5.0</v>
      </c>
    </row>
    <row r="2621" ht="15.75" customHeight="1">
      <c r="A2621" s="1">
        <v>2802.0</v>
      </c>
      <c r="B2621" s="3" t="s">
        <v>2528</v>
      </c>
      <c r="C2621" s="3" t="str">
        <f>IFERROR(__xludf.DUMMYFUNCTION("GOOGLETRANSLATE(B2621,""id"",""en"")"),"['signal', 'setabilia', 'kentot']")</f>
        <v>['signal', 'setabilia', 'kentot']</v>
      </c>
      <c r="D2621" s="3">
        <v>1.0</v>
      </c>
    </row>
    <row r="2622" ht="15.75" customHeight="1">
      <c r="A2622" s="1">
        <v>2803.0</v>
      </c>
      <c r="B2622" s="3" t="s">
        <v>2529</v>
      </c>
      <c r="C2622" s="3" t="str">
        <f>IFERROR(__xludf.DUMMYFUNCTION("GOOGLETRANSLATE(B2622,""id"",""en"")"),"['Satisfied', 'service', 'Telkomsel', 'bonus', 'quota']")</f>
        <v>['Satisfied', 'service', 'Telkomsel', 'bonus', 'quota']</v>
      </c>
      <c r="D2622" s="3">
        <v>5.0</v>
      </c>
    </row>
    <row r="2623" ht="15.75" customHeight="1">
      <c r="A2623" s="1">
        <v>2804.0</v>
      </c>
      <c r="B2623" s="3" t="s">
        <v>2530</v>
      </c>
      <c r="C2623" s="3" t="str">
        <f>IFERROR(__xludf.DUMMYFUNCTION("GOOGLETRANSLATE(B2623,""id"",""en"")"),"['Good', 'application', '']")</f>
        <v>['Good', 'application', '']</v>
      </c>
      <c r="D2623" s="3">
        <v>5.0</v>
      </c>
    </row>
    <row r="2624" ht="15.75" customHeight="1">
      <c r="A2624" s="1">
        <v>2805.0</v>
      </c>
      <c r="B2624" s="3" t="s">
        <v>2531</v>
      </c>
      <c r="C2624" s="3" t="str">
        <f>IFERROR(__xludf.DUMMYFUNCTION("GOOGLETRANSLATE(B2624,""id"",""en"")"),"['Network', 'best', 'taste', 'different', 'network', 'expensive', 'doang', 'price', 'package', 'hope', 'yaa']")</f>
        <v>['Network', 'best', 'taste', 'different', 'network', 'expensive', 'doang', 'price', 'package', 'hope', 'yaa']</v>
      </c>
      <c r="D2624" s="3">
        <v>5.0</v>
      </c>
    </row>
    <row r="2625" ht="15.75" customHeight="1">
      <c r="A2625" s="1">
        <v>2806.0</v>
      </c>
      <c r="B2625" s="3" t="s">
        <v>2532</v>
      </c>
      <c r="C2625" s="3" t="str">
        <f>IFERROR(__xludf.DUMMYFUNCTION("GOOGLETRANSLATE(B2625,""id"",""en"")"),"['Contents',' pulse ',' free ',' quota ',' signal ',' threat ',' signal ',' rich ',' dicaci ',' maki ',' report ',' game ',' Game ',' Main ',' Facebook ',' buffering ']")</f>
        <v>['Contents',' pulse ',' free ',' quota ',' signal ',' threat ',' signal ',' rich ',' dicaci ',' maki ',' report ',' game ',' Game ',' Main ',' Facebook ',' buffering ']</v>
      </c>
      <c r="D2625" s="3">
        <v>1.0</v>
      </c>
    </row>
    <row r="2626" ht="15.75" customHeight="1">
      <c r="A2626" s="1">
        <v>2807.0</v>
      </c>
      <c r="B2626" s="3" t="s">
        <v>2533</v>
      </c>
      <c r="C2626" s="3" t="str">
        <f>IFERROR(__xludf.DUMMYFUNCTION("GOOGLETRANSLATE(B2626,""id"",""en"")"),"['Good', 'minus', 'quota', 'extra', 'package', 'main', '']")</f>
        <v>['Good', 'minus', 'quota', 'extra', 'package', 'main', '']</v>
      </c>
      <c r="D2626" s="3">
        <v>3.0</v>
      </c>
    </row>
    <row r="2627" ht="15.75" customHeight="1">
      <c r="A2627" s="1">
        <v>2808.0</v>
      </c>
      <c r="B2627" s="3" t="s">
        <v>2534</v>
      </c>
      <c r="C2627" s="3" t="str">
        <f>IFERROR(__xludf.DUMMYFUNCTION("GOOGLETRANSLATE(B2627,""id"",""en"")"),"['Package', 'Internet', 'accessed', '']")</f>
        <v>['Package', 'Internet', 'accessed', '']</v>
      </c>
      <c r="D2627" s="3">
        <v>2.0</v>
      </c>
    </row>
    <row r="2628" ht="15.75" customHeight="1">
      <c r="A2628" s="1">
        <v>2809.0</v>
      </c>
      <c r="B2628" s="3" t="s">
        <v>2535</v>
      </c>
      <c r="C2628" s="3" t="str">
        <f>IFERROR(__xludf.DUMMYFUNCTION("GOOGLETRANSLATE(B2628,""id"",""en"")"),"['Points', 'exchanged', 'system', 'busy', '']")</f>
        <v>['Points', 'exchanged', 'system', 'busy', '']</v>
      </c>
      <c r="D2628" s="3">
        <v>5.0</v>
      </c>
    </row>
    <row r="2629" ht="15.75" customHeight="1">
      <c r="A2629" s="1">
        <v>2810.0</v>
      </c>
      <c r="B2629" s="3" t="s">
        <v>2536</v>
      </c>
      <c r="C2629" s="3" t="str">
        <f>IFERROR(__xludf.DUMMYFUNCTION("GOOGLETRANSLATE(B2629,""id"",""en"")"),"['MHN', 'Call', 'Telkomsel', 'Minutes', 'Minutes', 'SMS', 'Reduced', 'Used', 'SMS', 'MHN', 'Considered']")</f>
        <v>['MHN', 'Call', 'Telkomsel', 'Minutes', 'Minutes', 'SMS', 'Reduced', 'Used', 'SMS', 'MHN', 'Considered']</v>
      </c>
      <c r="D2629" s="3">
        <v>5.0</v>
      </c>
    </row>
    <row r="2630" ht="15.75" customHeight="1">
      <c r="A2630" s="1">
        <v>2812.0</v>
      </c>
      <c r="B2630" s="3" t="s">
        <v>2537</v>
      </c>
      <c r="C2630" s="3" t="str">
        <f>IFERROR(__xludf.DUMMYFUNCTION("GOOGLETRANSLATE(B2630,""id"",""en"")"),"['satisfying', 'network', 'Telkomsel']")</f>
        <v>['satisfying', 'network', 'Telkomsel']</v>
      </c>
      <c r="D2630" s="3">
        <v>5.0</v>
      </c>
    </row>
    <row r="2631" ht="15.75" customHeight="1">
      <c r="A2631" s="1">
        <v>2813.0</v>
      </c>
      <c r="B2631" s="3" t="s">
        <v>2538</v>
      </c>
      <c r="C2631" s="3" t="str">
        <f>IFERROR(__xludf.DUMMYFUNCTION("GOOGLETRANSLATE(B2631,""id"",""en"")"),"['Please', 'price', 'quota', 'expensive']")</f>
        <v>['Please', 'price', 'quota', 'expensive']</v>
      </c>
      <c r="D2631" s="3">
        <v>5.0</v>
      </c>
    </row>
    <row r="2632" ht="15.75" customHeight="1">
      <c r="A2632" s="1">
        <v>2814.0</v>
      </c>
      <c r="B2632" s="3" t="s">
        <v>2539</v>
      </c>
      <c r="C2632" s="3" t="str">
        <f>IFERROR(__xludf.DUMMYFUNCTION("GOOGLETRANSLATE(B2632,""id"",""en"")"),"['Buy', 'Thinking', 'YouTube', 'Credit', 'Suck', 'Out', 'His name', 'Fraud']")</f>
        <v>['Buy', 'Thinking', 'YouTube', 'Credit', 'Suck', 'Out', 'His name', 'Fraud']</v>
      </c>
      <c r="D2632" s="3">
        <v>1.0</v>
      </c>
    </row>
    <row r="2633" ht="15.75" customHeight="1">
      <c r="A2633" s="1">
        <v>2815.0</v>
      </c>
      <c r="B2633" s="3" t="s">
        <v>2540</v>
      </c>
      <c r="C2633" s="3" t="str">
        <f>IFERROR(__xludf.DUMMYFUNCTION("GOOGLETRANSLATE(B2633,""id"",""en"")"),"['Help', 'application']")</f>
        <v>['Help', 'application']</v>
      </c>
      <c r="D2633" s="3">
        <v>5.0</v>
      </c>
    </row>
    <row r="2634" ht="15.75" customHeight="1">
      <c r="A2634" s="1">
        <v>2816.0</v>
      </c>
      <c r="B2634" s="3" t="s">
        <v>2541</v>
      </c>
      <c r="C2634" s="3" t="str">
        <f>IFERROR(__xludf.DUMMYFUNCTION("GOOGLETRANSLATE(B2634,""id"",""en"")"),"['Increase', 'season', 'Rain', 'Signal', '']")</f>
        <v>['Increase', 'season', 'Rain', 'Signal', '']</v>
      </c>
      <c r="D2634" s="3">
        <v>5.0</v>
      </c>
    </row>
    <row r="2635" ht="15.75" customHeight="1">
      <c r="A2635" s="1">
        <v>2817.0</v>
      </c>
      <c r="B2635" s="3" t="s">
        <v>2542</v>
      </c>
      <c r="C2635" s="3" t="str">
        <f>IFERROR(__xludf.DUMMYFUNCTION("GOOGLETRANSLATE(B2635,""id"",""en"")"),"['Package', 'cheap']")</f>
        <v>['Package', 'cheap']</v>
      </c>
      <c r="D2635" s="3">
        <v>5.0</v>
      </c>
    </row>
    <row r="2636" ht="15.75" customHeight="1">
      <c r="A2636" s="1">
        <v>2818.0</v>
      </c>
      <c r="B2636" s="3" t="s">
        <v>2543</v>
      </c>
      <c r="C2636" s="3" t="str">
        <f>IFERROR(__xludf.DUMMYFUNCTION("GOOGLETRANSLATE(B2636,""id"",""en"")"),"['Like', 'Bangeut', 'Buy', 'City', 'Telkomsel', 'Abis', 'fast', 'Ribet']")</f>
        <v>['Like', 'Bangeut', 'Buy', 'City', 'Telkomsel', 'Abis', 'fast', 'Ribet']</v>
      </c>
      <c r="D2636" s="3">
        <v>5.0</v>
      </c>
    </row>
    <row r="2637" ht="15.75" customHeight="1">
      <c r="A2637" s="1">
        <v>2819.0</v>
      </c>
      <c r="B2637" s="3" t="s">
        <v>2544</v>
      </c>
      <c r="C2637" s="3" t="str">
        <f>IFERROR(__xludf.DUMMYFUNCTION("GOOGLETRANSLATE(B2637,""id"",""en"")"),"['card', 'grace', 'bln', 'fill', 'pulse', 'gopay', 'activated', 'buy', 'pulse', 'data', 'automatic', 'extend', ' Understandably ',' application ',' tacky ',' poor ',' detect ',' extend ',' active ']")</f>
        <v>['card', 'grace', 'bln', 'fill', 'pulse', 'gopay', 'activated', 'buy', 'pulse', 'data', 'automatic', 'extend', ' Understandably ',' application ',' tacky ',' poor ',' detect ',' extend ',' active ']</v>
      </c>
      <c r="D2637" s="3">
        <v>1.0</v>
      </c>
    </row>
    <row r="2638" ht="15.75" customHeight="1">
      <c r="A2638" s="1">
        <v>2820.0</v>
      </c>
      <c r="B2638" s="3" t="s">
        <v>2545</v>
      </c>
      <c r="C2638" s="3" t="str">
        <f>IFERROR(__xludf.DUMMYFUNCTION("GOOGLETRANSLATE(B2638,""id"",""en"")"),"['Bonus', 'fake', 'used', '']")</f>
        <v>['Bonus', 'fake', 'used', '']</v>
      </c>
      <c r="D2638" s="3">
        <v>1.0</v>
      </c>
    </row>
    <row r="2639" ht="15.75" customHeight="1">
      <c r="A2639" s="1">
        <v>2821.0</v>
      </c>
      <c r="B2639" s="3" t="s">
        <v>2546</v>
      </c>
      <c r="C2639" s="3" t="str">
        <f>IFERROR(__xludf.DUMMYFUNCTION("GOOGLETRANSLATE(B2639,""id"",""en"")"),"['', 'Ntar', 'Bgus', 'Bintang', '']")</f>
        <v>['', 'Ntar', 'Bgus', 'Bintang', '']</v>
      </c>
      <c r="D2639" s="3">
        <v>2.0</v>
      </c>
    </row>
    <row r="2640" ht="15.75" customHeight="1">
      <c r="A2640" s="1">
        <v>2822.0</v>
      </c>
      <c r="B2640" s="3" t="s">
        <v>2547</v>
      </c>
      <c r="C2640" s="3" t="str">
        <f>IFERROR(__xludf.DUMMYFUNCTION("GOOGLETRANSLATE(B2640,""id"",""en"")"),"['Price', 'package', 'expensive', 'Mending', 'Card', 'Telkomsel', 'Combo', 'Sakti', 'Disappointed', 'Buy', 'Card', 'Telkomsel', ' Prepaid ',' Please ',' Collapse ',' Harga ',' Package ',' Telkomsel ',' Combo ',' Sakti ',' People ',' Old ',' Angry ',' Expe"&amp;"nsive ',' Combo ' , 'Sakti', 'price', 'a month', 'get', 'GB', 'Tong', 'Long', 'Collapinated', 'Price', 'Combo', 'Sakti', 'Disappointed', ' Buy ',' card ']")</f>
        <v>['Price', 'package', 'expensive', 'Mending', 'Card', 'Telkomsel', 'Combo', 'Sakti', 'Disappointed', 'Buy', 'Card', 'Telkomsel', ' Prepaid ',' Please ',' Collapse ',' Harga ',' Package ',' Telkomsel ',' Combo ',' Sakti ',' People ',' Old ',' Angry ',' Expensive ',' Combo ' , 'Sakti', 'price', 'a month', 'get', 'GB', 'Tong', 'Long', 'Collapinated', 'Price', 'Combo', 'Sakti', 'Disappointed', ' Buy ',' card ']</v>
      </c>
      <c r="D2640" s="3">
        <v>1.0</v>
      </c>
    </row>
    <row r="2641" ht="15.75" customHeight="1">
      <c r="A2641" s="1">
        <v>2823.0</v>
      </c>
      <c r="B2641" s="3" t="s">
        <v>2548</v>
      </c>
      <c r="C2641" s="3" t="str">
        <f>IFERROR(__xludf.DUMMYFUNCTION("GOOGLETRANSLATE(B2641,""id"",""en"")"),"['buy', 'package', 'bought', 'error']")</f>
        <v>['buy', 'package', 'bought', 'error']</v>
      </c>
      <c r="D2641" s="3">
        <v>2.0</v>
      </c>
    </row>
    <row r="2642" ht="15.75" customHeight="1">
      <c r="A2642" s="1">
        <v>2826.0</v>
      </c>
      <c r="B2642" s="3" t="s">
        <v>2549</v>
      </c>
      <c r="C2642" s="3" t="str">
        <f>IFERROR(__xludf.DUMMYFUNCTION("GOOGLETRANSLATE(B2642,""id"",""en"")"),"['Please', 'multiply', 'promo', '']")</f>
        <v>['Please', 'multiply', 'promo', '']</v>
      </c>
      <c r="D2642" s="3">
        <v>5.0</v>
      </c>
    </row>
    <row r="2643" ht="15.75" customHeight="1">
      <c r="A2643" s="1">
        <v>2827.0</v>
      </c>
      <c r="B2643" s="3" t="s">
        <v>2550</v>
      </c>
      <c r="C2643" s="3" t="str">
        <f>IFERROR(__xludf.DUMMYFUNCTION("GOOGLETRANSLATE(B2643,""id"",""en"")"),"['star', 'Telkomsel', 'keep', 'bonus',' bonus', 'user', 'loyal', 'product', 'Telkomsel', 'price', 'package', 'combo', ' The internet ',' Lower ',' users', 'loyal', 'comment', 'positive', 'Telkomsel', 'defend', 'star', '']")</f>
        <v>['star', 'Telkomsel', 'keep', 'bonus',' bonus', 'user', 'loyal', 'product', 'Telkomsel', 'price', 'package', 'combo', ' The internet ',' Lower ',' users', 'loyal', 'comment', 'positive', 'Telkomsel', 'defend', 'star', '']</v>
      </c>
      <c r="D2643" s="3">
        <v>5.0</v>
      </c>
    </row>
    <row r="2644" ht="15.75" customHeight="1">
      <c r="A2644" s="1">
        <v>2828.0</v>
      </c>
      <c r="B2644" s="3" t="s">
        <v>2551</v>
      </c>
      <c r="C2644" s="3" t="str">
        <f>IFERROR(__xludf.DUMMYFUNCTION("GOOGLETRANSLATE(B2644,""id"",""en"")"),"['Package', 'monthly', 'internet', 'Hello', 'appears',' writing ',' usage ',' package ',' internet ',' run out ',' reach ',' use ',' ']")</f>
        <v>['Package', 'monthly', 'internet', 'Hello', 'appears',' writing ',' usage ',' package ',' internet ',' run out ',' reach ',' use ',' ']</v>
      </c>
      <c r="D2644" s="3">
        <v>5.0</v>
      </c>
    </row>
    <row r="2645" ht="15.75" customHeight="1">
      <c r="A2645" s="1">
        <v>2829.0</v>
      </c>
      <c r="B2645" s="3" t="s">
        <v>2552</v>
      </c>
      <c r="C2645" s="3" t="str">
        <f>IFERROR(__xludf.DUMMYFUNCTION("GOOGLETRANSLATE(B2645,""id"",""en"")"),"['serusion', 'tasty', 'really', 'facility', 'Telkomsel']")</f>
        <v>['serusion', 'tasty', 'really', 'facility', 'Telkomsel']</v>
      </c>
      <c r="D2645" s="3">
        <v>5.0</v>
      </c>
    </row>
    <row r="2646" ht="15.75" customHeight="1">
      <c r="A2646" s="1">
        <v>2830.0</v>
      </c>
      <c r="B2646" s="3" t="s">
        <v>2553</v>
      </c>
      <c r="C2646" s="3" t="str">
        <f>IFERROR(__xludf.DUMMYFUNCTION("GOOGLETRANSLATE(B2646,""id"",""en"")"),"['easy', 'check', 'status', 'buy', 'package']")</f>
        <v>['easy', 'check', 'status', 'buy', 'package']</v>
      </c>
      <c r="D2646" s="3">
        <v>5.0</v>
      </c>
    </row>
    <row r="2647" ht="15.75" customHeight="1">
      <c r="A2647" s="1">
        <v>2831.0</v>
      </c>
      <c r="B2647" s="3" t="s">
        <v>2554</v>
      </c>
      <c r="C2647" s="3" t="str">
        <f>IFERROR(__xludf.DUMMYFUNCTION("GOOGLETRANSLATE(B2647,""id"",""en"")"),"['rare', 'bonus']")</f>
        <v>['rare', 'bonus']</v>
      </c>
      <c r="D2647" s="3">
        <v>5.0</v>
      </c>
    </row>
    <row r="2648" ht="15.75" customHeight="1">
      <c r="A2648" s="1">
        <v>2832.0</v>
      </c>
      <c r="B2648" s="3" t="s">
        <v>2555</v>
      </c>
      <c r="C2648" s="3" t="str">
        <f>IFERROR(__xludf.DUMMYFUNCTION("GOOGLETRANSLATE(B2648,""id"",""en"")"),"['suggestion', 'point', 'stlah', 'charging', 'pulse', 'package', 'data', 'point', 'exchanged', 'package', 'data', 'at' Emergency ',' Points', 'wasted', 'Sia', 'Sia']")</f>
        <v>['suggestion', 'point', 'stlah', 'charging', 'pulse', 'package', 'data', 'point', 'exchanged', 'package', 'data', 'at' Emergency ',' Points', 'wasted', 'Sia', 'Sia']</v>
      </c>
      <c r="D2648" s="3">
        <v>1.0</v>
      </c>
    </row>
    <row r="2649" ht="15.75" customHeight="1">
      <c r="A2649" s="1">
        <v>2833.0</v>
      </c>
      <c r="B2649" s="3" t="s">
        <v>2556</v>
      </c>
      <c r="C2649" s="3" t="str">
        <f>IFERROR(__xludf.DUMMYFUNCTION("GOOGLETRANSLATE(B2649,""id"",""en"")"),"['Operator', 'ugly', 'package', 'data', 'turned off', 'credit', 'reduced', 'no', 'pulse', 'save', 'rich', 'operator', ' Next to ',' Indos', 'ugly', '']")</f>
        <v>['Operator', 'ugly', 'package', 'data', 'turned off', 'credit', 'reduced', 'no', 'pulse', 'save', 'rich', 'operator', ' Next to ',' Indos', 'ugly', '']</v>
      </c>
      <c r="D2649" s="3">
        <v>1.0</v>
      </c>
    </row>
    <row r="2650" ht="15.75" customHeight="1">
      <c r="A2650" s="1">
        <v>2834.0</v>
      </c>
      <c r="B2650" s="3" t="s">
        <v>2557</v>
      </c>
      <c r="C2650" s="3" t="str">
        <f>IFERROR(__xludf.DUMMYFUNCTION("GOOGLETRANSLATE(B2650,""id"",""en"")"),"['Trusted']")</f>
        <v>['Trusted']</v>
      </c>
      <c r="D2650" s="3">
        <v>5.0</v>
      </c>
    </row>
    <row r="2651" ht="15.75" customHeight="1">
      <c r="A2651" s="1">
        <v>2835.0</v>
      </c>
      <c r="B2651" s="3" t="s">
        <v>2558</v>
      </c>
      <c r="C2651" s="3" t="str">
        <f>IFERROR(__xludf.DUMMYFUNCTION("GOOGLETRANSLATE(B2651,""id"",""en"")"),"['Chek', 'application', '']")</f>
        <v>['Chek', 'application', '']</v>
      </c>
      <c r="D2651" s="3">
        <v>5.0</v>
      </c>
    </row>
    <row r="2652" ht="15.75" customHeight="1">
      <c r="A2652" s="1">
        <v>2836.0</v>
      </c>
      <c r="B2652" s="3" t="s">
        <v>2559</v>
      </c>
      <c r="C2652" s="3" t="str">
        <f>IFERROR(__xludf.DUMMYFUNCTION("GOOGLETRANSLATE(B2652,""id"",""en"")"),"['update', 'package', 'telephone', 'cheap', 'missing', 'stay', 'package', 'expensive', 'disappointing']")</f>
        <v>['update', 'package', 'telephone', 'cheap', 'missing', 'stay', 'package', 'expensive', 'disappointing']</v>
      </c>
      <c r="D2652" s="3">
        <v>5.0</v>
      </c>
    </row>
    <row r="2653" ht="15.75" customHeight="1">
      <c r="A2653" s="1">
        <v>2837.0</v>
      </c>
      <c r="B2653" s="3" t="s">
        <v>2560</v>
      </c>
      <c r="C2653" s="3" t="str">
        <f>IFERROR(__xludf.DUMMYFUNCTION("GOOGLETRANSLATE(B2653,""id"",""en"")"),"['easy', 'understandable', 'auto', 'smooth']")</f>
        <v>['easy', 'understandable', 'auto', 'smooth']</v>
      </c>
      <c r="D2653" s="3">
        <v>4.0</v>
      </c>
    </row>
    <row r="2654" ht="15.75" customHeight="1">
      <c r="A2654" s="1">
        <v>2838.0</v>
      </c>
      <c r="B2654" s="3" t="s">
        <v>2561</v>
      </c>
      <c r="C2654" s="3" t="str">
        <f>IFERROR(__xludf.DUMMYFUNCTION("GOOGLETRANSLATE(B2654,""id"",""en"")"),"['banned', 'tenan', 'package', '']")</f>
        <v>['banned', 'tenan', 'package', '']</v>
      </c>
      <c r="D2654" s="3">
        <v>2.0</v>
      </c>
    </row>
    <row r="2655" ht="15.75" customHeight="1">
      <c r="A2655" s="1">
        <v>2839.0</v>
      </c>
      <c r="B2655" s="3" t="s">
        <v>600</v>
      </c>
      <c r="C2655" s="3" t="str">
        <f>IFERROR(__xludf.DUMMYFUNCTION("GOOGLETRANSLATE(B2655,""id"",""en"")"),"['Application', 'Good', '']")</f>
        <v>['Application', 'Good', '']</v>
      </c>
      <c r="D2655" s="3">
        <v>5.0</v>
      </c>
    </row>
    <row r="2656" ht="15.75" customHeight="1">
      <c r="A2656" s="1">
        <v>2840.0</v>
      </c>
      <c r="B2656" s="3" t="s">
        <v>2562</v>
      </c>
      <c r="C2656" s="3" t="str">
        <f>IFERROR(__xludf.DUMMYFUNCTION("GOOGLETRANSLATE(B2656,""id"",""en"")"),"['Help', 'monitor', 'activity', 'purchase', 'quota', 'data']")</f>
        <v>['Help', 'monitor', 'activity', 'purchase', 'quota', 'data']</v>
      </c>
      <c r="D2656" s="3">
        <v>4.0</v>
      </c>
    </row>
    <row r="2657" ht="15.75" customHeight="1">
      <c r="A2657" s="1">
        <v>2841.0</v>
      </c>
      <c r="B2657" s="3" t="s">
        <v>2563</v>
      </c>
      <c r="C2657" s="3" t="str">
        <f>IFERROR(__xludf.DUMMYFUNCTION("GOOGLETRANSLATE(B2657,""id"",""en"")"),"['The application', 'help', 'purchase', 'package', 'internet', '']")</f>
        <v>['The application', 'help', 'purchase', 'package', 'internet', '']</v>
      </c>
      <c r="D2657" s="3">
        <v>5.0</v>
      </c>
    </row>
    <row r="2658" ht="15.75" customHeight="1">
      <c r="A2658" s="1">
        <v>2842.0</v>
      </c>
      <c r="B2658" s="3" t="s">
        <v>2564</v>
      </c>
      <c r="C2658" s="3" t="str">
        <f>IFERROR(__xludf.DUMMYFUNCTION("GOOGLETRANSLATE(B2658,""id"",""en"")"),"['opened', 'application']")</f>
        <v>['opened', 'application']</v>
      </c>
      <c r="D2658" s="3">
        <v>1.0</v>
      </c>
    </row>
    <row r="2659" ht="15.75" customHeight="1">
      <c r="A2659" s="1">
        <v>2843.0</v>
      </c>
      <c r="B2659" s="3" t="s">
        <v>2565</v>
      </c>
      <c r="C2659" s="3" t="str">
        <f>IFERROR(__xludf.DUMMYFUNCTION("GOOGLETRANSLATE(B2659,""id"",""en"")"),"['Telkomsel', 'Mandatory', 'Language', 'English', 'Kesian', 'User', 'Language', 'English', 'Choice', 'Language', 'Choose', 'Language', ' England ',' Indonesia ',' reaches', 'users',' Telkomsel ',' confused ',' subscription ',' ']")</f>
        <v>['Telkomsel', 'Mandatory', 'Language', 'English', 'Kesian', 'User', 'Language', 'English', 'Choice', 'Language', 'Choose', 'Language', ' England ',' Indonesia ',' reaches', 'users',' Telkomsel ',' confused ',' subscription ',' ']</v>
      </c>
      <c r="D2659" s="3">
        <v>3.0</v>
      </c>
    </row>
    <row r="2660" ht="15.75" customHeight="1">
      <c r="A2660" s="1">
        <v>2844.0</v>
      </c>
      <c r="B2660" s="3" t="s">
        <v>2566</v>
      </c>
      <c r="C2660" s="3" t="str">
        <f>IFERROR(__xludf.DUMMYFUNCTION("GOOGLETRANSLATE(B2660,""id"",""en"")"),"['run out', 'package', 'internet', 'package', 'multimedia', 'slow', 'sometimes', 'coakes', 'package', 'uh', 'loss', ""]")</f>
        <v>['run out', 'package', 'internet', 'package', 'multimedia', 'slow', 'sometimes', 'coakes', 'package', 'uh', 'loss', "]</v>
      </c>
      <c r="D2660" s="3">
        <v>1.0</v>
      </c>
    </row>
    <row r="2661" ht="15.75" customHeight="1">
      <c r="A2661" s="1">
        <v>2845.0</v>
      </c>
      <c r="B2661" s="3" t="s">
        <v>1498</v>
      </c>
      <c r="C2661" s="3" t="str">
        <f>IFERROR(__xludf.DUMMYFUNCTION("GOOGLETRANSLATE(B2661,""id"",""en"")"),"['Application', 'Helpful']")</f>
        <v>['Application', 'Helpful']</v>
      </c>
      <c r="D2661" s="3">
        <v>5.0</v>
      </c>
    </row>
    <row r="2662" ht="15.75" customHeight="1">
      <c r="A2662" s="1">
        <v>2846.0</v>
      </c>
      <c r="B2662" s="3" t="s">
        <v>2567</v>
      </c>
      <c r="C2662" s="3" t="str">
        <f>IFERROR(__xludf.DUMMYFUNCTION("GOOGLETRANSLATE(B2662,""id"",""en"")"),"['Please', 'Dev', 'Benerin', 'Signal', 'Mass', 'Move', ""]")</f>
        <v>['Please', 'Dev', 'Benerin', 'Signal', 'Mass', 'Move', "]</v>
      </c>
      <c r="D2662" s="3">
        <v>3.0</v>
      </c>
    </row>
    <row r="2663" ht="15.75" customHeight="1">
      <c r="A2663" s="1">
        <v>2847.0</v>
      </c>
      <c r="B2663" s="3" t="s">
        <v>2568</v>
      </c>
      <c r="C2663" s="3" t="str">
        <f>IFERROR(__xludf.DUMMYFUNCTION("GOOGLETRANSLATE(B2663,""id"",""en"")"),"['hope', 'cave', 'lucky']")</f>
        <v>['hope', 'cave', 'lucky']</v>
      </c>
      <c r="D2663" s="3">
        <v>5.0</v>
      </c>
    </row>
    <row r="2664" ht="15.75" customHeight="1">
      <c r="A2664" s="1">
        <v>2848.0</v>
      </c>
      <c r="B2664" s="3" t="s">
        <v>2569</v>
      </c>
      <c r="C2664" s="3" t="str">
        <f>IFERROR(__xludf.DUMMYFUNCTION("GOOGLETRANSLATE(B2664,""id"",""en"")"),"['', 'Telkomsel', 'simple', 'makes it easy', 'hope', 'user', '']")</f>
        <v>['', 'Telkomsel', 'simple', 'makes it easy', 'hope', 'user', '']</v>
      </c>
      <c r="D2664" s="3">
        <v>5.0</v>
      </c>
    </row>
    <row r="2665" ht="15.75" customHeight="1">
      <c r="A2665" s="1">
        <v>2849.0</v>
      </c>
      <c r="B2665" s="3" t="s">
        <v>2570</v>
      </c>
      <c r="C2665" s="3" t="str">
        <f>IFERROR(__xludf.DUMMYFUNCTION("GOOGLETRANSLATE(B2665,""id"",""en"")"),"['bad connection', '']")</f>
        <v>['bad connection', '']</v>
      </c>
      <c r="D2665" s="3">
        <v>1.0</v>
      </c>
    </row>
    <row r="2666" ht="15.75" customHeight="1">
      <c r="A2666" s="1">
        <v>2850.0</v>
      </c>
      <c r="B2666" s="3" t="s">
        <v>2571</v>
      </c>
      <c r="C2666" s="3" t="str">
        <f>IFERROR(__xludf.DUMMYFUNCTION("GOOGLETRANSLATE(B2666,""id"",""en"")"),"['signal', 'in the area', 'Subang', 'Region', 'Ciater', 'Badkkk', '']")</f>
        <v>['signal', 'in the area', 'Subang', 'Region', 'Ciater', 'Badkkk', '']</v>
      </c>
      <c r="D2666" s="3">
        <v>1.0</v>
      </c>
    </row>
    <row r="2667" ht="15.75" customHeight="1">
      <c r="A2667" s="1">
        <v>2852.0</v>
      </c>
      <c r="B2667" s="3" t="s">
        <v>2572</v>
      </c>
      <c r="C2667" s="3" t="str">
        <f>IFERROR(__xludf.DUMMYFUNCTION("GOOGLETRANSLATE(B2667,""id"",""en"")"),"['Provider', 'Laknat', 'Nyari', 'Untung', 'Quality', 'zero', 'buy', 'expensive', 'network', 'BURIK', 'Damn', 'oath', ' Telkomsel ',' ']")</f>
        <v>['Provider', 'Laknat', 'Nyari', 'Untung', 'Quality', 'zero', 'buy', 'expensive', 'network', 'BURIK', 'Damn', 'oath', ' Telkomsel ',' ']</v>
      </c>
      <c r="D2667" s="3">
        <v>1.0</v>
      </c>
    </row>
    <row r="2668" ht="15.75" customHeight="1">
      <c r="A2668" s="1">
        <v>2854.0</v>
      </c>
      <c r="B2668" s="3" t="s">
        <v>2573</v>
      </c>
      <c r="C2668" s="3" t="str">
        <f>IFERROR(__xludf.DUMMYFUNCTION("GOOGLETRANSLATE(B2668,""id"",""en"")"),"['Network', 'rotten', 'sold', 'expensive', 'plate', 'red', 'disappointing']")</f>
        <v>['Network', 'rotten', 'sold', 'expensive', 'plate', 'red', 'disappointing']</v>
      </c>
      <c r="D2668" s="3">
        <v>1.0</v>
      </c>
    </row>
    <row r="2669" ht="15.75" customHeight="1">
      <c r="A2669" s="1">
        <v>2855.0</v>
      </c>
      <c r="B2669" s="3" t="s">
        <v>2574</v>
      </c>
      <c r="C2669" s="3" t="str">
        <f>IFERROR(__xludf.DUMMYFUNCTION("GOOGLETRANSLATE(B2669,""id"",""en"")"),"['Good', 'Internet', 'Lacar']")</f>
        <v>['Good', 'Internet', 'Lacar']</v>
      </c>
      <c r="D2669" s="3">
        <v>5.0</v>
      </c>
    </row>
    <row r="2670" ht="15.75" customHeight="1">
      <c r="A2670" s="1">
        <v>2856.0</v>
      </c>
      <c r="B2670" s="3" t="s">
        <v>2575</v>
      </c>
      <c r="C2670" s="3" t="str">
        <f>IFERROR(__xludf.DUMMYFUNCTION("GOOGLETRANSLATE(B2670,""id"",""en"")"),"['Leet', 'responded']")</f>
        <v>['Leet', 'responded']</v>
      </c>
      <c r="D2670" s="3">
        <v>1.0</v>
      </c>
    </row>
    <row r="2671" ht="15.75" customHeight="1">
      <c r="A2671" s="1">
        <v>2857.0</v>
      </c>
      <c r="B2671" s="3" t="s">
        <v>803</v>
      </c>
      <c r="C2671" s="3" t="str">
        <f>IFERROR(__xludf.DUMMYFUNCTION("GOOGLETRANSLATE(B2671,""id"",""en"")"),"['best']")</f>
        <v>['best']</v>
      </c>
      <c r="D2671" s="3">
        <v>5.0</v>
      </c>
    </row>
    <row r="2672" ht="15.75" customHeight="1">
      <c r="A2672" s="1">
        <v>2858.0</v>
      </c>
      <c r="B2672" s="3" t="s">
        <v>450</v>
      </c>
      <c r="C2672" s="3" t="str">
        <f>IFERROR(__xludf.DUMMYFUNCTION("GOOGLETRANSLATE(B2672,""id"",""en"")"),"['Telkomsel', 'Best', ""]")</f>
        <v>['Telkomsel', 'Best', "]</v>
      </c>
      <c r="D2672" s="3">
        <v>5.0</v>
      </c>
    </row>
    <row r="2673" ht="15.75" customHeight="1">
      <c r="A2673" s="1">
        <v>2859.0</v>
      </c>
      <c r="B2673" s="3" t="s">
        <v>2576</v>
      </c>
      <c r="C2673" s="3" t="str">
        <f>IFERROR(__xludf.DUMMYFUNCTION("GOOGLETRANSLATE(B2673,""id"",""en"")"),"['hope', 'Undi', 'Undi', 'prize']")</f>
        <v>['hope', 'Undi', 'Undi', 'prize']</v>
      </c>
      <c r="D2673" s="3">
        <v>5.0</v>
      </c>
    </row>
    <row r="2674" ht="15.75" customHeight="1">
      <c r="A2674" s="1">
        <v>2860.0</v>
      </c>
      <c r="B2674" s="3" t="s">
        <v>2577</v>
      </c>
      <c r="C2674" s="3" t="str">
        <f>IFERROR(__xludf.DUMMYFUNCTION("GOOGLETRANSLATE(B2674,""id"",""en"")"),"['Package', 'Internet', 'Kekeke', 'Credit', 'Until', 'Out', 'Telkomsel', '']")</f>
        <v>['Package', 'Internet', 'Kekeke', 'Credit', 'Until', 'Out', 'Telkomsel', '']</v>
      </c>
      <c r="D2674" s="3">
        <v>5.0</v>
      </c>
    </row>
    <row r="2675" ht="15.75" customHeight="1">
      <c r="A2675" s="1">
        <v>2861.0</v>
      </c>
      <c r="B2675" s="3" t="s">
        <v>2578</v>
      </c>
      <c r="C2675" s="3" t="str">
        <f>IFERROR(__xludf.DUMMYFUNCTION("GOOGLETRANSLATE(B2675,""id"",""en"")"),"['Pinter', 'Nyari', 'Money', 'Live', 'Wait', 'Secondary', ""]")</f>
        <v>['Pinter', 'Nyari', 'Money', 'Live', 'Wait', 'Secondary', "]</v>
      </c>
      <c r="D2675" s="3">
        <v>1.0</v>
      </c>
    </row>
    <row r="2676" ht="15.75" customHeight="1">
      <c r="A2676" s="1">
        <v>2862.0</v>
      </c>
      <c r="B2676" s="3" t="s">
        <v>2579</v>
      </c>
      <c r="C2676" s="3" t="str">
        <f>IFERROR(__xludf.DUMMYFUNCTION("GOOGLETRANSLATE(B2676,""id"",""en"")"),"['Chek', 'Daily', 'Lost', '']")</f>
        <v>['Chek', 'Daily', 'Lost', '']</v>
      </c>
      <c r="D2676" s="3">
        <v>3.0</v>
      </c>
    </row>
    <row r="2677" ht="15.75" customHeight="1">
      <c r="A2677" s="1">
        <v>2863.0</v>
      </c>
      <c r="B2677" s="3" t="s">
        <v>2580</v>
      </c>
      <c r="C2677" s="3" t="str">
        <f>IFERROR(__xludf.DUMMYFUNCTION("GOOGLETRANSLATE(B2677,""id"",""en"")"),"['subscribe', 'Ama', 'Telkomsel', 'friend', 'buy', 'package', 'expensive', 'already', 'season', 'Corona', 'difficult', 'search', ' money', '']")</f>
        <v>['subscribe', 'Ama', 'Telkomsel', 'friend', 'buy', 'package', 'expensive', 'already', 'season', 'Corona', 'difficult', 'search', ' money', '']</v>
      </c>
      <c r="D2677" s="3">
        <v>1.0</v>
      </c>
    </row>
    <row r="2678" ht="15.75" customHeight="1">
      <c r="A2678" s="1">
        <v>2864.0</v>
      </c>
      <c r="B2678" s="3" t="s">
        <v>2581</v>
      </c>
      <c r="C2678" s="3" t="str">
        <f>IFERROR(__xludf.DUMMYFUNCTION("GOOGLETRANSLATE(B2678,""id"",""en"")"),"['Bonus', 'Manyakan']")</f>
        <v>['Bonus', 'Manyakan']</v>
      </c>
      <c r="D2678" s="3">
        <v>5.0</v>
      </c>
    </row>
    <row r="2679" ht="15.75" customHeight="1">
      <c r="A2679" s="1">
        <v>2865.0</v>
      </c>
      <c r="B2679" s="3" t="s">
        <v>2582</v>
      </c>
      <c r="C2679" s="3" t="str">
        <f>IFERROR(__xludf.DUMMYFUNCTION("GOOGLETRANSLATE(B2679,""id"",""en"")"),"['Telkomsel', 'already', 'friendly', 'price', 'expensive', 'quality', 'bad', 'Stopla', 'card', 'Telkomsel', 'detrimental', 'customer', ' Bagusan ',' Provider ',' Next to ',' Price ',' Not bad ',' Cheap ',' Quality ']")</f>
        <v>['Telkomsel', 'already', 'friendly', 'price', 'expensive', 'quality', 'bad', 'Stopla', 'card', 'Telkomsel', 'detrimental', 'customer', ' Bagusan ',' Provider ',' Next to ',' Price ',' Not bad ',' Cheap ',' Quality ']</v>
      </c>
      <c r="D2679" s="3">
        <v>1.0</v>
      </c>
    </row>
    <row r="2680" ht="15.75" customHeight="1">
      <c r="A2680" s="1">
        <v>2866.0</v>
      </c>
      <c r="B2680" s="3" t="s">
        <v>2583</v>
      </c>
      <c r="C2680" s="3" t="str">
        <f>IFERROR(__xludf.DUMMYFUNCTION("GOOGLETRANSLATE(B2680,""id"",""en"")"),"['Network', 'Males', 'Main', 'Game', 'Online', 'Telkomsel', '']")</f>
        <v>['Network', 'Males', 'Main', 'Game', 'Online', 'Telkomsel', '']</v>
      </c>
      <c r="D2680" s="3">
        <v>1.0</v>
      </c>
    </row>
    <row r="2681" ht="15.75" customHeight="1">
      <c r="A2681" s="1">
        <v>2867.0</v>
      </c>
      <c r="B2681" s="3" t="s">
        <v>2584</v>
      </c>
      <c r="C2681" s="3" t="str">
        <f>IFERROR(__xludf.DUMMYFUNCTION("GOOGLETRANSLATE(B2681,""id"",""en"")"),"['open', 'publik', 'smooth', 'open', 'youtube', 'smooth', 'open', 'application', 'smooth', 'right', 'open', 'application', ' MyTelkomsel ',' really ',' loading ',' Come ',' Win ',' name ',' Doang ',' Tsel ',' Application ',' What ',' ']")</f>
        <v>['open', 'publik', 'smooth', 'open', 'youtube', 'smooth', 'open', 'application', 'smooth', 'right', 'open', 'application', ' MyTelkomsel ',' really ',' loading ',' Come ',' Win ',' name ',' Doang ',' Tsel ',' Application ',' What ',' ']</v>
      </c>
      <c r="D2681" s="3">
        <v>1.0</v>
      </c>
    </row>
    <row r="2682" ht="15.75" customHeight="1">
      <c r="A2682" s="1">
        <v>2868.0</v>
      </c>
      <c r="B2682" s="3" t="s">
        <v>2585</v>
      </c>
      <c r="C2682" s="3" t="str">
        <f>IFERROR(__xludf.DUMMYFUNCTION("GOOGLETRANSLATE(B2682,""id"",""en"")"),"['', 'Enhanced', '']")</f>
        <v>['', 'Enhanced', '']</v>
      </c>
      <c r="D2682" s="3">
        <v>5.0</v>
      </c>
    </row>
    <row r="2683" ht="15.75" customHeight="1">
      <c r="A2683" s="1">
        <v>2869.0</v>
      </c>
      <c r="B2683" s="3" t="s">
        <v>2586</v>
      </c>
      <c r="C2683" s="3" t="str">
        <f>IFERROR(__xludf.DUMMYFUNCTION("GOOGLETRANSLATE(B2683,""id"",""en"")"),"['The application', 'Not bad', 'connection', 'internet', 'Telkomsel', 'stable', 'price', 'package', 'internet', 'tends',' expensive ',' provider ',' comparable ',' quality ',' network ']")</f>
        <v>['The application', 'Not bad', 'connection', 'internet', 'Telkomsel', 'stable', 'price', 'package', 'internet', 'tends',' expensive ',' provider ',' comparable ',' quality ',' network ']</v>
      </c>
      <c r="D2683" s="3">
        <v>5.0</v>
      </c>
    </row>
    <row r="2684" ht="15.75" customHeight="1">
      <c r="A2684" s="1">
        <v>2870.0</v>
      </c>
      <c r="B2684" s="3" t="s">
        <v>2587</v>
      </c>
      <c r="C2684" s="3" t="str">
        <f>IFERROR(__xludf.DUMMYFUNCTION("GOOGLETRANSLATE(B2684,""id"",""en"")"),"['Sorry', 'like', 'lazy', 'see', 'bonus',' cheap ',' comfortable ',' slow ',' slow ',' weak ',' right ',' Sanjung ',' ']")</f>
        <v>['Sorry', 'like', 'lazy', 'see', 'bonus',' cheap ',' comfortable ',' slow ',' slow ',' weak ',' right ',' Sanjung ',' ']</v>
      </c>
      <c r="D2684" s="3">
        <v>1.0</v>
      </c>
    </row>
    <row r="2685" ht="15.75" customHeight="1">
      <c r="A2685" s="1">
        <v>2871.0</v>
      </c>
      <c r="B2685" s="3" t="s">
        <v>2588</v>
      </c>
      <c r="C2685" s="3" t="str">
        <f>IFERROR(__xludf.DUMMYFUNCTION("GOOGLETRANSLATE(B2685,""id"",""en"")"),"['Cam', 'Kontl', 'Gini', 'Open', 'APK', 'Lansung', 'card', 'grace', 'scorched', 'dated', 'Nov', 'Seeds',' kudanil ',' think ',' card ',' cave ',' grace ', ""]")</f>
        <v>['Cam', 'Kontl', 'Gini', 'Open', 'APK', 'Lansung', 'card', 'grace', 'scorched', 'dated', 'Nov', 'Seeds',' kudanil ',' think ',' card ',' cave ',' grace ', "]</v>
      </c>
      <c r="D2685" s="3">
        <v>1.0</v>
      </c>
    </row>
    <row r="2686" ht="15.75" customHeight="1">
      <c r="A2686" s="1">
        <v>2872.0</v>
      </c>
      <c r="B2686" s="3" t="s">
        <v>2589</v>
      </c>
      <c r="C2686" s="3" t="str">
        <f>IFERROR(__xludf.DUMMYFUNCTION("GOOGLETRANSLATE(B2686,""id"",""en"")"),"['Package', 'call', 'expensive', 'really', 'mending', 'me', 'contents',' package ',' data ',' provider ',' videocall ',' me ',' A month ',' ']")</f>
        <v>['Package', 'call', 'expensive', 'really', 'mending', 'me', 'contents',' package ',' data ',' provider ',' videocall ',' me ',' A month ',' ']</v>
      </c>
      <c r="D2686" s="3">
        <v>1.0</v>
      </c>
    </row>
    <row r="2687" ht="15.75" customHeight="1">
      <c r="A2687" s="1">
        <v>2873.0</v>
      </c>
      <c r="B2687" s="3" t="s">
        <v>2590</v>
      </c>
      <c r="C2687" s="3" t="str">
        <f>IFERROR(__xludf.DUMMYFUNCTION("GOOGLETRANSLATE(B2687,""id"",""en"")"),"['network', 'slow', 'quota', 'expensive', 'love', 'suggestion', 'report', 'contact', 'provided', 'gymna', 'report', 'network', ' Connected ',' idiot ',' disappointed ',' me ',' replace ',' provider ',' laen ']")</f>
        <v>['network', 'slow', 'quota', 'expensive', 'love', 'suggestion', 'report', 'contact', 'provided', 'gymna', 'report', 'network', ' Connected ',' idiot ',' disappointed ',' me ',' replace ',' provider ',' laen ']</v>
      </c>
      <c r="D2687" s="3">
        <v>1.0</v>
      </c>
    </row>
    <row r="2688" ht="15.75" customHeight="1">
      <c r="A2688" s="1">
        <v>2874.0</v>
      </c>
      <c r="B2688" s="3" t="s">
        <v>2591</v>
      </c>
      <c r="C2688" s="3" t="str">
        <f>IFERROR(__xludf.DUMMYFUNCTION("GOOGLETRANSLATE(B2688,""id"",""en"")"),"['hope', 'Telkomsel', 'in the future', 'Leading']")</f>
        <v>['hope', 'Telkomsel', 'in the future', 'Leading']</v>
      </c>
      <c r="D2688" s="3">
        <v>5.0</v>
      </c>
    </row>
    <row r="2689" ht="15.75" customHeight="1">
      <c r="A2689" s="1">
        <v>2875.0</v>
      </c>
      <c r="B2689" s="3" t="s">
        <v>2592</v>
      </c>
      <c r="C2689" s="3" t="str">
        <f>IFERROR(__xludf.DUMMYFUNCTION("GOOGLETRANSLATE(B2689,""id"",""en"")"),"['mantaap', 'convenience', 'transact']")</f>
        <v>['mantaap', 'convenience', 'transact']</v>
      </c>
      <c r="D2689" s="3">
        <v>5.0</v>
      </c>
    </row>
    <row r="2690" ht="15.75" customHeight="1">
      <c r="A2690" s="1">
        <v>2876.0</v>
      </c>
      <c r="B2690" s="3" t="s">
        <v>2593</v>
      </c>
      <c r="C2690" s="3" t="str">
        <f>IFERROR(__xludf.DUMMYFUNCTION("GOOGLETRANSLATE(B2690,""id"",""en"")"),"['here', 'network', 'good', 'ugly', 'package', 'expensive', 'quality', 'network', 'zero', 'please', 'repair', 'network', ' Rich ',' Gini ',' Ripuh ',' siti ']")</f>
        <v>['here', 'network', 'good', 'ugly', 'package', 'expensive', 'quality', 'network', 'zero', 'please', 'repair', 'network', ' Rich ',' Gini ',' Ripuh ',' siti ']</v>
      </c>
      <c r="D2690" s="3">
        <v>1.0</v>
      </c>
    </row>
    <row r="2691" ht="15.75" customHeight="1">
      <c r="A2691" s="1">
        <v>2877.0</v>
      </c>
      <c r="B2691" s="3" t="s">
        <v>2594</v>
      </c>
      <c r="C2691" s="3" t="str">
        <f>IFERROR(__xludf.DUMMYFUNCTION("GOOGLETRANSLATE(B2691,""id"",""en"")"),"['application', 'dancok', 'gatel', 'sucked', 'package', 'gajelas']")</f>
        <v>['application', 'dancok', 'gatel', 'sucked', 'package', 'gajelas']</v>
      </c>
      <c r="D2691" s="3">
        <v>1.0</v>
      </c>
    </row>
    <row r="2692" ht="15.75" customHeight="1">
      <c r="A2692" s="1">
        <v>2878.0</v>
      </c>
      <c r="B2692" s="3" t="s">
        <v>2595</v>
      </c>
      <c r="C2692" s="3" t="str">
        <f>IFERROR(__xludf.DUMMYFUNCTION("GOOGLETRANSLATE(B2692,""id"",""en"")"),"['The application', 'Bangus', 'like']")</f>
        <v>['The application', 'Bangus', 'like']</v>
      </c>
      <c r="D2692" s="3">
        <v>3.0</v>
      </c>
    </row>
    <row r="2693" ht="15.75" customHeight="1">
      <c r="A2693" s="1">
        <v>2879.0</v>
      </c>
      <c r="B2693" s="3" t="s">
        <v>2596</v>
      </c>
      <c r="C2693" s="3" t="str">
        <f>IFERROR(__xludf.DUMMYFUNCTION("GOOGLETRANSLATE(B2693,""id"",""en"")"),"['Telkomsel', 'Dear', 'Network', 'Region', 'Jaharun', 'Kec', 'Galang', 'Kab', 'Deli', 'Serdang', 'Madan', 'Sumatra', ' North ',' problematic ',' Please ',' help ',' checks', 'play', 'game', 'sabotage', 'pure', 'error', 'dumped', 'please', 'check' , 'Karna"&amp;"', 'Support', 'Game']")</f>
        <v>['Telkomsel', 'Dear', 'Network', 'Region', 'Jaharun', 'Kec', 'Galang', 'Kab', 'Deli', 'Serdang', 'Madan', 'Sumatra', ' North ',' problematic ',' Please ',' help ',' checks', 'play', 'game', 'sabotage', 'pure', 'error', 'dumped', 'please', 'check' , 'Karna', 'Support', 'Game']</v>
      </c>
      <c r="D2693" s="3">
        <v>3.0</v>
      </c>
    </row>
    <row r="2694" ht="15.75" customHeight="1">
      <c r="A2694" s="1">
        <v>2880.0</v>
      </c>
      <c r="B2694" s="3" t="s">
        <v>2597</v>
      </c>
      <c r="C2694" s="3" t="str">
        <f>IFERROR(__xludf.DUMMYFUNCTION("GOOGLETRANSLATE(B2694,""id"",""en"")"),"['choice', 'package', 'service', 'suits', 'need', 'mantep']")</f>
        <v>['choice', 'package', 'service', 'suits', 'need', 'mantep']</v>
      </c>
      <c r="D2694" s="3">
        <v>5.0</v>
      </c>
    </row>
    <row r="2695" ht="15.75" customHeight="1">
      <c r="A2695" s="1">
        <v>2881.0</v>
      </c>
      <c r="B2695" s="3" t="s">
        <v>2598</v>
      </c>
      <c r="C2695" s="3" t="str">
        <f>IFERROR(__xludf.DUMMYFUNCTION("GOOGLETRANSLATE(B2695,""id"",""en"")"),"['Anyway', 'steady', 'doubt']")</f>
        <v>['Anyway', 'steady', 'doubt']</v>
      </c>
      <c r="D2695" s="3">
        <v>5.0</v>
      </c>
    </row>
    <row r="2696" ht="15.75" customHeight="1">
      <c r="A2696" s="1">
        <v>2882.0</v>
      </c>
      <c r="B2696" s="3" t="s">
        <v>2599</v>
      </c>
      <c r="C2696" s="3" t="str">
        <f>IFERROR(__xludf.DUMMYFUNCTION("GOOGLETRANSLATE(B2696,""id"",""en"")"),"['signal', 'Please', 'Record', 'Work', 'Main', 'Game', 'Favorite', 'Disturbed', ""]")</f>
        <v>['signal', 'Please', 'Record', 'Work', 'Main', 'Game', 'Favorite', 'Disturbed', "]</v>
      </c>
      <c r="D2696" s="3">
        <v>1.0</v>
      </c>
    </row>
    <row r="2697" ht="15.75" customHeight="1">
      <c r="A2697" s="1">
        <v>2883.0</v>
      </c>
      <c r="B2697" s="3" t="s">
        <v>2600</v>
      </c>
      <c r="C2697" s="3" t="str">
        <f>IFERROR(__xludf.DUMMYFUNCTION("GOOGLETRANSLATE(B2697,""id"",""en"")"),"['contents',' pulse ',' rb ',' notif ',' grace ',' card ',' please ',' contents', 'pulse', 'routine', 'notif', 'ilang', ' hub ',' via ',' Veronika ',' ask ',' contents', 'pulse', 'package', 'make it difficult', 'consumer', ""]")</f>
        <v>['contents',' pulse ',' rb ',' notif ',' grace ',' card ',' please ',' contents', 'pulse', 'routine', 'notif', 'ilang', ' hub ',' via ',' Veronika ',' ask ',' contents', 'pulse', 'package', 'make it difficult', 'consumer', "]</v>
      </c>
      <c r="D2697" s="3">
        <v>1.0</v>
      </c>
    </row>
    <row r="2698" ht="15.75" customHeight="1">
      <c r="A2698" s="1">
        <v>2884.0</v>
      </c>
      <c r="B2698" s="3" t="s">
        <v>2601</v>
      </c>
      <c r="C2698" s="3" t="str">
        <f>IFERROR(__xludf.DUMMYFUNCTION("GOOGLETRANSLATE(B2698,""id"",""en"")"),"['Anyway', 'Mantull', 'Telkomsel']")</f>
        <v>['Anyway', 'Mantull', 'Telkomsel']</v>
      </c>
      <c r="D2698" s="3">
        <v>5.0</v>
      </c>
    </row>
    <row r="2699" ht="15.75" customHeight="1">
      <c r="A2699" s="1">
        <v>2885.0</v>
      </c>
      <c r="B2699" s="3" t="s">
        <v>2602</v>
      </c>
      <c r="C2699" s="3" t="str">
        <f>IFERROR(__xludf.DUMMYFUNCTION("GOOGLETRANSLATE(B2699,""id"",""en"")"),"['Response', 'Okey', 'Bunus', ""]")</f>
        <v>['Response', 'Okey', 'Bunus', "]</v>
      </c>
      <c r="D2699" s="3">
        <v>4.0</v>
      </c>
    </row>
    <row r="2700" ht="15.75" customHeight="1">
      <c r="A2700" s="1">
        <v>2886.0</v>
      </c>
      <c r="B2700" s="3" t="s">
        <v>2603</v>
      </c>
      <c r="C2700" s="3" t="str">
        <f>IFERROR(__xludf.DUMMYFUNCTION("GOOGLETRANSLATE(B2700,""id"",""en"")"),"['mytelkomsel', 'idiot', 'packagein', 'slow', 'pulse', 'abis',' idiot ',' try ',' bner ',' pig ',' irritated ',' Oon ',' DSAR ']")</f>
        <v>['mytelkomsel', 'idiot', 'packagein', 'slow', 'pulse', 'abis',' idiot ',' try ',' bner ',' pig ',' irritated ',' Oon ',' DSAR ']</v>
      </c>
      <c r="D2700" s="3">
        <v>1.0</v>
      </c>
    </row>
    <row r="2701" ht="15.75" customHeight="1">
      <c r="A2701" s="1">
        <v>2887.0</v>
      </c>
      <c r="B2701" s="3" t="s">
        <v>2604</v>
      </c>
      <c r="C2701" s="3" t="str">
        <f>IFERROR(__xludf.DUMMYFUNCTION("GOOGLETRANSLATE(B2701,""id"",""en"")"),"['interesting', 'prize', 'get', 'gift', 'interesting']")</f>
        <v>['interesting', 'prize', 'get', 'gift', 'interesting']</v>
      </c>
      <c r="D2701" s="3">
        <v>5.0</v>
      </c>
    </row>
    <row r="2702" ht="15.75" customHeight="1">
      <c r="A2702" s="1">
        <v>2888.0</v>
      </c>
      <c r="B2702" s="3" t="s">
        <v>2605</v>
      </c>
      <c r="C2702" s="3" t="str">
        <f>IFERROR(__xludf.DUMMYFUNCTION("GOOGLETRANSLATE(B2702,""id"",""en"")"),"['apaka', 'understore']")</f>
        <v>['apaka', 'understore']</v>
      </c>
      <c r="D2702" s="3">
        <v>5.0</v>
      </c>
    </row>
    <row r="2703" ht="15.75" customHeight="1">
      <c r="A2703" s="1">
        <v>2889.0</v>
      </c>
      <c r="B2703" s="3" t="s">
        <v>2606</v>
      </c>
      <c r="C2703" s="3" t="str">
        <f>IFERROR(__xludf.DUMMYFUNCTION("GOOGLETRANSLATE(B2703,""id"",""en"")"),"['', 'Telkomsel', 'I', 'buy', 'pulse', 'routine', 'a month', 'looks',' how ',' the story ',' I ',' Customer ',' Telkomsel ',' Disappointed ',' EMG ',' Bener ',' Bener ',' Kya ',' Gini ',' it happened ',' I ',' Change ',' card ',' Ajalah ']")</f>
        <v>['', 'Telkomsel', 'I', 'buy', 'pulse', 'routine', 'a month', 'looks',' how ',' the story ',' I ',' Customer ',' Telkomsel ',' Disappointed ',' EMG ',' Bener ',' Bener ',' Kya ',' Gini ',' it happened ',' I ',' Change ',' card ',' Ajalah ']</v>
      </c>
      <c r="D2703" s="3">
        <v>5.0</v>
      </c>
    </row>
    <row r="2704" ht="15.75" customHeight="1">
      <c r="A2704" s="1">
        <v>2890.0</v>
      </c>
      <c r="B2704" s="3" t="s">
        <v>2607</v>
      </c>
      <c r="C2704" s="3" t="str">
        <f>IFERROR(__xludf.DUMMYFUNCTION("GOOGLETRANSLATE(B2704,""id"",""en"")"),"['steady', 'free', 'check', 'min', '']")</f>
        <v>['steady', 'free', 'check', 'min', '']</v>
      </c>
      <c r="D2704" s="3">
        <v>5.0</v>
      </c>
    </row>
    <row r="2705" ht="15.75" customHeight="1">
      <c r="A2705" s="1">
        <v>2891.0</v>
      </c>
      <c r="B2705" s="3" t="s">
        <v>1344</v>
      </c>
      <c r="C2705" s="3" t="str">
        <f>IFERROR(__xludf.DUMMYFUNCTION("GOOGLETRANSLATE(B2705,""id"",""en"")"),"['Good', 'application']")</f>
        <v>['Good', 'application']</v>
      </c>
      <c r="D2705" s="3">
        <v>5.0</v>
      </c>
    </row>
    <row r="2706" ht="15.75" customHeight="1">
      <c r="A2706" s="1">
        <v>2892.0</v>
      </c>
      <c r="B2706" s="3" t="s">
        <v>2608</v>
      </c>
      <c r="C2706" s="3" t="str">
        <f>IFERROR(__xludf.DUMMYFUNCTION("GOOGLETRANSLATE(B2706,""id"",""en"")"),"['Easy', 'benefits', 'user', 'loyal', 'Telkomsel', '']")</f>
        <v>['Easy', 'benefits', 'user', 'loyal', 'Telkomsel', '']</v>
      </c>
      <c r="D2706" s="3">
        <v>5.0</v>
      </c>
    </row>
    <row r="2707" ht="15.75" customHeight="1">
      <c r="A2707" s="1">
        <v>2893.0</v>
      </c>
      <c r="B2707" s="3" t="s">
        <v>2609</v>
      </c>
      <c r="C2707" s="3" t="str">
        <f>IFERROR(__xludf.DUMMYFUNCTION("GOOGLETRANSLATE(B2707,""id"",""en"")"),"['Abis', 'update', 'feature', 'check', 'missing']")</f>
        <v>['Abis', 'update', 'feature', 'check', 'missing']</v>
      </c>
      <c r="D2707" s="3">
        <v>3.0</v>
      </c>
    </row>
    <row r="2708" ht="15.75" customHeight="1">
      <c r="A2708" s="1">
        <v>2894.0</v>
      </c>
      <c r="B2708" s="3" t="s">
        <v>2610</v>
      </c>
      <c r="C2708" s="3" t="str">
        <f>IFERROR(__xludf.DUMMYFUNCTION("GOOGLETRANSLATE(B2708,""id"",""en"")"),"['Cook', 'help']")</f>
        <v>['Cook', 'help']</v>
      </c>
      <c r="D2708" s="3">
        <v>5.0</v>
      </c>
    </row>
    <row r="2709" ht="15.75" customHeight="1">
      <c r="A2709" s="1">
        <v>2895.0</v>
      </c>
      <c r="B2709" s="3" t="s">
        <v>2611</v>
      </c>
      <c r="C2709" s="3" t="str">
        <f>IFERROR(__xludf.DUMMYFUNCTION("GOOGLETRANSLATE(B2709,""id"",""en"")"),"['Tekomsel', 'Kayak', 'IM', 'Lost', 'Signal', 'Internet', 'Use', 'TWiter']")</f>
        <v>['Tekomsel', 'Kayak', 'IM', 'Lost', 'Signal', 'Internet', 'Use', 'TWiter']</v>
      </c>
      <c r="D2709" s="3">
        <v>2.0</v>
      </c>
    </row>
    <row r="2710" ht="15.75" customHeight="1">
      <c r="A2710" s="1">
        <v>2897.0</v>
      </c>
      <c r="B2710" s="3" t="s">
        <v>2612</v>
      </c>
      <c r="C2710" s="3" t="str">
        <f>IFERROR(__xludf.DUMMYFUNCTION("GOOGLETRANSLATE(B2710,""id"",""en"")"),"['Disappointed', 'really', 'Telkomsel', 'skg']")</f>
        <v>['Disappointed', 'really', 'Telkomsel', 'skg']</v>
      </c>
      <c r="D2710" s="3">
        <v>1.0</v>
      </c>
    </row>
    <row r="2711" ht="15.75" customHeight="1">
      <c r="A2711" s="1">
        <v>2898.0</v>
      </c>
      <c r="B2711" s="3" t="s">
        <v>2613</v>
      </c>
      <c r="C2711" s="3" t="str">
        <f>IFERROR(__xludf.DUMMYFUNCTION("GOOGLETRANSLATE(B2711,""id"",""en"")"),"['application', 'detrimental', 'consumer', 'open', 'application', 'pulse', 'already', 'cut', 'kagak', 'natural', 'human', 'bankrupt']")</f>
        <v>['application', 'detrimental', 'consumer', 'open', 'application', 'pulse', 'already', 'cut', 'kagak', 'natural', 'human', 'bankrupt']</v>
      </c>
      <c r="D2711" s="3">
        <v>1.0</v>
      </c>
    </row>
    <row r="2712" ht="15.75" customHeight="1">
      <c r="A2712" s="1">
        <v>2899.0</v>
      </c>
      <c r="B2712" s="3" t="s">
        <v>2614</v>
      </c>
      <c r="C2712" s="3" t="str">
        <f>IFERROR(__xludf.DUMMYFUNCTION("GOOGLETRANSLATE(B2712,""id"",""en"")"),"['list', 'price', 'internet', 'expensive']")</f>
        <v>['list', 'price', 'internet', 'expensive']</v>
      </c>
      <c r="D2712" s="3">
        <v>2.0</v>
      </c>
    </row>
    <row r="2713" ht="15.75" customHeight="1">
      <c r="A2713" s="1">
        <v>2900.0</v>
      </c>
      <c r="B2713" s="3" t="s">
        <v>2615</v>
      </c>
      <c r="C2713" s="3" t="str">
        <f>IFERROR(__xludf.DUMMYFUNCTION("GOOGLETRANSLATE(B2713,""id"",""en"")"),"['Cheap', 'package']")</f>
        <v>['Cheap', 'package']</v>
      </c>
      <c r="D2713" s="3">
        <v>3.0</v>
      </c>
    </row>
    <row r="2714" ht="15.75" customHeight="1">
      <c r="A2714" s="1">
        <v>2901.0</v>
      </c>
      <c r="B2714" s="3" t="s">
        <v>2616</v>
      </c>
      <c r="C2714" s="3" t="str">
        <f>IFERROR(__xludf.DUMMYFUNCTION("GOOGLETRANSLATE(B2714,""id"",""en"")"),"['card', 'active', 'Nov', 'application', 'writing', 'grace', 'package', 'run out', 'sane', 'ora', 'sooonnnn', ""]")</f>
        <v>['card', 'active', 'Nov', 'application', 'writing', 'grace', 'package', 'run out', 'sane', 'ora', 'sooonnnn', "]</v>
      </c>
      <c r="D2714" s="3">
        <v>1.0</v>
      </c>
    </row>
    <row r="2715" ht="15.75" customHeight="1">
      <c r="A2715" s="1">
        <v>2902.0</v>
      </c>
      <c r="B2715" s="3" t="s">
        <v>2617</v>
      </c>
      <c r="C2715" s="3" t="str">
        <f>IFERROR(__xludf.DUMMYFUNCTION("GOOGLETRANSLATE(B2715,""id"",""en"")"),"['Jumping', 'Internet', 'Notification', 'Network', 'Dipotus', 'Disconnected', 'LossiiIIII']")</f>
        <v>['Jumping', 'Internet', 'Notification', 'Network', 'Dipotus', 'Disconnected', 'LossiiIIII']</v>
      </c>
      <c r="D2715" s="3">
        <v>1.0</v>
      </c>
    </row>
    <row r="2716" ht="15.75" customHeight="1">
      <c r="A2716" s="1">
        <v>2903.0</v>
      </c>
      <c r="B2716" s="3" t="s">
        <v>2618</v>
      </c>
      <c r="C2716" s="3" t="str">
        <f>IFERROR(__xludf.DUMMYFUNCTION("GOOGLETRANSLATE(B2716,""id"",""en"")"),"['card', 'special', 'internet', 'expensive', 'Kali']")</f>
        <v>['card', 'special', 'internet', 'expensive', 'Kali']</v>
      </c>
      <c r="D2716" s="3">
        <v>3.0</v>
      </c>
    </row>
    <row r="2717" ht="15.75" customHeight="1">
      <c r="A2717" s="1">
        <v>2904.0</v>
      </c>
      <c r="B2717" s="3" t="s">
        <v>2619</v>
      </c>
      <c r="C2717" s="3" t="str">
        <f>IFERROR(__xludf.DUMMYFUNCTION("GOOGLETRANSLATE(B2717,""id"",""en"")"),"['slow', 'fill', 'package']")</f>
        <v>['slow', 'fill', 'package']</v>
      </c>
      <c r="D2717" s="3">
        <v>1.0</v>
      </c>
    </row>
    <row r="2718" ht="15.75" customHeight="1">
      <c r="A2718" s="1">
        <v>2905.0</v>
      </c>
      <c r="B2718" s="3" t="s">
        <v>2620</v>
      </c>
      <c r="C2718" s="3" t="str">
        <f>IFERROR(__xludf.DUMMYFUNCTION("GOOGLETRANSLATE(B2718,""id"",""en"")"),"['Good', 'nelfon', 'operator', 'cheap']")</f>
        <v>['Good', 'nelfon', 'operator', 'cheap']</v>
      </c>
      <c r="D2718" s="3">
        <v>4.0</v>
      </c>
    </row>
    <row r="2719" ht="15.75" customHeight="1">
      <c r="A2719" s="1">
        <v>2906.0</v>
      </c>
      <c r="B2719" s="3" t="s">
        <v>2621</v>
      </c>
      <c r="C2719" s="3" t="str">
        <f>IFERROR(__xludf.DUMMYFUNCTION("GOOGLETRANSLATE(B2719,""id"",""en"")"),"['credit']")</f>
        <v>['credit']</v>
      </c>
      <c r="D2719" s="3">
        <v>5.0</v>
      </c>
    </row>
    <row r="2720" ht="15.75" customHeight="1">
      <c r="A2720" s="1">
        <v>2907.0</v>
      </c>
      <c r="B2720" s="3" t="s">
        <v>2622</v>
      </c>
      <c r="C2720" s="3" t="str">
        <f>IFERROR(__xludf.DUMMYFUNCTION("GOOGLETRANSLATE(B2720,""id"",""en"")"),"['signal', 'please', 'Fast', 'price', 'cheap', 'promo', 'lose', 'Indosat', 'star', 'dlu', 'signal', 'already', ' fast ',' price ',' cheap ',' promo ',' promo ',' given ',' star ',' ']")</f>
        <v>['signal', 'please', 'Fast', 'price', 'cheap', 'promo', 'lose', 'Indosat', 'star', 'dlu', 'signal', 'already', ' fast ',' price ',' cheap ',' promo ',' promo ',' given ',' star ',' ']</v>
      </c>
      <c r="D2720" s="3">
        <v>3.0</v>
      </c>
    </row>
    <row r="2721" ht="15.75" customHeight="1">
      <c r="A2721" s="1">
        <v>2908.0</v>
      </c>
      <c r="B2721" s="3" t="s">
        <v>2623</v>
      </c>
      <c r="C2721" s="3" t="str">
        <f>IFERROR(__xludf.DUMMYFUNCTION("GOOGLETRANSLATE(B2721,""id"",""en"")"),"['On', 'already', 'Notif', 'grace', 'Hadeh', 'work', ""]")</f>
        <v>['On', 'already', 'Notif', 'grace', 'Hadeh', 'work', "]</v>
      </c>
      <c r="D2721" s="3">
        <v>1.0</v>
      </c>
    </row>
    <row r="2722" ht="15.75" customHeight="1">
      <c r="A2722" s="1">
        <v>2909.0</v>
      </c>
      <c r="B2722" s="3" t="s">
        <v>2624</v>
      </c>
      <c r="C2722" s="3" t="str">
        <f>IFERROR(__xludf.DUMMYFUNCTION("GOOGLETRANSLATE(B2722,""id"",""en"")"),"['feeling', 'buy', 'pulse', 'knp', 'card', 'grace', 'strange', 'Telkomsel', 'moved', 'card', '']")</f>
        <v>['feeling', 'buy', 'pulse', 'knp', 'card', 'grace', 'strange', 'Telkomsel', 'moved', 'card', '']</v>
      </c>
      <c r="D2722" s="3">
        <v>1.0</v>
      </c>
    </row>
    <row r="2723" ht="15.75" customHeight="1">
      <c r="A2723" s="1">
        <v>2910.0</v>
      </c>
      <c r="B2723" s="3" t="s">
        <v>2625</v>
      </c>
      <c r="C2723" s="3" t="str">
        <f>IFERROR(__xludf.DUMMYFUNCTION("GOOGLETRANSLATE(B2723,""id"",""en"")"),"['special']")</f>
        <v>['special']</v>
      </c>
      <c r="D2723" s="3">
        <v>5.0</v>
      </c>
    </row>
    <row r="2724" ht="15.75" customHeight="1">
      <c r="A2724" s="1">
        <v>2911.0</v>
      </c>
      <c r="B2724" s="3" t="s">
        <v>2626</v>
      </c>
      <c r="C2724" s="3" t="str">
        <f>IFERROR(__xludf.DUMMYFUNCTION("GOOGLETRANSLATE(B2724,""id"",""en"")"),"['easy', 'hopefully', 'Aya', 'belongs', 'Allah', ""]")</f>
        <v>['easy', 'hopefully', 'Aya', 'belongs', 'Allah', "]</v>
      </c>
      <c r="D2724" s="3">
        <v>5.0</v>
      </c>
    </row>
    <row r="2725" ht="15.75" customHeight="1">
      <c r="A2725" s="1">
        <v>2912.0</v>
      </c>
      <c r="B2725" s="3" t="s">
        <v>2627</v>
      </c>
      <c r="C2725" s="3" t="str">
        <f>IFERROR(__xludf.DUMMYFUNCTION("GOOGLETRANSLATE(B2725,""id"",""en"")"),"['Telkomsel', 'gajelas',' please ',' network ',' well ',' yya ',' tod ',' expensive ',' expensive ',' buy ',' kouta ',' network ',' slow ',' slow ',' anjhweng ',' how ',' push ',' Rank ',' core ',' Luu ',' Benerin ',' network ',' Anjhweng ', ""]")</f>
        <v>['Telkomsel', 'gajelas',' please ',' network ',' well ',' yya ',' tod ',' expensive ',' expensive ',' buy ',' kouta ',' network ',' slow ',' slow ',' anjhweng ',' how ',' push ',' Rank ',' core ',' Luu ',' Benerin ',' network ',' Anjhweng ', "]</v>
      </c>
      <c r="D2725" s="3">
        <v>1.0</v>
      </c>
    </row>
    <row r="2726" ht="15.75" customHeight="1">
      <c r="A2726" s="1">
        <v>2913.0</v>
      </c>
      <c r="B2726" s="3" t="s">
        <v>2628</v>
      </c>
      <c r="C2726" s="3" t="str">
        <f>IFERROR(__xludf.DUMMYFUNCTION("GOOGLETRANSLATE(B2726,""id"",""en"")"),"['Thank you', 'Telkomsel']")</f>
        <v>['Thank you', 'Telkomsel']</v>
      </c>
      <c r="D2726" s="3">
        <v>5.0</v>
      </c>
    </row>
    <row r="2727" ht="15.75" customHeight="1">
      <c r="A2727" s="1">
        <v>2914.0</v>
      </c>
      <c r="B2727" s="3" t="s">
        <v>2629</v>
      </c>
      <c r="C2727" s="3" t="str">
        <f>IFERROR(__xludf.DUMMYFUNCTION("GOOGLETRANSLATE(B2727,""id"",""en"")"),"['Promo', 'quota', 'steady']")</f>
        <v>['Promo', 'quota', 'steady']</v>
      </c>
      <c r="D2727" s="3">
        <v>5.0</v>
      </c>
    </row>
    <row r="2728" ht="15.75" customHeight="1">
      <c r="A2728" s="1">
        <v>2915.0</v>
      </c>
      <c r="B2728" s="3" t="s">
        <v>2630</v>
      </c>
      <c r="C2728" s="3" t="str">
        <f>IFERROR(__xludf.DUMMYFUNCTION("GOOGLETRANSLATE(B2728,""id"",""en"")"),"['Satisfied', 'Sebongga', 'User', 'sustenance']")</f>
        <v>['Satisfied', 'Sebongga', 'User', 'sustenance']</v>
      </c>
      <c r="D2728" s="3">
        <v>5.0</v>
      </c>
    </row>
    <row r="2729" ht="15.75" customHeight="1">
      <c r="A2729" s="1">
        <v>2916.0</v>
      </c>
      <c r="B2729" s="3" t="s">
        <v>2631</v>
      </c>
      <c r="C2729" s="3" t="str">
        <f>IFERROR(__xludf.DUMMYFUNCTION("GOOGLETRANSLATE(B2729,""id"",""en"")"),"['Merut', 'Telkomsel', 'Great', 'Hadih', 'Credit', 'Hundreds',' thousand ',' Car ',' Stay ',' Exchange ',' Points', ' Undi ']")</f>
        <v>['Merut', 'Telkomsel', 'Great', 'Hadih', 'Credit', 'Hundreds',' thousand ',' Car ',' Stay ',' Exchange ',' Points', ' Undi ']</v>
      </c>
      <c r="D2729" s="3">
        <v>5.0</v>
      </c>
    </row>
    <row r="2730" ht="15.75" customHeight="1">
      <c r="A2730" s="1">
        <v>2917.0</v>
      </c>
      <c r="B2730" s="3" t="s">
        <v>2632</v>
      </c>
      <c r="C2730" s="3" t="str">
        <f>IFERROR(__xludf.DUMMYFUNCTION("GOOGLETRANSLATE(B2730,""id"",""en"")"),"['SMAKIN', 'JLEK', 'Network', 'Try', 'Donk', 'Fix', 'Network', 'Internet', 'Darling', 'Already', 'Buy', 'Package', ' slow ',' then ',' funny ',' ']")</f>
        <v>['SMAKIN', 'JLEK', 'Network', 'Try', 'Donk', 'Fix', 'Network', 'Internet', 'Darling', 'Already', 'Buy', 'Package', ' slow ',' then ',' funny ',' ']</v>
      </c>
      <c r="D2730" s="3">
        <v>1.0</v>
      </c>
    </row>
    <row r="2731" ht="15.75" customHeight="1">
      <c r="A2731" s="1">
        <v>2918.0</v>
      </c>
      <c r="B2731" s="3" t="s">
        <v>2633</v>
      </c>
      <c r="C2731" s="3" t="str">
        <f>IFERROR(__xludf.DUMMYFUNCTION("GOOGLETRANSLATE(B2731,""id"",""en"")"),"['Telkomsel', 'steady', 'really', 'top']")</f>
        <v>['Telkomsel', 'steady', 'really', 'top']</v>
      </c>
      <c r="D2731" s="3">
        <v>5.0</v>
      </c>
    </row>
    <row r="2732" ht="15.75" customHeight="1">
      <c r="A2732" s="1">
        <v>2919.0</v>
      </c>
      <c r="B2732" s="3" t="s">
        <v>2634</v>
      </c>
      <c r="C2732" s="3" t="str">
        <f>IFERROR(__xludf.DUMMYFUNCTION("GOOGLETRANSLATE(B2732,""id"",""en"")"),"['hope', 'obstacles', 'signal', 'sympathy', 'stable', 'Korona', 'amin']")</f>
        <v>['hope', 'obstacles', 'signal', 'sympathy', 'stable', 'Korona', 'amin']</v>
      </c>
      <c r="D2732" s="3">
        <v>5.0</v>
      </c>
    </row>
    <row r="2733" ht="15.75" customHeight="1">
      <c r="A2733" s="1">
        <v>2920.0</v>
      </c>
      <c r="B2733" s="3" t="s">
        <v>1672</v>
      </c>
      <c r="C2733" s="3" t="str">
        <f>IFERROR(__xludf.DUMMYFUNCTION("GOOGLETRANSLATE(B2733,""id"",""en"")"),"['suitable']")</f>
        <v>['suitable']</v>
      </c>
      <c r="D2733" s="3">
        <v>5.0</v>
      </c>
    </row>
    <row r="2734" ht="15.75" customHeight="1">
      <c r="A2734" s="1">
        <v>2921.0</v>
      </c>
      <c r="B2734" s="3" t="s">
        <v>2635</v>
      </c>
      <c r="C2734" s="3" t="str">
        <f>IFERROR(__xludf.DUMMYFUNCTION("GOOGLETRANSLATE(B2734,""id"",""en"")"),"['less', 'star', 'because', 'difficult', 'network', 'please', 'Increase', 'yaa', 'user', 'loyal', 'Telkomsel', ""]")</f>
        <v>['less', 'star', 'because', 'difficult', 'network', 'please', 'Increase', 'yaa', 'user', 'loyal', 'Telkomsel', "]</v>
      </c>
      <c r="D2734" s="3">
        <v>4.0</v>
      </c>
    </row>
    <row r="2735" ht="15.75" customHeight="1">
      <c r="A2735" s="1">
        <v>2922.0</v>
      </c>
      <c r="B2735" s="3" t="s">
        <v>2636</v>
      </c>
      <c r="C2735" s="3" t="str">
        <f>IFERROR(__xludf.DUMMYFUNCTION("GOOGLETRANSLATE(B2735,""id"",""en"")"),"['easy', 'cheap', 'increase', 'package', 'cheap', 'circles', 'medium', 'down', 'thank you']")</f>
        <v>['easy', 'cheap', 'increase', 'package', 'cheap', 'circles', 'medium', 'down', 'thank you']</v>
      </c>
      <c r="D2735" s="3">
        <v>5.0</v>
      </c>
    </row>
    <row r="2736" ht="15.75" customHeight="1">
      <c r="A2736" s="1">
        <v>2923.0</v>
      </c>
      <c r="B2736" s="3" t="s">
        <v>2637</v>
      </c>
      <c r="C2736" s="3" t="str">
        <f>IFERROR(__xludf.DUMMYFUNCTION("GOOGLETRANSLATE(B2736,""id"",""en"")"),"['', 'Update', 'Open', 'Severe', '']")</f>
        <v>['', 'Update', 'Open', 'Severe', '']</v>
      </c>
      <c r="D2736" s="3">
        <v>1.0</v>
      </c>
    </row>
    <row r="2737" ht="15.75" customHeight="1">
      <c r="A2737" s="1">
        <v>2924.0</v>
      </c>
      <c r="B2737" s="3" t="s">
        <v>2638</v>
      </c>
      <c r="C2737" s="3" t="str">
        <f>IFERROR(__xludf.DUMMYFUNCTION("GOOGLETRANSLATE(B2737,""id"",""en"")"),"['easy', 'operational']")</f>
        <v>['easy', 'operational']</v>
      </c>
      <c r="D2737" s="3">
        <v>5.0</v>
      </c>
    </row>
    <row r="2738" ht="15.75" customHeight="1">
      <c r="A2738" s="1">
        <v>2925.0</v>
      </c>
      <c r="B2738" s="3" t="s">
        <v>2639</v>
      </c>
      <c r="C2738" s="3" t="str">
        <f>IFERROR(__xludf.DUMMYFUNCTION("GOOGLETRANSLATE(B2738,""id"",""en"")"),"['Increase', 'promo', 'gays']")</f>
        <v>['Increase', 'promo', 'gays']</v>
      </c>
      <c r="D2738" s="3">
        <v>3.0</v>
      </c>
    </row>
    <row r="2739" ht="15.75" customHeight="1">
      <c r="A2739" s="1">
        <v>2926.0</v>
      </c>
      <c r="B2739" s="3" t="s">
        <v>2640</v>
      </c>
      <c r="C2739" s="3" t="str">
        <f>IFERROR(__xludf.DUMMYFUNCTION("GOOGLETRANSLATE(B2739,""id"",""en"")"),"['Delicious', 'bnget', 'bought', 'BYR', 'appa', 'ajja', 'easy']")</f>
        <v>['Delicious', 'bnget', 'bought', 'BYR', 'appa', 'ajja', 'easy']</v>
      </c>
      <c r="D2739" s="3">
        <v>5.0</v>
      </c>
    </row>
    <row r="2740" ht="15.75" customHeight="1">
      <c r="A2740" s="1">
        <v>2927.0</v>
      </c>
      <c r="B2740" s="3" t="s">
        <v>2641</v>
      </c>
      <c r="C2740" s="3" t="str">
        <f>IFERROR(__xludf.DUMMYFUNCTION("GOOGLETRANSLATE(B2740,""id"",""en"")"),"['stop', 'subscribe', 'internet', 'how', 'Veronica', 'answer', 'Connect', 'Choice', ""]")</f>
        <v>['stop', 'subscribe', 'internet', 'how', 'Veronica', 'answer', 'Connect', 'Choice', "]</v>
      </c>
      <c r="D2740" s="3">
        <v>1.0</v>
      </c>
    </row>
    <row r="2741" ht="15.75" customHeight="1">
      <c r="A2741" s="1">
        <v>2928.0</v>
      </c>
      <c r="B2741" s="3" t="s">
        <v>2642</v>
      </c>
      <c r="C2741" s="3" t="str">
        <f>IFERROR(__xludf.DUMMYFUNCTION("GOOGLETRANSLATE(B2741,""id"",""en"")"),"['Problems',' Signal ',' Telkomsel ',' Located ',' Where ',' here ',' Bad ',' Already ',' Mending ',' Change ',' Operator ',' Kasian ',' Activities', 'Helped']")</f>
        <v>['Problems',' Signal ',' Telkomsel ',' Located ',' Where ',' here ',' Bad ',' Already ',' Mending ',' Change ',' Operator ',' Kasian ',' Activities', 'Helped']</v>
      </c>
      <c r="D2741" s="3">
        <v>1.0</v>
      </c>
    </row>
    <row r="2742" ht="15.75" customHeight="1">
      <c r="A2742" s="1">
        <v>2929.0</v>
      </c>
      <c r="B2742" s="3" t="s">
        <v>2643</v>
      </c>
      <c r="C2742" s="3" t="str">
        <f>IFERROR(__xludf.DUMMYFUNCTION("GOOGLETRANSLATE(B2742,""id"",""en"")"),"['Difficult', 'Low', 'Open', 'Telkomsel', '']")</f>
        <v>['Difficult', 'Low', 'Open', 'Telkomsel', '']</v>
      </c>
      <c r="D2742" s="3">
        <v>2.0</v>
      </c>
    </row>
    <row r="2743" ht="15.75" customHeight="1">
      <c r="A2743" s="1">
        <v>2930.0</v>
      </c>
      <c r="B2743" s="3" t="s">
        <v>2644</v>
      </c>
      <c r="C2743" s="3" t="str">
        <f>IFERROR(__xludf.DUMMYFUNCTION("GOOGLETRANSLATE(B2743,""id"",""en"")"),"['pulse', 'missing', 'netting', 'consumer', 'buy', 'expensive', 'nyetok', 'pulse', 'missing', ""]")</f>
        <v>['pulse', 'missing', 'netting', 'consumer', 'buy', 'expensive', 'nyetok', 'pulse', 'missing', "]</v>
      </c>
      <c r="D2743" s="3">
        <v>2.0</v>
      </c>
    </row>
    <row r="2744" ht="15.75" customHeight="1">
      <c r="A2744" s="1">
        <v>2931.0</v>
      </c>
      <c r="B2744" s="3" t="s">
        <v>2645</v>
      </c>
      <c r="C2744" s="3" t="str">
        <f>IFERROR(__xludf.DUMMYFUNCTION("GOOGLETRANSLATE(B2744,""id"",""en"")"),"['Help', 'thank you']")</f>
        <v>['Help', 'thank you']</v>
      </c>
      <c r="D2744" s="3">
        <v>5.0</v>
      </c>
    </row>
    <row r="2745" ht="15.75" customHeight="1">
      <c r="A2745" s="1">
        <v>2932.0</v>
      </c>
      <c r="B2745" s="3" t="s">
        <v>2646</v>
      </c>
      <c r="C2745" s="3" t="str">
        <f>IFERROR(__xludf.DUMMYFUNCTION("GOOGLETRANSLATE(B2745,""id"",""en"")"),"['Telkomsel', 'Severe', 'network', 'internet', 'play', 'game', 'online', 'second', 'red', 'mending', 'for a while', 'red', ' turn ',' ijo ',' for a while ',' red ',' pantes', 'according to', 'logo', 'red', 'network', 'severe', 'disappointed', 'really', 'd"&amp;"eh' , 'Make', 'Telkomsel', 'Game', 'Network', 'Burik', 'Mending', 'AXIS', 'Indosat', 'Smartfren', 'STAli', 'Current', 'Ngegame', ' Name ',', 'Gede', 'Overcome', 'Network', 'Lola', 'Please', 'Loss', 'Customer', 'Want', 'Bankrupt', 'Package', 'Doang' , 'exp"&amp;"ensive', 'network', 'internet', 'coins', '']")</f>
        <v>['Telkomsel', 'Severe', 'network', 'internet', 'play', 'game', 'online', 'second', 'red', 'mending', 'for a while', 'red', ' turn ',' ijo ',' for a while ',' red ',' pantes', 'according to', 'logo', 'red', 'network', 'severe', 'disappointed', 'really', 'deh' , 'Make', 'Telkomsel', 'Game', 'Network', 'Burik', 'Mending', 'AXIS', 'Indosat', 'Smartfren', 'STAli', 'Current', 'Ngegame', ' Name ',', 'Gede', 'Overcome', 'Network', 'Lola', 'Please', 'Loss', 'Customer', 'Want', 'Bankrupt', 'Package', 'Doang' , 'expensive', 'network', 'internet', 'coins', '']</v>
      </c>
      <c r="D2745" s="3">
        <v>1.0</v>
      </c>
    </row>
    <row r="2746" ht="15.75" customHeight="1">
      <c r="A2746" s="1">
        <v>2933.0</v>
      </c>
      <c r="B2746" s="3" t="s">
        <v>2647</v>
      </c>
      <c r="C2746" s="3" t="str">
        <f>IFERROR(__xludf.DUMMYFUNCTION("GOOGLETRANSLATE(B2746,""id"",""en"")"),"['package', 'combo', 'cool', 'package', 'expensive', 'really', '']")</f>
        <v>['package', 'combo', 'cool', 'package', 'expensive', 'really', '']</v>
      </c>
      <c r="D2746" s="3">
        <v>2.0</v>
      </c>
    </row>
    <row r="2747" ht="15.75" customHeight="1">
      <c r="A2747" s="1">
        <v>2934.0</v>
      </c>
      <c r="B2747" s="3" t="s">
        <v>2648</v>
      </c>
      <c r="C2747" s="3" t="str">
        <f>IFERROR(__xludf.DUMMYFUNCTION("GOOGLETRANSLATE(B2747,""id"",""en"")"),"['Disappointed', 'APK', 'already', 'times', 'buy', 'pulse', 'enter', 'enter']")</f>
        <v>['Disappointed', 'APK', 'already', 'times', 'buy', 'pulse', 'enter', 'enter']</v>
      </c>
      <c r="D2747" s="3">
        <v>2.0</v>
      </c>
    </row>
    <row r="2748" ht="15.75" customHeight="1">
      <c r="A2748" s="1">
        <v>2935.0</v>
      </c>
      <c r="B2748" s="3" t="s">
        <v>2649</v>
      </c>
      <c r="C2748" s="3" t="str">
        <f>IFERROR(__xludf.DUMMYFUNCTION("GOOGLETRANSLATE(B2748,""id"",""en"")"),"['Hi', 'min', 'signal', 'tsel', 'missing', 'losing', 'min', 'kek', 'dadu', ""]")</f>
        <v>['Hi', 'min', 'signal', 'tsel', 'missing', 'losing', 'min', 'kek', 'dadu', "]</v>
      </c>
      <c r="D2748" s="3">
        <v>3.0</v>
      </c>
    </row>
    <row r="2749" ht="15.75" customHeight="1">
      <c r="A2749" s="1">
        <v>2936.0</v>
      </c>
      <c r="B2749" s="3" t="s">
        <v>2650</v>
      </c>
      <c r="C2749" s="3" t="str">
        <f>IFERROR(__xludf.DUMMYFUNCTION("GOOGLETRANSLATE(B2749,""id"",""en"")"),"['Village', 'residentship', 'kec', 'cigudeg', 'bogor', 'signal', 'telkomsel', 'error', 'mah', 'smooth', 'ajah']")</f>
        <v>['Village', 'residentship', 'kec', 'cigudeg', 'bogor', 'signal', 'telkomsel', 'error', 'mah', 'smooth', 'ajah']</v>
      </c>
      <c r="D2749" s="3">
        <v>5.0</v>
      </c>
    </row>
    <row r="2750" ht="15.75" customHeight="1">
      <c r="A2750" s="1">
        <v>2937.0</v>
      </c>
      <c r="B2750" s="3" t="s">
        <v>2651</v>
      </c>
      <c r="C2750" s="3" t="str">
        <f>IFERROR(__xludf.DUMMYFUNCTION("GOOGLETRANSLATE(B2750,""id"",""en"")"),"['Pelittt', 'Bangett', 'already', 'expensive', 'reliable', 'Network', 'Leet', 'Jngan', 'Telkomsel', 'Lahhh']")</f>
        <v>['Pelittt', 'Bangett', 'already', 'expensive', 'reliable', 'Network', 'Leet', 'Jngan', 'Telkomsel', 'Lahhh']</v>
      </c>
      <c r="D2750" s="3">
        <v>1.0</v>
      </c>
    </row>
    <row r="2751" ht="15.75" customHeight="1">
      <c r="A2751" s="1">
        <v>2938.0</v>
      </c>
      <c r="B2751" s="3" t="s">
        <v>2652</v>
      </c>
      <c r="C2751" s="3" t="str">
        <f>IFERROR(__xludf.DUMMYFUNCTION("GOOGLETRANSLATE(B2751,""id"",""en"")"),"['thank you']")</f>
        <v>['thank you']</v>
      </c>
      <c r="D2751" s="3">
        <v>5.0</v>
      </c>
    </row>
    <row r="2752" ht="15.75" customHeight="1">
      <c r="A2752" s="1">
        <v>2939.0</v>
      </c>
      <c r="B2752" s="3" t="s">
        <v>2653</v>
      </c>
      <c r="C2752" s="3" t="str">
        <f>IFERROR(__xludf.DUMMYFUNCTION("GOOGLETRANSLATE(B2752,""id"",""en"")"),"['Service', 'Telkomsel', 'Network', 'Customer', 'Souvenir', 'Gifts', 'Tekomsel']")</f>
        <v>['Service', 'Telkomsel', 'Network', 'Customer', 'Souvenir', 'Gifts', 'Tekomsel']</v>
      </c>
      <c r="D2752" s="3">
        <v>1.0</v>
      </c>
    </row>
    <row r="2753" ht="15.75" customHeight="1">
      <c r="A2753" s="1">
        <v>2940.0</v>
      </c>
      <c r="B2753" s="3" t="s">
        <v>2654</v>
      </c>
      <c r="C2753" s="3" t="str">
        <f>IFERROR(__xludf.DUMMYFUNCTION("GOOGLETRANSLATE(B2753,""id"",""en"")"),"['Admin', 'responds', 'client', 'direct', 'close', 'talk', 'chat', 'wastener', ""]")</f>
        <v>['Admin', 'responds', 'client', 'direct', 'close', 'talk', 'chat', 'wastener', "]</v>
      </c>
      <c r="D2753" s="3">
        <v>1.0</v>
      </c>
    </row>
    <row r="2754" ht="15.75" customHeight="1">
      <c r="A2754" s="1">
        <v>2941.0</v>
      </c>
      <c r="B2754" s="3" t="s">
        <v>2655</v>
      </c>
      <c r="C2754" s="3" t="str">
        <f>IFERROR(__xludf.DUMMYFUNCTION("GOOGLETRANSLATE(B2754,""id"",""en"")"),"['Please', 'Update', 'Android', 'Support']")</f>
        <v>['Please', 'Update', 'Android', 'Support']</v>
      </c>
      <c r="D2754" s="3">
        <v>4.0</v>
      </c>
    </row>
    <row r="2755" ht="15.75" customHeight="1">
      <c r="A2755" s="1">
        <v>2942.0</v>
      </c>
      <c r="B2755" s="3" t="s">
        <v>14</v>
      </c>
      <c r="C2755" s="3" t="str">
        <f>IFERROR(__xludf.DUMMYFUNCTION("GOOGLETRANSLATE(B2755,""id"",""en"")"),"['Satisfied', 'advanced', ""]")</f>
        <v>['Satisfied', 'advanced', "]</v>
      </c>
      <c r="D2755" s="3">
        <v>5.0</v>
      </c>
    </row>
    <row r="2756" ht="15.75" customHeight="1">
      <c r="A2756" s="1">
        <v>2943.0</v>
      </c>
      <c r="B2756" s="3" t="s">
        <v>2656</v>
      </c>
      <c r="C2756" s="3" t="str">
        <f>IFERROR(__xludf.DUMMYFUNCTION("GOOGLETRANSLATE(B2756,""id"",""en"")"),"['oath', 'gajelas', 'signal']")</f>
        <v>['oath', 'gajelas', 'signal']</v>
      </c>
      <c r="D2756" s="3">
        <v>1.0</v>
      </c>
    </row>
    <row r="2757" ht="15.75" customHeight="1">
      <c r="A2757" s="1">
        <v>2944.0</v>
      </c>
      <c r="B2757" s="3" t="s">
        <v>2657</v>
      </c>
      <c r="C2757" s="3" t="str">
        <f>IFERROR(__xludf.DUMMYFUNCTION("GOOGLETRANSLATE(B2757,""id"",""en"")"),"['Hopefully', 'Win', 'Lottery', ""]")</f>
        <v>['Hopefully', 'Win', 'Lottery', "]</v>
      </c>
      <c r="D2757" s="3">
        <v>3.0</v>
      </c>
    </row>
    <row r="2758" ht="15.75" customHeight="1">
      <c r="A2758" s="1">
        <v>2945.0</v>
      </c>
      <c r="B2758" s="3" t="s">
        <v>2658</v>
      </c>
      <c r="C2758" s="3" t="str">
        <f>IFERROR(__xludf.DUMMYFUNCTION("GOOGLETRANSLATE(B2758,""id"",""en"")"),"['mantaaaaap', 'speed up', 'transaction', 'promo']")</f>
        <v>['mantaaaaap', 'speed up', 'transaction', 'promo']</v>
      </c>
      <c r="D2758" s="3">
        <v>5.0</v>
      </c>
    </row>
    <row r="2759" ht="15.75" customHeight="1">
      <c r="A2759" s="1">
        <v>2946.0</v>
      </c>
      <c r="B2759" s="3" t="s">
        <v>2659</v>
      </c>
      <c r="C2759" s="3" t="str">
        <f>IFERROR(__xludf.DUMMYFUNCTION("GOOGLETRANSLATE(B2759,""id"",""en"")"),"['Provider', 'ugly', 'already', 'use', 'provider', 'TPI', 'Telkom', 'Severe', 'Sinyel', 'Ngejump', 'News',' cable ',' bwh ',' sea ',' troubled ',' like ',' ngekame ',' telkom ',' recommended ',' just ',' meet ',' signal ',' nekejump ',' gajelas', 'pdhl' ,"&amp;" 'Use', 'Provider', 'Safe', 'Kembangin', 'TRS', 'Consumer', 'Want', 'Use', 'Products', 'Local', 'TPI', 'Hadeh']")</f>
        <v>['Provider', 'ugly', 'already', 'use', 'provider', 'TPI', 'Telkom', 'Severe', 'Sinyel', 'Ngejump', 'News',' cable ',' bwh ',' sea ',' troubled ',' like ',' ngekame ',' telkom ',' recommended ',' just ',' meet ',' signal ',' nekejump ',' gajelas', 'pdhl' , 'Use', 'Provider', 'Safe', 'Kembangin', 'TRS', 'Consumer', 'Want', 'Use', 'Products', 'Local', 'TPI', 'Hadeh']</v>
      </c>
      <c r="D2759" s="3">
        <v>1.0</v>
      </c>
    </row>
    <row r="2760" ht="15.75" customHeight="1">
      <c r="A2760" s="1">
        <v>2947.0</v>
      </c>
      <c r="B2760" s="3" t="s">
        <v>2660</v>
      </c>
      <c r="C2760" s="3" t="str">
        <f>IFERROR(__xludf.DUMMYFUNCTION("GOOGLETRANSLATE(B2760,""id"",""en"")"),"['like', 'use', 'Telkomsel', 'cheap', ""]")</f>
        <v>['like', 'use', 'Telkomsel', 'cheap', "]</v>
      </c>
      <c r="D2760" s="3">
        <v>5.0</v>
      </c>
    </row>
    <row r="2761" ht="15.75" customHeight="1">
      <c r="A2761" s="1">
        <v>2948.0</v>
      </c>
      <c r="B2761" s="3" t="s">
        <v>2661</v>
      </c>
      <c r="C2761" s="3" t="str">
        <f>IFERROR(__xludf.DUMMYFUNCTION("GOOGLETRANSLATE(B2761,""id"",""en"")"),"['already', 'update', 'diplaystore', 'right', 'opened', 'the application', 'told', 'update']")</f>
        <v>['already', 'update', 'diplaystore', 'right', 'opened', 'the application', 'told', 'update']</v>
      </c>
      <c r="D2761" s="3">
        <v>1.0</v>
      </c>
    </row>
    <row r="2762" ht="15.75" customHeight="1">
      <c r="A2762" s="1">
        <v>2949.0</v>
      </c>
      <c r="B2762" s="3" t="s">
        <v>2662</v>
      </c>
      <c r="C2762" s="3" t="str">
        <f>IFERROR(__xludf.DUMMYFUNCTION("GOOGLETRANSLATE(B2762,""id"",""en"")"),"['Hopefully', 'Prizes', 'Amin', ""]")</f>
        <v>['Hopefully', 'Prizes', 'Amin', "]</v>
      </c>
      <c r="D2762" s="3">
        <v>5.0</v>
      </c>
    </row>
    <row r="2763" ht="15.75" customHeight="1">
      <c r="A2763" s="1">
        <v>2950.0</v>
      </c>
      <c r="B2763" s="3" t="s">
        <v>2663</v>
      </c>
      <c r="C2763" s="3" t="str">
        <f>IFERROR(__xludf.DUMMYFUNCTION("GOOGLETRANSLATE(B2763,""id"",""en"")"),"['Please', 'Fix', 'Signal', 'Telkomsel', '']")</f>
        <v>['Please', 'Fix', 'Signal', 'Telkomsel', '']</v>
      </c>
      <c r="D2763" s="3">
        <v>1.0</v>
      </c>
    </row>
    <row r="2764" ht="15.75" customHeight="1">
      <c r="A2764" s="1">
        <v>2951.0</v>
      </c>
      <c r="B2764" s="3" t="s">
        <v>2664</v>
      </c>
      <c r="C2764" s="3" t="str">
        <f>IFERROR(__xludf.DUMMYFUNCTION("GOOGLETRANSLATE(B2764,""id"",""en"")"),"['connection', 'network', 'setabilia', 'bad', 'ilang', 'network', 'according to', 'price', 'quota', 'expensive', 'disappointing', 'Telkomsel', ' Fix ',' family ',' move ',' oprator ', ""]")</f>
        <v>['connection', 'network', 'setabilia', 'bad', 'ilang', 'network', 'according to', 'price', 'quota', 'expensive', 'disappointing', 'Telkomsel', ' Fix ',' family ',' move ',' oprator ', "]</v>
      </c>
      <c r="D2764" s="3">
        <v>1.0</v>
      </c>
    </row>
    <row r="2765" ht="15.75" customHeight="1">
      <c r="A2765" s="1">
        <v>2952.0</v>
      </c>
      <c r="B2765" s="3" t="s">
        <v>2665</v>
      </c>
      <c r="C2765" s="3" t="str">
        <f>IFERROR(__xludf.DUMMYFUNCTION("GOOGLETRANSLATE(B2765,""id"",""en"")"),"['CPAT', 'mndaptkan', 'information']")</f>
        <v>['CPAT', 'mndaptkan', 'information']</v>
      </c>
      <c r="D2765" s="3">
        <v>4.0</v>
      </c>
    </row>
    <row r="2766" ht="15.75" customHeight="1">
      <c r="A2766" s="1">
        <v>2953.0</v>
      </c>
      <c r="B2766" s="3" t="s">
        <v>2666</v>
      </c>
      <c r="C2766" s="3" t="str">
        <f>IFERROR(__xludf.DUMMYFUNCTION("GOOGLETRANSLATE(B2766,""id"",""en"")"),"['card', 'expensive', 'signal', 'kyak', 'taii']")</f>
        <v>['card', 'expensive', 'signal', 'kyak', 'taii']</v>
      </c>
      <c r="D2766" s="3">
        <v>1.0</v>
      </c>
    </row>
    <row r="2767" ht="15.75" customHeight="1">
      <c r="A2767" s="1">
        <v>2954.0</v>
      </c>
      <c r="B2767" s="3" t="s">
        <v>2667</v>
      </c>
      <c r="C2767" s="3" t="str">
        <f>IFERROR(__xludf.DUMMYFUNCTION("GOOGLETRANSLATE(B2767,""id"",""en"")"),"['', 'That's']")</f>
        <v>['', 'That's']</v>
      </c>
      <c r="D2767" s="3">
        <v>5.0</v>
      </c>
    </row>
    <row r="2768" ht="15.75" customHeight="1">
      <c r="A2768" s="1">
        <v>2955.0</v>
      </c>
      <c r="B2768" s="3" t="s">
        <v>2668</v>
      </c>
      <c r="C2768" s="3" t="str">
        <f>IFERROR(__xludf.DUMMYFUNCTION("GOOGLETRANSLATE(B2768,""id"",""en"")"),"['Quota', 'Internet', 'GB', 'Gabisa', 'Dipake', 'Disappointed', '']")</f>
        <v>['Quota', 'Internet', 'GB', 'Gabisa', 'Dipake', 'Disappointed', '']</v>
      </c>
      <c r="D2768" s="3">
        <v>1.0</v>
      </c>
    </row>
    <row r="2769" ht="15.75" customHeight="1">
      <c r="A2769" s="1">
        <v>2956.0</v>
      </c>
      <c r="B2769" s="3" t="s">
        <v>2669</v>
      </c>
      <c r="C2769" s="3" t="str">
        <f>IFERROR(__xludf.DUMMYFUNCTION("GOOGLETRANSLATE(B2769,""id"",""en"")"),"['', 'user', 'Telkomsel', 'complaints',' njawar ',' system ',' person ',' telkomsel ',' friend ',' mending ',' switch ',' card ',' cheap ',' service ',' good ',' disappointing ',' customer ',' trims']")</f>
        <v>['', 'user', 'Telkomsel', 'complaints',' njawar ',' system ',' person ',' telkomsel ',' friend ',' mending ',' switch ',' card ',' cheap ',' service ',' good ',' disappointing ',' customer ',' trims']</v>
      </c>
      <c r="D2769" s="3">
        <v>1.0</v>
      </c>
    </row>
    <row r="2770" ht="15.75" customHeight="1">
      <c r="A2770" s="1">
        <v>2957.0</v>
      </c>
      <c r="B2770" s="3" t="s">
        <v>2670</v>
      </c>
      <c r="C2770" s="3" t="str">
        <f>IFERROR(__xludf.DUMMYFUNCTION("GOOGLETRANSLATE(B2770,""id"",""en"")"),"['Raying', 'cave', 'buy', 'Telkomsel', ""]")</f>
        <v>['Raying', 'cave', 'buy', 'Telkomsel', "]</v>
      </c>
      <c r="D2770" s="3">
        <v>1.0</v>
      </c>
    </row>
    <row r="2771" ht="15.75" customHeight="1">
      <c r="A2771" s="1">
        <v>2958.0</v>
      </c>
      <c r="B2771" s="3" t="s">
        <v>2671</v>
      </c>
      <c r="C2771" s="3" t="str">
        <f>IFERROR(__xludf.DUMMYFUNCTION("GOOGLETRANSLATE(B2771,""id"",""en"")"),"['Sorry', 'Application', 'Good', 'Disappointed', 'Network', 'Network', 'Telkomsel', 'Region', 'Sumatran', 'South', 'ugly', 'Please', ' Fix ',' Region ',' ']")</f>
        <v>['Sorry', 'Application', 'Good', 'Disappointed', 'Network', 'Network', 'Telkomsel', 'Region', 'Sumatran', 'South', 'ugly', 'Please', ' Fix ',' Region ',' ']</v>
      </c>
      <c r="D2771" s="3">
        <v>4.0</v>
      </c>
    </row>
    <row r="2772" ht="15.75" customHeight="1">
      <c r="A2772" s="1">
        <v>2959.0</v>
      </c>
      <c r="B2772" s="3" t="s">
        <v>2672</v>
      </c>
      <c r="C2772" s="3" t="str">
        <f>IFERROR(__xludf.DUMMYFUNCTION("GOOGLETRANSLATE(B2772,""id"",""en"")"),"['Bangsaaadd', 'pulse', 'doang', 'expensive', 'network', 'chaotic', 'really', 'bangse', 'yes', 'improvement', ""]")</f>
        <v>['Bangsaaadd', 'pulse', 'doang', 'expensive', 'network', 'chaotic', 'really', 'bangse', 'yes', 'improvement', "]</v>
      </c>
      <c r="D2772" s="3">
        <v>1.0</v>
      </c>
    </row>
    <row r="2773" ht="15.75" customHeight="1">
      <c r="A2773" s="1">
        <v>2960.0</v>
      </c>
      <c r="B2773" s="3" t="s">
        <v>2673</v>
      </c>
      <c r="C2773" s="3" t="str">
        <f>IFERROR(__xludf.DUMMYFUNCTION("GOOGLETRANSLATE(B2773,""id"",""en"")"),"['a week', 'buy', 'quota', 'internet', 'weekly', 'daily', 'Standard', 'buy', 'package', '']")</f>
        <v>['a week', 'buy', 'quota', 'internet', 'weekly', 'daily', 'Standard', 'buy', 'package', '']</v>
      </c>
      <c r="D2773" s="3">
        <v>3.0</v>
      </c>
    </row>
    <row r="2774" ht="15.75" customHeight="1">
      <c r="A2774" s="1">
        <v>2962.0</v>
      </c>
      <c r="B2774" s="3" t="s">
        <v>2674</v>
      </c>
      <c r="C2774" s="3" t="str">
        <f>IFERROR(__xludf.DUMMYFUNCTION("GOOGLETRANSLATE(B2774,""id"",""en"")"),"['Card', 'Telkomsel', 'bngst']")</f>
        <v>['Card', 'Telkomsel', 'bngst']</v>
      </c>
      <c r="D2774" s="3">
        <v>1.0</v>
      </c>
    </row>
    <row r="2775" ht="15.75" customHeight="1">
      <c r="A2775" s="1">
        <v>2963.0</v>
      </c>
      <c r="B2775" s="3" t="s">
        <v>2675</v>
      </c>
      <c r="C2775" s="3" t="str">
        <f>IFERROR(__xludf.DUMMYFUNCTION("GOOGLETRANSLATE(B2775,""id"",""en"")"),"['use', 'Telkomsel', 'emotion', 'user', 'Telkomsel', 'moved', 'card', 'other', 'signal', 'lost', 'signal', 'Telkomsel', ' Good ',' missing ',' signal ',' connects', 'network', 'Telkomsel', 'address',' Tegalrejo ',' Srigading ',' Sanden ',' Bantul ',' DIY "&amp;"', ""]")</f>
        <v>['use', 'Telkomsel', 'emotion', 'user', 'Telkomsel', 'moved', 'card', 'other', 'signal', 'lost', 'signal', 'Telkomsel', ' Good ',' missing ',' signal ',' connects', 'network', 'Telkomsel', 'address',' Tegalrejo ',' Srigading ',' Sanden ',' Bantul ',' DIY ', "]</v>
      </c>
      <c r="D2775" s="3">
        <v>1.0</v>
      </c>
    </row>
    <row r="2776" ht="15.75" customHeight="1">
      <c r="A2776" s="1">
        <v>2964.0</v>
      </c>
      <c r="B2776" s="3" t="s">
        <v>2676</v>
      </c>
      <c r="C2776" s="3" t="str">
        <f>IFERROR(__xludf.DUMMYFUNCTION("GOOGLETRANSLATE(B2776,""id"",""en"")"),"['Indiehome', 'Telkomsel', 'Lemott', ""]")</f>
        <v>['Indiehome', 'Telkomsel', 'Lemott', "]</v>
      </c>
      <c r="D2776" s="3">
        <v>1.0</v>
      </c>
    </row>
    <row r="2777" ht="15.75" customHeight="1">
      <c r="A2777" s="1">
        <v>2965.0</v>
      </c>
      <c r="B2777" s="3" t="s">
        <v>2677</v>
      </c>
      <c r="C2777" s="3" t="str">
        <f>IFERROR(__xludf.DUMMYFUNCTION("GOOGLETRANSLATE(B2777,""id"",""en"")"),"['Application', 'PALIGGG', 'Bagoooos', 'Aaaaa']")</f>
        <v>['Application', 'PALIGGG', 'Bagoooos', 'Aaaaa']</v>
      </c>
      <c r="D2777" s="3">
        <v>5.0</v>
      </c>
    </row>
    <row r="2778" ht="15.75" customHeight="1">
      <c r="A2778" s="1">
        <v>2967.0</v>
      </c>
      <c r="B2778" s="3" t="s">
        <v>2678</v>
      </c>
      <c r="C2778" s="3" t="str">
        <f>IFERROR(__xludf.DUMMYFUNCTION("GOOGLETRANSLATE(B2778,""id"",""en"")"),"['Help', 'Live', 'chat', 'difficult', 'really', 'wait']")</f>
        <v>['Help', 'Live', 'chat', 'difficult', 'really', 'wait']</v>
      </c>
      <c r="D2778" s="3">
        <v>1.0</v>
      </c>
    </row>
    <row r="2779" ht="15.75" customHeight="1">
      <c r="A2779" s="1">
        <v>2969.0</v>
      </c>
      <c r="B2779" s="3" t="s">
        <v>2679</v>
      </c>
      <c r="C2779" s="3" t="str">
        <f>IFERROR(__xludf.DUMMYFUNCTION("GOOGLETRANSLATE(B2779,""id"",""en"")"),"['Signal', 'okay', 'at the same time', 'need', 'bag', 'min', 'drained', 'quota', 'emang', 'byk', 'price', 'expensive', ' launches', 'quota', 'price', 'cheap', 'as',' choice ',' ']")</f>
        <v>['Signal', 'okay', 'at the same time', 'need', 'bag', 'min', 'drained', 'quota', 'emang', 'byk', 'price', 'expensive', ' launches', 'quota', 'price', 'cheap', 'as',' choice ',' ']</v>
      </c>
      <c r="D2779" s="3">
        <v>5.0</v>
      </c>
    </row>
    <row r="2780" ht="15.75" customHeight="1">
      <c r="A2780" s="1">
        <v>2970.0</v>
      </c>
      <c r="B2780" s="3" t="s">
        <v>2680</v>
      </c>
      <c r="C2780" s="3" t="str">
        <f>IFERROR(__xludf.DUMMYFUNCTION("GOOGLETRANSLATE(B2780,""id"",""en"")"),"['Good', 'instant']")</f>
        <v>['Good', 'instant']</v>
      </c>
      <c r="D2780" s="3">
        <v>5.0</v>
      </c>
    </row>
    <row r="2781" ht="15.75" customHeight="1">
      <c r="A2781" s="1">
        <v>2971.0</v>
      </c>
      <c r="B2781" s="3" t="s">
        <v>2681</v>
      </c>
      <c r="C2781" s="3" t="str">
        <f>IFERROR(__xludf.DUMMYFUNCTION("GOOGLETRANSLATE(B2781,""id"",""en"")"),"['Bgus', 'The network', 'Hopefully', 'get', 'blessing', 'Sexos']")</f>
        <v>['Bgus', 'The network', 'Hopefully', 'get', 'blessing', 'Sexos']</v>
      </c>
      <c r="D2781" s="3">
        <v>5.0</v>
      </c>
    </row>
    <row r="2782" ht="15.75" customHeight="1">
      <c r="A2782" s="1">
        <v>2972.0</v>
      </c>
      <c r="B2782" s="3" t="s">
        <v>2682</v>
      </c>
      <c r="C2782" s="3" t="str">
        <f>IFERROR(__xludf.DUMMYFUNCTION("GOOGLETRANSLATE(B2782,""id"",""en"")"),"['safe', 'easy', 'bonus']")</f>
        <v>['safe', 'easy', 'bonus']</v>
      </c>
      <c r="D2782" s="3">
        <v>5.0</v>
      </c>
    </row>
    <row r="2783" ht="15.75" customHeight="1">
      <c r="A2783" s="1">
        <v>2973.0</v>
      </c>
      <c r="B2783" s="3" t="s">
        <v>2683</v>
      </c>
      <c r="C2783" s="3" t="str">
        <f>IFERROR(__xludf.DUMMYFUNCTION("GOOGLETRANSLATE(B2783,""id"",""en"")"),"['MyTelkomsel', 'easy']")</f>
        <v>['MyTelkomsel', 'easy']</v>
      </c>
      <c r="D2783" s="3">
        <v>5.0</v>
      </c>
    </row>
    <row r="2784" ht="15.75" customHeight="1">
      <c r="A2784" s="1">
        <v>2974.0</v>
      </c>
      <c r="B2784" s="3" t="s">
        <v>2684</v>
      </c>
      <c r="C2784" s="3" t="str">
        <f>IFERROR(__xludf.DUMMYFUNCTION("GOOGLETRANSLATE(B2784,""id"",""en"")"),"['Application', 'Good', 'Helpful', 'Thanks', 'Telkomsel']")</f>
        <v>['Application', 'Good', 'Helpful', 'Thanks', 'Telkomsel']</v>
      </c>
      <c r="D2784" s="3">
        <v>3.0</v>
      </c>
    </row>
    <row r="2785" ht="15.75" customHeight="1">
      <c r="A2785" s="1">
        <v>2975.0</v>
      </c>
      <c r="B2785" s="3" t="s">
        <v>2685</v>
      </c>
      <c r="C2785" s="3" t="str">
        <f>IFERROR(__xludf.DUMMYFUNCTION("GOOGLETRANSLATE(B2785,""id"",""en"")"),"['signal', 'sucks', 'quality', 'good']")</f>
        <v>['signal', 'sucks', 'quality', 'good']</v>
      </c>
      <c r="D2785" s="3">
        <v>1.0</v>
      </c>
    </row>
    <row r="2786" ht="15.75" customHeight="1">
      <c r="A2786" s="1">
        <v>2976.0</v>
      </c>
      <c r="B2786" s="3" t="s">
        <v>1907</v>
      </c>
      <c r="C2786" s="3" t="str">
        <f>IFERROR(__xludf.DUMMYFUNCTION("GOOGLETRANSLATE(B2786,""id"",""en"")"),"['', 'help', '']")</f>
        <v>['', 'help', '']</v>
      </c>
      <c r="D2786" s="3">
        <v>5.0</v>
      </c>
    </row>
    <row r="2787" ht="15.75" customHeight="1">
      <c r="A2787" s="1">
        <v>2977.0</v>
      </c>
      <c r="B2787" s="3" t="s">
        <v>2686</v>
      </c>
      <c r="C2787" s="3" t="str">
        <f>IFERROR(__xludf.DUMMYFUNCTION("GOOGLETRANSLATE(B2787,""id"",""en"")"),"['signal', 'strong', 'anywhere', 'place']")</f>
        <v>['signal', 'strong', 'anywhere', 'place']</v>
      </c>
      <c r="D2787" s="3">
        <v>5.0</v>
      </c>
    </row>
    <row r="2788" ht="15.75" customHeight="1">
      <c r="A2788" s="1">
        <v>2978.0</v>
      </c>
      <c r="B2788" s="3" t="s">
        <v>2687</v>
      </c>
      <c r="C2788" s="3" t="str">
        <f>IFERROR(__xludf.DUMMYFUNCTION("GOOGLETRANSLATE(B2788,""id"",""en"")"),"['Sinyal', 'strong', 'voice', 'mereggala', 'Medan', 'Weather', '']")</f>
        <v>['Sinyal', 'strong', 'voice', 'mereggala', 'Medan', 'Weather', '']</v>
      </c>
      <c r="D2788" s="3">
        <v>5.0</v>
      </c>
    </row>
    <row r="2789" ht="15.75" customHeight="1">
      <c r="A2789" s="1">
        <v>2979.0</v>
      </c>
      <c r="B2789" s="3" t="s">
        <v>2688</v>
      </c>
      <c r="C2789" s="3" t="str">
        <f>IFERROR(__xludf.DUMMYFUNCTION("GOOGLETRANSLATE(B2789,""id"",""en"")"),"['Super', 'easy', 'buy', 'package']")</f>
        <v>['Super', 'easy', 'buy', 'package']</v>
      </c>
      <c r="D2789" s="3">
        <v>4.0</v>
      </c>
    </row>
    <row r="2790" ht="15.75" customHeight="1">
      <c r="A2790" s="1">
        <v>2980.0</v>
      </c>
      <c r="B2790" s="3" t="s">
        <v>2689</v>
      </c>
      <c r="C2790" s="3" t="str">
        <f>IFERROR(__xludf.DUMMYFUNCTION("GOOGLETRANSLATE(B2790,""id"",""en"")"),"['', 'KPD', 'Telkomsel', 'package', 'cheerful', 'leftover', 'pulses',' reduced ',' sometimes', 'abis',' because ',' package ',' cheap ',' Price ',' Understand ',' Hopefully ',' answer ',' because ',' Times', 'Thank you']")</f>
        <v>['', 'KPD', 'Telkomsel', 'package', 'cheerful', 'leftover', 'pulses',' reduced ',' sometimes', 'abis',' because ',' package ',' cheap ',' Price ',' Understand ',' Hopefully ',' answer ',' because ',' Times', 'Thank you']</v>
      </c>
      <c r="D2790" s="3">
        <v>4.0</v>
      </c>
    </row>
    <row r="2791" ht="15.75" customHeight="1">
      <c r="A2791" s="1">
        <v>2981.0</v>
      </c>
      <c r="B2791" s="3" t="s">
        <v>2690</v>
      </c>
      <c r="C2791" s="3" t="str">
        <f>IFERROR(__xludf.DUMMYFUNCTION("GOOGLETRANSLATE(B2791,""id"",""en"")"),"['use', 'Telekomsel', 'Network', 'Weather', 'Thank you']")</f>
        <v>['use', 'Telekomsel', 'Network', 'Weather', 'Thank you']</v>
      </c>
      <c r="D2791" s="3">
        <v>5.0</v>
      </c>
    </row>
    <row r="2792" ht="15.75" customHeight="1">
      <c r="A2792" s="1">
        <v>2982.0</v>
      </c>
      <c r="B2792" s="3" t="s">
        <v>2691</v>
      </c>
      <c r="C2792" s="3" t="str">
        <f>IFERROR(__xludf.DUMMYFUNCTION("GOOGLETRANSLATE(B2792,""id"",""en"")"),"['Please', 'Return', 'Credit', 'thousand', 'please', 'Restore', '']")</f>
        <v>['Please', 'Return', 'Credit', 'thousand', 'please', 'Restore', '']</v>
      </c>
      <c r="D2792" s="3">
        <v>5.0</v>
      </c>
    </row>
    <row r="2793" ht="15.75" customHeight="1">
      <c r="A2793" s="1">
        <v>2984.0</v>
      </c>
      <c r="B2793" s="3" t="s">
        <v>2692</v>
      </c>
      <c r="C2793" s="3" t="str">
        <f>IFERROR(__xludf.DUMMYFUNCTION("GOOGLETRANSLATE(B2793,""id"",""en"")"),"['user', 'card', 'Hello', 'report', 'via', 'email', 'meek', 'action', 'team', 'field', 'signal', 'home', ' Penugs', 'Liat', 'Status',' People ',' Photos', 'Videos',' Buffering ',' Companies', 'Plat', 'Red', 'Lost', 'Operators',' ']")</f>
        <v>['user', 'card', 'Hello', 'report', 'via', 'email', 'meek', 'action', 'team', 'field', 'signal', 'home', ' Penugs', 'Liat', 'Status',' People ',' Photos', 'Videos',' Buffering ',' Companies', 'Plat', 'Red', 'Lost', 'Operators',' ']</v>
      </c>
      <c r="D2793" s="3">
        <v>1.0</v>
      </c>
    </row>
    <row r="2794" ht="15.75" customHeight="1">
      <c r="A2794" s="1">
        <v>2985.0</v>
      </c>
      <c r="B2794" s="3" t="s">
        <v>2693</v>
      </c>
      <c r="C2794" s="3" t="str">
        <f>IFERROR(__xludf.DUMMYFUNCTION("GOOGLETRANSLATE(B2794,""id"",""en"")"),"['Loved it']")</f>
        <v>['Loved it']</v>
      </c>
      <c r="D2794" s="3">
        <v>5.0</v>
      </c>
    </row>
    <row r="2795" ht="15.75" customHeight="1">
      <c r="A2795" s="1">
        <v>2986.0</v>
      </c>
      <c r="B2795" s="3" t="s">
        <v>2694</v>
      </c>
      <c r="C2795" s="3" t="str">
        <f>IFERROR(__xludf.DUMMYFUNCTION("GOOGLETRANSLATE(B2795,""id"",""en"")"),"['signal', 'okay', 'price', 'tuaniii', '']")</f>
        <v>['signal', 'okay', 'price', 'tuaniii', '']</v>
      </c>
      <c r="D2795" s="3">
        <v>4.0</v>
      </c>
    </row>
    <row r="2796" ht="15.75" customHeight="1">
      <c r="A2796" s="1">
        <v>2987.0</v>
      </c>
      <c r="B2796" s="3" t="s">
        <v>2695</v>
      </c>
      <c r="C2796" s="3" t="str">
        <f>IFERROR(__xludf.DUMMYFUNCTION("GOOGLETRANSLATE(B2796,""id"",""en"")"),"['Help', 'makes it easy', 'user']")</f>
        <v>['Help', 'makes it easy', 'user']</v>
      </c>
      <c r="D2796" s="3">
        <v>5.0</v>
      </c>
    </row>
    <row r="2797" ht="15.75" customHeight="1">
      <c r="A2797" s="1">
        <v>2988.0</v>
      </c>
      <c r="B2797" s="3" t="s">
        <v>2696</v>
      </c>
      <c r="C2797" s="3" t="str">
        <f>IFERROR(__xludf.DUMMYFUNCTION("GOOGLETRANSLATE(B2797,""id"",""en"")"),"['quota', 'run out', 'leftover', 'pulse', 'direct', 'use', 'tukerin', 'kouta', 'minimal', 'offer', 'warning']")</f>
        <v>['quota', 'run out', 'leftover', 'pulse', 'direct', 'use', 'tukerin', 'kouta', 'minimal', 'offer', 'warning']</v>
      </c>
      <c r="D2797" s="3">
        <v>2.0</v>
      </c>
    </row>
    <row r="2798" ht="15.75" customHeight="1">
      <c r="A2798" s="1">
        <v>2989.0</v>
      </c>
      <c r="B2798" s="3" t="s">
        <v>2697</v>
      </c>
      <c r="C2798" s="3" t="str">
        <f>IFERROR(__xludf.DUMMYFUNCTION("GOOGLETRANSLATE(B2798,""id"",""en"")"),"['min', 'ask', 'really', 'area', 'signal', 'okay', 'no', 'good', 'distance', 'meter', 'connection', 'internet', ' down ',' no ',' open ',' application ',' lite ',' slow ',' forgiveness', 'no', '']")</f>
        <v>['min', 'ask', 'really', 'area', 'signal', 'okay', 'no', 'good', 'distance', 'meter', 'connection', 'internet', ' down ',' no ',' open ',' application ',' lite ',' slow ',' forgiveness', 'no', '']</v>
      </c>
      <c r="D2798" s="3">
        <v>2.0</v>
      </c>
    </row>
    <row r="2799" ht="15.75" customHeight="1">
      <c r="A2799" s="1">
        <v>2991.0</v>
      </c>
      <c r="B2799" s="3" t="s">
        <v>2698</v>
      </c>
      <c r="C2799" s="3" t="str">
        <f>IFERROR(__xludf.DUMMYFUNCTION("GOOGLETRANSLATE(B2799,""id"",""en"")"),"['Contact', 'Ribet', 'Uda', 'Select', 'Pilhan', 'Select', 'Gada', 'Solution', 'TLP', 'Operator']")</f>
        <v>['Contact', 'Ribet', 'Uda', 'Select', 'Pilhan', 'Select', 'Gada', 'Solution', 'TLP', 'Operator']</v>
      </c>
      <c r="D2799" s="3">
        <v>1.0</v>
      </c>
    </row>
    <row r="2800" ht="15.75" customHeight="1">
      <c r="A2800" s="1">
        <v>2993.0</v>
      </c>
      <c r="B2800" s="3" t="s">
        <v>2699</v>
      </c>
      <c r="C2800" s="3" t="str">
        <f>IFERROR(__xludf.DUMMYFUNCTION("GOOGLETRANSLATE(B2800,""id"",""en"")"),"['UDH', 'ISI', 'Credit', 'APLKSI', 'Pulses', 'Check', 'Fence', 'Credit', 'GIMNA', 'APLKSI']")</f>
        <v>['UDH', 'ISI', 'Credit', 'APLKSI', 'Pulses', 'Check', 'Fence', 'Credit', 'GIMNA', 'APLKSI']</v>
      </c>
      <c r="D2800" s="3">
        <v>3.0</v>
      </c>
    </row>
    <row r="2801" ht="15.75" customHeight="1">
      <c r="A2801" s="1">
        <v>2994.0</v>
      </c>
      <c r="B2801" s="3" t="s">
        <v>2700</v>
      </c>
      <c r="C2801" s="3" t="str">
        <f>IFERROR(__xludf.DUMMYFUNCTION("GOOGLETRANSLATE(B2801,""id"",""en"")"),"['signal', 'kek', 'taekkkk', 'right', 'signal', 'recomen', 'really', 'card', 'mending', 'pke', 'safe', 'smooth' Jaya ',' PKE ',' Card ',' Telkom ']")</f>
        <v>['signal', 'kek', 'taekkkk', 'right', 'signal', 'recomen', 'really', 'card', 'mending', 'pke', 'safe', 'smooth' Jaya ',' PKE ',' Card ',' Telkom ']</v>
      </c>
      <c r="D2801" s="3">
        <v>1.0</v>
      </c>
    </row>
    <row r="2802" ht="15.75" customHeight="1">
      <c r="A2802" s="1">
        <v>2996.0</v>
      </c>
      <c r="B2802" s="3" t="s">
        <v>2701</v>
      </c>
      <c r="C2802" s="3" t="str">
        <f>IFERROR(__xludf.DUMMYFUNCTION("GOOGLETRANSLATE(B2802,""id"",""en"")"),"['klw', 'development', 'mwbaik', 'tambahi', 'star']")</f>
        <v>['klw', 'development', 'mwbaik', 'tambahi', 'star']</v>
      </c>
      <c r="D2802" s="3">
        <v>3.0</v>
      </c>
    </row>
    <row r="2803" ht="15.75" customHeight="1">
      <c r="A2803" s="1">
        <v>2997.0</v>
      </c>
      <c r="B2803" s="3" t="s">
        <v>2702</v>
      </c>
      <c r="C2803" s="3" t="str">
        <f>IFERROR(__xludf.DUMMYFUNCTION("GOOGLETRANSLATE(B2803,""id"",""en"")"),"['pantesan', 'price', 'package', 'down', 'slow', 'severe', 'hopefully', 'go bankrupt', 'make it difficult', 'life', 'org', ' So ',' promo ',' SGLA ',' ']")</f>
        <v>['pantesan', 'price', 'package', 'down', 'slow', 'severe', 'hopefully', 'go bankrupt', 'make it difficult', 'life', 'org', ' So ',' promo ',' SGLA ',' ']</v>
      </c>
      <c r="D2803" s="3">
        <v>1.0</v>
      </c>
    </row>
    <row r="2804" ht="15.75" customHeight="1">
      <c r="A2804" s="1">
        <v>2998.0</v>
      </c>
      <c r="B2804" s="3" t="s">
        <v>2703</v>
      </c>
      <c r="C2804" s="3" t="str">
        <f>IFERROR(__xludf.DUMMYFUNCTION("GOOGLETRANSLATE(B2804,""id"",""en"")"),"['Please', 'Timper', 'Data', 'Utamain', 'Free', 'Eat', 'Paid', 'Putty', 'PKET', 'Free', 'TPI', 'Quota', ' Main ',' Package ',' Sya ',' HBisin ',' Quota ',' Social ',' Cook ',' Quota ',' Lokol ',' You ',' Expendible ',' First ',' PDAHAL ' , 'Sya', 'open', "&amp;"'pket', 'social', 'kalok', 'quota', 'local', 'abisin', 'first', 'end', 'kburu', 'expired', ' quota ',' free ',' please ',' Telkomsel ',' fix ',' system ',' kalok ',' gini ',' move ',' krtu ',' skian ',' hopefully ',' response ' ]")</f>
        <v>['Please', 'Timper', 'Data', 'Utamain', 'Free', 'Eat', 'Paid', 'Putty', 'PKET', 'Free', 'TPI', 'Quota', ' Main ',' Package ',' Sya ',' HBisin ',' Quota ',' Social ',' Cook ',' Quota ',' Lokol ',' You ',' Expendible ',' First ',' PDAHAL ' , 'Sya', 'open', 'pket', 'social', 'kalok', 'quota', 'local', 'abisin', 'first', 'end', 'kburu', 'expired', ' quota ',' free ',' please ',' Telkomsel ',' fix ',' system ',' kalok ',' gini ',' move ',' krtu ',' skian ',' hopefully ',' response ' ]</v>
      </c>
      <c r="D2804" s="3">
        <v>2.0</v>
      </c>
    </row>
    <row r="2805" ht="15.75" customHeight="1">
      <c r="A2805" s="1">
        <v>2999.0</v>
      </c>
      <c r="B2805" s="3" t="s">
        <v>2704</v>
      </c>
      <c r="C2805" s="3" t="str">
        <f>IFERROR(__xludf.DUMMYFUNCTION("GOOGLETRANSLATE(B2805,""id"",""en"")"),"['difficult', 'enter', 'voucher', 'yaaa']")</f>
        <v>['difficult', 'enter', 'voucher', 'yaaa']</v>
      </c>
      <c r="D2805" s="3">
        <v>5.0</v>
      </c>
    </row>
    <row r="2806" ht="15.75" customHeight="1">
      <c r="A2806" s="1">
        <v>3000.0</v>
      </c>
      <c r="B2806" s="3" t="s">
        <v>2705</v>
      </c>
      <c r="C2806" s="3" t="str">
        <f>IFERROR(__xludf.DUMMYFUNCTION("GOOGLETRANSLATE(B2806,""id"",""en"")"),"['Salam', 'respect', 'admin', 'Telkomsel', 'complaints',' check ',' Credit ',' Liat ',' Active ',' Plus', 'Call', 'Padaha', ' Filling ',' Credit ',' Check ',' Credit ',' Call ',' Contact ',' Please ',' Solusiny ',' Card ',' Use ',' As soon as', 'Affairs',"&amp;"' Enter ' , 'Application', 'FAIL', 'CENTER']")</f>
        <v>['Salam', 'respect', 'admin', 'Telkomsel', 'complaints',' check ',' Credit ',' Liat ',' Active ',' Plus', 'Call', 'Padaha', ' Filling ',' Credit ',' Check ',' Credit ',' Call ',' Contact ',' Please ',' Solusiny ',' Card ',' Use ',' As soon as', 'Affairs',' Enter ' , 'Application', 'FAIL', 'CENTER']</v>
      </c>
      <c r="D2806" s="3">
        <v>2.0</v>
      </c>
    </row>
    <row r="2807" ht="15.75" customHeight="1">
      <c r="A2807" s="1">
        <v>3001.0</v>
      </c>
      <c r="B2807" s="3" t="s">
        <v>2706</v>
      </c>
      <c r="C2807" s="3" t="str">
        <f>IFERROR(__xludf.DUMMYFUNCTION("GOOGLETRANSLATE(B2807,""id"",""en"")"),"['Thank God', 'Blie', 'Package', 'Cloud', 'Max']")</f>
        <v>['Thank God', 'Blie', 'Package', 'Cloud', 'Max']</v>
      </c>
      <c r="D2807" s="3">
        <v>5.0</v>
      </c>
    </row>
    <row r="2808" ht="15.75" customHeight="1">
      <c r="A2808" s="1">
        <v>3002.0</v>
      </c>
      <c r="B2808" s="3" t="s">
        <v>2707</v>
      </c>
      <c r="C2808" s="3" t="str">
        <f>IFERROR(__xludf.DUMMYFUNCTION("GOOGLETRANSLATE(B2808,""id"",""en"")"),"['please', 'Telkomsel', 'network', 'high school', 'signal', 'fix', 'difficult', 'communication', 'run', 'application', ""]")</f>
        <v>['please', 'Telkomsel', 'network', 'high school', 'signal', 'fix', 'difficult', 'communication', 'run', 'application', "]</v>
      </c>
      <c r="D2808" s="3">
        <v>1.0</v>
      </c>
    </row>
    <row r="2809" ht="15.75" customHeight="1">
      <c r="A2809" s="1">
        <v>3003.0</v>
      </c>
      <c r="B2809" s="3" t="s">
        <v>2708</v>
      </c>
      <c r="C2809" s="3" t="str">
        <f>IFERROR(__xludf.DUMMYFUNCTION("GOOGLETRANSLATE(B2809,""id"",""en"")"),"['Good', 'satisfied', 'please', 'signal', 'drop', ""]")</f>
        <v>['Good', 'satisfied', 'please', 'signal', 'drop', "]</v>
      </c>
      <c r="D2809" s="3">
        <v>4.0</v>
      </c>
    </row>
    <row r="2810" ht="15.75" customHeight="1">
      <c r="A2810" s="1">
        <v>3004.0</v>
      </c>
      <c r="B2810" s="3" t="s">
        <v>2709</v>
      </c>
      <c r="C2810" s="3" t="str">
        <f>IFERROR(__xludf.DUMMYFUNCTION("GOOGLETRANSLATE(B2810,""id"",""en"")"),"['The application', 'confusing', 'already', 'Update', 'Application', 'Update', 'Pokonya', 'Raying', 'Ngedonload']")</f>
        <v>['The application', 'confusing', 'already', 'Update', 'Application', 'Update', 'Pokonya', 'Raying', 'Ngedonload']</v>
      </c>
      <c r="D2810" s="3">
        <v>1.0</v>
      </c>
    </row>
    <row r="2811" ht="15.75" customHeight="1">
      <c r="A2811" s="1">
        <v>3006.0</v>
      </c>
      <c r="B2811" s="3" t="s">
        <v>2710</v>
      </c>
      <c r="C2811" s="3" t="str">
        <f>IFERROR(__xludf.DUMMYFUNCTION("GOOGLETRANSLATE(B2811,""id"",""en"")"),"['How doaaaa', 'package', 'promo', 'meek', 'bought', 'pulse', 'sufficient', 'kulu', 'toooddd', '']")</f>
        <v>['How doaaaa', 'package', 'promo', 'meek', 'bought', 'pulse', 'sufficient', 'kulu', 'toooddd', '']</v>
      </c>
      <c r="D2811" s="3">
        <v>1.0</v>
      </c>
    </row>
    <row r="2812" ht="15.75" customHeight="1">
      <c r="A2812" s="1">
        <v>3007.0</v>
      </c>
      <c r="B2812" s="3" t="s">
        <v>2711</v>
      </c>
      <c r="C2812" s="3" t="str">
        <f>IFERROR(__xludf.DUMMYFUNCTION("GOOGLETRANSLATE(B2812,""id"",""en"")"),"['Divided', 'choice', 'package', 'Macem', 'person', 'data', 'offered', 'choice', 'package', 'Macem', '']")</f>
        <v>['Divided', 'choice', 'package', 'Macem', 'person', 'data', 'offered', 'choice', 'package', 'Macem', '']</v>
      </c>
      <c r="D2812" s="3">
        <v>5.0</v>
      </c>
    </row>
    <row r="2813" ht="15.75" customHeight="1">
      <c r="A2813" s="1">
        <v>3008.0</v>
      </c>
      <c r="B2813" s="3" t="s">
        <v>2712</v>
      </c>
      <c r="C2813" s="3" t="str">
        <f>IFERROR(__xludf.DUMMYFUNCTION("GOOGLETRANSLATE(B2813,""id"",""en"")"),"['Telkomsel', 'here', 'signal', 'good', 'ugly', '']")</f>
        <v>['Telkomsel', 'here', 'signal', 'good', 'ugly', '']</v>
      </c>
      <c r="D2813" s="3">
        <v>1.0</v>
      </c>
    </row>
    <row r="2814" ht="15.75" customHeight="1">
      <c r="A2814" s="1">
        <v>3009.0</v>
      </c>
      <c r="B2814" s="3" t="s">
        <v>2713</v>
      </c>
      <c r="C2814" s="3" t="str">
        <f>IFERROR(__xludf.DUMMYFUNCTION("GOOGLETRANSLATE(B2814,""id"",""en"")"),"['Star', 'app', 'just', 'check', 'quota', 'buy', 'quota', 'app', 'expensive', 'fore', 'Telkomsel', 'declined', ' price ',' quota ',' operator ',' thanks']")</f>
        <v>['Star', 'app', 'just', 'check', 'quota', 'buy', 'quota', 'app', 'expensive', 'fore', 'Telkomsel', 'declined', ' price ',' quota ',' operator ',' thanks']</v>
      </c>
      <c r="D2814" s="3">
        <v>3.0</v>
      </c>
    </row>
    <row r="2815" ht="15.75" customHeight="1">
      <c r="A2815" s="1">
        <v>3010.0</v>
      </c>
      <c r="B2815" s="3" t="s">
        <v>2714</v>
      </c>
      <c r="C2815" s="3" t="str">
        <f>IFERROR(__xludf.DUMMYFUNCTION("GOOGLETRANSLATE(B2815,""id"",""en"")"),"['Hopefully', 'Kedpan']")</f>
        <v>['Hopefully', 'Kedpan']</v>
      </c>
      <c r="D2815" s="3">
        <v>5.0</v>
      </c>
    </row>
    <row r="2816" ht="15.75" customHeight="1">
      <c r="A2816" s="1">
        <v>3011.0</v>
      </c>
      <c r="B2816" s="3" t="s">
        <v>2715</v>
      </c>
      <c r="C2816" s="3" t="str">
        <f>IFERROR(__xludf.DUMMYFUNCTION("GOOGLETRANSLATE(B2816,""id"",""en"")"),"['Satisfied', 'subscribe', 'Telkomsel', 'Network', 'Good', 'Purchase', 'Package', 'Easy', 'Cheap', 'Thank you', 'Telkomsel', 'Help', ' Access', 'Internet', 'Telkomsel', 'Getting to', 'Internet', 'Region', 'Mountains',' Thank you ',' Telkomsel ']")</f>
        <v>['Satisfied', 'subscribe', 'Telkomsel', 'Network', 'Good', 'Purchase', 'Package', 'Easy', 'Cheap', 'Thank you', 'Telkomsel', 'Help', ' Access', 'Internet', 'Telkomsel', 'Getting to', 'Internet', 'Region', 'Mountains',' Thank you ',' Telkomsel ']</v>
      </c>
      <c r="D2816" s="3">
        <v>5.0</v>
      </c>
    </row>
    <row r="2817" ht="15.75" customHeight="1">
      <c r="A2817" s="1">
        <v>3012.0</v>
      </c>
      <c r="B2817" s="3" t="s">
        <v>2716</v>
      </c>
      <c r="C2817" s="3" t="str">
        <f>IFERROR(__xludf.DUMMYFUNCTION("GOOGLETRANSLATE(B2817,""id"",""en"")"),"['improvement', 'signal', 'Napa', 'njing', 'cave', 'buy', 'quota', 'tsel', 'dlu', 'ampe', 'really', 'kntle']")</f>
        <v>['improvement', 'signal', 'Napa', 'njing', 'cave', 'buy', 'quota', 'tsel', 'dlu', 'ampe', 'really', 'kntle']</v>
      </c>
      <c r="D2817" s="3">
        <v>1.0</v>
      </c>
    </row>
    <row r="2818" ht="15.75" customHeight="1">
      <c r="A2818" s="1">
        <v>3013.0</v>
      </c>
      <c r="B2818" s="3" t="s">
        <v>2717</v>
      </c>
      <c r="C2818" s="3" t="str">
        <f>IFERROR(__xludf.DUMMYFUNCTION("GOOGLETRANSLATE(B2818,""id"",""en"")"),"['application', 'help', 'love', 'star', '']")</f>
        <v>['application', 'help', 'love', 'star', '']</v>
      </c>
      <c r="D2818" s="3">
        <v>3.0</v>
      </c>
    </row>
    <row r="2819" ht="15.75" customHeight="1">
      <c r="A2819" s="1">
        <v>3014.0</v>
      </c>
      <c r="B2819" s="3" t="s">
        <v>2718</v>
      </c>
      <c r="C2819" s="3" t="str">
        <f>IFERROR(__xludf.DUMMYFUNCTION("GOOGLETRANSLATE(B2819,""id"",""en"")"),"['send', 'email', 'pulse', 'reduced', 'morning', 'claim', 'gift', 'point', 'tsel', 'right', 'just', 'check', ' App ',' Tsel ',' Reduced ',' Package ',' How ',' Change ',' ']")</f>
        <v>['send', 'email', 'pulse', 'reduced', 'morning', 'claim', 'gift', 'point', 'tsel', 'right', 'just', 'check', ' App ',' Tsel ',' Reduced ',' Package ',' How ',' Change ',' ']</v>
      </c>
      <c r="D2819" s="3">
        <v>1.0</v>
      </c>
    </row>
    <row r="2820" ht="15.75" customHeight="1">
      <c r="A2820" s="1">
        <v>3015.0</v>
      </c>
      <c r="B2820" s="3" t="s">
        <v>2719</v>
      </c>
      <c r="C2820" s="3" t="str">
        <f>IFERROR(__xludf.DUMMYFUNCTION("GOOGLETRANSLATE(B2820,""id"",""en"")"),"['Lally', 'promo']")</f>
        <v>['Lally', 'promo']</v>
      </c>
      <c r="D2820" s="3">
        <v>5.0</v>
      </c>
    </row>
    <row r="2821" ht="15.75" customHeight="1">
      <c r="A2821" s="1">
        <v>3016.0</v>
      </c>
      <c r="B2821" s="3" t="s">
        <v>2720</v>
      </c>
      <c r="C2821" s="3" t="str">
        <f>IFERROR(__xludf.DUMMYFUNCTION("GOOGLETRANSLATE(B2821,""id"",""en"")"),"['The internet', 'slow', 'please', 'fix', 'yaa']")</f>
        <v>['The internet', 'slow', 'please', 'fix', 'yaa']</v>
      </c>
      <c r="D2821" s="3">
        <v>3.0</v>
      </c>
    </row>
    <row r="2822" ht="15.75" customHeight="1">
      <c r="A2822" s="1">
        <v>3017.0</v>
      </c>
      <c r="B2822" s="3" t="s">
        <v>2721</v>
      </c>
      <c r="C2822" s="3" t="str">
        <f>IFERROR(__xludf.DUMMYFUNCTION("GOOGLETRANSLATE(B2822,""id"",""en"")"),"['', 'Area', 'Embossed', 'Sinking', 'Signal', 'Internet']")</f>
        <v>['', 'Area', 'Embossed', 'Sinking', 'Signal', 'Internet']</v>
      </c>
      <c r="D2822" s="3">
        <v>5.0</v>
      </c>
    </row>
    <row r="2823" ht="15.75" customHeight="1">
      <c r="A2823" s="1">
        <v>3018.0</v>
      </c>
      <c r="B2823" s="3" t="s">
        <v>2722</v>
      </c>
      <c r="C2823" s="3" t="str">
        <f>IFERROR(__xludf.DUMMYFUNCTION("GOOGLETRANSLATE(B2823,""id"",""en"")"),"['Telkomsel', 'lol', 'eat', 'pulse']")</f>
        <v>['Telkomsel', 'lol', 'eat', 'pulse']</v>
      </c>
      <c r="D2823" s="3">
        <v>1.0</v>
      </c>
    </row>
    <row r="2824" ht="15.75" customHeight="1">
      <c r="A2824" s="1">
        <v>3019.0</v>
      </c>
      <c r="B2824" s="3" t="s">
        <v>2723</v>
      </c>
      <c r="C2824" s="3" t="str">
        <f>IFERROR(__xludf.DUMMYFUNCTION("GOOGLETRANSLATE(B2824,""id"",""en"")"),"['Increase', 'serve', 'bonus', 'menark']")</f>
        <v>['Increase', 'serve', 'bonus', 'menark']</v>
      </c>
      <c r="D2824" s="3">
        <v>5.0</v>
      </c>
    </row>
    <row r="2825" ht="15.75" customHeight="1">
      <c r="A2825" s="1">
        <v>3020.0</v>
      </c>
      <c r="B2825" s="3" t="s">
        <v>2724</v>
      </c>
      <c r="C2825" s="3" t="str">
        <f>IFERROR(__xludf.DUMMYFUNCTION("GOOGLETRANSLATE(B2825,""id"",""en"")"),"['Satisfied', 'Package', 'Murmer']")</f>
        <v>['Satisfied', 'Package', 'Murmer']</v>
      </c>
      <c r="D2825" s="3">
        <v>5.0</v>
      </c>
    </row>
    <row r="2826" ht="15.75" customHeight="1">
      <c r="A2826" s="1">
        <v>3021.0</v>
      </c>
      <c r="B2826" s="3" t="s">
        <v>2725</v>
      </c>
      <c r="C2826" s="3" t="str">
        <f>IFERROR(__xludf.DUMMYFUNCTION("GOOGLETRANSLATE(B2826,""id"",""en"")"),"['Kasi', 'star', 'Sekese', 'internet', 'slow', 'severe', 'severe', 'poko', 'jngan', 'streaming', 'open', 'yotube', ' Leet ',' Severe ',' ']")</f>
        <v>['Kasi', 'star', 'Sekese', 'internet', 'slow', 'severe', 'severe', 'poko', 'jngan', 'streaming', 'open', 'yotube', ' Leet ',' Severe ',' ']</v>
      </c>
      <c r="D2826" s="3">
        <v>2.0</v>
      </c>
    </row>
    <row r="2827" ht="15.75" customHeight="1">
      <c r="A2827" s="1">
        <v>3022.0</v>
      </c>
      <c r="B2827" s="3" t="s">
        <v>2726</v>
      </c>
      <c r="C2827" s="3" t="str">
        <f>IFERROR(__xludf.DUMMYFUNCTION("GOOGLETRANSLATE(B2827,""id"",""en"")"),"['Disappointed', 'already', 'buy', 'quota', 'learn', 'ngeta', 'what' do ',' google ',' open ',' space ',' teacher ',' Application ',' Learning ',' loss', 'thousand', 'buy', 'pulse', 'use', 'love', 'star', 'quota', 'Ditelkomsel', 'expensive', 'expensive' ,"&amp;" 'LEG', 'Telkom', 'Quota', 'Learning', 'GB', 'Open', 'Apps',' Bingun ',' Want ',' Bakar ',' Company ',' Price ',' expensive ',' slow ',' try ', ""]")</f>
        <v>['Disappointed', 'already', 'buy', 'quota', 'learn', 'ngeta', 'what' do ',' google ',' open ',' space ',' teacher ',' Application ',' Learning ',' loss', 'thousand', 'buy', 'pulse', 'use', 'love', 'star', 'quota', 'Ditelkomsel', 'expensive', 'expensive' , 'LEG', 'Telkom', 'Quota', 'Learning', 'GB', 'Open', 'Apps',' Bingun ',' Want ',' Bakar ',' Company ',' Price ',' expensive ',' slow ',' try ', "]</v>
      </c>
      <c r="D2827" s="3">
        <v>1.0</v>
      </c>
    </row>
    <row r="2828" ht="15.75" customHeight="1">
      <c r="A2828" s="1">
        <v>3023.0</v>
      </c>
      <c r="B2828" s="3" t="s">
        <v>2727</v>
      </c>
      <c r="C2828" s="3" t="str">
        <f>IFERROR(__xludf.DUMMYFUNCTION("GOOGLETRANSLATE(B2828,""id"",""en"")"),"['Network', 'internet', 'slow', 'until', 'down', 'sleep', 'quota', 'love', 'konpensation', 'loyal', 'tsel']")</f>
        <v>['Network', 'internet', 'slow', 'until', 'down', 'sleep', 'quota', 'love', 'konpensation', 'loyal', 'tsel']</v>
      </c>
      <c r="D2828" s="3">
        <v>2.0</v>
      </c>
    </row>
    <row r="2829" ht="15.75" customHeight="1">
      <c r="A2829" s="1">
        <v>3024.0</v>
      </c>
      <c r="B2829" s="3" t="s">
        <v>2728</v>
      </c>
      <c r="C2829" s="3" t="str">
        <f>IFERROR(__xludf.DUMMYFUNCTION("GOOGLETRANSLATE(B2829,""id"",""en"")"),"['Min', 'signal', 'like', 'slow', 'Tasikmalaya', 'North', 'Kya', 'super', 'fast', '']")</f>
        <v>['Min', 'signal', 'like', 'slow', 'Tasikmalaya', 'North', 'Kya', 'super', 'fast', '']</v>
      </c>
      <c r="D2829" s="3">
        <v>2.0</v>
      </c>
    </row>
    <row r="2830" ht="15.75" customHeight="1">
      <c r="A2830" s="1">
        <v>3025.0</v>
      </c>
      <c r="B2830" s="3" t="s">
        <v>2729</v>
      </c>
      <c r="C2830" s="3" t="str">
        <f>IFERROR(__xludf.DUMMYFUNCTION("GOOGLETRANSLATE(B2830,""id"",""en"")"),"['', 'buy', 'quota', 'combo', 'Sakti', 'unlimited', 'slow', 'severe', 'slow', 'see', 'status',' waste ',' quota ',' leftover ',' quota ',' internet ',' quota ',' multimedia ',' disappointed ',' pdhl ',' combo ',' sakti ',' unlimited ',' ']")</f>
        <v>['', 'buy', 'quota', 'combo', 'Sakti', 'unlimited', 'slow', 'severe', 'slow', 'see', 'status',' waste ',' quota ',' leftover ',' quota ',' internet ',' quota ',' multimedia ',' disappointed ',' pdhl ',' combo ',' sakti ',' unlimited ',' ']</v>
      </c>
      <c r="D2830" s="3">
        <v>1.0</v>
      </c>
    </row>
    <row r="2831" ht="15.75" customHeight="1">
      <c r="A2831" s="1">
        <v>3026.0</v>
      </c>
      <c r="B2831" s="3" t="s">
        <v>2730</v>
      </c>
      <c r="C2831" s="3" t="str">
        <f>IFERROR(__xludf.DUMMYFUNCTION("GOOGLETRANSLATE(B2831,""id"",""en"")"),"['signal', 'sympathy', 'ugly', 'skrang']")</f>
        <v>['signal', 'sympathy', 'ugly', 'skrang']</v>
      </c>
      <c r="D2831" s="3">
        <v>1.0</v>
      </c>
    </row>
    <row r="2832" ht="15.75" customHeight="1">
      <c r="A2832" s="1">
        <v>3027.0</v>
      </c>
      <c r="B2832" s="3" t="s">
        <v>2731</v>
      </c>
      <c r="C2832" s="3" t="str">
        <f>IFERROR(__xludf.DUMMYFUNCTION("GOOGLETRANSLATE(B2832,""id"",""en"")"),"['best', 'good']")</f>
        <v>['best', 'good']</v>
      </c>
      <c r="D2832" s="3">
        <v>5.0</v>
      </c>
    </row>
    <row r="2833" ht="15.75" customHeight="1">
      <c r="A2833" s="1">
        <v>3030.0</v>
      </c>
      <c r="B2833" s="3" t="s">
        <v>2732</v>
      </c>
      <c r="C2833" s="3" t="str">
        <f>IFERROR(__xludf.DUMMYFUNCTION("GOOGLETRANSLATE(B2833,""id"",""en"")"),"['skrg', 'difficult', 'login', 'add', 'google', 'difficult', 'link', 'sms']")</f>
        <v>['skrg', 'difficult', 'login', 'add', 'google', 'difficult', 'link', 'sms']</v>
      </c>
      <c r="D2833" s="3">
        <v>2.0</v>
      </c>
    </row>
    <row r="2834" ht="15.75" customHeight="1">
      <c r="A2834" s="1">
        <v>3031.0</v>
      </c>
      <c r="B2834" s="3" t="s">
        <v>2733</v>
      </c>
      <c r="C2834" s="3" t="str">
        <f>IFERROR(__xludf.DUMMYFUNCTION("GOOGLETRANSLATE(B2834,""id"",""en"")"),"['thief', 'reasons',' kouta ',' emergency ',' expensive ',' network ',' slow ',' package ',' fast ',' run out ',' use ',' Comments', 'Customers',' Ngeluh ',' Input ',' Gubris', 'Salut', 'Telkomset']")</f>
        <v>['thief', 'reasons',' kouta ',' emergency ',' expensive ',' network ',' slow ',' package ',' fast ',' run out ',' use ',' Comments', 'Customers',' Ngeluh ',' Input ',' Gubris', 'Salut', 'Telkomset']</v>
      </c>
      <c r="D2834" s="3">
        <v>1.0</v>
      </c>
    </row>
    <row r="2835" ht="15.75" customHeight="1">
      <c r="A2835" s="1">
        <v>3032.0</v>
      </c>
      <c r="B2835" s="3" t="s">
        <v>2734</v>
      </c>
      <c r="C2835" s="3" t="str">
        <f>IFERROR(__xludf.DUMMYFUNCTION("GOOGLETRANSLATE(B2835,""id"",""en"")"),"['Network', 'stable', '']")</f>
        <v>['Network', 'stable', '']</v>
      </c>
      <c r="D2835" s="3">
        <v>5.0</v>
      </c>
    </row>
    <row r="2836" ht="15.75" customHeight="1">
      <c r="A2836" s="1">
        <v>3033.0</v>
      </c>
      <c r="B2836" s="3" t="s">
        <v>2735</v>
      </c>
      <c r="C2836" s="3" t="str">
        <f>IFERROR(__xludf.DUMMYFUNCTION("GOOGLETRANSLATE(B2836,""id"",""en"")"),"['It's easy', 'help']")</f>
        <v>['It's easy', 'help']</v>
      </c>
      <c r="D2836" s="3">
        <v>4.0</v>
      </c>
    </row>
    <row r="2837" ht="15.75" customHeight="1">
      <c r="A2837" s="1">
        <v>3034.0</v>
      </c>
      <c r="B2837" s="3" t="s">
        <v>2736</v>
      </c>
      <c r="C2837" s="3" t="str">
        <f>IFERROR(__xludf.DUMMYFUNCTION("GOOGLETRANSLATE(B2837,""id"",""en"")"),"['Haduuhhhh', 'internet', 'poor', 'pakek', 'quota', 'buy', 'claims',' free ',' min ',' please ',' min ',' healing', '']")</f>
        <v>['Haduuhhhh', 'internet', 'poor', 'pakek', 'quota', 'buy', 'claims',' free ',' min ',' please ',' min ',' healing', '']</v>
      </c>
      <c r="D2837" s="3">
        <v>4.0</v>
      </c>
    </row>
    <row r="2838" ht="15.75" customHeight="1">
      <c r="A2838" s="1">
        <v>3035.0</v>
      </c>
      <c r="B2838" s="3" t="s">
        <v>2737</v>
      </c>
      <c r="C2838" s="3" t="str">
        <f>IFERROR(__xludf.DUMMYFUNCTION("GOOGLETRANSLATE(B2838,""id"",""en"")"),"['Star', 'already', 'good', 'because', 'sympathy', 'bankrupt', 'Siyala', 'slow', 'use', 'Aleh', 'easy', ""]")</f>
        <v>['Star', 'already', 'good', 'because', 'sympathy', 'bankrupt', 'Siyala', 'slow', 'use', 'Aleh', 'easy', "]</v>
      </c>
      <c r="D2838" s="3">
        <v>3.0</v>
      </c>
    </row>
    <row r="2839" ht="15.75" customHeight="1">
      <c r="A2839" s="1">
        <v>3036.0</v>
      </c>
      <c r="B2839" s="3" t="s">
        <v>2738</v>
      </c>
      <c r="C2839" s="3" t="str">
        <f>IFERROR(__xludf.DUMMYFUNCTION("GOOGLETRANSLATE(B2839,""id"",""en"")"),"['prime', 'Makai', 'MyTelkomsel', 'love', 'rating', 'deh', '']")</f>
        <v>['prime', 'Makai', 'MyTelkomsel', 'love', 'rating', 'deh', '']</v>
      </c>
      <c r="D2839" s="3">
        <v>4.0</v>
      </c>
    </row>
    <row r="2840" ht="15.75" customHeight="1">
      <c r="A2840" s="1">
        <v>3037.0</v>
      </c>
      <c r="B2840" s="3" t="s">
        <v>2739</v>
      </c>
      <c r="C2840" s="3" t="str">
        <f>IFERROR(__xludf.DUMMYFUNCTION("GOOGLETRANSLATE(B2840,""id"",""en"")"),"['Voucher', 'discount', 'purchase', 'package', 'internet', 'used', 'buy', 'Package', 'MyTelkomsel', '']")</f>
        <v>['Voucher', 'discount', 'purchase', 'package', 'internet', 'used', 'buy', 'Package', 'MyTelkomsel', '']</v>
      </c>
      <c r="D2840" s="3">
        <v>2.0</v>
      </c>
    </row>
    <row r="2841" ht="15.75" customHeight="1">
      <c r="A2841" s="1">
        <v>3038.0</v>
      </c>
      <c r="B2841" s="3" t="s">
        <v>2740</v>
      </c>
      <c r="C2841" s="3" t="str">
        <f>IFERROR(__xludf.DUMMYFUNCTION("GOOGLETRANSLATE(B2841,""id"",""en"")"),"['signal', 'taste', 'city', 'yaahh', 'that's']")</f>
        <v>['signal', 'taste', 'city', 'yaahh', 'that's']</v>
      </c>
      <c r="D2841" s="3">
        <v>2.0</v>
      </c>
    </row>
    <row r="2842" ht="15.75" customHeight="1">
      <c r="A2842" s="1">
        <v>3039.0</v>
      </c>
      <c r="B2842" s="3" t="s">
        <v>2741</v>
      </c>
      <c r="C2842" s="3" t="str">
        <f>IFERROR(__xludf.DUMMYFUNCTION("GOOGLETRANSLATE(B2842,""id"",""en"")"),"['Steady', 'Min', 'Costumer', 'Service', 'friendly', 'Thanks', 'You', 'Telkomsel', ""]")</f>
        <v>['Steady', 'Min', 'Costumer', 'Service', 'friendly', 'Thanks', 'You', 'Telkomsel', "]</v>
      </c>
      <c r="D2842" s="3">
        <v>5.0</v>
      </c>
    </row>
    <row r="2843" ht="15.75" customHeight="1">
      <c r="A2843" s="1">
        <v>3040.0</v>
      </c>
      <c r="B2843" s="3" t="s">
        <v>2742</v>
      </c>
      <c r="C2843" s="3" t="str">
        <f>IFERROR(__xludf.DUMMYFUNCTION("GOOGLETRANSLATE(B2843,""id"",""en"")"),"['Network', 'strong', 'satisfying']")</f>
        <v>['Network', 'strong', 'satisfying']</v>
      </c>
      <c r="D2843" s="3">
        <v>5.0</v>
      </c>
    </row>
    <row r="2844" ht="15.75" customHeight="1">
      <c r="A2844" s="1">
        <v>3041.0</v>
      </c>
      <c r="B2844" s="3" t="s">
        <v>2743</v>
      </c>
      <c r="C2844" s="3" t="str">
        <f>IFERROR(__xludf.DUMMYFUNCTION("GOOGLETRANSLATE(B2844,""id"",""en"")"),"['Price', 'Doang', 'Quality', 'Porous', 'Benerin', 'Network', 'Rich', 'Gini', 'Customer', 'Disappointed', '']")</f>
        <v>['Price', 'Doang', 'Quality', 'Porous', 'Benerin', 'Network', 'Rich', 'Gini', 'Customer', 'Disappointed', '']</v>
      </c>
      <c r="D2844" s="3">
        <v>1.0</v>
      </c>
    </row>
    <row r="2845" ht="15.75" customHeight="1">
      <c r="A2845" s="1">
        <v>3042.0</v>
      </c>
      <c r="B2845" s="3" t="s">
        <v>2744</v>
      </c>
      <c r="C2845" s="3" t="str">
        <f>IFERROR(__xludf.DUMMYFUNCTION("GOOGLETRANSLATE(B2845,""id"",""en"")"),"['Signal', 'ugly', 'Sidoarjo', 'Rely on', '']")</f>
        <v>['Signal', 'ugly', 'Sidoarjo', 'Rely on', '']</v>
      </c>
      <c r="D2845" s="3">
        <v>1.0</v>
      </c>
    </row>
    <row r="2846" ht="15.75" customHeight="1">
      <c r="A2846" s="1">
        <v>3043.0</v>
      </c>
      <c r="B2846" s="3" t="s">
        <v>2745</v>
      </c>
      <c r="C2846" s="3" t="str">
        <f>IFERROR(__xludf.DUMMYFUNCTION("GOOGLETRANSLATE(B2846,""id"",""en"")"),"['application', 'good', 'dehhh', 'hope', 'win', 'coupon', 'amin', 'hope', 'hope', 'mobilll', 'asikkkk']")</f>
        <v>['application', 'good', 'dehhh', 'hope', 'win', 'coupon', 'amin', 'hope', 'hope', 'mobilll', 'asikkkk']</v>
      </c>
      <c r="D2846" s="3">
        <v>5.0</v>
      </c>
    </row>
    <row r="2847" ht="15.75" customHeight="1">
      <c r="A2847" s="1">
        <v>3044.0</v>
      </c>
      <c r="B2847" s="3" t="s">
        <v>2746</v>
      </c>
      <c r="C2847" s="3" t="str">
        <f>IFERROR(__xludf.DUMMYFUNCTION("GOOGLETRANSLATE(B2847,""id"",""en"")"),"['Signal', 'She', 'Suspicious', 'Advertisement', 'Slow', 'Ryesel', 'Cave', 'Bajed', 'Signal', 'Model', 'Gini', ""]")</f>
        <v>['Signal', 'She', 'Suspicious', 'Advertisement', 'Slow', 'Ryesel', 'Cave', 'Bajed', 'Signal', 'Model', 'Gini', "]</v>
      </c>
      <c r="D2847" s="3">
        <v>1.0</v>
      </c>
    </row>
    <row r="2848" ht="15.75" customHeight="1">
      <c r="A2848" s="1">
        <v>3045.0</v>
      </c>
      <c r="B2848" s="3" t="s">
        <v>2747</v>
      </c>
      <c r="C2848" s="3" t="str">
        <f>IFERROR(__xludf.DUMMYFUNCTION("GOOGLETRANSLATE(B2848,""id"",""en"")"),"['Service', 'Enhanced', '']")</f>
        <v>['Service', 'Enhanced', '']</v>
      </c>
      <c r="D2848" s="3">
        <v>5.0</v>
      </c>
    </row>
    <row r="2849" ht="15.75" customHeight="1">
      <c r="A2849" s="1">
        <v>3046.0</v>
      </c>
      <c r="B2849" s="3" t="s">
        <v>2748</v>
      </c>
      <c r="C2849" s="3" t="str">
        <f>IFERROR(__xludf.DUMMYFUNCTION("GOOGLETRANSLATE(B2849,""id"",""en"")"),"['Enter', 'Home', 'MyTelkomsel', 'Difficult', 'Klw', 'Error', 'Try', ""]")</f>
        <v>['Enter', 'Home', 'MyTelkomsel', 'Difficult', 'Klw', 'Error', 'Try', "]</v>
      </c>
      <c r="D2849" s="3">
        <v>2.0</v>
      </c>
    </row>
    <row r="2850" ht="15.75" customHeight="1">
      <c r="A2850" s="1">
        <v>3047.0</v>
      </c>
      <c r="B2850" s="3" t="s">
        <v>2749</v>
      </c>
      <c r="C2850" s="3" t="str">
        <f>IFERROR(__xludf.DUMMYFUNCTION("GOOGLETRANSLATE(B2850,""id"",""en"")"),"['Henvkcjbcgj']")</f>
        <v>['Henvkcjbcgj']</v>
      </c>
      <c r="D2850" s="3">
        <v>5.0</v>
      </c>
    </row>
    <row r="2851" ht="15.75" customHeight="1">
      <c r="A2851" s="1">
        <v>3048.0</v>
      </c>
      <c r="B2851" s="3" t="s">
        <v>2750</v>
      </c>
      <c r="C2851" s="3" t="str">
        <f>IFERROR(__xludf.DUMMYFUNCTION("GOOGLETRANSLATE(B2851,""id"",""en"")"),"['try', 'hope', 'smooth', '']")</f>
        <v>['try', 'hope', 'smooth', '']</v>
      </c>
      <c r="D2851" s="3">
        <v>5.0</v>
      </c>
    </row>
    <row r="2852" ht="15.75" customHeight="1">
      <c r="A2852" s="1">
        <v>3049.0</v>
      </c>
      <c r="B2852" s="3" t="s">
        <v>2751</v>
      </c>
      <c r="C2852" s="3" t="str">
        <f>IFERROR(__xludf.DUMMYFUNCTION("GOOGLETRANSLATE(B2852,""id"",""en"")"),"['Price', 'expensive', 'quality', 'chaotic']")</f>
        <v>['Price', 'expensive', 'quality', 'chaotic']</v>
      </c>
      <c r="D2852" s="3">
        <v>1.0</v>
      </c>
    </row>
    <row r="2853" ht="15.75" customHeight="1">
      <c r="A2853" s="1">
        <v>3050.0</v>
      </c>
      <c r="B2853" s="3" t="s">
        <v>1542</v>
      </c>
      <c r="C2853" s="3" t="str">
        <f>IFERROR(__xludf.DUMMYFUNCTION("GOOGLETRANSLATE(B2853,""id"",""en"")"),"['Install', 'Android', '']")</f>
        <v>['Install', 'Android', '']</v>
      </c>
      <c r="D2853" s="3">
        <v>2.0</v>
      </c>
    </row>
    <row r="2854" ht="15.75" customHeight="1">
      <c r="A2854" s="1">
        <v>3051.0</v>
      </c>
      <c r="B2854" s="3" t="s">
        <v>2752</v>
      </c>
      <c r="C2854" s="3" t="str">
        <f>IFERROR(__xludf.DUMMYFUNCTION("GOOGLETRANSLATE(B2854,""id"",""en"")"),"['Good', 'really', 'gift', 'supports']")</f>
        <v>['Good', 'really', 'gift', 'supports']</v>
      </c>
      <c r="D2854" s="3">
        <v>5.0</v>
      </c>
    </row>
    <row r="2855" ht="15.75" customHeight="1">
      <c r="A2855" s="1">
        <v>3052.0</v>
      </c>
      <c r="B2855" s="3" t="s">
        <v>2753</v>
      </c>
      <c r="C2855" s="3" t="str">
        <f>IFERROR(__xludf.DUMMYFUNCTION("GOOGLETRANSLATE(B2855,""id"",""en"")"),"['Easy']")</f>
        <v>['Easy']</v>
      </c>
      <c r="D2855" s="3">
        <v>4.0</v>
      </c>
    </row>
    <row r="2856" ht="15.75" customHeight="1">
      <c r="A2856" s="1">
        <v>3053.0</v>
      </c>
      <c r="B2856" s="3" t="s">
        <v>2754</v>
      </c>
      <c r="C2856" s="3" t="str">
        <f>IFERROR(__xludf.DUMMYFUNCTION("GOOGLETRANSLATE(B2856,""id"",""en"")"),"['yeah', 'package', 'koata', 'cheapest']")</f>
        <v>['yeah', 'package', 'koata', 'cheapest']</v>
      </c>
      <c r="D2856" s="3">
        <v>5.0</v>
      </c>
    </row>
    <row r="2857" ht="15.75" customHeight="1">
      <c r="A2857" s="1">
        <v>3054.0</v>
      </c>
      <c r="B2857" s="3" t="s">
        <v>2755</v>
      </c>
      <c r="C2857" s="3" t="str">
        <f>IFERROR(__xludf.DUMMYFUNCTION("GOOGLETRANSLATE(B2857,""id"",""en"")"),"['application', 'disorder', 'then', 'fill', 'quota']")</f>
        <v>['application', 'disorder', 'then', 'fill', 'quota']</v>
      </c>
      <c r="D2857" s="3">
        <v>1.0</v>
      </c>
    </row>
    <row r="2858" ht="15.75" customHeight="1">
      <c r="A2858" s="1">
        <v>3055.0</v>
      </c>
      <c r="B2858" s="3" t="s">
        <v>2756</v>
      </c>
      <c r="C2858" s="3" t="str">
        <f>IFERROR(__xludf.DUMMYFUNCTION("GOOGLETRANSLATE(B2858,""id"",""en"")"),"['application', 'good', 'help', 'makes it easier']")</f>
        <v>['application', 'good', 'help', 'makes it easier']</v>
      </c>
      <c r="D2858" s="3">
        <v>4.0</v>
      </c>
    </row>
    <row r="2859" ht="15.75" customHeight="1">
      <c r="A2859" s="1">
        <v>3056.0</v>
      </c>
      <c r="B2859" s="3" t="s">
        <v>2757</v>
      </c>
      <c r="C2859" s="3" t="str">
        <f>IFERROR(__xludf.DUMMYFUNCTION("GOOGLETRANSLATE(B2859,""id"",""en"")"),"['person', 'idiot', 'loyal', 'telkontol', 'rates',' internet ',' expensive ',' provider ',' quality ',' internet ',' bad ',' hope ',' Telkomsel ',' fast ',' bankrupt ',' pepek ']")</f>
        <v>['person', 'idiot', 'loyal', 'telkontol', 'rates',' internet ',' expensive ',' provider ',' quality ',' internet ',' bad ',' hope ',' Telkomsel ',' fast ',' bankrupt ',' pepek ']</v>
      </c>
      <c r="D2859" s="3">
        <v>1.0</v>
      </c>
    </row>
    <row r="2860" ht="15.75" customHeight="1">
      <c r="A2860" s="1">
        <v>3057.0</v>
      </c>
      <c r="B2860" s="3" t="s">
        <v>2758</v>
      </c>
      <c r="C2860" s="3" t="str">
        <f>IFERROR(__xludf.DUMMYFUNCTION("GOOGLETRANSLATE(B2860,""id"",""en"")"),"['thank', 'love', 'Telkomsel']")</f>
        <v>['thank', 'love', 'Telkomsel']</v>
      </c>
      <c r="D2860" s="3">
        <v>5.0</v>
      </c>
    </row>
    <row r="2861" ht="15.75" customHeight="1">
      <c r="A2861" s="1">
        <v>3058.0</v>
      </c>
      <c r="B2861" s="3" t="s">
        <v>2759</v>
      </c>
      <c r="C2861" s="3" t="str">
        <f>IFERROR(__xludf.DUMMYFUNCTION("GOOGLETRANSLATE(B2861,""id"",""en"")"),"['Good', 'ALIH']")</f>
        <v>['Good', 'ALIH']</v>
      </c>
      <c r="D2861" s="3">
        <v>5.0</v>
      </c>
    </row>
    <row r="2862" ht="15.75" customHeight="1">
      <c r="A2862" s="1">
        <v>3059.0</v>
      </c>
      <c r="B2862" s="3" t="s">
        <v>2760</v>
      </c>
      <c r="C2862" s="3" t="str">
        <f>IFERROR(__xludf.DUMMYFUNCTION("GOOGLETRANSLATE(B2862,""id"",""en"")"),"['buy', 'package', 'gabisa', 'pulses', 'right', 'see', 'pulse', 'APK']")</f>
        <v>['buy', 'package', 'gabisa', 'pulses', 'right', 'see', 'pulse', 'APK']</v>
      </c>
      <c r="D2862" s="3">
        <v>1.0</v>
      </c>
    </row>
    <row r="2863" ht="15.75" customHeight="1">
      <c r="A2863" s="1">
        <v>3062.0</v>
      </c>
      <c r="B2863" s="3" t="s">
        <v>2761</v>
      </c>
      <c r="C2863" s="3" t="str">
        <f>IFERROR(__xludf.DUMMYFUNCTION("GOOGLETRANSLATE(B2863,""id"",""en"")"),"['buy', 'package', 'internet', 'tapvto', 'knp', 'comment', 'yesterday', 'ilang', 'please', 'help', '']")</f>
        <v>['buy', 'package', 'internet', 'tapvto', 'knp', 'comment', 'yesterday', 'ilang', 'please', 'help', '']</v>
      </c>
      <c r="D2863" s="3">
        <v>1.0</v>
      </c>
    </row>
    <row r="2864" ht="15.75" customHeight="1">
      <c r="A2864" s="1">
        <v>3063.0</v>
      </c>
      <c r="B2864" s="3" t="s">
        <v>2762</v>
      </c>
      <c r="C2864" s="3" t="str">
        <f>IFERROR(__xludf.DUMMYFUNCTION("GOOGLETRANSLATE(B2864,""id"",""en"")"),"['Disability', 'Banar', 'Lee']")</f>
        <v>['Disability', 'Banar', 'Lee']</v>
      </c>
      <c r="D2864" s="3">
        <v>1.0</v>
      </c>
    </row>
    <row r="2865" ht="15.75" customHeight="1">
      <c r="A2865" s="1">
        <v>3064.0</v>
      </c>
      <c r="B2865" s="3" t="s">
        <v>2763</v>
      </c>
      <c r="C2865" s="3" t="str">
        <f>IFERROR(__xludf.DUMMYFUNCTION("GOOGLETRANSLATE(B2865,""id"",""en"")"),"['Telkomsel', 'ugly', 'signal', 'price', 'package', 'expensive', 'signal', 'ugly', 'really', 'please', 'fix', 'customer', ' Leave ',' Telkomsel ',' ']")</f>
        <v>['Telkomsel', 'ugly', 'signal', 'price', 'package', 'expensive', 'signal', 'ugly', 'really', 'please', 'fix', 'customer', ' Leave ',' Telkomsel ',' ']</v>
      </c>
      <c r="D2865" s="3">
        <v>1.0</v>
      </c>
    </row>
    <row r="2866" ht="15.75" customHeight="1">
      <c r="A2866" s="1">
        <v>3065.0</v>
      </c>
      <c r="B2866" s="3" t="s">
        <v>2764</v>
      </c>
      <c r="C2866" s="3" t="str">
        <f>IFERROR(__xludf.DUMMYFUNCTION("GOOGLETRANSLATE(B2866,""id"",""en"")"),"['Steady', 'Telkomsel', 'cheap', 'price', 'package', 'hehehehe', '']")</f>
        <v>['Steady', 'Telkomsel', 'cheap', 'price', 'package', 'hehehehe', '']</v>
      </c>
      <c r="D2866" s="3">
        <v>5.0</v>
      </c>
    </row>
    <row r="2867" ht="15.75" customHeight="1">
      <c r="A2867" s="1">
        <v>3066.0</v>
      </c>
      <c r="B2867" s="3" t="s">
        <v>2765</v>
      </c>
      <c r="C2867" s="3" t="str">
        <f>IFERROR(__xludf.DUMMYFUNCTION("GOOGLETRANSLATE(B2867,""id"",""en"")"),"['Telkomsel', 'already', 'package', 'expensive', 'network', 'buk', 'youtube', 'revolution', 'pay', 'expensive', '']")</f>
        <v>['Telkomsel', 'already', 'package', 'expensive', 'network', 'buk', 'youtube', 'revolution', 'pay', 'expensive', '']</v>
      </c>
      <c r="D2867" s="3">
        <v>1.0</v>
      </c>
    </row>
    <row r="2868" ht="15.75" customHeight="1">
      <c r="A2868" s="1">
        <v>3067.0</v>
      </c>
      <c r="B2868" s="3" t="s">
        <v>2766</v>
      </c>
      <c r="C2868" s="3" t="str">
        <f>IFERROR(__xludf.DUMMYFUNCTION("GOOGLETRANSLATE(B2868,""id"",""en"")"),"['Sometimes', 'nominal', 'price', 'quota', 'buy', 'package', 'buy', 'pulse', 'balance', 'sufficient', 'hate', 'Telkomsel']")</f>
        <v>['Sometimes', 'nominal', 'price', 'quota', 'buy', 'package', 'buy', 'pulse', 'balance', 'sufficient', 'hate', 'Telkomsel']</v>
      </c>
      <c r="D2868" s="3">
        <v>1.0</v>
      </c>
    </row>
    <row r="2869" ht="15.75" customHeight="1">
      <c r="A2869" s="1">
        <v>3068.0</v>
      </c>
      <c r="B2869" s="3" t="s">
        <v>2767</v>
      </c>
      <c r="C2869" s="3" t="str">
        <f>IFERROR(__xludf.DUMMYFUNCTION("GOOGLETRANSLATE(B2869,""id"",""en"")"),"['Sinyal', 'Not bad', 'Region', 'suburbs', 'just', 'kdg', 'stable']")</f>
        <v>['Sinyal', 'Not bad', 'Region', 'suburbs', 'just', 'kdg', 'stable']</v>
      </c>
      <c r="D2869" s="3">
        <v>4.0</v>
      </c>
    </row>
    <row r="2870" ht="15.75" customHeight="1">
      <c r="A2870" s="1">
        <v>3069.0</v>
      </c>
      <c r="B2870" s="3" t="s">
        <v>2768</v>
      </c>
      <c r="C2870" s="3" t="str">
        <f>IFERROR(__xludf.DUMMYFUNCTION("GOOGLETRANSLATE(B2870,""id"",""en"")"),"['Good', 'really', 'my apk']")</f>
        <v>['Good', 'really', 'my apk']</v>
      </c>
      <c r="D2870" s="3">
        <v>5.0</v>
      </c>
    </row>
    <row r="2871" ht="15.75" customHeight="1">
      <c r="A2871" s="1">
        <v>3070.0</v>
      </c>
      <c r="B2871" s="3" t="s">
        <v>2769</v>
      </c>
      <c r="C2871" s="3" t="str">
        <f>IFERROR(__xludf.DUMMYFUNCTION("GOOGLETRANSLATE(B2871,""id"",""en"")"),"['Mahaallll', 'Bngt', 'Paketan', 'internet', '']")</f>
        <v>['Mahaallll', 'Bngt', 'Paketan', 'internet', '']</v>
      </c>
      <c r="D2871" s="3">
        <v>1.0</v>
      </c>
    </row>
    <row r="2872" ht="15.75" customHeight="1">
      <c r="A2872" s="1">
        <v>3072.0</v>
      </c>
      <c r="B2872" s="3" t="s">
        <v>2770</v>
      </c>
      <c r="C2872" s="3" t="str">
        <f>IFERROR(__xludf.DUMMYFUNCTION("GOOGLETRANSLATE(B2872,""id"",""en"")"),"['Error', 'buy', 'package']")</f>
        <v>['Error', 'buy', 'package']</v>
      </c>
      <c r="D2872" s="3">
        <v>1.0</v>
      </c>
    </row>
    <row r="2873" ht="15.75" customHeight="1">
      <c r="A2873" s="1">
        <v>3073.0</v>
      </c>
      <c r="B2873" s="3" t="s">
        <v>2771</v>
      </c>
      <c r="C2873" s="3" t="str">
        <f>IFERROR(__xludf.DUMMYFUNCTION("GOOGLETRANSLATE(B2873,""id"",""en"")"),"['MyTelkomsel', 'Bgus']")</f>
        <v>['MyTelkomsel', 'Bgus']</v>
      </c>
      <c r="D2873" s="3">
        <v>5.0</v>
      </c>
    </row>
    <row r="2874" ht="15.75" customHeight="1">
      <c r="A2874" s="1">
        <v>3074.0</v>
      </c>
      <c r="B2874" s="3" t="s">
        <v>2772</v>
      </c>
      <c r="C2874" s="3" t="str">
        <f>IFERROR(__xludf.DUMMYFUNCTION("GOOGLETRANSLATE(B2874,""id"",""en"")"),"['APL', 'good', 'check', 'quota']")</f>
        <v>['APL', 'good', 'check', 'quota']</v>
      </c>
      <c r="D2874" s="3">
        <v>5.0</v>
      </c>
    </row>
    <row r="2875" ht="15.75" customHeight="1">
      <c r="A2875" s="1">
        <v>3075.0</v>
      </c>
      <c r="B2875" s="3" t="s">
        <v>2773</v>
      </c>
      <c r="C2875" s="3" t="str">
        <f>IFERROR(__xludf.DUMMYFUNCTION("GOOGLETRANSLATE(B2875,""id"",""en"")"),"['heavy', 'application', 'times', 'open', 'application', 'application', 'run', 'direct', 'crash', 'pdhl', ""]")</f>
        <v>['heavy', 'application', 'times', 'open', 'application', 'application', 'run', 'direct', 'crash', 'pdhl', "]</v>
      </c>
      <c r="D2875" s="3">
        <v>2.0</v>
      </c>
    </row>
    <row r="2876" ht="15.75" customHeight="1">
      <c r="A2876" s="1">
        <v>3076.0</v>
      </c>
      <c r="B2876" s="3" t="s">
        <v>2774</v>
      </c>
      <c r="C2876" s="3" t="str">
        <f>IFERROR(__xludf.DUMMYFUNCTION("GOOGLETRANSLATE(B2876,""id"",""en"")"),"['', 'Satisfied', 'Giving', 'Telkomsel']")</f>
        <v>['', 'Satisfied', 'Giving', 'Telkomsel']</v>
      </c>
      <c r="D2876" s="3">
        <v>5.0</v>
      </c>
    </row>
    <row r="2877" ht="15.75" customHeight="1">
      <c r="A2877" s="1">
        <v>3077.0</v>
      </c>
      <c r="B2877" s="3" t="s">
        <v>2775</v>
      </c>
      <c r="C2877" s="3" t="str">
        <f>IFERROR(__xludf.DUMMYFUNCTION("GOOGLETRANSLATE(B2877,""id"",""en"")"),"['MyTelkomsel', 'Gakpakek', 'Ribet', 'Mantap', ""]")</f>
        <v>['MyTelkomsel', 'Gakpakek', 'Ribet', 'Mantap', "]</v>
      </c>
      <c r="D2877" s="3">
        <v>5.0</v>
      </c>
    </row>
    <row r="2878" ht="15.75" customHeight="1">
      <c r="A2878" s="1">
        <v>3078.0</v>
      </c>
      <c r="B2878" s="3" t="s">
        <v>2776</v>
      </c>
      <c r="C2878" s="3" t="str">
        <f>IFERROR(__xludf.DUMMYFUNCTION("GOOGLETRANSLATE(B2878,""id"",""en"")"),"['Good', 'shape', 'cool', 'slow', 'love', 'star']")</f>
        <v>['Good', 'shape', 'cool', 'slow', 'love', 'star']</v>
      </c>
      <c r="D2878" s="3">
        <v>2.0</v>
      </c>
    </row>
    <row r="2879" ht="15.75" customHeight="1">
      <c r="A2879" s="1">
        <v>3079.0</v>
      </c>
      <c r="B2879" s="3" t="s">
        <v>2777</v>
      </c>
      <c r="C2879" s="3" t="str">
        <f>IFERROR(__xludf.DUMMYFUNCTION("GOOGLETRANSLATE(B2879,""id"",""en"")"),"['Whatever', 'JDI', 'Easy', 'Telkomsel', '']")</f>
        <v>['Whatever', 'JDI', 'Easy', 'Telkomsel', '']</v>
      </c>
      <c r="D2879" s="3">
        <v>5.0</v>
      </c>
    </row>
    <row r="2880" ht="15.75" customHeight="1">
      <c r="A2880" s="1">
        <v>3080.0</v>
      </c>
      <c r="B2880" s="3" t="s">
        <v>2778</v>
      </c>
      <c r="C2880" s="3" t="str">
        <f>IFERROR(__xludf.DUMMYFUNCTION("GOOGLETRANSLATE(B2880,""id"",""en"")"),"['Hopefully', 'In the future', 'user', 'Satisfied', 'Seneng']")</f>
        <v>['Hopefully', 'In the future', 'user', 'Satisfied', 'Seneng']</v>
      </c>
      <c r="D2880" s="3">
        <v>5.0</v>
      </c>
    </row>
    <row r="2881" ht="15.75" customHeight="1">
      <c r="A2881" s="1">
        <v>3081.0</v>
      </c>
      <c r="B2881" s="3" t="s">
        <v>2779</v>
      </c>
      <c r="C2881" s="3" t="str">
        <f>IFERROR(__xludf.DUMMYFUNCTION("GOOGLETRANSLATE(B2881,""id"",""en"")"),"['era', 'pandemic', 'pulse', 'quota', 'sympathy', 'fast', 'fast', 'price', 'kin']")</f>
        <v>['era', 'pandemic', 'pulse', 'quota', 'sympathy', 'fast', 'fast', 'price', 'kin']</v>
      </c>
      <c r="D2881" s="3">
        <v>3.0</v>
      </c>
    </row>
    <row r="2882" ht="15.75" customHeight="1">
      <c r="A2882" s="1">
        <v>3082.0</v>
      </c>
      <c r="B2882" s="3" t="s">
        <v>2780</v>
      </c>
      <c r="C2882" s="3" t="str">
        <f>IFERROR(__xludf.DUMMYFUNCTION("GOOGLETRANSLATE(B2882,""id"",""en"")"),"['easy', 'transactions', 'Telkomsel', 'affordable', 'network', 'broad', 'satisfied', 'bngkhin', '']")</f>
        <v>['easy', 'transactions', 'Telkomsel', 'affordable', 'network', 'broad', 'satisfied', 'bngkhin', '']</v>
      </c>
      <c r="D2882" s="3">
        <v>5.0</v>
      </c>
    </row>
    <row r="2883" ht="15.75" customHeight="1">
      <c r="A2883" s="1">
        <v>3083.0</v>
      </c>
      <c r="B2883" s="3" t="s">
        <v>2781</v>
      </c>
      <c r="C2883" s="3" t="str">
        <f>IFERROR(__xludf.DUMMYFUNCTION("GOOGLETRANSLATE(B2883,""id"",""en"")"),"['', 'happy', 'Telkomsel', 'Dri', 'card', 'Telkomsel', '']")</f>
        <v>['', 'happy', 'Telkomsel', 'Dri', 'card', 'Telkomsel', '']</v>
      </c>
      <c r="D2883" s="3">
        <v>5.0</v>
      </c>
    </row>
    <row r="2884" ht="15.75" customHeight="1">
      <c r="A2884" s="1">
        <v>3084.0</v>
      </c>
      <c r="B2884" s="3" t="s">
        <v>2782</v>
      </c>
      <c r="C2884" s="3" t="str">
        <f>IFERROR(__xludf.DUMMYFUNCTION("GOOGLETRANSLATE(B2884,""id"",""en"")"),"['The application', 'good', 'easy', 'buy', 'quota', 'pulse', 'signal', 'good']")</f>
        <v>['The application', 'good', 'easy', 'buy', 'quota', 'pulse', 'signal', 'good']</v>
      </c>
      <c r="D2884" s="3">
        <v>3.0</v>
      </c>
    </row>
    <row r="2885" ht="15.75" customHeight="1">
      <c r="A2885" s="1">
        <v>3085.0</v>
      </c>
      <c r="B2885" s="3" t="s">
        <v>2783</v>
      </c>
      <c r="C2885" s="3" t="str">
        <f>IFERROR(__xludf.DUMMYFUNCTION("GOOGLETRANSLATE(B2885,""id"",""en"")"),"['signal', 'kenceng']")</f>
        <v>['signal', 'kenceng']</v>
      </c>
      <c r="D2885" s="3">
        <v>5.0</v>
      </c>
    </row>
    <row r="2886" ht="15.75" customHeight="1">
      <c r="A2886" s="1">
        <v>3087.0</v>
      </c>
      <c r="B2886" s="3" t="s">
        <v>2784</v>
      </c>
      <c r="C2886" s="3" t="str">
        <f>IFERROR(__xludf.DUMMYFUNCTION("GOOGLETRANSLATE(B2886,""id"",""en"")"),"['pulse', 'missing', 'package', 'data', 'GB', 'Sumpot', 'pulse', 'package', 'data', 'GB', 'APK', 'Gunain', ' Description ',' Written ',' Region ',' Pretty ',' Package ',' Expensive ',' Mending ',' Internet ',' Pakek ',' Card ',' Pakek ',' wifi ',' rather "&amp;"than ' , 'loss', 'buy', 'quota', 'expensive']")</f>
        <v>['pulse', 'missing', 'package', 'data', 'GB', 'Sumpot', 'pulse', 'package', 'data', 'GB', 'APK', 'Gunain', ' Description ',' Written ',' Region ',' Pretty ',' Package ',' Expensive ',' Mending ',' Internet ',' Pakek ',' Card ',' Pakek ',' wifi ',' rather than ' , 'loss', 'buy', 'quota', 'expensive']</v>
      </c>
      <c r="D2886" s="3">
        <v>1.0</v>
      </c>
    </row>
    <row r="2887" ht="15.75" customHeight="1">
      <c r="A2887" s="1">
        <v>3088.0</v>
      </c>
      <c r="B2887" s="3" t="s">
        <v>2785</v>
      </c>
      <c r="C2887" s="3" t="str">
        <f>IFERROR(__xludf.DUMMYFUNCTION("GOOGLETRANSLATE(B2887,""id"",""en"")"),"['price', 'quota', 'expensive', 'quality', 'network', 'murahhh', '']")</f>
        <v>['price', 'quota', 'expensive', 'quality', 'network', 'murahhh', '']</v>
      </c>
      <c r="D2887" s="3">
        <v>1.0</v>
      </c>
    </row>
    <row r="2888" ht="15.75" customHeight="1">
      <c r="A2888" s="1">
        <v>3089.0</v>
      </c>
      <c r="B2888" s="3" t="s">
        <v>2786</v>
      </c>
      <c r="C2888" s="3" t="str">
        <f>IFERROR(__xludf.DUMMYFUNCTION("GOOGLETRANSLATE(B2888,""id"",""en"")"),"['Help', 'mobility']")</f>
        <v>['Help', 'mobility']</v>
      </c>
      <c r="D2888" s="3">
        <v>5.0</v>
      </c>
    </row>
    <row r="2889" ht="15.75" customHeight="1">
      <c r="A2889" s="1">
        <v>3090.0</v>
      </c>
      <c r="B2889" s="3" t="s">
        <v>2787</v>
      </c>
      <c r="C2889" s="3" t="str">
        <f>IFERROR(__xludf.DUMMYFUNCTION("GOOGLETRANSLATE(B2889,""id"",""en"")"),"['Nice', 'package', 'cheap', 'really']")</f>
        <v>['Nice', 'package', 'cheap', 'really']</v>
      </c>
      <c r="D2889" s="3">
        <v>5.0</v>
      </c>
    </row>
    <row r="2890" ht="15.75" customHeight="1">
      <c r="A2890" s="1">
        <v>3092.0</v>
      </c>
      <c r="B2890" s="3" t="s">
        <v>2788</v>
      </c>
      <c r="C2890" s="3" t="str">
        <f>IFERROR(__xludf.DUMMYFUNCTION("GOOGLETRANSLATE(B2890,""id"",""en"")"),"['Error', 'opened']")</f>
        <v>['Error', 'opened']</v>
      </c>
      <c r="D2890" s="3">
        <v>1.0</v>
      </c>
    </row>
    <row r="2891" ht="15.75" customHeight="1">
      <c r="A2891" s="1">
        <v>3093.0</v>
      </c>
      <c r="B2891" s="3" t="s">
        <v>2789</v>
      </c>
      <c r="C2891" s="3" t="str">
        <f>IFERROR(__xludf.DUMMYFUNCTION("GOOGLETRANSLATE(B2891,""id"",""en"")"),"['Help', 'process']")</f>
        <v>['Help', 'process']</v>
      </c>
      <c r="D2891" s="3">
        <v>5.0</v>
      </c>
    </row>
    <row r="2892" ht="15.75" customHeight="1">
      <c r="A2892" s="1">
        <v>3094.0</v>
      </c>
      <c r="B2892" s="3" t="s">
        <v>2790</v>
      </c>
      <c r="C2892" s="3" t="str">
        <f>IFERROR(__xludf.DUMMYFUNCTION("GOOGLETRANSLATE(B2892,""id"",""en"")"),"['Sorry', 'min', 'purchase']")</f>
        <v>['Sorry', 'min', 'purchase']</v>
      </c>
      <c r="D2892" s="3">
        <v>2.0</v>
      </c>
    </row>
    <row r="2893" ht="15.75" customHeight="1">
      <c r="A2893" s="1">
        <v>3095.0</v>
      </c>
      <c r="B2893" s="3" t="s">
        <v>2791</v>
      </c>
      <c r="C2893" s="3" t="str">
        <f>IFERROR(__xludf.DUMMYFUNCTION("GOOGLETRANSLATE(B2893,""id"",""en"")"),"['Safety', 'ASIII', '']")</f>
        <v>['Safety', 'ASIII', '']</v>
      </c>
      <c r="D2893" s="3">
        <v>5.0</v>
      </c>
    </row>
    <row r="2894" ht="15.75" customHeight="1">
      <c r="A2894" s="1">
        <v>3096.0</v>
      </c>
      <c r="B2894" s="3" t="s">
        <v>2792</v>
      </c>
      <c r="C2894" s="3" t="str">
        <f>IFERROR(__xludf.DUMMYFUNCTION("GOOGLETRANSLATE(B2894,""id"",""en"")"),"['Download', 'fast', 'Ngece', 'Kurag', 'Good', 'Please', 'Repaired', 'Kece', 'Signal']")</f>
        <v>['Download', 'fast', 'Ngece', 'Kurag', 'Good', 'Please', 'Repaired', 'Kece', 'Signal']</v>
      </c>
      <c r="D2894" s="3">
        <v>5.0</v>
      </c>
    </row>
    <row r="2895" ht="15.75" customHeight="1">
      <c r="A2895" s="1">
        <v>3097.0</v>
      </c>
      <c r="B2895" s="3" t="s">
        <v>2793</v>
      </c>
      <c r="C2895" s="3" t="str">
        <f>IFERROR(__xludf.DUMMYFUNCTION("GOOGLETRANSLATE(B2895,""id"",""en"")"),"['Out', 'Update', 'Package', 'Bosster', 'Buy', 'Mending', 'Change', 'Card']")</f>
        <v>['Out', 'Update', 'Package', 'Bosster', 'Buy', 'Mending', 'Change', 'Card']</v>
      </c>
      <c r="D2895" s="3">
        <v>1.0</v>
      </c>
    </row>
    <row r="2896" ht="15.75" customHeight="1">
      <c r="A2896" s="1">
        <v>3098.0</v>
      </c>
      <c r="B2896" s="3" t="s">
        <v>2794</v>
      </c>
      <c r="C2896" s="3" t="str">
        <f>IFERROR(__xludf.DUMMYFUNCTION("GOOGLETRANSLATE(B2896,""id"",""en"")"),"['apk', 'already', 'good', 'kasi', 'suggestion', 'feature', 'key', 'pulse', 'fit', 'live', 'data', 'like', ' APK ',' Next to ',' APK ',' AXIS ',' NET ',' FEATURES ',' KEY ',' Credit ',' Thank "", 'Love']")</f>
        <v>['apk', 'already', 'good', 'kasi', 'suggestion', 'feature', 'key', 'pulse', 'fit', 'live', 'data', 'like', ' APK ',' Next to ',' APK ',' AXIS ',' NET ',' FEATURES ',' KEY ',' Credit ',' Thank ", 'Love']</v>
      </c>
      <c r="D2896" s="3">
        <v>5.0</v>
      </c>
    </row>
    <row r="2897" ht="15.75" customHeight="1">
      <c r="A2897" s="1">
        <v>3099.0</v>
      </c>
      <c r="B2897" s="3" t="s">
        <v>2795</v>
      </c>
      <c r="C2897" s="3" t="str">
        <f>IFERROR(__xludf.DUMMYFUNCTION("GOOGLETRANSLATE(B2897,""id"",""en"")"),"['Sekrg', 'Difficult', 'Open', 'Telkomsel']")</f>
        <v>['Sekrg', 'Difficult', 'Open', 'Telkomsel']</v>
      </c>
      <c r="D2897" s="3">
        <v>5.0</v>
      </c>
    </row>
    <row r="2898" ht="15.75" customHeight="1">
      <c r="A2898" s="1">
        <v>3100.0</v>
      </c>
      <c r="B2898" s="3" t="s">
        <v>2796</v>
      </c>
      <c r="C2898" s="3" t="str">
        <f>IFERROR(__xludf.DUMMYFUNCTION("GOOGLETRANSLATE(B2898,""id"",""en"")"),"['Application', 'work', 'school']")</f>
        <v>['Application', 'work', 'school']</v>
      </c>
      <c r="D2898" s="3">
        <v>5.0</v>
      </c>
    </row>
    <row r="2899" ht="15.75" customHeight="1">
      <c r="A2899" s="1">
        <v>3101.0</v>
      </c>
      <c r="B2899" s="3" t="s">
        <v>2797</v>
      </c>
      <c r="C2899" s="3" t="str">
        <f>IFERROR(__xludf.DUMMYFUNCTION("GOOGLETRANSLATE(B2899,""id"",""en"")"),"['Beat', 'Data', 'Credit', 'UDH', 'Sumpot', 'Previous', 'Kont', 'LLL', ""]")</f>
        <v>['Beat', 'Data', 'Credit', 'UDH', 'Sumpot', 'Previous', 'Kont', 'LLL', "]</v>
      </c>
      <c r="D2899" s="3">
        <v>1.0</v>
      </c>
    </row>
    <row r="2900" ht="15.75" customHeight="1">
      <c r="A2900" s="1">
        <v>3102.0</v>
      </c>
      <c r="B2900" s="3" t="s">
        <v>2798</v>
      </c>
      <c r="C2900" s="3" t="str">
        <f>IFERROR(__xludf.DUMMYFUNCTION("GOOGLETRANSLATE(B2900,""id"",""en"")"),"['card', 'expensive', 'signal', 'please', 'signal', 'conducted', 'replace', 'card']")</f>
        <v>['card', 'expensive', 'signal', 'please', 'signal', 'conducted', 'replace', 'card']</v>
      </c>
      <c r="D2900" s="3">
        <v>1.0</v>
      </c>
    </row>
    <row r="2901" ht="15.75" customHeight="1">
      <c r="A2901" s="1">
        <v>3103.0</v>
      </c>
      <c r="B2901" s="3" t="s">
        <v>2799</v>
      </c>
      <c r="C2901" s="3" t="str">
        <f>IFERROR(__xludf.DUMMYFUNCTION("GOOGLETRANSLATE(B2901,""id"",""en"")"),"['base', 'apk', 'gajelassssss',' buy ',' pulse ',' buy ',' package ',' apk ',' package ',' tnggal ',' right ',' open ',' APK ',' message ',' enter ',' then ',' fill in ',' filled ',' then ',' right ',' buy ',' internet ',' price ',' gabisaaa ',' Calling '"&amp;" , 'APK', 'Raver', 'Credit', 'JGA', 'Heavy', 'Pulses',' Reduced ',' then ',' Try ',' buy ',' pulse ',' right ',' Try ',' gabisa ',' pulses', 'reduced', 'again', 'trauma', 'make', 'card', 'card', 'sided']")</f>
        <v>['base', 'apk', 'gajelassssss',' buy ',' pulse ',' buy ',' package ',' apk ',' package ',' tnggal ',' right ',' open ',' APK ',' message ',' enter ',' then ',' fill in ',' filled ',' then ',' right ',' buy ',' internet ',' price ',' gabisaaa ',' Calling ' , 'APK', 'Raver', 'Credit', 'JGA', 'Heavy', 'Pulses',' Reduced ',' then ',' Try ',' buy ',' pulse ',' right ',' Try ',' gabisa ',' pulses', 'reduced', 'again', 'trauma', 'make', 'card', 'card', 'sided']</v>
      </c>
      <c r="D2901" s="3">
        <v>1.0</v>
      </c>
    </row>
    <row r="2902" ht="15.75" customHeight="1">
      <c r="A2902" s="1">
        <v>3104.0</v>
      </c>
      <c r="B2902" s="3" t="s">
        <v>2800</v>
      </c>
      <c r="C2902" s="3" t="str">
        <f>IFERROR(__xludf.DUMMYFUNCTION("GOOGLETRANSLATE(B2902,""id"",""en"")"),"['making easier', 'charging', 'Package', 'pulse']")</f>
        <v>['making easier', 'charging', 'Package', 'pulse']</v>
      </c>
      <c r="D2902" s="3">
        <v>5.0</v>
      </c>
    </row>
    <row r="2903" ht="15.75" customHeight="1">
      <c r="A2903" s="1">
        <v>3105.0</v>
      </c>
      <c r="B2903" s="3" t="s">
        <v>2801</v>
      </c>
      <c r="C2903" s="3" t="str">
        <f>IFERROR(__xludf.DUMMYFUNCTION("GOOGLETRANSLATE(B2903,""id"",""en"")"),"['Jan', 'Ngelag', 'Ngapa', 'Mulu', '']")</f>
        <v>['Jan', 'Ngelag', 'Ngapa', 'Mulu', '']</v>
      </c>
      <c r="D2903" s="3">
        <v>1.0</v>
      </c>
    </row>
    <row r="2904" ht="15.75" customHeight="1">
      <c r="A2904" s="1">
        <v>3106.0</v>
      </c>
      <c r="B2904" s="3" t="s">
        <v>2802</v>
      </c>
      <c r="C2904" s="3" t="str">
        <f>IFERROR(__xludf.DUMMYFUNCTION("GOOGLETRANSLATE(B2904,""id"",""en"")"),"['expensive', 'lalot', 'network', '']")</f>
        <v>['expensive', 'lalot', 'network', '']</v>
      </c>
      <c r="D2904" s="3">
        <v>1.0</v>
      </c>
    </row>
    <row r="2905" ht="15.75" customHeight="1">
      <c r="A2905" s="1">
        <v>3107.0</v>
      </c>
      <c r="B2905" s="3" t="s">
        <v>2803</v>
      </c>
      <c r="C2905" s="3" t="str">
        <f>IFERROR(__xludf.DUMMYFUNCTION("GOOGLETRANSLATE(B2905,""id"",""en"")"),"['Direct', 'Sya', 'love', 'he said', ""]")</f>
        <v>['Direct', 'Sya', 'love', 'he said', "]</v>
      </c>
      <c r="D2905" s="3">
        <v>5.0</v>
      </c>
    </row>
    <row r="2906" ht="15.75" customHeight="1">
      <c r="A2906" s="1">
        <v>3108.0</v>
      </c>
      <c r="B2906" s="3" t="s">
        <v>2804</v>
      </c>
      <c r="C2906" s="3" t="str">
        <f>IFERROR(__xludf.DUMMYFUNCTION("GOOGLETRANSLATE(B2906,""id"",""en"")"),"['Cool', 'Telkomsel', 'Best', 'Please', 'Package', 'Internet', 'Price', 'Reduce', 'Thanks']")</f>
        <v>['Cool', 'Telkomsel', 'Best', 'Please', 'Package', 'Internet', 'Price', 'Reduce', 'Thanks']</v>
      </c>
      <c r="D2906" s="3">
        <v>5.0</v>
      </c>
    </row>
    <row r="2907" ht="15.75" customHeight="1">
      <c r="A2907" s="1">
        <v>3109.0</v>
      </c>
      <c r="B2907" s="3" t="s">
        <v>2805</v>
      </c>
      <c r="C2907" s="3" t="str">
        <f>IFERROR(__xludf.DUMMYFUNCTION("GOOGLETRANSLATE(B2907,""id"",""en"")"),"['', 'Ngeleg']")</f>
        <v>['', 'Ngeleg']</v>
      </c>
      <c r="D2907" s="3">
        <v>3.0</v>
      </c>
    </row>
    <row r="2908" ht="15.75" customHeight="1">
      <c r="A2908" s="1">
        <v>3111.0</v>
      </c>
      <c r="B2908" s="3" t="s">
        <v>2806</v>
      </c>
      <c r="C2908" s="3" t="str">
        <f>IFERROR(__xludf.DUMMYFUNCTION("GOOGLETRANSLATE(B2908,""id"",""en"")"),"['signal', 'severe', 'ugly', 'already', 'kyk', 'signal', 'operator', 'mending', 'hrg', 'package', 'cheap', 'already', ' expensive ',' signal ',' bapukkk ']")</f>
        <v>['signal', 'severe', 'ugly', 'already', 'kyk', 'signal', 'operator', 'mending', 'hrg', 'package', 'cheap', 'already', ' expensive ',' signal ',' bapukkk ']</v>
      </c>
      <c r="D2908" s="3">
        <v>1.0</v>
      </c>
    </row>
    <row r="2909" ht="15.75" customHeight="1">
      <c r="A2909" s="1">
        <v>3112.0</v>
      </c>
      <c r="B2909" s="3" t="s">
        <v>2807</v>
      </c>
      <c r="C2909" s="3" t="str">
        <f>IFERROR(__xludf.DUMMYFUNCTION("GOOGLETRANSLATE(B2909,""id"",""en"")"),"['Pekok', 'update', 'opened', 'update', 'how', 'kmprddd']")</f>
        <v>['Pekok', 'update', 'opened', 'update', 'how', 'kmprddd']</v>
      </c>
      <c r="D2909" s="3">
        <v>1.0</v>
      </c>
    </row>
    <row r="2910" ht="15.75" customHeight="1">
      <c r="A2910" s="1">
        <v>3113.0</v>
      </c>
      <c r="B2910" s="3" t="s">
        <v>2808</v>
      </c>
      <c r="C2910" s="3" t="str">
        <f>IFERROR(__xludf.DUMMYFUNCTION("GOOGLETRANSLATE(B2910,""id"",""en"")"),"['Network', 'hope', 'repay']")</f>
        <v>['Network', 'hope', 'repay']</v>
      </c>
      <c r="D2910" s="3">
        <v>3.0</v>
      </c>
    </row>
    <row r="2911" ht="15.75" customHeight="1">
      <c r="A2911" s="1">
        <v>3114.0</v>
      </c>
      <c r="B2911" s="3" t="s">
        <v>2809</v>
      </c>
      <c r="C2911" s="3" t="str">
        <f>IFERROR(__xludf.DUMMYFUNCTION("GOOGLETRANSLATE(B2911,""id"",""en"")"),"['Nga', 'anjk', 'price', 'package', 'thousand', 'after', 'contents',' pulse ',' dblilang ',' plsa ',' tdak ',' ckup ',' plsa ',' ttap ',' thousand ',' bhong ',' gtuu ',' pantekkkk ',' bkan ',' price ',' it's', 'kako', 'cheat', 'bsa', 'teach' , 'kntoll']")</f>
        <v>['Nga', 'anjk', 'price', 'package', 'thousand', 'after', 'contents',' pulse ',' dblilang ',' plsa ',' tdak ',' ckup ',' plsa ',' ttap ',' thousand ',' bhong ',' gtuu ',' pantekkkk ',' bkan ',' price ',' it's', 'kako', 'cheat', 'bsa', 'teach' , 'kntoll']</v>
      </c>
      <c r="D2911" s="3">
        <v>1.0</v>
      </c>
    </row>
    <row r="2912" ht="15.75" customHeight="1">
      <c r="A2912" s="1">
        <v>3115.0</v>
      </c>
      <c r="B2912" s="3" t="s">
        <v>2810</v>
      </c>
      <c r="C2912" s="3" t="str">
        <f>IFERROR(__xludf.DUMMYFUNCTION("GOOGLETRANSLATE(B2912,""id"",""en"")"),"['like', 'please', 'cheap', 'package', '']")</f>
        <v>['like', 'please', 'cheap', 'package', '']</v>
      </c>
      <c r="D2912" s="3">
        <v>5.0</v>
      </c>
    </row>
    <row r="2913" ht="15.75" customHeight="1">
      <c r="A2913" s="1">
        <v>3116.0</v>
      </c>
      <c r="B2913" s="3" t="s">
        <v>2811</v>
      </c>
      <c r="C2913" s="3" t="str">
        <f>IFERROR(__xludf.DUMMYFUNCTION("GOOGLETRANSLATE(B2913,""id"",""en"")"),"['already', 'good', 'Nau', 'Bali', 'quota', 'easy']")</f>
        <v>['already', 'good', 'Nau', 'Bali', 'quota', 'easy']</v>
      </c>
      <c r="D2913" s="3">
        <v>3.0</v>
      </c>
    </row>
    <row r="2914" ht="15.75" customHeight="1">
      <c r="A2914" s="1">
        <v>3117.0</v>
      </c>
      <c r="B2914" s="3" t="s">
        <v>2812</v>
      </c>
      <c r="C2914" s="3" t="str">
        <f>IFERROR(__xludf.DUMMYFUNCTION("GOOGLETRANSLATE(B2914,""id"",""en"")"),"['Application', 'Cool', 'Help', 'Practical']")</f>
        <v>['Application', 'Cool', 'Help', 'Practical']</v>
      </c>
      <c r="D2914" s="3">
        <v>5.0</v>
      </c>
    </row>
    <row r="2915" ht="15.75" customHeight="1">
      <c r="A2915" s="1">
        <v>3118.0</v>
      </c>
      <c r="B2915" s="3" t="s">
        <v>2813</v>
      </c>
      <c r="C2915" s="3" t="str">
        <f>IFERROR(__xludf.DUMMYFUNCTION("GOOGLETRANSLATE(B2915,""id"",""en"")"),"['Loss',' Download ',' Play ',' Store ',' Already ',' MB ',' Network ',' Dead ',' Access', 'Download', 'Failed', 'internet', ' Normal ',' Kontoi ',' Thanks', '']")</f>
        <v>['Loss',' Download ',' Play ',' Store ',' Already ',' MB ',' Network ',' Dead ',' Access', 'Download', 'Failed', 'internet', ' Normal ',' Kontoi ',' Thanks', '']</v>
      </c>
      <c r="D2915" s="3">
        <v>1.0</v>
      </c>
    </row>
    <row r="2916" ht="15.75" customHeight="1">
      <c r="A2916" s="1">
        <v>3119.0</v>
      </c>
      <c r="B2916" s="3" t="s">
        <v>2814</v>
      </c>
      <c r="C2916" s="3" t="str">
        <f>IFERROR(__xludf.DUMMYFUNCTION("GOOGLETRANSLATE(B2916,""id"",""en"")"),"['signal', 'missing', 'play', 'game', 'package', 'data', 'active', 'knp', 'ngelag', 'signal', 'missing', ""]")</f>
        <v>['signal', 'missing', 'play', 'game', 'package', 'data', 'active', 'knp', 'ngelag', 'signal', 'missing', "]</v>
      </c>
      <c r="D2916" s="3">
        <v>2.0</v>
      </c>
    </row>
    <row r="2917" ht="15.75" customHeight="1">
      <c r="A2917" s="1">
        <v>3120.0</v>
      </c>
      <c r="B2917" s="3" t="s">
        <v>2815</v>
      </c>
      <c r="C2917" s="3" t="str">
        <f>IFERROR(__xludf.DUMMYFUNCTION("GOOGLETRANSLATE(B2917,""id"",""en"")"),"['list', 'MNT', 'price', 'RB', 'right', 'bought', 'price', 'Changed', 'RB', 'trap', 'Batman', ""]")</f>
        <v>['list', 'MNT', 'price', 'RB', 'right', 'bought', 'price', 'Changed', 'RB', 'trap', 'Batman', "]</v>
      </c>
      <c r="D2917" s="3">
        <v>1.0</v>
      </c>
    </row>
    <row r="2918" ht="15.75" customHeight="1">
      <c r="A2918" s="1">
        <v>3121.0</v>
      </c>
      <c r="B2918" s="3" t="s">
        <v>2816</v>
      </c>
      <c r="C2918" s="3" t="str">
        <f>IFERROR(__xludf.DUMMYFUNCTION("GOOGLETRANSLATE(B2918,""id"",""en"")"),"['Application', 'KONLOLLLL', 'GUAA', '']")</f>
        <v>['Application', 'KONLOLLLL', 'GUAA', '']</v>
      </c>
      <c r="D2918" s="3">
        <v>1.0</v>
      </c>
    </row>
    <row r="2919" ht="15.75" customHeight="1">
      <c r="A2919" s="1">
        <v>3122.0</v>
      </c>
      <c r="B2919" s="3" t="s">
        <v>2817</v>
      </c>
      <c r="C2919" s="3" t="str">
        <f>IFERROR(__xludf.DUMMYFUNCTION("GOOGLETRANSLATE(B2919,""id"",""en"")"),"['Complaint', 'Telkomsel', 'response', 'Follow', 'ugly', 'service', ""]")</f>
        <v>['Complaint', 'Telkomsel', 'response', 'Follow', 'ugly', 'service', "]</v>
      </c>
      <c r="D2919" s="3">
        <v>1.0</v>
      </c>
    </row>
    <row r="2920" ht="15.75" customHeight="1">
      <c r="A2920" s="1">
        <v>3123.0</v>
      </c>
      <c r="B2920" s="3" t="s">
        <v>2818</v>
      </c>
      <c r="C2920" s="3" t="str">
        <f>IFERROR(__xludf.DUMMYFUNCTION("GOOGLETRANSLATE(B2920,""id"",""en"")"),"['Good', 'The network', 'Where']")</f>
        <v>['Good', 'The network', 'Where']</v>
      </c>
      <c r="D2920" s="3">
        <v>5.0</v>
      </c>
    </row>
    <row r="2921" ht="15.75" customHeight="1">
      <c r="A2921" s="1">
        <v>3124.0</v>
      </c>
      <c r="B2921" s="3" t="s">
        <v>2819</v>
      </c>
      <c r="C2921" s="3" t="str">
        <f>IFERROR(__xludf.DUMMYFUNCTION("GOOGLETRANSLATE(B2921,""id"",""en"")"),"['Hope it is useful', '']")</f>
        <v>['Hope it is useful', '']</v>
      </c>
      <c r="D2921" s="3">
        <v>5.0</v>
      </c>
    </row>
    <row r="2922" ht="15.75" customHeight="1">
      <c r="A2922" s="1">
        <v>3125.0</v>
      </c>
      <c r="B2922" s="3" t="s">
        <v>2820</v>
      </c>
      <c r="C2922" s="3" t="str">
        <f>IFERROR(__xludf.DUMMYFUNCTION("GOOGLETRANSLATE(B2922,""id"",""en"")"),"['Cheap', 'little', 'Kek', 'expensive', '']")</f>
        <v>['Cheap', 'little', 'Kek', 'expensive', '']</v>
      </c>
      <c r="D2922" s="3">
        <v>5.0</v>
      </c>
    </row>
    <row r="2923" ht="15.75" customHeight="1">
      <c r="A2923" s="1">
        <v>3126.0</v>
      </c>
      <c r="B2923" s="3" t="s">
        <v>2821</v>
      </c>
      <c r="C2923" s="3" t="str">
        <f>IFERROR(__xludf.DUMMYFUNCTION("GOOGLETRANSLATE(B2923,""id"",""en"")"),"['signal', 'ilang', 'Good', 'Change', 'Card', 'Mangkin', 'Severe', 'Telkomsel', ""]")</f>
        <v>['signal', 'ilang', 'Good', 'Change', 'Card', 'Mangkin', 'Severe', 'Telkomsel', "]</v>
      </c>
      <c r="D2923" s="3">
        <v>1.0</v>
      </c>
    </row>
    <row r="2924" ht="15.75" customHeight="1">
      <c r="A2924" s="1">
        <v>3127.0</v>
      </c>
      <c r="B2924" s="3" t="s">
        <v>2822</v>
      </c>
      <c r="C2924" s="3" t="str">
        <f>IFERROR(__xludf.DUMMYFUNCTION("GOOGLETRANSLATE(B2924,""id"",""en"")"),"['Telkomsel', 'signal', 'destroyed', 'rain', 'drizzle', 'already', 'destroyed', 'nyinyiran', 'original', 'ad', 'good', 'promo', ' Features', 'Features',' Quality ',' Signal ',' Bad ']")</f>
        <v>['Telkomsel', 'signal', 'destroyed', 'rain', 'drizzle', 'already', 'destroyed', 'nyinyiran', 'original', 'ad', 'good', 'promo', ' Features', 'Features',' Quality ',' Signal ',' Bad ']</v>
      </c>
      <c r="D2924" s="3">
        <v>1.0</v>
      </c>
    </row>
    <row r="2925" ht="15.75" customHeight="1">
      <c r="A2925" s="1">
        <v>3129.0</v>
      </c>
      <c r="B2925" s="3" t="s">
        <v>2823</v>
      </c>
      <c r="C2925" s="3" t="str">
        <f>IFERROR(__xludf.DUMMYFUNCTION("GOOGLETRANSLATE(B2925,""id"",""en"")"),"['Woy', 'signal', 'Try', 'Benerin', 'Lose', 'card', 'card', 'cheap', 'because', 'card', 'uda', ' card', '']")</f>
        <v>['Woy', 'signal', 'Try', 'Benerin', 'Lose', 'card', 'card', 'cheap', 'because', 'card', 'uda', ' card', '']</v>
      </c>
      <c r="D2925" s="3">
        <v>1.0</v>
      </c>
    </row>
    <row r="2926" ht="15.75" customHeight="1">
      <c r="A2926" s="1">
        <v>3130.0</v>
      </c>
      <c r="B2926" s="3" t="s">
        <v>2824</v>
      </c>
      <c r="C2926" s="3" t="str">
        <f>IFERROR(__xludf.DUMMYFUNCTION("GOOGLETRANSLATE(B2926,""id"",""en"")"),"['Continue', 'SLLU', 'Best', 'Customer', 'Telkomsel', '']")</f>
        <v>['Continue', 'SLLU', 'Best', 'Customer', 'Telkomsel', '']</v>
      </c>
      <c r="D2926" s="3">
        <v>5.0</v>
      </c>
    </row>
    <row r="2927" ht="15.75" customHeight="1">
      <c r="A2927" s="1">
        <v>3131.0</v>
      </c>
      <c r="B2927" s="3" t="s">
        <v>2825</v>
      </c>
      <c r="C2927" s="3" t="str">
        <f>IFERROR(__xludf.DUMMYFUNCTION("GOOGLETRANSLATE(B2927,""id"",""en"")"),"['virtue', 'signal', 'like', 'direct', 'red', 'right', 'green']")</f>
        <v>['virtue', 'signal', 'like', 'direct', 'red', 'right', 'green']</v>
      </c>
      <c r="D2927" s="3">
        <v>5.0</v>
      </c>
    </row>
    <row r="2928" ht="15.75" customHeight="1">
      <c r="A2928" s="1">
        <v>3132.0</v>
      </c>
      <c r="B2928" s="3" t="s">
        <v>2826</v>
      </c>
      <c r="C2928" s="3" t="str">
        <f>IFERROR(__xludf.DUMMYFUNCTION("GOOGLETRANSLATE(B2928,""id"",""en"")"),"['operator', 'Telkomsel', 'Yesterday', 'buy', 'package', 'games', 'open', 'purchase', 'package', 'Please', 'response']")</f>
        <v>['operator', 'Telkomsel', 'Yesterday', 'buy', 'package', 'games', 'open', 'purchase', 'package', 'Please', 'response']</v>
      </c>
      <c r="D2928" s="3">
        <v>5.0</v>
      </c>
    </row>
    <row r="2929" ht="15.75" customHeight="1">
      <c r="A2929" s="1">
        <v>3134.0</v>
      </c>
      <c r="B2929" s="3" t="s">
        <v>2827</v>
      </c>
      <c r="C2929" s="3" t="str">
        <f>IFERROR(__xludf.DUMMYFUNCTION("GOOGLETRANSLATE(B2929,""id"",""en"")"),"['Experience', 'Application', 'Telkomsel', 'Communicating', 'Brother', 'Family', 'Application', 'Public', 'Public']")</f>
        <v>['Experience', 'Application', 'Telkomsel', 'Communicating', 'Brother', 'Family', 'Application', 'Public', 'Public']</v>
      </c>
      <c r="D2929" s="3">
        <v>5.0</v>
      </c>
    </row>
    <row r="2930" ht="15.75" customHeight="1">
      <c r="A2930" s="1">
        <v>3135.0</v>
      </c>
      <c r="B2930" s="3" t="s">
        <v>2828</v>
      </c>
      <c r="C2930" s="3" t="str">
        <f>IFERROR(__xludf.DUMMYFUNCTION("GOOGLETRANSLATE(B2930,""id"",""en"")"),"['discount']")</f>
        <v>['discount']</v>
      </c>
      <c r="D2930" s="3">
        <v>5.0</v>
      </c>
    </row>
    <row r="2931" ht="15.75" customHeight="1">
      <c r="A2931" s="1">
        <v>3136.0</v>
      </c>
      <c r="B2931" s="3" t="s">
        <v>2829</v>
      </c>
      <c r="C2931" s="3" t="str">
        <f>IFERROR(__xludf.DUMMYFUNCTION("GOOGLETRANSLATE(B2931,""id"",""en"")"),"['It's easy', 'user', '']")</f>
        <v>['It's easy', 'user', '']</v>
      </c>
      <c r="D2931" s="3">
        <v>5.0</v>
      </c>
    </row>
    <row r="2932" ht="15.75" customHeight="1">
      <c r="A2932" s="1">
        <v>3137.0</v>
      </c>
      <c r="B2932" s="3" t="s">
        <v>2830</v>
      </c>
      <c r="C2932" s="3" t="str">
        <f>IFERROR(__xludf.DUMMYFUNCTION("GOOGLETRANSLATE(B2932,""id"",""en"")"),"['Amin', 'God', 'Thank "",' Love ',' Say ',' Padamu ',' My Friend ',' Heart ',' Mulia ']")</f>
        <v>['Amin', 'God', 'Thank ",' Love ',' Say ',' Padamu ',' My Friend ',' Heart ',' Mulia ']</v>
      </c>
      <c r="D2932" s="3">
        <v>5.0</v>
      </c>
    </row>
    <row r="2933" ht="15.75" customHeight="1">
      <c r="A2933" s="1">
        <v>3138.0</v>
      </c>
      <c r="B2933" s="3" t="s">
        <v>2831</v>
      </c>
      <c r="C2933" s="3" t="str">
        <f>IFERROR(__xludf.DUMMYFUNCTION("GOOGLETRANSLATE(B2933,""id"",""en"")"),"['BNAR', 'The application', 'AKN']")</f>
        <v>['BNAR', 'The application', 'AKN']</v>
      </c>
      <c r="D2933" s="3">
        <v>5.0</v>
      </c>
    </row>
    <row r="2934" ht="15.75" customHeight="1">
      <c r="A2934" s="1">
        <v>3139.0</v>
      </c>
      <c r="B2934" s="3" t="s">
        <v>2832</v>
      </c>
      <c r="C2934" s="3" t="str">
        <f>IFERROR(__xludf.DUMMYFUNCTION("GOOGLETRANSLATE(B2934,""id"",""en"")"),"['convenience', 'usage', 'promo', 'usage', 'internet', 'steady', 'increase', 'yaa']")</f>
        <v>['convenience', 'usage', 'promo', 'usage', 'internet', 'steady', 'increase', 'yaa']</v>
      </c>
      <c r="D2934" s="3">
        <v>5.0</v>
      </c>
    </row>
    <row r="2935" ht="15.75" customHeight="1">
      <c r="A2935" s="1">
        <v>3140.0</v>
      </c>
      <c r="B2935" s="3" t="s">
        <v>2833</v>
      </c>
      <c r="C2935" s="3" t="str">
        <f>IFERROR(__xludf.DUMMYFUNCTION("GOOGLETRANSLATE(B2935,""id"",""en"")"),"['Disappointed', 'Install']")</f>
        <v>['Disappointed', 'Install']</v>
      </c>
      <c r="D2935" s="3">
        <v>1.0</v>
      </c>
    </row>
    <row r="2936" ht="15.75" customHeight="1">
      <c r="A2936" s="1">
        <v>3141.0</v>
      </c>
      <c r="B2936" s="3" t="s">
        <v>1465</v>
      </c>
      <c r="C2936" s="3" t="str">
        <f>IFERROR(__xludf.DUMMYFUNCTION("GOOGLETRANSLATE(B2936,""id"",""en"")"),"['APK', 'Good']")</f>
        <v>['APK', 'Good']</v>
      </c>
      <c r="D2936" s="3">
        <v>5.0</v>
      </c>
    </row>
    <row r="2937" ht="15.75" customHeight="1">
      <c r="A2937" s="1">
        <v>3143.0</v>
      </c>
      <c r="B2937" s="3" t="s">
        <v>2834</v>
      </c>
      <c r="C2937" s="3" t="str">
        <f>IFERROR(__xludf.DUMMYFUNCTION("GOOGLETRANSLATE(B2937,""id"",""en"")"),"['Telkomsel', 'gek', 'tasty', 'mending', 'prime', 'difficult', 'signal', 'network', 'setabilia', 'mahallllll', 'quality', 'class']")</f>
        <v>['Telkomsel', 'gek', 'tasty', 'mending', 'prime', 'difficult', 'signal', 'network', 'setabilia', 'mahallllll', 'quality', 'class']</v>
      </c>
      <c r="D2937" s="3">
        <v>1.0</v>
      </c>
    </row>
    <row r="2938" ht="15.75" customHeight="1">
      <c r="A2938" s="1">
        <v>3144.0</v>
      </c>
      <c r="B2938" s="3" t="s">
        <v>2835</v>
      </c>
      <c r="C2938" s="3" t="str">
        <f>IFERROR(__xludf.DUMMYFUNCTION("GOOGLETRANSLATE(B2938,""id"",""en"")"),"['My place', 'Singhasari', 'Lost', 'Joss', ""]")</f>
        <v>['My place', 'Singhasari', 'Lost', 'Joss', "]</v>
      </c>
      <c r="D2938" s="3">
        <v>1.0</v>
      </c>
    </row>
    <row r="2939" ht="15.75" customHeight="1">
      <c r="A2939" s="1">
        <v>3145.0</v>
      </c>
      <c r="B2939" s="3" t="s">
        <v>2836</v>
      </c>
      <c r="C2939" s="3" t="str">
        <f>IFERROR(__xludf.DUMMYFUNCTION("GOOGLETRANSLATE(B2939,""id"",""en"")"),"['Severe', 'Ksini', 'Severe', 'user', 'bari', 'signal', 'missing', 'telephone', 'operator', 'ganguan', 'price', 'package', ' Expensive ',' ']")</f>
        <v>['Severe', 'Ksini', 'Severe', 'user', 'bari', 'signal', 'missing', 'telephone', 'operator', 'ganguan', 'price', 'package', ' Expensive ',' ']</v>
      </c>
      <c r="D2939" s="3">
        <v>5.0</v>
      </c>
    </row>
    <row r="2940" ht="15.75" customHeight="1">
      <c r="A2940" s="1">
        <v>3146.0</v>
      </c>
      <c r="B2940" s="3" t="s">
        <v>2837</v>
      </c>
      <c r="C2940" s="3" t="str">
        <f>IFERROR(__xludf.DUMMYFUNCTION("GOOGLETRANSLATE(B2940,""id"",""en"")"),"['bonusnya']")</f>
        <v>['bonusnya']</v>
      </c>
      <c r="D2940" s="3">
        <v>5.0</v>
      </c>
    </row>
    <row r="2941" ht="15.75" customHeight="1">
      <c r="A2941" s="1">
        <v>3147.0</v>
      </c>
      <c r="B2941" s="3" t="s">
        <v>2838</v>
      </c>
      <c r="C2941" s="3" t="str">
        <f>IFERROR(__xludf.DUMMYFUNCTION("GOOGLETRANSLATE(B2941,""id"",""en"")"),"['improvement', 'signal', 'where', 'user', 'app', 'Telkomsel', 'comfortable', 'built', 'tower', 'Telkomsel', 'in place', 'rame', ' TPI ',' DESESA ',' Trobosan ',' Jga ',' digunkaan ']")</f>
        <v>['improvement', 'signal', 'where', 'user', 'app', 'Telkomsel', 'comfortable', 'built', 'tower', 'Telkomsel', 'in place', 'rame', ' TPI ',' DESESA ',' Trobosan ',' Jga ',' digunkaan ']</v>
      </c>
      <c r="D2941" s="3">
        <v>3.0</v>
      </c>
    </row>
    <row r="2942" ht="15.75" customHeight="1">
      <c r="A2942" s="1">
        <v>3148.0</v>
      </c>
      <c r="B2942" s="3" t="s">
        <v>2839</v>
      </c>
      <c r="C2942" s="3" t="str">
        <f>IFERROR(__xludf.DUMMYFUNCTION("GOOGLETRANSLATE(B2942,""id"",""en"")"),"['Disappointed', 'signal', 'APK']")</f>
        <v>['Disappointed', 'signal', 'APK']</v>
      </c>
      <c r="D2942" s="3">
        <v>1.0</v>
      </c>
    </row>
    <row r="2943" ht="15.75" customHeight="1">
      <c r="A2943" s="1">
        <v>3149.0</v>
      </c>
      <c r="B2943" s="3" t="s">
        <v>2840</v>
      </c>
      <c r="C2943" s="3" t="str">
        <f>IFERROR(__xludf.DUMMYFUNCTION("GOOGLETRANSLATE(B2943,""id"",""en"")"),"['like', 'product']")</f>
        <v>['like', 'product']</v>
      </c>
      <c r="D2943" s="3">
        <v>5.0</v>
      </c>
    </row>
    <row r="2944" ht="15.75" customHeight="1">
      <c r="A2944" s="1">
        <v>3150.0</v>
      </c>
      <c r="B2944" s="3" t="s">
        <v>2841</v>
      </c>
      <c r="C2944" s="3" t="str">
        <f>IFERROR(__xludf.DUMMYFUNCTION("GOOGLETRANSLATE(B2944,""id"",""en"")"),"['Help', 'Increase', 'Quality', 'Satisfaction']")</f>
        <v>['Help', 'Increase', 'Quality', 'Satisfaction']</v>
      </c>
      <c r="D2944" s="3">
        <v>5.0</v>
      </c>
    </row>
    <row r="2945" ht="15.75" customHeight="1">
      <c r="A2945" s="1">
        <v>3151.0</v>
      </c>
      <c r="B2945" s="3" t="s">
        <v>2842</v>
      </c>
      <c r="C2945" s="3" t="str">
        <f>IFERROR(__xludf.DUMMYFUNCTION("GOOGLETRANSLATE(B2945,""id"",""en"")"),"['Telkomsel', 'Mantepp', 'signal', 'stable', 'stable', 'threat', 'mean', 'match', 'user', 'internet', 'thank you', ""]")</f>
        <v>['Telkomsel', 'Mantepp', 'signal', 'stable', 'stable', 'threat', 'mean', 'match', 'user', 'internet', 'thank you', "]</v>
      </c>
      <c r="D2945" s="3">
        <v>1.0</v>
      </c>
    </row>
    <row r="2946" ht="15.75" customHeight="1">
      <c r="A2946" s="1">
        <v>3152.0</v>
      </c>
      <c r="B2946" s="3" t="s">
        <v>2843</v>
      </c>
      <c r="C2946" s="3" t="str">
        <f>IFERROR(__xludf.DUMMYFUNCTION("GOOGLETRANSLATE(B2946,""id"",""en"")"),"['bad signal']")</f>
        <v>['bad signal']</v>
      </c>
      <c r="D2946" s="3">
        <v>2.0</v>
      </c>
    </row>
    <row r="2947" ht="15.75" customHeight="1">
      <c r="A2947" s="1">
        <v>3153.0</v>
      </c>
      <c r="B2947" s="3" t="s">
        <v>2844</v>
      </c>
      <c r="C2947" s="3" t="str">
        <f>IFERROR(__xludf.DUMMYFUNCTION("GOOGLETRANSLATE(B2947,""id"",""en"")"),"['Telkomsel', 'guaranteed']")</f>
        <v>['Telkomsel', 'guaranteed']</v>
      </c>
      <c r="D2947" s="3">
        <v>3.0</v>
      </c>
    </row>
    <row r="2948" ht="15.75" customHeight="1">
      <c r="A2948" s="1">
        <v>3154.0</v>
      </c>
      <c r="B2948" s="3" t="s">
        <v>2845</v>
      </c>
      <c r="C2948" s="3" t="str">
        <f>IFERROR(__xludf.DUMMYFUNCTION("GOOGLETRANSLATE(B2948,""id"",""en"")"),"['APK', 'good', 'makes it easy', 'users', 'Telkomsel']")</f>
        <v>['APK', 'good', 'makes it easy', 'users', 'Telkomsel']</v>
      </c>
      <c r="D2948" s="3">
        <v>4.0</v>
      </c>
    </row>
    <row r="2949" ht="15.75" customHeight="1">
      <c r="A2949" s="1">
        <v>3155.0</v>
      </c>
      <c r="B2949" s="3" t="s">
        <v>2846</v>
      </c>
      <c r="C2949" s="3" t="str">
        <f>IFERROR(__xludf.DUMMYFUNCTION("GOOGLETRANSLATE(B2949,""id"",""en"")"),"['Jarigan', 'area', 'bad', 'PKE', 'SIM', 'Card', 'appears',' network ',' and then ',' often ',' missing ',' signs', ' Quota ',' Telkomsel ',' classified ',' expensive ',' comparable ',' net ', ""]")</f>
        <v>['Jarigan', 'area', 'bad', 'PKE', 'SIM', 'Card', 'appears',' network ',' and then ',' often ',' missing ',' signs', ' Quota ',' Telkomsel ',' classified ',' expensive ',' comparable ',' net ', "]</v>
      </c>
      <c r="D2949" s="3">
        <v>1.0</v>
      </c>
    </row>
    <row r="2950" ht="15.75" customHeight="1">
      <c r="A2950" s="1">
        <v>3156.0</v>
      </c>
      <c r="B2950" s="3" t="s">
        <v>2847</v>
      </c>
      <c r="C2950" s="3" t="str">
        <f>IFERROR(__xludf.DUMMYFUNCTION("GOOGLETRANSLATE(B2950,""id"",""en"")"),"['signal', 'Benerin', 'SIH', 'already', 'FULL', 'LAGGGG', 'ANJGGG']")</f>
        <v>['signal', 'Benerin', 'SIH', 'already', 'FULL', 'LAGGGG', 'ANJGGG']</v>
      </c>
      <c r="D2950" s="3">
        <v>1.0</v>
      </c>
    </row>
    <row r="2951" ht="15.75" customHeight="1">
      <c r="A2951" s="1">
        <v>3157.0</v>
      </c>
      <c r="B2951" s="3" t="s">
        <v>2848</v>
      </c>
      <c r="C2951" s="3" t="str">
        <f>IFERROR(__xludf.DUMMYFUNCTION("GOOGLETRANSLATE(B2951,""id"",""en"")"),"['already', 'use', 'Telkomsel', 'already', 'yrs',' skrg ',' network ',' internet ',' disorder ',' like ',' slow ',' slow ',' City ',' send ',' file ',' play ',' game ',' slow ',' missing ',' arising ',' sometimes', 'disruption', 'severe', 'skrg', 'Telkoms"&amp;"el' , 'use', 'Telkomsel']")</f>
        <v>['already', 'use', 'Telkomsel', 'already', 'yrs',' skrg ',' network ',' internet ',' disorder ',' like ',' slow ',' slow ',' City ',' send ',' file ',' play ',' game ',' slow ',' missing ',' arising ',' sometimes', 'disruption', 'severe', 'skrg', 'Telkomsel' , 'use', 'Telkomsel']</v>
      </c>
      <c r="D2951" s="3">
        <v>1.0</v>
      </c>
    </row>
    <row r="2952" ht="15.75" customHeight="1">
      <c r="A2952" s="1">
        <v>3158.0</v>
      </c>
      <c r="B2952" s="3" t="s">
        <v>2849</v>
      </c>
      <c r="C2952" s="3" t="str">
        <f>IFERROR(__xludf.DUMMYFUNCTION("GOOGLETRANSLATE(B2952,""id"",""en"")"),"['Switch', 'Points', 'Telko', 'Help', '']")</f>
        <v>['Switch', 'Points', 'Telko', 'Help', '']</v>
      </c>
      <c r="D2952" s="3">
        <v>3.0</v>
      </c>
    </row>
    <row r="2953" ht="15.75" customHeight="1">
      <c r="A2953" s="1">
        <v>3159.0</v>
      </c>
      <c r="B2953" s="3" t="s">
        <v>2850</v>
      </c>
      <c r="C2953" s="3" t="str">
        <f>IFERROR(__xludf.DUMMYFUNCTION("GOOGLETRANSLATE(B2953,""id"",""en"")"),"['Network', 'Indonesia', 'Network', 'slow', 'Open', 'APK', 'MyTelkomsel']")</f>
        <v>['Network', 'Indonesia', 'Network', 'slow', 'Open', 'APK', 'MyTelkomsel']</v>
      </c>
      <c r="D2953" s="3">
        <v>1.0</v>
      </c>
    </row>
    <row r="2954" ht="15.75" customHeight="1">
      <c r="A2954" s="1">
        <v>3160.0</v>
      </c>
      <c r="B2954" s="3" t="s">
        <v>2851</v>
      </c>
      <c r="C2954" s="3" t="str">
        <f>IFERROR(__xludf.DUMMYFUNCTION("GOOGLETRANSLATE(B2954,""id"",""en"")"),"['Network', 'no' match ',' darling ',' number ',' rare ',' promo ',' loyal ']")</f>
        <v>['Network', 'no' match ',' darling ',' number ',' rare ',' promo ',' loyal ']</v>
      </c>
      <c r="D2954" s="3">
        <v>5.0</v>
      </c>
    </row>
    <row r="2955" ht="15.75" customHeight="1">
      <c r="A2955" s="1">
        <v>3161.0</v>
      </c>
      <c r="B2955" s="3" t="s">
        <v>2852</v>
      </c>
      <c r="C2955" s="3" t="str">
        <f>IFERROR(__xludf.DUMMYFUNCTION("GOOGLETRANSLATE(B2955,""id"",""en"")"),"['Network', 'garbage']")</f>
        <v>['Network', 'garbage']</v>
      </c>
      <c r="D2955" s="3">
        <v>1.0</v>
      </c>
    </row>
    <row r="2956" ht="15.75" customHeight="1">
      <c r="A2956" s="1">
        <v>3162.0</v>
      </c>
      <c r="B2956" s="3" t="s">
        <v>2853</v>
      </c>
      <c r="C2956" s="3" t="str">
        <f>IFERROR(__xludf.DUMMYFUNCTION("GOOGLETRANSLATE(B2956,""id"",""en"")"),"['', 'contents', 'credit', 'rb', 'udh', 'entry', 'notif', 'sms', 'pulse', 'where', 'stolen', '']")</f>
        <v>['', 'contents', 'credit', 'rb', 'udh', 'entry', 'notif', 'sms', 'pulse', 'where', 'stolen', '']</v>
      </c>
      <c r="D2956" s="3">
        <v>1.0</v>
      </c>
    </row>
    <row r="2957" ht="15.75" customHeight="1">
      <c r="A2957" s="1">
        <v>3164.0</v>
      </c>
      <c r="B2957" s="3" t="s">
        <v>2854</v>
      </c>
      <c r="C2957" s="3" t="str">
        <f>IFERROR(__xludf.DUMMYFUNCTION("GOOGLETRANSLATE(B2957,""id"",""en"")"),"['already', 'package', 'Ministry of Education and Culture', 'Open', 'Check', 'Group', 'Class', 'Credit', 'Cut', 'Abis', 'Satan']")</f>
        <v>['already', 'package', 'Ministry of Education and Culture', 'Open', 'Check', 'Group', 'Class', 'Credit', 'Cut', 'Abis', 'Satan']</v>
      </c>
      <c r="D2957" s="3">
        <v>1.0</v>
      </c>
    </row>
    <row r="2958" ht="15.75" customHeight="1">
      <c r="A2958" s="1">
        <v>3165.0</v>
      </c>
      <c r="B2958" s="3" t="s">
        <v>2855</v>
      </c>
      <c r="C2958" s="3" t="str">
        <f>IFERROR(__xludf.DUMMYFUNCTION("GOOGLETRANSLATE(B2958,""id"",""en"")"),"['hard', 'connection', 'disorder', 'stable', 'please', 'improvement', 'system', 'jngn', 'annoying', 'connection', 'customer', 'disappointed']")</f>
        <v>['hard', 'connection', 'disorder', 'stable', 'please', 'improvement', 'system', 'jngn', 'annoying', 'connection', 'customer', 'disappointed']</v>
      </c>
      <c r="D2958" s="3">
        <v>1.0</v>
      </c>
    </row>
    <row r="2959" ht="15.75" customHeight="1">
      <c r="A2959" s="1">
        <v>3166.0</v>
      </c>
      <c r="B2959" s="3" t="s">
        <v>2856</v>
      </c>
      <c r="C2959" s="3" t="str">
        <f>IFERROR(__xludf.DUMMYFUNCTION("GOOGLETRANSLATE(B2959,""id"",""en"")"),"['signal', 'rotten', 'package', 'expensive', '']")</f>
        <v>['signal', 'rotten', 'package', 'expensive', '']</v>
      </c>
      <c r="D2959" s="3">
        <v>3.0</v>
      </c>
    </row>
    <row r="2960" ht="15.75" customHeight="1">
      <c r="A2960" s="1">
        <v>3167.0</v>
      </c>
      <c r="B2960" s="3" t="s">
        <v>2857</v>
      </c>
      <c r="C2960" s="3" t="str">
        <f>IFERROR(__xludf.DUMMYFUNCTION("GOOGLETRANSLATE(B2960,""id"",""en"")"),"['knpa', 'package', 'data', 'cheap', 'expensive', 'Telkomsel', '']")</f>
        <v>['knpa', 'package', 'data', 'cheap', 'expensive', 'Telkomsel', '']</v>
      </c>
      <c r="D2960" s="3">
        <v>3.0</v>
      </c>
    </row>
    <row r="2961" ht="15.75" customHeight="1">
      <c r="A2961" s="1">
        <v>3168.0</v>
      </c>
      <c r="B2961" s="3" t="s">
        <v>2858</v>
      </c>
      <c r="C2961" s="3" t="str">
        <f>IFERROR(__xludf.DUMMYFUNCTION("GOOGLETRANSLATE(B2961,""id"",""en"")"),"['Telkomsel', 'slow']")</f>
        <v>['Telkomsel', 'slow']</v>
      </c>
      <c r="D2961" s="3">
        <v>2.0</v>
      </c>
    </row>
    <row r="2962" ht="15.75" customHeight="1">
      <c r="A2962" s="1">
        <v>3169.0</v>
      </c>
      <c r="B2962" s="3" t="s">
        <v>2859</v>
      </c>
      <c r="C2962" s="3" t="str">
        <f>IFERROR(__xludf.DUMMYFUNCTION("GOOGLETRANSLATE(B2962,""id"",""en"")"),"['Love', 'that's like', 'UDH', 'Satisfied', 'Make', 'Telkom', 'ugly', 'signal', 'game']")</f>
        <v>['Love', 'that's like', 'UDH', 'Satisfied', 'Make', 'Telkom', 'ugly', 'signal', 'game']</v>
      </c>
      <c r="D2962" s="3">
        <v>1.0</v>
      </c>
    </row>
    <row r="2963" ht="15.75" customHeight="1">
      <c r="A2963" s="1">
        <v>3170.0</v>
      </c>
      <c r="B2963" s="3" t="s">
        <v>2860</v>
      </c>
      <c r="C2963" s="3" t="str">
        <f>IFERROR(__xludf.DUMMYFUNCTION("GOOGLETRANSLATE(B2963,""id"",""en"")"),"['makes it easier', 'buy', 'Package']")</f>
        <v>['makes it easier', 'buy', 'Package']</v>
      </c>
      <c r="D2963" s="3">
        <v>5.0</v>
      </c>
    </row>
    <row r="2964" ht="15.75" customHeight="1">
      <c r="A2964" s="1">
        <v>3171.0</v>
      </c>
      <c r="B2964" s="3" t="s">
        <v>2861</v>
      </c>
      <c r="C2964" s="3" t="str">
        <f>IFERROR(__xludf.DUMMYFUNCTION("GOOGLETRANSLATE(B2964,""id"",""en"")"),"['like', 'sympathy', 'skrg', 'price', 'compete', 'neighbor', 'next door', 'bonus',' criticism ',' love ',' gift ',' ATW ',' bonus', 'no', 'requirements',' requirements', 'point', 'udh', 'buy', 'pulse', 'no', 'enter', 'point', 'then', 'requirements' , 'pul"&amp;"se', 'rupiah', 'rich', 'sell', 'pulse', 'rupiah', 'fyi', 'buy', 'pulse', 'rb', 'rb', 'pulses',' auto ',' run out ',' Telkomsel ',' mah ',' no ',' features', 'lock', 'padlock', 'quota', 'package', 'run out', 'enol', 'deh' , 'pulse', '']")</f>
        <v>['like', 'sympathy', 'skrg', 'price', 'compete', 'neighbor', 'next door', 'bonus',' criticism ',' love ',' gift ',' ATW ',' bonus', 'no', 'requirements',' requirements', 'point', 'udh', 'buy', 'pulse', 'no', 'enter', 'point', 'then', 'requirements' , 'pulse', 'rupiah', 'rich', 'sell', 'pulse', 'rupiah', 'fyi', 'buy', 'pulse', 'rb', 'rb', 'pulses',' auto ',' run out ',' Telkomsel ',' mah ',' no ',' features', 'lock', 'padlock', 'quota', 'package', 'run out', 'enol', 'deh' , 'pulse', '']</v>
      </c>
      <c r="D2964" s="3">
        <v>3.0</v>
      </c>
    </row>
    <row r="2965" ht="15.75" customHeight="1">
      <c r="A2965" s="1">
        <v>3172.0</v>
      </c>
      <c r="B2965" s="3" t="s">
        <v>2862</v>
      </c>
      <c r="C2965" s="3" t="str">
        <f>IFERROR(__xludf.DUMMYFUNCTION("GOOGLETRANSLATE(B2965,""id"",""en"")"),"['Offered', 'mutation', 'Hello', 'Telkomsel', 'explanation', 'positive', 'drawback', 'Live', 'Really', 'Deficiency', 'users',' Telkomsel ',' Disappointed ',' change ',' rating ',' star ',' card ',' mutation ']")</f>
        <v>['Offered', 'mutation', 'Hello', 'Telkomsel', 'explanation', 'positive', 'drawback', 'Live', 'Really', 'Deficiency', 'users',' Telkomsel ',' Disappointed ',' change ',' rating ',' star ',' card ',' mutation ']</v>
      </c>
      <c r="D2965" s="3">
        <v>1.0</v>
      </c>
    </row>
    <row r="2966" ht="15.75" customHeight="1">
      <c r="A2966" s="1">
        <v>3173.0</v>
      </c>
      <c r="B2966" s="3" t="s">
        <v>2863</v>
      </c>
      <c r="C2966" s="3" t="str">
        <f>IFERROR(__xludf.DUMMYFUNCTION("GOOGLETRANSLATE(B2966,""id"",""en"")"),"['Good', 'easy', 'cheap', '']")</f>
        <v>['Good', 'easy', 'cheap', '']</v>
      </c>
      <c r="D2966" s="3">
        <v>5.0</v>
      </c>
    </row>
    <row r="2967" ht="15.75" customHeight="1">
      <c r="A2967" s="1">
        <v>3174.0</v>
      </c>
      <c r="B2967" s="3" t="s">
        <v>2864</v>
      </c>
      <c r="C2967" s="3" t="str">
        <f>IFERROR(__xludf.DUMMYFUNCTION("GOOGLETRANSLATE(B2967,""id"",""en"")"),"['COK', 'Stop', 'Internet', 'Combo', 'Sakti', 'How', 'Lost', '']")</f>
        <v>['COK', 'Stop', 'Internet', 'Combo', 'Sakti', 'How', 'Lost', '']</v>
      </c>
      <c r="D2967" s="3">
        <v>1.0</v>
      </c>
    </row>
    <row r="2968" ht="15.75" customHeight="1">
      <c r="A2968" s="1">
        <v>3175.0</v>
      </c>
      <c r="B2968" s="3" t="s">
        <v>2865</v>
      </c>
      <c r="C2968" s="3" t="str">
        <f>IFERROR(__xludf.DUMMYFUNCTION("GOOGLETRANSLATE(B2968,""id"",""en"")"),"['Package', 'Phone', 'SMS', 'Internet', 'Pulses', 'Sumpot', 'That Sege', 'Harm', 'Consumers', ""]")</f>
        <v>['Package', 'Phone', 'SMS', 'Internet', 'Pulses', 'Sumpot', 'That Sege', 'Harm', 'Consumers', "]</v>
      </c>
      <c r="D2968" s="3">
        <v>1.0</v>
      </c>
    </row>
    <row r="2969" ht="15.75" customHeight="1">
      <c r="A2969" s="1">
        <v>3176.0</v>
      </c>
      <c r="B2969" s="3" t="s">
        <v>2866</v>
      </c>
      <c r="C2969" s="3" t="str">
        <f>IFERROR(__xludf.DUMMYFUNCTION("GOOGLETRANSLATE(B2969,""id"",""en"")"),"['', 'please', 'laa', 'road', 'college', 'kak', 'gini', 'story', 'change', 'card', 'kyk', ""]")</f>
        <v>['', 'please', 'laa', 'road', 'college', 'kak', 'gini', 'story', 'change', 'card', 'kyk', "]</v>
      </c>
      <c r="D2969" s="3">
        <v>1.0</v>
      </c>
    </row>
    <row r="2970" ht="15.75" customHeight="1">
      <c r="A2970" s="1">
        <v>3178.0</v>
      </c>
      <c r="B2970" s="3" t="s">
        <v>2867</v>
      </c>
      <c r="C2970" s="3" t="str">
        <f>IFERROR(__xludf.DUMMYFUNCTION("GOOGLETRANSLATE(B2970,""id"",""en"")"),"['Steady', 'like', '']")</f>
        <v>['Steady', 'like', '']</v>
      </c>
      <c r="D2970" s="3">
        <v>5.0</v>
      </c>
    </row>
    <row r="2971" ht="15.75" customHeight="1">
      <c r="A2971" s="1">
        <v>3179.0</v>
      </c>
      <c r="B2971" s="3" t="s">
        <v>2868</v>
      </c>
      <c r="C2971" s="3" t="str">
        <f>IFERROR(__xludf.DUMMYFUNCTION("GOOGLETRANSLATE(B2971,""id"",""en"")"),"['Application', 'Sangan', 'Good', 'Cekout', 'Say', 'Get', 'Package', 'Thanks', 'The Application', 'Good', 'Like']")</f>
        <v>['Application', 'Sangan', 'Good', 'Cekout', 'Say', 'Get', 'Package', 'Thanks', 'The Application', 'Good', 'Like']</v>
      </c>
      <c r="D2971" s="3">
        <v>5.0</v>
      </c>
    </row>
    <row r="2972" ht="15.75" customHeight="1">
      <c r="A2972" s="1">
        <v>3180.0</v>
      </c>
      <c r="B2972" s="3" t="s">
        <v>2869</v>
      </c>
      <c r="C2972" s="3" t="str">
        <f>IFERROR(__xludf.DUMMYFUNCTION("GOOGLETRANSLATE(B2972,""id"",""en"")"),"['Package', 'Internet', 'Telkomsel', 'Details', 'Money', 'People', 'The Network', 'Network', 'Bisukkkk']")</f>
        <v>['Package', 'Internet', 'Telkomsel', 'Details', 'Money', 'People', 'The Network', 'Network', 'Bisukkkk']</v>
      </c>
      <c r="D2972" s="3">
        <v>1.0</v>
      </c>
    </row>
    <row r="2973" ht="15.75" customHeight="1">
      <c r="A2973" s="1">
        <v>3181.0</v>
      </c>
      <c r="B2973" s="3" t="s">
        <v>2870</v>
      </c>
      <c r="C2973" s="3" t="str">
        <f>IFERROR(__xludf.DUMMYFUNCTION("GOOGLETRANSLATE(B2973,""id"",""en"")"),"['Application', 'Useful']")</f>
        <v>['Application', 'Useful']</v>
      </c>
      <c r="D2973" s="3">
        <v>4.0</v>
      </c>
    </row>
    <row r="2974" ht="15.75" customHeight="1">
      <c r="A2974" s="1">
        <v>3182.0</v>
      </c>
      <c r="B2974" s="3" t="s">
        <v>2871</v>
      </c>
      <c r="C2974" s="3" t="str">
        <f>IFERROR(__xludf.DUMMYFUNCTION("GOOGLETRANSLATE(B2974,""id"",""en"")"),"['expensive', 'package', 'ing', 'signal', 'that's',' package ',' cheap ',' dizzy ',' ing ',' udh ',' slow ',' what ',' SIHH ',' NT ',' Thank ',' Love ',' ']")</f>
        <v>['expensive', 'package', 'ing', 'signal', 'that's',' package ',' cheap ',' dizzy ',' ing ',' udh ',' slow ',' what ',' SIHH ',' NT ',' Thank ',' Love ',' ']</v>
      </c>
      <c r="D2974" s="3">
        <v>1.0</v>
      </c>
    </row>
    <row r="2975" ht="15.75" customHeight="1">
      <c r="A2975" s="1">
        <v>3183.0</v>
      </c>
      <c r="B2975" s="3" t="s">
        <v>2872</v>
      </c>
      <c r="C2975" s="3" t="str">
        <f>IFERROR(__xludf.DUMMYFUNCTION("GOOGLETRANSLATE(B2975,""id"",""en"")"),"['Optimize', 'Loading', 'Error', '']")</f>
        <v>['Optimize', 'Loading', 'Error', '']</v>
      </c>
      <c r="D2975" s="3">
        <v>5.0</v>
      </c>
    </row>
    <row r="2976" ht="15.75" customHeight="1">
      <c r="A2976" s="1">
        <v>3184.0</v>
      </c>
      <c r="B2976" s="3" t="s">
        <v>2873</v>
      </c>
      <c r="C2976" s="3" t="str">
        <f>IFERROR(__xludf.DUMMYFUNCTION("GOOGLETRANSLATE(B2976,""id"",""en"")"),"['Hopefully', 'BYK', 'bonus', 'quota', 'Hopefully', 'Lock', 'Unlock', 'pulse', 'Sumpot', 'Abis', 'quota']")</f>
        <v>['Hopefully', 'BYK', 'bonus', 'quota', 'Hopefully', 'Lock', 'Unlock', 'pulse', 'Sumpot', 'Abis', 'quota']</v>
      </c>
      <c r="D2976" s="3">
        <v>5.0</v>
      </c>
    </row>
    <row r="2977" ht="15.75" customHeight="1">
      <c r="A2977" s="1">
        <v>3185.0</v>
      </c>
      <c r="B2977" s="3" t="s">
        <v>163</v>
      </c>
      <c r="C2977" s="3" t="str">
        <f>IFERROR(__xludf.DUMMYFUNCTION("GOOGLETRANSLATE(B2977,""id"",""en"")"),"['easy', 'fast']")</f>
        <v>['easy', 'fast']</v>
      </c>
      <c r="D2977" s="3">
        <v>5.0</v>
      </c>
    </row>
    <row r="2978" ht="15.75" customHeight="1">
      <c r="A2978" s="1">
        <v>3186.0</v>
      </c>
      <c r="B2978" s="3" t="s">
        <v>2874</v>
      </c>
      <c r="C2978" s="3" t="str">
        <f>IFERROR(__xludf.DUMMYFUNCTION("GOOGLETRANSLATE(B2978,""id"",""en"")"),"['promo', 'price', 'is',' compete ',' neighbor ',' next door ',' next door ',' GB ',' quota ',' hrga ',' Telkomsel ',' quota ',' family ',' expensive ',' really ',' smpe ',' electricity ',' go out ',' knpa ',' signal ',' drop ',' ndk ',' genset ',' backup"&amp;" ',' tower ' , 'Prussaan', 'BUMN', 'Shrim', 'Professional']")</f>
        <v>['promo', 'price', 'is',' compete ',' neighbor ',' next door ',' next door ',' GB ',' quota ',' hrga ',' Telkomsel ',' quota ',' family ',' expensive ',' really ',' smpe ',' electricity ',' go out ',' knpa ',' signal ',' drop ',' ndk ',' genset ',' backup ',' tower ' , 'Prussaan', 'BUMN', 'Shrim', 'Professional']</v>
      </c>
      <c r="D2978" s="3">
        <v>4.0</v>
      </c>
    </row>
    <row r="2979" ht="15.75" customHeight="1">
      <c r="A2979" s="1">
        <v>3187.0</v>
      </c>
      <c r="B2979" s="3" t="s">
        <v>2875</v>
      </c>
      <c r="C2979" s="3" t="str">
        <f>IFERROR(__xludf.DUMMYFUNCTION("GOOGLETRANSLATE(B2979,""id"",""en"")"),"['skarang', 'the application', 'lalot', 'skali', 'sometimes', 'fast', 'sometimes', 'slow']")</f>
        <v>['skarang', 'the application', 'lalot', 'skali', 'sometimes', 'fast', 'sometimes', 'slow']</v>
      </c>
      <c r="D2979" s="3">
        <v>2.0</v>
      </c>
    </row>
    <row r="2980" ht="15.75" customHeight="1">
      <c r="A2980" s="1">
        <v>3188.0</v>
      </c>
      <c r="B2980" s="3" t="s">
        <v>2876</v>
      </c>
      <c r="C2980" s="3" t="str">
        <f>IFERROR(__xludf.DUMMYFUNCTION("GOOGLETRANSLATE(B2980,""id"",""en"")"),"['card', 'already', 'package', 'changed', 'price', 'expensive', 'cheap']")</f>
        <v>['card', 'already', 'package', 'changed', 'price', 'expensive', 'cheap']</v>
      </c>
      <c r="D2980" s="3">
        <v>3.0</v>
      </c>
    </row>
    <row r="2981" ht="15.75" customHeight="1">
      <c r="A2981" s="1">
        <v>3189.0</v>
      </c>
      <c r="B2981" s="3" t="s">
        <v>2877</v>
      </c>
      <c r="C2981" s="3" t="str">
        <f>IFERROR(__xludf.DUMMYFUNCTION("GOOGLETRANSLATE(B2981,""id"",""en"")"),"['', 'rich', 'sympathy', 'knapa', 'skrg', 'sympathy', 'signal', 'weak', ""]")</f>
        <v>['', 'rich', 'sympathy', 'knapa', 'skrg', 'sympathy', 'signal', 'weak', "]</v>
      </c>
      <c r="D2981" s="3">
        <v>5.0</v>
      </c>
    </row>
    <row r="2982" ht="15.75" customHeight="1">
      <c r="A2982" s="1">
        <v>3190.0</v>
      </c>
      <c r="B2982" s="3" t="s">
        <v>2878</v>
      </c>
      <c r="C2982" s="3" t="str">
        <f>IFERROR(__xludf.DUMMYFUNCTION("GOOGLETRANSLATE(B2982,""id"",""en"")"),"['Price', 'Ekomis', 'crawl', 'signal', 'no', 'stable', ""]")</f>
        <v>['Price', 'Ekomis', 'crawl', 'signal', 'no', 'stable', "]</v>
      </c>
      <c r="D2982" s="3">
        <v>1.0</v>
      </c>
    </row>
    <row r="2983" ht="15.75" customHeight="1">
      <c r="A2983" s="1">
        <v>3192.0</v>
      </c>
      <c r="B2983" s="3" t="s">
        <v>2879</v>
      </c>
      <c r="C2983" s="3" t="str">
        <f>IFERROR(__xludf.DUMMYFUNCTION("GOOGLETRANSLATE(B2983,""id"",""en"")"),"['Mantab']")</f>
        <v>['Mantab']</v>
      </c>
      <c r="D2983" s="3">
        <v>5.0</v>
      </c>
    </row>
    <row r="2984" ht="15.75" customHeight="1">
      <c r="A2984" s="1">
        <v>3193.0</v>
      </c>
      <c r="B2984" s="3" t="s">
        <v>2880</v>
      </c>
      <c r="C2984" s="3" t="str">
        <f>IFERROR(__xludf.DUMMYFUNCTION("GOOGLETRANSLATE(B2984,""id"",""en"")"),"['Claim', 'data', 'failed', 'sometimes', 'SAFE', 'Litu']")</f>
        <v>['Claim', 'data', 'failed', 'sometimes', 'SAFE', 'Litu']</v>
      </c>
      <c r="D2984" s="3">
        <v>2.0</v>
      </c>
    </row>
    <row r="2985" ht="15.75" customHeight="1">
      <c r="A2985" s="1">
        <v>3194.0</v>
      </c>
      <c r="B2985" s="3" t="s">
        <v>2881</v>
      </c>
      <c r="C2985" s="3" t="str">
        <f>IFERROR(__xludf.DUMMYFUNCTION("GOOGLETRANSLATE(B2985,""id"",""en"")"),"['Severe', 'contents', 'pulses', 'thousand', 'pulses', 'thousand', 'disappear', 'thousand', 'responsible']")</f>
        <v>['Severe', 'contents', 'pulses', 'thousand', 'pulses', 'thousand', 'disappear', 'thousand', 'responsible']</v>
      </c>
      <c r="D2985" s="3">
        <v>1.0</v>
      </c>
    </row>
    <row r="2986" ht="15.75" customHeight="1">
      <c r="A2986" s="1">
        <v>3195.0</v>
      </c>
      <c r="B2986" s="3" t="s">
        <v>2882</v>
      </c>
      <c r="C2986" s="3" t="str">
        <f>IFERROR(__xludf.DUMMYFUNCTION("GOOGLETRANSLATE(B2986,""id"",""en"")"),"['Please', 'fix', 'lgi', 'slow', '']")</f>
        <v>['Please', 'fix', 'lgi', 'slow', '']</v>
      </c>
      <c r="D2986" s="3">
        <v>4.0</v>
      </c>
    </row>
    <row r="2987" ht="15.75" customHeight="1">
      <c r="A2987" s="1">
        <v>3196.0</v>
      </c>
      <c r="B2987" s="3" t="s">
        <v>2883</v>
      </c>
      <c r="C2987" s="3" t="str">
        <f>IFERROR(__xludf.DUMMYFUNCTION("GOOGLETRANSLATE(B2987,""id"",""en"")"),"['Good', 'llllllllll']")</f>
        <v>['Good', 'llllllllll']</v>
      </c>
      <c r="D2987" s="3">
        <v>5.0</v>
      </c>
    </row>
    <row r="2988" ht="15.75" customHeight="1">
      <c r="A2988" s="1">
        <v>3197.0</v>
      </c>
      <c r="B2988" s="3" t="s">
        <v>2884</v>
      </c>
      <c r="C2988" s="3" t="str">
        <f>IFERROR(__xludf.DUMMYFUNCTION("GOOGLETRANSLATE(B2988,""id"",""en"")"),"['Learning', 'Hopefully', 'Helpful']")</f>
        <v>['Learning', 'Hopefully', 'Helpful']</v>
      </c>
      <c r="D2988" s="3">
        <v>1.0</v>
      </c>
    </row>
    <row r="2989" ht="15.75" customHeight="1">
      <c r="A2989" s="1">
        <v>3198.0</v>
      </c>
      <c r="B2989" s="3" t="s">
        <v>2885</v>
      </c>
      <c r="C2989" s="3" t="str">
        <f>IFERROR(__xludf.DUMMYFUNCTION("GOOGLETRANSLATE(B2989,""id"",""en"")"),"['Good', 'really', 'help', 'promo', 'increase']")</f>
        <v>['Good', 'really', 'help', 'promo', 'increase']</v>
      </c>
      <c r="D2989" s="3">
        <v>5.0</v>
      </c>
    </row>
    <row r="2990" ht="15.75" customHeight="1">
      <c r="A2990" s="1">
        <v>3199.0</v>
      </c>
      <c r="B2990" s="3" t="s">
        <v>2886</v>
      </c>
      <c r="C2990" s="3" t="str">
        <f>IFERROR(__xludf.DUMMYFUNCTION("GOOGLETRANSLATE(B2990,""id"",""en"")"),"['Satisfied', 'Service']")</f>
        <v>['Satisfied', 'Service']</v>
      </c>
      <c r="D2990" s="3">
        <v>5.0</v>
      </c>
    </row>
    <row r="2991" ht="15.75" customHeight="1">
      <c r="A2991" s="1">
        <v>3200.0</v>
      </c>
      <c r="B2991" s="3" t="s">
        <v>2887</v>
      </c>
      <c r="C2991" s="3" t="str">
        <f>IFERROR(__xludf.DUMMYFUNCTION("GOOGLETRANSLATE(B2991,""id"",""en"")"),"['customer', 'loyal', 'Telkomsel', 'lazy', 'Telkomsel', 'already', 'package', 'internet', 'expensive', 'signal', 'like', 'ngelag', ' Ngani ',' promo ',' package ',' cheap ',' quota ',' active ',' kayak ',' intend ',' nge ',' promo ',' customer ',' mending"&amp;" ',' call ' , 'free', 'operator', 'cheap', 'package', 'internet', 'affordable', 'quota', 'abundant', 'basically', 'satisfied', 'deh', 'gojek', ' Unlimited ',' Package ',' On ',' ']")</f>
        <v>['customer', 'loyal', 'Telkomsel', 'lazy', 'Telkomsel', 'already', 'package', 'internet', 'expensive', 'signal', 'like', 'ngelag', ' Ngani ',' promo ',' package ',' cheap ',' quota ',' active ',' kayak ',' intend ',' nge ',' promo ',' customer ',' mending ',' call ' , 'free', 'operator', 'cheap', 'package', 'internet', 'affordable', 'quota', 'abundant', 'basically', 'satisfied', 'deh', 'gojek', ' Unlimited ',' Package ',' On ',' ']</v>
      </c>
      <c r="D2991" s="3">
        <v>1.0</v>
      </c>
    </row>
    <row r="2992" ht="15.75" customHeight="1">
      <c r="A2992" s="1">
        <v>3201.0</v>
      </c>
      <c r="B2992" s="3" t="s">
        <v>2888</v>
      </c>
      <c r="C2992" s="3" t="str">
        <f>IFERROR(__xludf.DUMMYFUNCTION("GOOGLETRANSLATE(B2992,""id"",""en"")"),"['Simple', 'Efficient', 'Mantabbb', 'Goodluck']")</f>
        <v>['Simple', 'Efficient', 'Mantabbb', 'Goodluck']</v>
      </c>
      <c r="D2992" s="3">
        <v>5.0</v>
      </c>
    </row>
    <row r="2993" ht="15.75" customHeight="1">
      <c r="A2993" s="1">
        <v>3202.0</v>
      </c>
      <c r="B2993" s="3" t="s">
        <v>2889</v>
      </c>
      <c r="C2993" s="3" t="str">
        <f>IFERROR(__xludf.DUMMYFUNCTION("GOOGLETRANSLATE(B2993,""id"",""en"")"),"['Dear', 'Telkomsel', 'as',' user ',' card ',' Tsel ',' number ',' KNPA ',' price ',' pulse ',' internet ',' expensive ',' Promo ',' number ',' just ',' skli ',' promo ',' ']")</f>
        <v>['Dear', 'Telkomsel', 'as',' user ',' card ',' Tsel ',' number ',' KNPA ',' price ',' pulse ',' internet ',' expensive ',' Promo ',' number ',' just ',' skli ',' promo ',' ']</v>
      </c>
      <c r="D2993" s="3">
        <v>1.0</v>
      </c>
    </row>
    <row r="2994" ht="15.75" customHeight="1">
      <c r="A2994" s="1">
        <v>3203.0</v>
      </c>
      <c r="B2994" s="3" t="s">
        <v>2890</v>
      </c>
      <c r="C2994" s="3" t="str">
        <f>IFERROR(__xludf.DUMMYFUNCTION("GOOGLETRANSLATE(B2994,""id"",""en"")"),"['signal', 'Telkomsel', 'defective', 'severe', 'signal', 'kayak', 'signal', 'Telkomsel', 'severe', 'repair', 'reach', 'remote']")</f>
        <v>['signal', 'Telkomsel', 'defective', 'severe', 'signal', 'kayak', 'signal', 'Telkomsel', 'severe', 'repair', 'reach', 'remote']</v>
      </c>
      <c r="D2994" s="3">
        <v>1.0</v>
      </c>
    </row>
    <row r="2995" ht="15.75" customHeight="1">
      <c r="A2995" s="1">
        <v>3204.0</v>
      </c>
      <c r="B2995" s="3" t="s">
        <v>2891</v>
      </c>
      <c r="C2995" s="3" t="str">
        <f>IFERROR(__xludf.DUMMYFUNCTION("GOOGLETRANSLATE(B2995,""id"",""en"")"),"['Use', 'Telkomsel', 'Telkomsel', 'Good', 'Telkomsel', 'Mantap', ""]")</f>
        <v>['Use', 'Telkomsel', 'Telkomsel', 'Good', 'Telkomsel', 'Mantap', "]</v>
      </c>
      <c r="D2995" s="3">
        <v>4.0</v>
      </c>
    </row>
    <row r="2996" ht="15.75" customHeight="1">
      <c r="A2996" s="1">
        <v>3205.0</v>
      </c>
      <c r="B2996" s="3" t="s">
        <v>2892</v>
      </c>
      <c r="C2996" s="3" t="str">
        <f>IFERROR(__xludf.DUMMYFUNCTION("GOOGLETRANSLATE(B2996,""id"",""en"")"),"['Satisfied', 'hope', 'YABG', 'Best']")</f>
        <v>['Satisfied', 'hope', 'YABG', 'Best']</v>
      </c>
      <c r="D2996" s="3">
        <v>5.0</v>
      </c>
    </row>
    <row r="2997" ht="15.75" customHeight="1">
      <c r="A2997" s="1">
        <v>3206.0</v>
      </c>
      <c r="B2997" s="3" t="s">
        <v>2893</v>
      </c>
      <c r="C2997" s="3" t="str">
        <f>IFERROR(__xludf.DUMMYFUNCTION("GOOGLETRANSLATE(B2997,""id"",""en"")"),"['Change', 'card', 'COK', 'Telkomsel', 'expensive', 'slow', 'loss', 'bought']")</f>
        <v>['Change', 'card', 'COK', 'Telkomsel', 'expensive', 'slow', 'loss', 'bought']</v>
      </c>
      <c r="D2997" s="3">
        <v>1.0</v>
      </c>
    </row>
    <row r="2998" ht="15.75" customHeight="1">
      <c r="A2998" s="1">
        <v>3207.0</v>
      </c>
      <c r="B2998" s="3" t="s">
        <v>2894</v>
      </c>
      <c r="C2998" s="3" t="str">
        <f>IFERROR(__xludf.DUMMYFUNCTION("GOOGLETRANSLATE(B2998,""id"",""en"")"),"['Price', 'Package', 'expensive', 'user', 'Attention', 'Package', 'Package', 'Data', 'Cheap', 'User', 'Good', 'Move', ' Operator ',' Plat ',' Red ',' Changing ']")</f>
        <v>['Price', 'Package', 'expensive', 'user', 'Attention', 'Package', 'Package', 'Data', 'Cheap', 'User', 'Good', 'Move', ' Operator ',' Plat ',' Red ',' Changing ']</v>
      </c>
      <c r="D2998" s="3">
        <v>1.0</v>
      </c>
    </row>
    <row r="2999" ht="15.75" customHeight="1">
      <c r="A2999" s="1">
        <v>3208.0</v>
      </c>
      <c r="B2999" s="3" t="s">
        <v>2895</v>
      </c>
      <c r="C2999" s="3" t="str">
        <f>IFERROR(__xludf.DUMMYFUNCTION("GOOGLETRANSLATE(B2999,""id"",""en"")"),"['APK', 'SNGAT', 'HELP', 'Purchase', 'Quota', 'Pulses', 'Telkomsel', 'Thank you']")</f>
        <v>['APK', 'SNGAT', 'HELP', 'Purchase', 'Quota', 'Pulses', 'Telkomsel', 'Thank you']</v>
      </c>
      <c r="D2999" s="3">
        <v>5.0</v>
      </c>
    </row>
    <row r="3000" ht="15.75" customHeight="1">
      <c r="A3000" s="1">
        <v>3209.0</v>
      </c>
      <c r="B3000" s="3" t="s">
        <v>2896</v>
      </c>
      <c r="C3000" s="3" t="str">
        <f>IFERROR(__xludf.DUMMYFUNCTION("GOOGLETRANSLATE(B3000,""id"",""en"")"),"['Telkomsel', 'community', 'village', 'city', 'reinforced', 'signal']")</f>
        <v>['Telkomsel', 'community', 'village', 'city', 'reinforced', 'signal']</v>
      </c>
      <c r="D3000" s="3">
        <v>5.0</v>
      </c>
    </row>
    <row r="3001" ht="15.75" customHeight="1">
      <c r="A3001" s="1">
        <v>3210.0</v>
      </c>
      <c r="B3001" s="3" t="s">
        <v>2897</v>
      </c>
      <c r="C3001" s="3" t="str">
        <f>IFERROR(__xludf.DUMMYFUNCTION("GOOGLETRANSLATE(B3001,""id"",""en"")"),"['application', 'application', 'error', 'buy', 'package', 'data']")</f>
        <v>['application', 'application', 'error', 'buy', 'package', 'data']</v>
      </c>
      <c r="D3001" s="3">
        <v>1.0</v>
      </c>
    </row>
    <row r="3002" ht="15.75" customHeight="1">
      <c r="A3002" s="1">
        <v>3211.0</v>
      </c>
      <c r="B3002" s="3" t="s">
        <v>2898</v>
      </c>
      <c r="C3002" s="3" t="str">
        <f>IFERROR(__xludf.DUMMYFUNCTION("GOOGLETRANSLATE(B3002,""id"",""en"")"),"['', 'buy', 'package', 'combo', 'balance', '']")</f>
        <v>['', 'buy', 'package', 'combo', 'balance', '']</v>
      </c>
      <c r="D3002" s="3">
        <v>3.0</v>
      </c>
    </row>
    <row r="3003" ht="15.75" customHeight="1">
      <c r="A3003" s="1">
        <v>3212.0</v>
      </c>
      <c r="B3003" s="3" t="s">
        <v>2899</v>
      </c>
      <c r="C3003" s="3" t="str">
        <f>IFERROR(__xludf.DUMMYFUNCTION("GOOGLETRANSLATE(B3003,""id"",""en"")"),"['Network', 'lost', 'expensive', 'network', 'slow', 'pulses', 'sucked', 'zero', 'star', 'Telkomsel', ""]")</f>
        <v>['Network', 'lost', 'expensive', 'network', 'slow', 'pulses', 'sucked', 'zero', 'star', 'Telkomsel', "]</v>
      </c>
      <c r="D3003" s="3">
        <v>1.0</v>
      </c>
    </row>
    <row r="3004" ht="15.75" customHeight="1">
      <c r="A3004" s="1">
        <v>3213.0</v>
      </c>
      <c r="B3004" s="3" t="s">
        <v>2900</v>
      </c>
      <c r="C3004" s="3" t="str">
        <f>IFERROR(__xludf.DUMMYFUNCTION("GOOGLETRANSLATE(B3004,""id"",""en"")"),"['Collaboration', 'Thank you', 'Telkomsel']")</f>
        <v>['Collaboration', 'Thank you', 'Telkomsel']</v>
      </c>
      <c r="D3004" s="3">
        <v>5.0</v>
      </c>
    </row>
    <row r="3005" ht="15.75" customHeight="1">
      <c r="A3005" s="1">
        <v>3214.0</v>
      </c>
      <c r="B3005" s="3" t="s">
        <v>2901</v>
      </c>
      <c r="C3005" s="3" t="str">
        <f>IFERROR(__xludf.DUMMYFUNCTION("GOOGLETRANSLATE(B3005,""id"",""en"")"),"['pulse', 'lost', 'usage', 'signal', 'down', 'network', 'internet', 'problematic', 'slow', 'sometimes']")</f>
        <v>['pulse', 'lost', 'usage', 'signal', 'down', 'network', 'internet', 'problematic', 'slow', 'sometimes']</v>
      </c>
      <c r="D3005" s="3">
        <v>1.0</v>
      </c>
    </row>
    <row r="3006" ht="15.75" customHeight="1">
      <c r="A3006" s="1">
        <v>3215.0</v>
      </c>
      <c r="B3006" s="3" t="s">
        <v>2902</v>
      </c>
      <c r="C3006" s="3" t="str">
        <f>IFERROR(__xludf.DUMMYFUNCTION("GOOGLETRANSLATE(B3006,""id"",""en"")"),"['run', 'comfortable', 'users',' Telkomsel ',' Network ',' Telkomsel ',' ugly ',' Please ',' Understand ',' Region ',' Network ',' Telkomsel ',' Fix ',' run ',' smooth ',' ']")</f>
        <v>['run', 'comfortable', 'users',' Telkomsel ',' Network ',' Telkomsel ',' ugly ',' Please ',' Understand ',' Region ',' Network ',' Telkomsel ',' Fix ',' run ',' smooth ',' ']</v>
      </c>
      <c r="D3006" s="3">
        <v>5.0</v>
      </c>
    </row>
    <row r="3007" ht="15.75" customHeight="1">
      <c r="A3007" s="1">
        <v>3217.0</v>
      </c>
      <c r="B3007" s="3" t="s">
        <v>2903</v>
      </c>
      <c r="C3007" s="3" t="str">
        <f>IFERROR(__xludf.DUMMYFUNCTION("GOOGLETRANSLATE(B3007,""id"",""en"")"),"['Telkomsel', 'Tera', 'Easy', '']")</f>
        <v>['Telkomsel', 'Tera', 'Easy', '']</v>
      </c>
      <c r="D3007" s="3">
        <v>5.0</v>
      </c>
    </row>
    <row r="3008" ht="15.75" customHeight="1">
      <c r="A3008" s="1">
        <v>3218.0</v>
      </c>
      <c r="B3008" s="3" t="s">
        <v>2904</v>
      </c>
      <c r="C3008" s="3" t="str">
        <f>IFERROR(__xludf.DUMMYFUNCTION("GOOGLETRANSLATE(B3008,""id"",""en"")"),"['Payment', 'Siaculaku']")</f>
        <v>['Payment', 'Siaculaku']</v>
      </c>
      <c r="D3008" s="3">
        <v>5.0</v>
      </c>
    </row>
    <row r="3009" ht="15.75" customHeight="1">
      <c r="A3009" s="1">
        <v>3219.0</v>
      </c>
      <c r="B3009" s="3" t="s">
        <v>2905</v>
      </c>
      <c r="C3009" s="3" t="str">
        <f>IFERROR(__xludf.DUMMYFUNCTION("GOOGLETRANSLATE(B3009,""id"",""en"")"),"['Hopefully', 'promo', 'cheap']")</f>
        <v>['Hopefully', 'promo', 'cheap']</v>
      </c>
      <c r="D3009" s="3">
        <v>5.0</v>
      </c>
    </row>
    <row r="3010" ht="15.75" customHeight="1">
      <c r="A3010" s="1">
        <v>3220.0</v>
      </c>
      <c r="B3010" s="3" t="s">
        <v>2906</v>
      </c>
      <c r="C3010" s="3" t="str">
        <f>IFERROR(__xludf.DUMMYFUNCTION("GOOGLETRANSLATE(B3010,""id"",""en"")"),"['Package', 'Data', 'Expensive', 'Package', 'Internet', 'Sakti', 'Application']")</f>
        <v>['Package', 'Data', 'Expensive', 'Package', 'Internet', 'Sakti', 'Application']</v>
      </c>
      <c r="D3010" s="3">
        <v>3.0</v>
      </c>
    </row>
    <row r="3011" ht="15.75" customHeight="1">
      <c r="A3011" s="1">
        <v>3221.0</v>
      </c>
      <c r="B3011" s="3" t="s">
        <v>2907</v>
      </c>
      <c r="C3011" s="3" t="str">
        <f>IFERROR(__xludf.DUMMYFUNCTION("GOOGLETRANSLATE(B3011,""id"",""en"")"),"['Quality', 'Network', 'Good', '']")</f>
        <v>['Quality', 'Network', 'Good', '']</v>
      </c>
      <c r="D3011" s="3">
        <v>1.0</v>
      </c>
    </row>
    <row r="3012" ht="15.75" customHeight="1">
      <c r="A3012" s="1">
        <v>3222.0</v>
      </c>
      <c r="B3012" s="3" t="s">
        <v>2908</v>
      </c>
      <c r="C3012" s="3" t="str">
        <f>IFERROR(__xludf.DUMMYFUNCTION("GOOGLETRANSLATE(B3012,""id"",""en"")"),"['Baguss', 'practical', 'cheap', 'price']")</f>
        <v>['Baguss', 'practical', 'cheap', 'price']</v>
      </c>
      <c r="D3012" s="3">
        <v>5.0</v>
      </c>
    </row>
    <row r="3013" ht="15.75" customHeight="1">
      <c r="A3013" s="1">
        <v>3223.0</v>
      </c>
      <c r="B3013" s="3" t="s">
        <v>2909</v>
      </c>
      <c r="C3013" s="3" t="str">
        <f>IFERROR(__xludf.DUMMYFUNCTION("GOOGLETRANSLATE(B3013,""id"",""en"")"),"['Lho', 'use', 'Telkomsel', 'connected', 'internet', 'connection', 'city', 'connection', 'super', 'stable', 'good', 'job', ' Telkomsel ']")</f>
        <v>['Lho', 'use', 'Telkomsel', 'connected', 'internet', 'connection', 'city', 'connection', 'super', 'stable', 'good', 'job', ' Telkomsel ']</v>
      </c>
      <c r="D3013" s="3">
        <v>1.0</v>
      </c>
    </row>
    <row r="3014" ht="15.75" customHeight="1">
      <c r="A3014" s="1">
        <v>3224.0</v>
      </c>
      <c r="B3014" s="3" t="s">
        <v>2910</v>
      </c>
      <c r="C3014" s="3" t="str">
        <f>IFERROR(__xludf.DUMMYFUNCTION("GOOGLETRANSLATE(B3014,""id"",""en"")"),"['Gara', 'Gara', 'Telkomsel', 'Main', 'Lost', 'Game', 'Game', 'Sampe', 'Game', 'Red', 'Mulu', 'Signal', ' UDH ',' Change ',' Network ',' Clean ',' Waste ',' Delete ',' File ',' Fike ',' Results', 'Knp', 'Telkomsel', 'Changed', 'Current' , 'UDH', 'Changed'"&amp;", 'Ngelag', 'Very', 'Males', 'Make', '']")</f>
        <v>['Gara', 'Gara', 'Telkomsel', 'Main', 'Lost', 'Game', 'Game', 'Sampe', 'Game', 'Red', 'Mulu', 'Signal', ' UDH ',' Change ',' Network ',' Clean ',' Waste ',' Delete ',' File ',' Fike ',' Results', 'Knp', 'Telkomsel', 'Changed', 'Current' , 'UDH', 'Changed', 'Ngelag', 'Very', 'Males', 'Make', '']</v>
      </c>
      <c r="D3014" s="3">
        <v>1.0</v>
      </c>
    </row>
    <row r="3015" ht="15.75" customHeight="1">
      <c r="A3015" s="1">
        <v>3225.0</v>
      </c>
      <c r="B3015" s="3" t="s">
        <v>2911</v>
      </c>
      <c r="C3015" s="3" t="str">
        <f>IFERROR(__xludf.DUMMYFUNCTION("GOOGLETRANSLATE(B3015,""id"",""en"")"),"['quota', 'Daily', 'Chek', 'Tollikan', 'quota', 'main', 'pulse', 'cakeeeeeep', 'good', 'app', 'smart', 'customer', ' Fill ',' pulse ',' teroooossss', '']")</f>
        <v>['quota', 'Daily', 'Chek', 'Tollikan', 'quota', 'main', 'pulse', 'cakeeeeeep', 'good', 'app', 'smart', 'customer', ' Fill ',' pulse ',' teroooossss', '']</v>
      </c>
      <c r="D3015" s="3">
        <v>1.0</v>
      </c>
    </row>
    <row r="3016" ht="15.75" customHeight="1">
      <c r="A3016" s="1">
        <v>3226.0</v>
      </c>
      <c r="B3016" s="3" t="s">
        <v>2912</v>
      </c>
      <c r="C3016" s="3" t="str">
        <f>IFERROR(__xludf.DUMMYFUNCTION("GOOGLETRANSLATE(B3016,""id"",""en"")"),"['Service', 'obstacles', 'fast', 'resolved', 'hope', 'spirit', 'healthy', ""]")</f>
        <v>['Service', 'obstacles', 'fast', 'resolved', 'hope', 'spirit', 'healthy', "]</v>
      </c>
      <c r="D3016" s="3">
        <v>5.0</v>
      </c>
    </row>
    <row r="3017" ht="15.75" customHeight="1">
      <c r="A3017" s="1">
        <v>3227.0</v>
      </c>
      <c r="B3017" s="3" t="s">
        <v>2913</v>
      </c>
      <c r="C3017" s="3" t="str">
        <f>IFERROR(__xludf.DUMMYFUNCTION("GOOGLETRANSLATE(B3017,""id"",""en"")"),"['Network', 'evenly', 'speed', 'signal', 'standard', 'fast', 'slow']")</f>
        <v>['Network', 'evenly', 'speed', 'signal', 'standard', 'fast', 'slow']</v>
      </c>
      <c r="D3017" s="3">
        <v>4.0</v>
      </c>
    </row>
    <row r="3018" ht="15.75" customHeight="1">
      <c r="A3018" s="1">
        <v>3228.0</v>
      </c>
      <c r="B3018" s="3" t="s">
        <v>2914</v>
      </c>
      <c r="C3018" s="3" t="str">
        <f>IFERROR(__xludf.DUMMYFUNCTION("GOOGLETRANSLATE(B3018,""id"",""en"")"),"['Price', 'quota', 'expensive']")</f>
        <v>['Price', 'quota', 'expensive']</v>
      </c>
      <c r="D3018" s="3">
        <v>1.0</v>
      </c>
    </row>
    <row r="3019" ht="15.75" customHeight="1">
      <c r="A3019" s="1">
        <v>3229.0</v>
      </c>
      <c r="B3019" s="3" t="s">
        <v>2915</v>
      </c>
      <c r="C3019" s="3" t="str">
        <f>IFERROR(__xludf.DUMMYFUNCTION("GOOGLETRANSLATE(B3019,""id"",""en"")"),"['Severe', 'right', 'package', 'full', 'kouta', 'speed', 'internet', 'oath', 'anything', 'slow', 'right', 'kouta', ' Stay ',' crazy ',' Speddnya ',' ajim ',' Sat ',' petrified ',' proveider ',' bother ',' people ', ""]")</f>
        <v>['Severe', 'right', 'package', 'full', 'kouta', 'speed', 'internet', 'oath', 'anything', 'slow', 'right', 'kouta', ' Stay ',' crazy ',' Speddnya ',' ajim ',' Sat ',' petrified ',' proveider ',' bother ',' people ', "]</v>
      </c>
      <c r="D3019" s="3">
        <v>2.0</v>
      </c>
    </row>
    <row r="3020" ht="15.75" customHeight="1">
      <c r="A3020" s="1">
        <v>3230.0</v>
      </c>
      <c r="B3020" s="3" t="s">
        <v>2916</v>
      </c>
      <c r="C3020" s="3" t="str">
        <f>IFERROR(__xludf.DUMMYFUNCTION("GOOGLETRANSLATE(B3020,""id"",""en"")"),"['Tlong', 'fix', 'APK']")</f>
        <v>['Tlong', 'fix', 'APK']</v>
      </c>
      <c r="D3020" s="3">
        <v>3.0</v>
      </c>
    </row>
    <row r="3021" ht="15.75" customHeight="1">
      <c r="A3021" s="1">
        <v>3231.0</v>
      </c>
      <c r="B3021" s="3" t="s">
        <v>2917</v>
      </c>
      <c r="C3021" s="3" t="str">
        <f>IFERROR(__xludf.DUMMYFUNCTION("GOOGLETRANSLATE(B3021,""id"",""en"")"),"['Good', 'user', 'Telkomsel']")</f>
        <v>['Good', 'user', 'Telkomsel']</v>
      </c>
      <c r="D3021" s="3">
        <v>4.0</v>
      </c>
    </row>
    <row r="3022" ht="15.75" customHeight="1">
      <c r="A3022" s="1">
        <v>3232.0</v>
      </c>
      <c r="B3022" s="3" t="s">
        <v>2918</v>
      </c>
      <c r="C3022" s="3" t="str">
        <f>IFERROR(__xludf.DUMMYFUNCTION("GOOGLETRANSLATE(B3022,""id"",""en"")"),"['', 'bad', 'depends', 'choose', ""]")</f>
        <v>['', 'bad', 'depends', 'choose', "]</v>
      </c>
      <c r="D3022" s="3">
        <v>1.0</v>
      </c>
    </row>
    <row r="3023" ht="15.75" customHeight="1">
      <c r="A3023" s="1">
        <v>3234.0</v>
      </c>
      <c r="B3023" s="3" t="s">
        <v>2919</v>
      </c>
      <c r="C3023" s="3" t="str">
        <f>IFERROR(__xludf.DUMMYFUNCTION("GOOGLETRANSLATE(B3023,""id"",""en"")"),"['active', 'card', 'road', 'slalu', 'grace', 'already', 'fill', '']")</f>
        <v>['active', 'card', 'road', 'slalu', 'grace', 'already', 'fill', '']</v>
      </c>
      <c r="D3023" s="3">
        <v>2.0</v>
      </c>
    </row>
    <row r="3024" ht="15.75" customHeight="1">
      <c r="A3024" s="1">
        <v>3235.0</v>
      </c>
      <c r="B3024" s="3" t="s">
        <v>2920</v>
      </c>
      <c r="C3024" s="3" t="str">
        <f>IFERROR(__xludf.DUMMYFUNCTION("GOOGLETRANSLATE(B3024,""id"",""en"")"),"['Telkomsel', 'smooth']")</f>
        <v>['Telkomsel', 'smooth']</v>
      </c>
      <c r="D3024" s="3">
        <v>5.0</v>
      </c>
    </row>
    <row r="3025" ht="15.75" customHeight="1">
      <c r="A3025" s="1">
        <v>3236.0</v>
      </c>
      <c r="B3025" s="3" t="s">
        <v>2921</v>
      </c>
      <c r="C3025" s="3" t="str">
        <f>IFERROR(__xludf.DUMMYFUNCTION("GOOGLETRANSLATE(B3025,""id"",""en"")"),"['Information', 'presented', 'easy', 'understood']")</f>
        <v>['Information', 'presented', 'easy', 'understood']</v>
      </c>
      <c r="D3025" s="3">
        <v>5.0</v>
      </c>
    </row>
    <row r="3026" ht="15.75" customHeight="1">
      <c r="A3026" s="1">
        <v>3237.0</v>
      </c>
      <c r="B3026" s="3" t="s">
        <v>2922</v>
      </c>
      <c r="C3026" s="3" t="str">
        <f>IFERROR(__xludf.DUMMYFUNCTION("GOOGLETRANSLATE(B3026,""id"",""en"")"),"['price', 'expensive', 'quality', 'network', 'slow']")</f>
        <v>['price', 'expensive', 'quality', 'network', 'slow']</v>
      </c>
      <c r="D3026" s="3">
        <v>1.0</v>
      </c>
    </row>
    <row r="3027" ht="15.75" customHeight="1">
      <c r="A3027" s="1">
        <v>3238.0</v>
      </c>
      <c r="B3027" s="3" t="s">
        <v>2923</v>
      </c>
      <c r="C3027" s="3" t="str">
        <f>IFERROR(__xludf.DUMMYFUNCTION("GOOGLETRANSLATE(B3027,""id"",""en"")"),"['Approaching', 'apk', 'tsel', 'different', 'sya', 'like', 'apk', 'krna', 'lbih', 'mudh', 'business',' pket ',' Data ',' call ',' cellular ',' Sya ',' Sring ',' enter ',' Dri ',' APK ',' check ',' pulse ',' package ',' nmun ',' Thun ' , 'brighta', 'apk', "&amp;"'tsel', 'strange', 'sudh', 'time', 'install', 'reset', 'cause', 'enter', 'background', 'white', ' Plain ',' Deliver ',' Delete ',' APK ',' Install ',' Kmbali ',' APK ',' Function ',' ']")</f>
        <v>['Approaching', 'apk', 'tsel', 'different', 'sya', 'like', 'apk', 'krna', 'lbih', 'mudh', 'business',' pket ',' Data ',' call ',' cellular ',' Sya ',' Sring ',' enter ',' Dri ',' APK ',' check ',' pulse ',' package ',' nmun ',' Thun ' , 'brighta', 'apk', 'tsel', 'strange', 'sudh', 'time', 'install', 'reset', 'cause', 'enter', 'background', 'white', ' Plain ',' Deliver ',' Delete ',' APK ',' Install ',' Kmbali ',' APK ',' Function ',' ']</v>
      </c>
      <c r="D3027" s="3">
        <v>2.0</v>
      </c>
    </row>
    <row r="3028" ht="15.75" customHeight="1">
      <c r="A3028" s="1">
        <v>3239.0</v>
      </c>
      <c r="B3028" s="3" t="s">
        <v>2924</v>
      </c>
      <c r="C3028" s="3" t="str">
        <f>IFERROR(__xludf.DUMMYFUNCTION("GOOGLETRANSLATE(B3028,""id"",""en"")"),"['Liat']")</f>
        <v>['Liat']</v>
      </c>
      <c r="D3028" s="3">
        <v>1.0</v>
      </c>
    </row>
    <row r="3029" ht="15.75" customHeight="1">
      <c r="A3029" s="1">
        <v>3240.0</v>
      </c>
      <c r="B3029" s="3" t="s">
        <v>2925</v>
      </c>
      <c r="C3029" s="3" t="str">
        <f>IFERROR(__xludf.DUMMYFUNCTION("GOOGLETRANSLATE(B3029,""id"",""en"")"),"['Good', 'service']")</f>
        <v>['Good', 'service']</v>
      </c>
      <c r="D3029" s="3">
        <v>5.0</v>
      </c>
    </row>
    <row r="3030" ht="15.75" customHeight="1">
      <c r="A3030" s="1">
        <v>3241.0</v>
      </c>
      <c r="B3030" s="3" t="s">
        <v>2926</v>
      </c>
      <c r="C3030" s="3" t="str">
        <f>IFERROR(__xludf.DUMMYFUNCTION("GOOGLETRANSLATE(B3030,""id"",""en"")"),"['Cpt', 'checked', 'pulse', 'buy', 'package', 'data']")</f>
        <v>['Cpt', 'checked', 'pulse', 'buy', 'package', 'data']</v>
      </c>
      <c r="D3030" s="3">
        <v>5.0</v>
      </c>
    </row>
    <row r="3031" ht="15.75" customHeight="1">
      <c r="A3031" s="1">
        <v>3242.0</v>
      </c>
      <c r="B3031" s="3" t="s">
        <v>803</v>
      </c>
      <c r="C3031" s="3" t="str">
        <f>IFERROR(__xludf.DUMMYFUNCTION("GOOGLETRANSLATE(B3031,""id"",""en"")"),"['best']")</f>
        <v>['best']</v>
      </c>
      <c r="D3031" s="3">
        <v>5.0</v>
      </c>
    </row>
    <row r="3032" ht="15.75" customHeight="1">
      <c r="A3032" s="1">
        <v>3243.0</v>
      </c>
      <c r="B3032" s="3" t="s">
        <v>2927</v>
      </c>
      <c r="C3032" s="3" t="str">
        <f>IFERROR(__xludf.DUMMYFUNCTION("GOOGLETRANSLATE(B3032,""id"",""en"")"),"['Please', 'Package', 'Monthly', 'Quota', 'Learning', 'GB', 'Price', 'School', 'Online', 'Price', 'Friendly', 'Pouch', ' Student ']")</f>
        <v>['Please', 'Package', 'Monthly', 'Quota', 'Learning', 'GB', 'Price', 'School', 'Online', 'Price', 'Friendly', 'Pouch', ' Student ']</v>
      </c>
      <c r="D3032" s="3">
        <v>4.0</v>
      </c>
    </row>
    <row r="3033" ht="15.75" customHeight="1">
      <c r="A3033" s="1">
        <v>3244.0</v>
      </c>
      <c r="B3033" s="3" t="s">
        <v>2928</v>
      </c>
      <c r="C3033" s="3" t="str">
        <f>IFERROR(__xludf.DUMMYFUNCTION("GOOGLETRANSLATE(B3033,""id"",""en"")"),"['October', 'koq', 'difficult', 'times', 'entry', 'application', 'enter', '']")</f>
        <v>['October', 'koq', 'difficult', 'times', 'entry', 'application', 'enter', '']</v>
      </c>
      <c r="D3033" s="3">
        <v>3.0</v>
      </c>
    </row>
    <row r="3034" ht="15.75" customHeight="1">
      <c r="A3034" s="1">
        <v>3245.0</v>
      </c>
      <c r="B3034" s="3" t="s">
        <v>2929</v>
      </c>
      <c r="C3034" s="3" t="str">
        <f>IFERROR(__xludf.DUMMYFUNCTION("GOOGLETRANSLATE(B3034,""id"",""en"")"),"['Steady', 'Continue']")</f>
        <v>['Steady', 'Continue']</v>
      </c>
      <c r="D3034" s="3">
        <v>5.0</v>
      </c>
    </row>
    <row r="3035" ht="15.75" customHeight="1">
      <c r="A3035" s="1">
        <v>3246.0</v>
      </c>
      <c r="B3035" s="3" t="s">
        <v>2930</v>
      </c>
      <c r="C3035" s="3" t="str">
        <f>IFERROR(__xludf.DUMMYFUNCTION("GOOGLETRANSLATE(B3035,""id"",""en"")"),"['Ribet', 'Nau', 'enter', 'APL', 'use', 'message', 'Notif', 'Notif', 'waste', 'waste', '']")</f>
        <v>['Ribet', 'Nau', 'enter', 'APL', 'use', 'message', 'Notif', 'Notif', 'waste', 'waste', '']</v>
      </c>
      <c r="D3035" s="3">
        <v>1.0</v>
      </c>
    </row>
    <row r="3036" ht="15.75" customHeight="1">
      <c r="A3036" s="1">
        <v>3247.0</v>
      </c>
      <c r="B3036" s="3" t="s">
        <v>1964</v>
      </c>
      <c r="C3036" s="3" t="str">
        <f>IFERROR(__xludf.DUMMYFUNCTION("GOOGLETRANSLATE(B3036,""id"",""en"")"),"['satisfying', '']")</f>
        <v>['satisfying', '']</v>
      </c>
      <c r="D3036" s="3">
        <v>5.0</v>
      </c>
    </row>
    <row r="3037" ht="15.75" customHeight="1">
      <c r="A3037" s="1">
        <v>3249.0</v>
      </c>
      <c r="B3037" s="3" t="s">
        <v>2931</v>
      </c>
      <c r="C3037" s="3" t="str">
        <f>IFERROR(__xludf.DUMMYFUNCTION("GOOGLETRANSLATE(B3037,""id"",""en"")"),"['opinion', 'pulse']")</f>
        <v>['opinion', 'pulse']</v>
      </c>
      <c r="D3037" s="3">
        <v>5.0</v>
      </c>
    </row>
    <row r="3038" ht="15.75" customHeight="1">
      <c r="A3038" s="1">
        <v>3250.0</v>
      </c>
      <c r="B3038" s="3" t="s">
        <v>2932</v>
      </c>
      <c r="C3038" s="3" t="str">
        <f>IFERROR(__xludf.DUMMYFUNCTION("GOOGLETRANSLATE(B3038,""id"",""en"")"),"['Good', 'fast']")</f>
        <v>['Good', 'fast']</v>
      </c>
      <c r="D3038" s="3">
        <v>5.0</v>
      </c>
    </row>
    <row r="3039" ht="15.75" customHeight="1">
      <c r="A3039" s="1">
        <v>3251.0</v>
      </c>
      <c r="B3039" s="3" t="s">
        <v>2933</v>
      </c>
      <c r="C3039" s="3" t="str">
        <f>IFERROR(__xludf.DUMMYFUNCTION("GOOGLETRANSLATE(B3039,""id"",""en"")"),"['buy', 'pulse', 'good']")</f>
        <v>['buy', 'pulse', 'good']</v>
      </c>
      <c r="D3039" s="3">
        <v>2.0</v>
      </c>
    </row>
    <row r="3040" ht="15.75" customHeight="1">
      <c r="A3040" s="1">
        <v>3252.0</v>
      </c>
      <c r="B3040" s="3" t="s">
        <v>2934</v>
      </c>
      <c r="C3040" s="3" t="str">
        <f>IFERROR(__xludf.DUMMYFUNCTION("GOOGLETRANSLATE(B3040,""id"",""en"")"),"['Open', 'application', 'really']")</f>
        <v>['Open', 'application', 'really']</v>
      </c>
      <c r="D3040" s="3">
        <v>3.0</v>
      </c>
    </row>
    <row r="3041" ht="15.75" customHeight="1">
      <c r="A3041" s="1">
        <v>3253.0</v>
      </c>
      <c r="B3041" s="3" t="s">
        <v>2935</v>
      </c>
      <c r="C3041" s="3" t="str">
        <f>IFERROR(__xludf.DUMMYFUNCTION("GOOGLETRANSLATE(B3041,""id"",""en"")"),"['Like', 'Application', 'Telkomsel', 'Make Easy', '']")</f>
        <v>['Like', 'Application', 'Telkomsel', 'Make Easy', '']</v>
      </c>
      <c r="D3041" s="3">
        <v>5.0</v>
      </c>
    </row>
    <row r="3042" ht="15.75" customHeight="1">
      <c r="A3042" s="1">
        <v>3254.0</v>
      </c>
      <c r="B3042" s="3" t="s">
        <v>2936</v>
      </c>
      <c r="C3042" s="3" t="str">
        <f>IFERROR(__xludf.DUMMYFUNCTION("GOOGLETRANSLATE(B3042,""id"",""en"")"),"['update', 'package', 'quota', 'set', 'fill', 'pulse']")</f>
        <v>['update', 'package', 'quota', 'set', 'fill', 'pulse']</v>
      </c>
      <c r="D3042" s="3">
        <v>4.0</v>
      </c>
    </row>
    <row r="3043" ht="15.75" customHeight="1">
      <c r="A3043" s="1">
        <v>3255.0</v>
      </c>
      <c r="B3043" s="3" t="s">
        <v>2937</v>
      </c>
      <c r="C3043" s="3" t="str">
        <f>IFERROR(__xludf.DUMMYFUNCTION("GOOGLETRANSLATE(B3043,""id"",""en"")"),"['Alhamdulillah', 'comfortable', '']")</f>
        <v>['Alhamdulillah', 'comfortable', '']</v>
      </c>
      <c r="D3043" s="3">
        <v>4.0</v>
      </c>
    </row>
    <row r="3044" ht="15.75" customHeight="1">
      <c r="A3044" s="1">
        <v>3256.0</v>
      </c>
      <c r="B3044" s="3" t="s">
        <v>2938</v>
      </c>
      <c r="C3044" s="3" t="str">
        <f>IFERROR(__xludf.DUMMYFUNCTION("GOOGLETRANSLATE(B3044,""id"",""en"")"),"['Help', 'promo']")</f>
        <v>['Help', 'promo']</v>
      </c>
      <c r="D3044" s="3">
        <v>5.0</v>
      </c>
    </row>
    <row r="3045" ht="15.75" customHeight="1">
      <c r="A3045" s="1">
        <v>3257.0</v>
      </c>
      <c r="B3045" s="3" t="s">
        <v>2939</v>
      </c>
      <c r="C3045" s="3" t="str">
        <f>IFERROR(__xludf.DUMMYFUNCTION("GOOGLETRANSLATE(B3045,""id"",""en"")"),"['return', 'image', 'network', 'Until', 'remote', 'village', 'lhaa', 'room', 'network', 'tower', 'tsel', 'home', ' TPI ',' Tetep ',' The network ',' Pelittt ',' Please ',' Fix ',' Ngerugin ',' People ',' Bnyk ',' Pay ',' Expensive ',' Money ',' Lhoo ' , '"&amp;"leaves', 'trmksh']")</f>
        <v>['return', 'image', 'network', 'Until', 'remote', 'village', 'lhaa', 'room', 'network', 'tower', 'tsel', 'home', ' TPI ',' Tetep ',' The network ',' Pelittt ',' Please ',' Fix ',' Ngerugin ',' People ',' Bnyk ',' Pay ',' Expensive ',' Money ',' Lhoo ' , 'leaves', 'trmksh']</v>
      </c>
      <c r="D3045" s="3">
        <v>2.0</v>
      </c>
    </row>
    <row r="3046" ht="15.75" customHeight="1">
      <c r="A3046" s="1">
        <v>3258.0</v>
      </c>
      <c r="B3046" s="3" t="s">
        <v>2940</v>
      </c>
      <c r="C3046" s="3" t="str">
        <f>IFERROR(__xludf.DUMMYFUNCTION("GOOGLETRANSLATE(B3046,""id"",""en"")"),"['Application', 'Exchange', 'Points', 'Prepaid', 'Points', 'Biay', 'Exchange', 'Free', 'Points', 'Exchange', 'Internet', 'Free' Mengding ',' Move ',' Fraud ']")</f>
        <v>['Application', 'Exchange', 'Points', 'Prepaid', 'Points', 'Biay', 'Exchange', 'Free', 'Points', 'Exchange', 'Internet', 'Free' Mengding ',' Move ',' Fraud ']</v>
      </c>
      <c r="D3046" s="3">
        <v>1.0</v>
      </c>
    </row>
    <row r="3047" ht="15.75" customHeight="1">
      <c r="A3047" s="1">
        <v>3260.0</v>
      </c>
      <c r="B3047" s="3" t="s">
        <v>2941</v>
      </c>
      <c r="C3047" s="3" t="str">
        <f>IFERROR(__xludf.DUMMYFUNCTION("GOOGLETRANSLATE(B3047,""id"",""en"")"),"['Disappointed', 'Min', 'Kouta', 'Thinking', 'YouTube', 'Use', 'Application', 'YouTube', 'Use', 'What', '']")</f>
        <v>['Disappointed', 'Min', 'Kouta', 'Thinking', 'YouTube', 'Use', 'Application', 'YouTube', 'Use', 'What', '']</v>
      </c>
      <c r="D3047" s="3">
        <v>1.0</v>
      </c>
    </row>
    <row r="3048" ht="15.75" customHeight="1">
      <c r="A3048" s="1">
        <v>3261.0</v>
      </c>
      <c r="B3048" s="3" t="s">
        <v>2942</v>
      </c>
      <c r="C3048" s="3" t="str">
        <f>IFERROR(__xludf.DUMMYFUNCTION("GOOGLETRANSLATE(B3048,""id"",""en"")"),"['Bad', 'Provider', 'Jumawa', 'BNYK', 'Imaging', 'Krna', 'Wrong', 'Child', 'Company', 'BUMN', 'Famous',' Learning ',' error ',' try ',' fix it ',' try ',' see ',' complain ',' Instagram ',' Official ',' Telkomsel ',' user ',' card ',' Hello ',' number ' ,"&amp;" '']")</f>
        <v>['Bad', 'Provider', 'Jumawa', 'BNYK', 'Imaging', 'Krna', 'Wrong', 'Child', 'Company', 'BUMN', 'Famous',' Learning ',' error ',' try ',' fix it ',' try ',' see ',' complain ',' Instagram ',' Official ',' Telkomsel ',' user ',' card ',' Hello ',' number ' , '']</v>
      </c>
      <c r="D3048" s="3">
        <v>1.0</v>
      </c>
    </row>
    <row r="3049" ht="15.75" customHeight="1">
      <c r="A3049" s="1">
        <v>3262.0</v>
      </c>
      <c r="B3049" s="3" t="s">
        <v>2943</v>
      </c>
      <c r="C3049" s="3" t="str">
        <f>IFERROR(__xludf.DUMMYFUNCTION("GOOGLETRANSLATE(B3049,""id"",""en"")"),"['Sorry', 'Comments',' Network ',' Internet ',' Region ',' Riau ',' Leet ',' Call ',' Telkomsel ',' King ',' Internet ',' Leet ',' Mintak ',' Please ',' Telkomsel ',' Please ',' Fix ',' Network ',' Internet ',' Telkomsel ',' Slalu ',' Faithful ',' Use ','"&amp;" Telkomsel ',' Telkomsel ' , 'special', 'network', 'internet', 'district', 'Rokan', 'Hulu', 'Riau', '']")</f>
        <v>['Sorry', 'Comments',' Network ',' Internet ',' Region ',' Riau ',' Leet ',' Call ',' Telkomsel ',' King ',' Internet ',' Leet ',' Mintak ',' Please ',' Telkomsel ',' Please ',' Fix ',' Network ',' Internet ',' Telkomsel ',' Slalu ',' Faithful ',' Use ',' Telkomsel ',' Telkomsel ' , 'special', 'network', 'internet', 'district', 'Rokan', 'Hulu', 'Riau', '']</v>
      </c>
      <c r="D3049" s="3">
        <v>1.0</v>
      </c>
    </row>
    <row r="3050" ht="15.75" customHeight="1">
      <c r="A3050" s="1">
        <v>3263.0</v>
      </c>
      <c r="B3050" s="3" t="s">
        <v>2944</v>
      </c>
      <c r="C3050" s="3" t="str">
        <f>IFERROR(__xludf.DUMMYFUNCTION("GOOGLETRANSLATE(B3050,""id"",""en"")"),"['lbih', 'mdah', 'practical']")</f>
        <v>['lbih', 'mdah', 'practical']</v>
      </c>
      <c r="D3050" s="3">
        <v>5.0</v>
      </c>
    </row>
    <row r="3051" ht="15.75" customHeight="1">
      <c r="A3051" s="1">
        <v>3264.0</v>
      </c>
      <c r="B3051" s="3" t="s">
        <v>2945</v>
      </c>
      <c r="C3051" s="3" t="str">
        <f>IFERROR(__xludf.DUMMYFUNCTION("GOOGLETRANSLATE(B3051,""id"",""en"")"),"['Help', 'in', 'convenience', 'transaction', 'purposes', 'purchase', 'payment', 'pulses', 'Telkomsel']")</f>
        <v>['Help', 'in', 'convenience', 'transaction', 'purposes', 'purchase', 'payment', 'pulses', 'Telkomsel']</v>
      </c>
      <c r="D3051" s="3">
        <v>5.0</v>
      </c>
    </row>
    <row r="3052" ht="15.75" customHeight="1">
      <c r="A3052" s="1">
        <v>3265.0</v>
      </c>
      <c r="B3052" s="3" t="s">
        <v>2946</v>
      </c>
      <c r="C3052" s="3" t="str">
        <f>IFERROR(__xludf.DUMMYFUNCTION("GOOGLETRANSLATE(B3052,""id"",""en"")"),"['Help', 'application', 'access',' purchase ',' pulse ',' package ',' quota ',' telephone ',' easy ',' thank you ',' Telkomsel ',' level ',' steady']")</f>
        <v>['Help', 'application', 'access',' purchase ',' pulse ',' package ',' quota ',' telephone ',' easy ',' thank you ',' Telkomsel ',' level ',' steady']</v>
      </c>
      <c r="D3052" s="3">
        <v>5.0</v>
      </c>
    </row>
    <row r="3053" ht="15.75" customHeight="1">
      <c r="A3053" s="1">
        <v>3266.0</v>
      </c>
      <c r="B3053" s="3" t="s">
        <v>2947</v>
      </c>
      <c r="C3053" s="3" t="str">
        <f>IFERROR(__xludf.DUMMYFUNCTION("GOOGLETRANSLATE(B3053,""id"",""en"")"),"['ksih', 'input', 'user', 'tsel', 'udh', 'tens',' package ',' special ',' cheap ',' kombo ',' magic ',' expensive ',' Sakti ',' sick ',' prime ',' card ',' use ',' waste ',' package ',' cheap ',' rather ',' user ',' UDH ',' subscribe ',' tens' , 'disappoi"&amp;"nted']")</f>
        <v>['ksih', 'input', 'user', 'tsel', 'udh', 'tens',' package ',' special ',' cheap ',' kombo ',' magic ',' expensive ',' Sakti ',' sick ',' prime ',' card ',' use ',' waste ',' package ',' cheap ',' rather ',' user ',' UDH ',' subscribe ',' tens' , 'disappointed']</v>
      </c>
      <c r="D3053" s="3">
        <v>3.0</v>
      </c>
    </row>
    <row r="3054" ht="15.75" customHeight="1">
      <c r="A3054" s="1">
        <v>3267.0</v>
      </c>
      <c r="B3054" s="3" t="s">
        <v>2948</v>
      </c>
      <c r="C3054" s="3" t="str">
        <f>IFERROR(__xludf.DUMMYFUNCTION("GOOGLETRANSLATE(B3054,""id"",""en"")"),"['disappointed', 'system', 'package', 'internet', 'Telkomsel', 'requires',' buy ',' package ',' main ',' buy ',' package ',' application ',' buy ',' quota ',' application ',' quota ',' main ',' pulse ',' lost ',' run out ',' detrimental ',' different ',' "&amp;"sim ',' next to ',' buy ' , 'quota', 'main', 'buy', 'package', 'application', 'pulse', 'missing', '']")</f>
        <v>['disappointed', 'system', 'package', 'internet', 'Telkomsel', 'requires',' buy ',' package ',' main ',' buy ',' package ',' application ',' buy ',' quota ',' application ',' quota ',' main ',' pulse ',' lost ',' run out ',' detrimental ',' different ',' sim ',' next to ',' buy ' , 'quota', 'main', 'buy', 'package', 'application', 'pulse', 'missing', '']</v>
      </c>
      <c r="D3054" s="3">
        <v>1.0</v>
      </c>
    </row>
    <row r="3055" ht="15.75" customHeight="1">
      <c r="A3055" s="1">
        <v>3268.0</v>
      </c>
      <c r="B3055" s="3" t="s">
        <v>1344</v>
      </c>
      <c r="C3055" s="3" t="str">
        <f>IFERROR(__xludf.DUMMYFUNCTION("GOOGLETRANSLATE(B3055,""id"",""en"")"),"['Good', 'application']")</f>
        <v>['Good', 'application']</v>
      </c>
      <c r="D3055" s="3">
        <v>5.0</v>
      </c>
    </row>
    <row r="3056" ht="15.75" customHeight="1">
      <c r="A3056" s="1">
        <v>3269.0</v>
      </c>
      <c r="B3056" s="3" t="s">
        <v>2949</v>
      </c>
      <c r="C3056" s="3" t="str">
        <f>IFERROR(__xludf.DUMMYFUNCTION("GOOGLETRANSLATE(B3056,""id"",""en"")"),"['already', 'mah', 'stock', 'plump', 'signal', 'slow', 'package', 'pulse', 'suck', 'taik']")</f>
        <v>['already', 'mah', 'stock', 'plump', 'signal', 'slow', 'package', 'pulse', 'suck', 'taik']</v>
      </c>
      <c r="D3056" s="3">
        <v>1.0</v>
      </c>
    </row>
    <row r="3057" ht="15.75" customHeight="1">
      <c r="A3057" s="1">
        <v>3270.0</v>
      </c>
      <c r="B3057" s="3" t="s">
        <v>122</v>
      </c>
      <c r="C3057" s="3" t="str">
        <f>IFERROR(__xludf.DUMMYFUNCTION("GOOGLETRANSLATE(B3057,""id"",""en"")"),"['easy']")</f>
        <v>['easy']</v>
      </c>
      <c r="D3057" s="3">
        <v>5.0</v>
      </c>
    </row>
    <row r="3058" ht="15.75" customHeight="1">
      <c r="A3058" s="1">
        <v>3271.0</v>
      </c>
      <c r="B3058" s="3" t="s">
        <v>2950</v>
      </c>
      <c r="C3058" s="3" t="str">
        <f>IFERROR(__xludf.DUMMYFUNCTION("GOOGLETRANSLATE(B3058,""id"",""en"")"),"['Sangant', 'Good']")</f>
        <v>['Sangant', 'Good']</v>
      </c>
      <c r="D3058" s="3">
        <v>4.0</v>
      </c>
    </row>
    <row r="3059" ht="15.75" customHeight="1">
      <c r="A3059" s="1">
        <v>3272.0</v>
      </c>
      <c r="B3059" s="3" t="s">
        <v>2951</v>
      </c>
      <c r="C3059" s="3" t="str">
        <f>IFERROR(__xludf.DUMMYFUNCTION("GOOGLETRANSLATE(B3059,""id"",""en"")"),"['The network', 'please', 'Lahh', 'slow', 'Keceea', 'Telkomsel', 'his web', 'strong']")</f>
        <v>['The network', 'please', 'Lahh', 'slow', 'Keceea', 'Telkomsel', 'his web', 'strong']</v>
      </c>
      <c r="D3059" s="3">
        <v>1.0</v>
      </c>
    </row>
    <row r="3060" ht="15.75" customHeight="1">
      <c r="A3060" s="1">
        <v>3273.0</v>
      </c>
      <c r="B3060" s="3" t="s">
        <v>2952</v>
      </c>
      <c r="C3060" s="3" t="str">
        <f>IFERROR(__xludf.DUMMYFUNCTION("GOOGLETRANSLATE(B3060,""id"",""en"")"),"['bad', 'quality', 'network', 'internet', 'please', 'fix', 'thanks', ""]")</f>
        <v>['bad', 'quality', 'network', 'internet', 'please', 'fix', 'thanks', "]</v>
      </c>
      <c r="D3060" s="3">
        <v>2.0</v>
      </c>
    </row>
    <row r="3061" ht="15.75" customHeight="1">
      <c r="A3061" s="1">
        <v>3275.0</v>
      </c>
      <c r="B3061" s="3" t="s">
        <v>2953</v>
      </c>
      <c r="C3061" s="3" t="str">
        <f>IFERROR(__xludf.DUMMYFUNCTION("GOOGLETRANSLATE(B3061,""id"",""en"")"),"['butt', 'red', 'menu', 'stop', 'stop', 'package', 'quota', 'ilangin', 'buy', 'pulse', 'chick', ""]")</f>
        <v>['butt', 'red', 'menu', 'stop', 'stop', 'package', 'quota', 'ilangin', 'buy', 'pulse', 'chick', "]</v>
      </c>
      <c r="D3061" s="3">
        <v>1.0</v>
      </c>
    </row>
    <row r="3062" ht="15.75" customHeight="1">
      <c r="A3062" s="1">
        <v>3276.0</v>
      </c>
      <c r="B3062" s="3" t="s">
        <v>2954</v>
      </c>
      <c r="C3062" s="3" t="str">
        <f>IFERROR(__xludf.DUMMYFUNCTION("GOOGLETRANSLATE(B3062,""id"",""en"")"),"['Network', 'Down']")</f>
        <v>['Network', 'Down']</v>
      </c>
      <c r="D3062" s="3">
        <v>1.0</v>
      </c>
    </row>
    <row r="3063" ht="15.75" customHeight="1">
      <c r="A3063" s="1">
        <v>3277.0</v>
      </c>
      <c r="B3063" s="3" t="s">
        <v>2955</v>
      </c>
      <c r="C3063" s="3" t="str">
        <f>IFERROR(__xludf.DUMMYFUNCTION("GOOGLETRANSLATE(B3063,""id"",""en"")"),"['Steady', 'cheap', 'steady']")</f>
        <v>['Steady', 'cheap', 'steady']</v>
      </c>
      <c r="D3063" s="3">
        <v>5.0</v>
      </c>
    </row>
    <row r="3064" ht="15.75" customHeight="1">
      <c r="A3064" s="1">
        <v>3278.0</v>
      </c>
      <c r="B3064" s="3" t="s">
        <v>2956</v>
      </c>
      <c r="C3064" s="3" t="str">
        <f>IFERROR(__xludf.DUMMYFUNCTION("GOOGLETRANSLATE(B3064,""id"",""en"")"),"['Telkomsel', 'emng', 'best', 'hope', 'success']")</f>
        <v>['Telkomsel', 'emng', 'best', 'hope', 'success']</v>
      </c>
      <c r="D3064" s="3">
        <v>5.0</v>
      </c>
    </row>
    <row r="3065" ht="15.75" customHeight="1">
      <c r="A3065" s="1">
        <v>3279.0</v>
      </c>
      <c r="B3065" s="3" t="s">
        <v>2957</v>
      </c>
      <c r="C3065" s="3" t="str">
        <f>IFERROR(__xludf.DUMMYFUNCTION("GOOGLETRANSLATE(B3065,""id"",""en"")"),"['Please', 'Provide', 'Features', 'Key', 'Credit', '']")</f>
        <v>['Please', 'Provide', 'Features', 'Key', 'Credit', '']</v>
      </c>
      <c r="D3065" s="3">
        <v>1.0</v>
      </c>
    </row>
    <row r="3066" ht="15.75" customHeight="1">
      <c r="A3066" s="1">
        <v>3280.0</v>
      </c>
      <c r="B3066" s="3" t="s">
        <v>2958</v>
      </c>
      <c r="C3066" s="3" t="str">
        <f>IFERROR(__xludf.DUMMYFUNCTION("GOOGLETRANSLATE(B3066,""id"",""en"")"),"['easy', 'buy', 'package']")</f>
        <v>['easy', 'buy', 'package']</v>
      </c>
      <c r="D3066" s="3">
        <v>5.0</v>
      </c>
    </row>
    <row r="3067" ht="15.75" customHeight="1">
      <c r="A3067" s="1">
        <v>3281.0</v>
      </c>
      <c r="B3067" s="3" t="s">
        <v>2959</v>
      </c>
      <c r="C3067" s="3" t="str">
        <f>IFERROR(__xludf.DUMMYFUNCTION("GOOGLETRANSLATE(B3067,""id"",""en"")"),"['star']")</f>
        <v>['star']</v>
      </c>
      <c r="D3067" s="3">
        <v>3.0</v>
      </c>
    </row>
    <row r="3068" ht="15.75" customHeight="1">
      <c r="A3068" s="1">
        <v>3282.0</v>
      </c>
      <c r="B3068" s="3" t="s">
        <v>2960</v>
      </c>
      <c r="C3068" s="3" t="str">
        <f>IFERROR(__xludf.DUMMYFUNCTION("GOOGLETRANSLATE(B3068,""id"",""en"")"),"['Good', 'hope', 'network', 'stable']")</f>
        <v>['Good', 'hope', 'network', 'stable']</v>
      </c>
      <c r="D3068" s="3">
        <v>4.0</v>
      </c>
    </row>
    <row r="3069" ht="15.75" customHeight="1">
      <c r="A3069" s="1">
        <v>3283.0</v>
      </c>
      <c r="B3069" s="3" t="s">
        <v>2961</v>
      </c>
      <c r="C3069" s="3" t="str">
        <f>IFERROR(__xludf.DUMMYFUNCTION("GOOGLETRANSLATE(B3069,""id"",""en"")"),"['Telkomsel', 'top', 'signal', 'good', 'hope', 'car', 'aamiin', ""]")</f>
        <v>['Telkomsel', 'top', 'signal', 'good', 'hope', 'car', 'aamiin', "]</v>
      </c>
      <c r="D3069" s="3">
        <v>5.0</v>
      </c>
    </row>
    <row r="3070" ht="15.75" customHeight="1">
      <c r="A3070" s="1">
        <v>3284.0</v>
      </c>
      <c r="B3070" s="3" t="s">
        <v>2962</v>
      </c>
      <c r="C3070" s="3" t="str">
        <f>IFERROR(__xludf.DUMMYFUNCTION("GOOGLETRANSLATE(B3070,""id"",""en"")"),"['Sinyal', 'missing', 'Denalem', 'room', 'walled', 'disappear', 'hadeeeuuuhhh']")</f>
        <v>['Sinyal', 'missing', 'Denalem', 'room', 'walled', 'disappear', 'hadeeeuuuhhh']</v>
      </c>
      <c r="D3070" s="3">
        <v>3.0</v>
      </c>
    </row>
    <row r="3071" ht="15.75" customHeight="1">
      <c r="A3071" s="1">
        <v>3285.0</v>
      </c>
      <c r="B3071" s="3" t="s">
        <v>2963</v>
      </c>
      <c r="C3071" s="3" t="str">
        <f>IFERROR(__xludf.DUMMYFUNCTION("GOOGLETRANSLATE(B3071,""id"",""en"")"),"['Satisfied', 'Event', 'Log', 'Daily', 'Quota', 'Free', 'Switch', 'Points',' MB ',' Paying ',' Rb ',' Exchange ',' Points', 'imperite', 'buy', 'package', 'quota']")</f>
        <v>['Satisfied', 'Event', 'Log', 'Daily', 'Quota', 'Free', 'Switch', 'Points',' MB ',' Paying ',' Rb ',' Exchange ',' Points', 'imperite', 'buy', 'package', 'quota']</v>
      </c>
      <c r="D3071" s="3">
        <v>5.0</v>
      </c>
    </row>
    <row r="3072" ht="15.75" customHeight="1">
      <c r="A3072" s="1">
        <v>3286.0</v>
      </c>
      <c r="B3072" s="3" t="s">
        <v>2964</v>
      </c>
      <c r="C3072" s="3" t="str">
        <f>IFERROR(__xludf.DUMMYFUNCTION("GOOGLETRANSLATE(B3072,""id"",""en"")"),"['Out', 'Update', 'Ngelag', 'Number', 'Login']")</f>
        <v>['Out', 'Update', 'Ngelag', 'Number', 'Login']</v>
      </c>
      <c r="D3072" s="3">
        <v>1.0</v>
      </c>
    </row>
    <row r="3073" ht="15.75" customHeight="1">
      <c r="A3073" s="1">
        <v>3287.0</v>
      </c>
      <c r="B3073" s="3" t="s">
        <v>2965</v>
      </c>
      <c r="C3073" s="3" t="str">
        <f>IFERROR(__xludf.DUMMYFUNCTION("GOOGLETRANSLATE(B3073,""id"",""en"")"),"['ugly', 'signal', 'Telkomsel']")</f>
        <v>['ugly', 'signal', 'Telkomsel']</v>
      </c>
      <c r="D3073" s="3">
        <v>1.0</v>
      </c>
    </row>
    <row r="3074" ht="15.75" customHeight="1">
      <c r="A3074" s="1">
        <v>3288.0</v>
      </c>
      <c r="B3074" s="3" t="s">
        <v>2966</v>
      </c>
      <c r="C3074" s="3" t="str">
        <f>IFERROR(__xludf.DUMMYFUNCTION("GOOGLETRANSLATE(B3074,""id"",""en"")"),"['Package', 'cheap']")</f>
        <v>['Package', 'cheap']</v>
      </c>
      <c r="D3074" s="3">
        <v>5.0</v>
      </c>
    </row>
    <row r="3075" ht="15.75" customHeight="1">
      <c r="A3075" s="1">
        <v>3289.0</v>
      </c>
      <c r="B3075" s="3" t="s">
        <v>2967</v>
      </c>
      <c r="C3075" s="3" t="str">
        <f>IFERROR(__xludf.DUMMYFUNCTION("GOOGLETRANSLATE(B3075,""id"",""en"")"),"['Not bad', 'sometimes', 'error']")</f>
        <v>['Not bad', 'sometimes', 'error']</v>
      </c>
      <c r="D3075" s="3">
        <v>4.0</v>
      </c>
    </row>
    <row r="3076" ht="15.75" customHeight="1">
      <c r="A3076" s="1">
        <v>3290.0</v>
      </c>
      <c r="B3076" s="3" t="s">
        <v>2968</v>
      </c>
      <c r="C3076" s="3" t="str">
        <f>IFERROR(__xludf.DUMMYFUNCTION("GOOGLETRANSLATE(B3076,""id"",""en"")"),"['week', 'signal', 'lost', 'then', 'Telkomsel', 'boss']")</f>
        <v>['week', 'signal', 'lost', 'then', 'Telkomsel', 'boss']</v>
      </c>
      <c r="D3076" s="3">
        <v>1.0</v>
      </c>
    </row>
    <row r="3077" ht="15.75" customHeight="1">
      <c r="A3077" s="1">
        <v>3291.0</v>
      </c>
      <c r="B3077" s="3" t="s">
        <v>2969</v>
      </c>
      <c r="C3077" s="3" t="str">
        <f>IFERROR(__xludf.DUMMYFUNCTION("GOOGLETRANSLATE(B3077,""id"",""en"")"),"['Promo', 'contents', 'reset', 'minimal', 'mytelkomsel']")</f>
        <v>['Promo', 'contents', 'reset', 'minimal', 'mytelkomsel']</v>
      </c>
      <c r="D3077" s="3">
        <v>3.0</v>
      </c>
    </row>
    <row r="3078" ht="15.75" customHeight="1">
      <c r="A3078" s="1">
        <v>3292.0</v>
      </c>
      <c r="B3078" s="3" t="s">
        <v>2970</v>
      </c>
      <c r="C3078" s="3" t="str">
        <f>IFERROR(__xludf.DUMMYFUNCTION("GOOGLETRANSLATE(B3078,""id"",""en"")"),"['condition', 'pandemic', 'please', 'price', 'package', 'conditioned', 'please', 'understanding']")</f>
        <v>['condition', 'pandemic', 'please', 'price', 'package', 'conditioned', 'please', 'understanding']</v>
      </c>
      <c r="D3078" s="3">
        <v>1.0</v>
      </c>
    </row>
    <row r="3079" ht="15.75" customHeight="1">
      <c r="A3079" s="1">
        <v>3294.0</v>
      </c>
      <c r="B3079" s="3" t="s">
        <v>2971</v>
      </c>
      <c r="C3079" s="3" t="str">
        <f>IFERROR(__xludf.DUMMYFUNCTION("GOOGLETRANSLATE(B3079,""id"",""en"")"),"['oath', 'regret', 'bnget', 'buy', 'package', 'Telkomsel', 'signal', 'change', 'play', 'game', 'buy', 'packetan', ' Telkomsel ',' ']")</f>
        <v>['oath', 'regret', 'bnget', 'buy', 'package', 'Telkomsel', 'signal', 'change', 'play', 'game', 'buy', 'packetan', ' Telkomsel ',' ']</v>
      </c>
      <c r="D3079" s="3">
        <v>1.0</v>
      </c>
    </row>
    <row r="3080" ht="15.75" customHeight="1">
      <c r="A3080" s="1">
        <v>3295.0</v>
      </c>
      <c r="B3080" s="3" t="s">
        <v>2972</v>
      </c>
      <c r="C3080" s="3" t="str">
        <f>IFERROR(__xludf.DUMMYFUNCTION("GOOGLETRANSLATE(B3080,""id"",""en"")"),"['Not bad', 'good', 'check', 'quota']")</f>
        <v>['Not bad', 'good', 'check', 'quota']</v>
      </c>
      <c r="D3080" s="3">
        <v>5.0</v>
      </c>
    </row>
    <row r="3081" ht="15.75" customHeight="1">
      <c r="A3081" s="1">
        <v>3296.0</v>
      </c>
      <c r="B3081" s="3" t="s">
        <v>2973</v>
      </c>
      <c r="C3081" s="3" t="str">
        <f>IFERROR(__xludf.DUMMYFUNCTION("GOOGLETRANSLATE(B3081,""id"",""en"")"),"['Sya', 'Telkomsel', 'network', 'disconnected', 'just', 'access',' internet ',' open ',' Hello ',' ugly ',' the network ',' How ',' Beautiful ',' Please ',' Fix ',' Telkomsel ',' Network ',' Disturbed ',' Like ',' Disappointed ',' Telkomsel ',' Network ',"&amp;"' Good ',' Safe ',' Controlled ' , 'nihil', ""]")</f>
        <v>['Sya', 'Telkomsel', 'network', 'disconnected', 'just', 'access',' internet ',' open ',' Hello ',' ugly ',' the network ',' How ',' Beautiful ',' Please ',' Fix ',' Telkomsel ',' Network ',' Disturbed ',' Like ',' Disappointed ',' Telkomsel ',' Network ',' Good ',' Safe ',' Controlled ' , 'nihil', "]</v>
      </c>
      <c r="D3081" s="3">
        <v>1.0</v>
      </c>
    </row>
    <row r="3082" ht="15.75" customHeight="1">
      <c r="A3082" s="1">
        <v>3297.0</v>
      </c>
      <c r="B3082" s="3" t="s">
        <v>2974</v>
      </c>
      <c r="C3082" s="3" t="str">
        <f>IFERROR(__xludf.DUMMYFUNCTION("GOOGLETRANSLATE(B3082,""id"",""en"")"),"['Application', 'eat', 'data', 'plus', 'bug', 'transaction', 'purchase', 'package', 'pulse', 'truncated', 'quota', 'increase']")</f>
        <v>['Application', 'eat', 'data', 'plus', 'bug', 'transaction', 'purchase', 'package', 'pulse', 'truncated', 'quota', 'increase']</v>
      </c>
      <c r="D3082" s="3">
        <v>1.0</v>
      </c>
    </row>
    <row r="3083" ht="15.75" customHeight="1">
      <c r="A3083" s="1">
        <v>3298.0</v>
      </c>
      <c r="B3083" s="3" t="s">
        <v>2975</v>
      </c>
      <c r="C3083" s="3" t="str">
        <f>IFERROR(__xludf.DUMMYFUNCTION("GOOGLETRANSLATE(B3083,""id"",""en"")"),"['Network', 'Where', 'Current']")</f>
        <v>['Network', 'Where', 'Current']</v>
      </c>
      <c r="D3083" s="3">
        <v>5.0</v>
      </c>
    </row>
    <row r="3084" ht="15.75" customHeight="1">
      <c r="A3084" s="1">
        <v>3299.0</v>
      </c>
      <c r="B3084" s="3" t="s">
        <v>2976</v>
      </c>
      <c r="C3084" s="3" t="str">
        <f>IFERROR(__xludf.DUMMYFUNCTION("GOOGLETRANSLATE(B3084,""id"",""en"")"),"['Telkomsel', 'network', 'broken', 'signal', 'ganguan', 'provider', 'Indosat', 'gini', 'run', 'user', 'Telkomsel', 'BUMN', ' signal ',' severe ',' provider ',' private ']")</f>
        <v>['Telkomsel', 'network', 'broken', 'signal', 'ganguan', 'provider', 'Indosat', 'gini', 'run', 'user', 'Telkomsel', 'BUMN', ' signal ',' severe ',' provider ',' private ']</v>
      </c>
      <c r="D3084" s="3">
        <v>1.0</v>
      </c>
    </row>
    <row r="3085" ht="15.75" customHeight="1">
      <c r="A3085" s="1">
        <v>3300.0</v>
      </c>
      <c r="B3085" s="3" t="s">
        <v>2977</v>
      </c>
      <c r="C3085" s="3" t="str">
        <f>IFERROR(__xludf.DUMMYFUNCTION("GOOGLETRANSLATE(B3085,""id"",""en"")"),"['Hello', 'Please', 'Fix', 'Quality', 'Network', 'Game', 'Network', 'Mulu', 'Price', 'Paketan', 'Delangit', 'Quality']")</f>
        <v>['Hello', 'Please', 'Fix', 'Quality', 'Network', 'Game', 'Network', 'Mulu', 'Price', 'Paketan', 'Delangit', 'Quality']</v>
      </c>
      <c r="D3085" s="3">
        <v>1.0</v>
      </c>
    </row>
    <row r="3086" ht="15.75" customHeight="1">
      <c r="A3086" s="1">
        <v>3301.0</v>
      </c>
      <c r="B3086" s="3" t="s">
        <v>2978</v>
      </c>
      <c r="C3086" s="3" t="str">
        <f>IFERROR(__xludf.DUMMYFUNCTION("GOOGLETRANSLATE(B3086,""id"",""en"")"),"['price', 'okay', 'rb', 'get', 'GB', 'quota', 'rill', 'GB', 'GB', 'entry', 'multimedia', 'try', ' ']")</f>
        <v>['price', 'okay', 'rb', 'get', 'GB', 'quota', 'rill', 'GB', 'GB', 'entry', 'multimedia', 'try', ' ']</v>
      </c>
      <c r="D3086" s="3">
        <v>1.0</v>
      </c>
    </row>
    <row r="3087" ht="15.75" customHeight="1">
      <c r="A3087" s="1">
        <v>3303.0</v>
      </c>
      <c r="B3087" s="3" t="s">
        <v>2979</v>
      </c>
      <c r="C3087" s="3" t="str">
        <f>IFERROR(__xludf.DUMMYFUNCTION("GOOGLETRANSLATE(B3087,""id"",""en"")"),"['Telkomsel', 'expensive', 'doang', 'signal', 'slow', 'plus',' likes', 'nipu', 'penistuu', 'quota', 'internet', 'socialmedia', ' Description ',' Special ',' YouTube ',' Quota ',' Open ',' YouTube ',' Quota ',' YouTube ',' Sumpot ',' Quota ',' Out ',' Quot"&amp;"a ',' Quota ' , 'YouTube', '']")</f>
        <v>['Telkomsel', 'expensive', 'doang', 'signal', 'slow', 'plus',' likes', 'nipu', 'penistuu', 'quota', 'internet', 'socialmedia', ' Description ',' Special ',' YouTube ',' Quota ',' Open ',' YouTube ',' Quota ',' YouTube ',' Sumpot ',' Quota ',' Out ',' Quota ',' Quota ' , 'YouTube', '']</v>
      </c>
      <c r="D3087" s="3">
        <v>1.0</v>
      </c>
    </row>
    <row r="3088" ht="15.75" customHeight="1">
      <c r="A3088" s="1">
        <v>3304.0</v>
      </c>
      <c r="B3088" s="3" t="s">
        <v>2980</v>
      </c>
      <c r="C3088" s="3" t="str">
        <f>IFERROR(__xludf.DUMMYFUNCTION("GOOGLETRANSLATE(B3088,""id"",""en"")"),"['use', 'MyTelkomsel', 'Hopefully', 'smooth', 'Jaya']")</f>
        <v>['use', 'MyTelkomsel', 'Hopefully', 'smooth', 'Jaya']</v>
      </c>
      <c r="D3088" s="3">
        <v>4.0</v>
      </c>
    </row>
    <row r="3089" ht="15.75" customHeight="1">
      <c r="A3089" s="1">
        <v>3305.0</v>
      </c>
      <c r="B3089" s="3" t="s">
        <v>2981</v>
      </c>
      <c r="C3089" s="3" t="str">
        <f>IFERROR(__xludf.DUMMYFUNCTION("GOOGLETRANSLATE(B3089,""id"",""en"")"),"['contents',' package ',' data ',' once ',' contents', 'pulse', 'regular', 'packaged', 'cut', 'pulse', 'contents',' get ',' Cut ',' Telkomsel ',' play ',' Cut ',' pulse ', ""]")</f>
        <v>['contents',' package ',' data ',' once ',' contents', 'pulse', 'regular', 'packaged', 'cut', 'pulse', 'contents',' get ',' Cut ',' Telkomsel ',' play ',' Cut ',' pulse ', "]</v>
      </c>
      <c r="D3089" s="3">
        <v>1.0</v>
      </c>
    </row>
    <row r="3090" ht="15.75" customHeight="1">
      <c r="A3090" s="1">
        <v>3306.0</v>
      </c>
      <c r="B3090" s="3" t="s">
        <v>2982</v>
      </c>
      <c r="C3090" s="3" t="str">
        <f>IFERROR(__xludf.DUMMYFUNCTION("GOOGLETRANSLATE(B3090,""id"",""en"")"),"['Cool', 'Points', 'Exchange', 'Vouch', '']")</f>
        <v>['Cool', 'Points', 'Exchange', 'Vouch', '']</v>
      </c>
      <c r="D3090" s="3">
        <v>5.0</v>
      </c>
    </row>
    <row r="3091" ht="15.75" customHeight="1">
      <c r="A3091" s="1">
        <v>3307.0</v>
      </c>
      <c r="B3091" s="3" t="s">
        <v>2983</v>
      </c>
      <c r="C3091" s="3" t="str">
        <f>IFERROR(__xludf.DUMMYFUNCTION("GOOGLETRANSLATE(B3091,""id"",""en"")"),"['Easy', 'Useful']")</f>
        <v>['Easy', 'Useful']</v>
      </c>
      <c r="D3091" s="3">
        <v>5.0</v>
      </c>
    </row>
    <row r="3092" ht="15.75" customHeight="1">
      <c r="A3092" s="1">
        <v>3308.0</v>
      </c>
      <c r="B3092" s="3" t="s">
        <v>2984</v>
      </c>
      <c r="C3092" s="3" t="str">
        <f>IFERROR(__xludf.DUMMYFUNCTION("GOOGLETRANSLATE(B3092,""id"",""en"")"),"['Tole', 'like', 'application']")</f>
        <v>['Tole', 'like', 'application']</v>
      </c>
      <c r="D3092" s="3">
        <v>5.0</v>
      </c>
    </row>
    <row r="3093" ht="15.75" customHeight="1">
      <c r="A3093" s="1">
        <v>3310.0</v>
      </c>
      <c r="B3093" s="3" t="s">
        <v>2157</v>
      </c>
      <c r="C3093" s="3" t="str">
        <f>IFERROR(__xludf.DUMMYFUNCTION("GOOGLETRANSLATE(B3093,""id"",""en"")"),"['Steady', 'Easy', 'Telkomsel']")</f>
        <v>['Steady', 'Easy', 'Telkomsel']</v>
      </c>
      <c r="D3093" s="3">
        <v>5.0</v>
      </c>
    </row>
    <row r="3094" ht="15.75" customHeight="1">
      <c r="A3094" s="1">
        <v>3311.0</v>
      </c>
      <c r="B3094" s="3" t="s">
        <v>2985</v>
      </c>
      <c r="C3094" s="3" t="str">
        <f>IFERROR(__xludf.DUMMYFUNCTION("GOOGLETRANSLATE(B3094,""id"",""en"")"),"['signal', 'bad', 'good', 'ugly', 'telkom']")</f>
        <v>['signal', 'bad', 'good', 'ugly', 'telkom']</v>
      </c>
      <c r="D3094" s="3">
        <v>1.0</v>
      </c>
    </row>
    <row r="3095" ht="15.75" customHeight="1">
      <c r="A3095" s="1">
        <v>3312.0</v>
      </c>
      <c r="B3095" s="3" t="s">
        <v>2986</v>
      </c>
      <c r="C3095" s="3" t="str">
        <f>IFERROR(__xludf.DUMMYFUNCTION("GOOGLETRANSLATE(B3095,""id"",""en"")"),"['Exchange', 'Points', 'Can', 'Lottery', 'Real', 'UDH', 'Litu', 'Credit', 'Reduced', '']")</f>
        <v>['Exchange', 'Points', 'Can', 'Lottery', 'Real', 'UDH', 'Litu', 'Credit', 'Reduced', '']</v>
      </c>
      <c r="D3095" s="3">
        <v>1.0</v>
      </c>
    </row>
    <row r="3096" ht="15.75" customHeight="1">
      <c r="A3096" s="1">
        <v>3313.0</v>
      </c>
      <c r="B3096" s="3" t="s">
        <v>2987</v>
      </c>
      <c r="C3096" s="3" t="str">
        <f>IFERROR(__xludf.DUMMYFUNCTION("GOOGLETRANSLATE(B3096,""id"",""en"")"),"['Network', 'Severe', 'Rayes', 'Use', 'Card', 'Hello']")</f>
        <v>['Network', 'Severe', 'Rayes', 'Use', 'Card', 'Hello']</v>
      </c>
      <c r="D3096" s="3">
        <v>1.0</v>
      </c>
    </row>
    <row r="3097" ht="15.75" customHeight="1">
      <c r="A3097" s="1">
        <v>3314.0</v>
      </c>
      <c r="B3097" s="3" t="s">
        <v>2988</v>
      </c>
      <c r="C3097" s="3" t="str">
        <f>IFERROR(__xludf.DUMMYFUNCTION("GOOGLETRANSLATE(B3097,""id"",""en"")"),"['change point', '']")</f>
        <v>['change point', '']</v>
      </c>
      <c r="D3097" s="3">
        <v>5.0</v>
      </c>
    </row>
    <row r="3098" ht="15.75" customHeight="1">
      <c r="A3098" s="1">
        <v>3315.0</v>
      </c>
      <c r="B3098" s="3" t="s">
        <v>2989</v>
      </c>
      <c r="C3098" s="3" t="str">
        <f>IFERROR(__xludf.DUMMYFUNCTION("GOOGLETRANSLATE(B3098,""id"",""en"")"),"['Upgrade', 'NGK', 'Buy', 'Paketan', 'Please', 'Fix', 'System']")</f>
        <v>['Upgrade', 'NGK', 'Buy', 'Paketan', 'Please', 'Fix', 'System']</v>
      </c>
      <c r="D3098" s="3">
        <v>1.0</v>
      </c>
    </row>
    <row r="3099" ht="15.75" customHeight="1">
      <c r="A3099" s="1">
        <v>3316.0</v>
      </c>
      <c r="B3099" s="3" t="s">
        <v>2990</v>
      </c>
      <c r="C3099" s="3" t="str">
        <f>IFERROR(__xludf.DUMMYFUNCTION("GOOGLETRANSLATE(B3099,""id"",""en"")"),"['strange', 'UDH', 'Package', 'Internet', 'Cook', 'Remnant', 'Credit', 'Out', 'Gara', 'Manchester', 'Internet', ' gimna ']")</f>
        <v>['strange', 'UDH', 'Package', 'Internet', 'Cook', 'Remnant', 'Credit', 'Out', 'Gara', 'Manchester', 'Internet', ' gimna ']</v>
      </c>
      <c r="D3099" s="3">
        <v>1.0</v>
      </c>
    </row>
    <row r="3100" ht="15.75" customHeight="1">
      <c r="A3100" s="1">
        <v>3317.0</v>
      </c>
      <c r="B3100" s="3" t="s">
        <v>2991</v>
      </c>
      <c r="C3100" s="3" t="str">
        <f>IFERROR(__xludf.DUMMYFUNCTION("GOOGLETRANSLATE(B3100,""id"",""en"")"),"['Telkomsel', 'please', 'signal', 'conducted', 'pelp', 'slow', 'really', 'already', 'price', 'package', 'expensive', 'slow', ' Really ',' Telkomsel ',' please ', ""]")</f>
        <v>['Telkomsel', 'please', 'signal', 'conducted', 'pelp', 'slow', 'really', 'already', 'price', 'package', 'expensive', 'slow', ' Really ',' Telkomsel ',' please ', "]</v>
      </c>
      <c r="D3100" s="3">
        <v>5.0</v>
      </c>
    </row>
    <row r="3101" ht="15.75" customHeight="1">
      <c r="A3101" s="1">
        <v>3318.0</v>
      </c>
      <c r="B3101" s="3" t="s">
        <v>2992</v>
      </c>
      <c r="C3101" s="3" t="str">
        <f>IFERROR(__xludf.DUMMYFUNCTION("GOOGLETRANSLATE(B3101,""id"",""en"")"),"['Steady', 'Hopefully', 'Undi', 'Undi', 'Hepi', 'Amin']")</f>
        <v>['Steady', 'Hopefully', 'Undi', 'Undi', 'Hepi', 'Amin']</v>
      </c>
      <c r="D3101" s="3">
        <v>5.0</v>
      </c>
    </row>
    <row r="3102" ht="15.75" customHeight="1">
      <c r="A3102" s="1">
        <v>3319.0</v>
      </c>
      <c r="B3102" s="3" t="s">
        <v>2993</v>
      </c>
      <c r="C3102" s="3" t="str">
        <f>IFERROR(__xludf.DUMMYFUNCTION("GOOGLETRANSLATE(B3102,""id"",""en"")"),"['difficult', 'enter', 'system', 'Telkomsel']")</f>
        <v>['difficult', 'enter', 'system', 'Telkomsel']</v>
      </c>
      <c r="D3102" s="3">
        <v>1.0</v>
      </c>
    </row>
    <row r="3103" ht="15.75" customHeight="1">
      <c r="A3103" s="1">
        <v>3320.0</v>
      </c>
      <c r="B3103" s="3" t="s">
        <v>2994</v>
      </c>
      <c r="C3103" s="3" t="str">
        <f>IFERROR(__xludf.DUMMYFUNCTION("GOOGLETRANSLATE(B3103,""id"",""en"")"),"['Healthy', 'the application']")</f>
        <v>['Healthy', 'the application']</v>
      </c>
      <c r="D3103" s="3">
        <v>2.0</v>
      </c>
    </row>
    <row r="3104" ht="15.75" customHeight="1">
      <c r="A3104" s="1">
        <v>3321.0</v>
      </c>
      <c r="B3104" s="3" t="s">
        <v>2995</v>
      </c>
      <c r="C3104" s="3" t="str">
        <f>IFERROR(__xludf.DUMMYFUNCTION("GOOGLETRANSLATE(B3104,""id"",""en"")"),"['renewal', 'ugly', 'heavy', 'slow', 'simple', 'display', 'annoying', '']")</f>
        <v>['renewal', 'ugly', 'heavy', 'slow', 'simple', 'display', 'annoying', '']</v>
      </c>
      <c r="D3104" s="3">
        <v>1.0</v>
      </c>
    </row>
    <row r="3105" ht="15.75" customHeight="1">
      <c r="A3105" s="1">
        <v>3322.0</v>
      </c>
      <c r="B3105" s="3" t="s">
        <v>1993</v>
      </c>
      <c r="C3105" s="3" t="str">
        <f>IFERROR(__xludf.DUMMYFUNCTION("GOOGLETRANSLATE(B3105,""id"",""en"")"),"['It's easier for', 'users']")</f>
        <v>['It's easier for', 'users']</v>
      </c>
      <c r="D3105" s="3">
        <v>5.0</v>
      </c>
    </row>
    <row r="3106" ht="15.75" customHeight="1">
      <c r="A3106" s="1">
        <v>3323.0</v>
      </c>
      <c r="B3106" s="3" t="s">
        <v>2996</v>
      </c>
      <c r="C3106" s="3" t="str">
        <f>IFERROR(__xludf.DUMMYFUNCTION("GOOGLETRANSLATE(B3106,""id"",""en"")"),"['Mantul', 'Telkomsel']")</f>
        <v>['Mantul', 'Telkomsel']</v>
      </c>
      <c r="D3106" s="3">
        <v>5.0</v>
      </c>
    </row>
    <row r="3107" ht="15.75" customHeight="1">
      <c r="A3107" s="1">
        <v>3324.0</v>
      </c>
      <c r="B3107" s="3" t="s">
        <v>2997</v>
      </c>
      <c r="C3107" s="3" t="str">
        <f>IFERROR(__xludf.DUMMYFUNCTION("GOOGLETRANSLATE(B3107,""id"",""en"")"),"['Telkomsel', 'slow', 'clock', 'night', 'speeding', 'poor', 'and then', 'Kebagun', ""]")</f>
        <v>['Telkomsel', 'slow', 'clock', 'night', 'speeding', 'poor', 'and then', 'Kebagun', "]</v>
      </c>
      <c r="D3107" s="3">
        <v>1.0</v>
      </c>
    </row>
    <row r="3108" ht="15.75" customHeight="1">
      <c r="A3108" s="1">
        <v>3325.0</v>
      </c>
      <c r="B3108" s="3" t="s">
        <v>2998</v>
      </c>
      <c r="C3108" s="3" t="str">
        <f>IFERROR(__xludf.DUMMYFUNCTION("GOOGLETRANSLATE(B3108,""id"",""en"")"),"['expensive', 'most', 'package', 'maxtsream', 'blah', 'blah', 'need', 'internet', 'cheap', 'smooth', 'emg', 'difficult', ' ']")</f>
        <v>['expensive', 'most', 'package', 'maxtsream', 'blah', 'blah', 'need', 'internet', 'cheap', 'smooth', 'emg', 'difficult', ' ']</v>
      </c>
      <c r="D3108" s="3">
        <v>2.0</v>
      </c>
    </row>
    <row r="3109" ht="15.75" customHeight="1">
      <c r="A3109" s="1">
        <v>3326.0</v>
      </c>
      <c r="B3109" s="3" t="s">
        <v>2999</v>
      </c>
      <c r="C3109" s="3" t="str">
        <f>IFERROR(__xludf.DUMMYFUNCTION("GOOGLETRANSLATE(B3109,""id"",""en"")"),"['MyTelkomsel', 'easy', 'check', 'pulse', 'quota', '']")</f>
        <v>['MyTelkomsel', 'easy', 'check', 'pulse', 'quota', '']</v>
      </c>
      <c r="D3109" s="3">
        <v>4.0</v>
      </c>
    </row>
    <row r="3110" ht="15.75" customHeight="1">
      <c r="A3110" s="1">
        <v>3327.0</v>
      </c>
      <c r="B3110" s="3" t="s">
        <v>3000</v>
      </c>
      <c r="C3110" s="3" t="str">
        <f>IFERROR(__xludf.DUMMYFUNCTION("GOOGLETRANSLATE(B3110,""id"",""en"")"),"['Package', 'Blum', 'Out', 'Login', 'Game', 'Difficult', 'Forgiveness', 'Open', 'Application', 'Telkomsel', 'Buffering', 'Mulu']")</f>
        <v>['Package', 'Blum', 'Out', 'Login', 'Game', 'Difficult', 'Forgiveness', 'Open', 'Application', 'Telkomsel', 'Buffering', 'Mulu']</v>
      </c>
      <c r="D3110" s="3">
        <v>1.0</v>
      </c>
    </row>
    <row r="3111" ht="15.75" customHeight="1">
      <c r="A3111" s="1">
        <v>3328.0</v>
      </c>
      <c r="B3111" s="3" t="s">
        <v>3001</v>
      </c>
      <c r="C3111" s="3" t="str">
        <f>IFERROR(__xludf.DUMMYFUNCTION("GOOGLETRANSLATE(B3111,""id"",""en"")"),"['night', 'network', 'down', 'udh', 'use', 'wifi', 'tetep', 'sam', 'please', 'fix', '']")</f>
        <v>['night', 'network', 'down', 'udh', 'use', 'wifi', 'tetep', 'sam', 'please', 'fix', '']</v>
      </c>
      <c r="D3111" s="3">
        <v>1.0</v>
      </c>
    </row>
    <row r="3112" ht="15.75" customHeight="1">
      <c r="A3112" s="1">
        <v>3329.0</v>
      </c>
      <c r="B3112" s="3" t="s">
        <v>1110</v>
      </c>
      <c r="C3112" s="3" t="str">
        <f>IFERROR(__xludf.DUMMYFUNCTION("GOOGLETRANSLATE(B3112,""id"",""en"")"),"['bad network']")</f>
        <v>['bad network']</v>
      </c>
      <c r="D3112" s="3">
        <v>1.0</v>
      </c>
    </row>
    <row r="3113" ht="15.75" customHeight="1">
      <c r="A3113" s="1">
        <v>3330.0</v>
      </c>
      <c r="B3113" s="3" t="s">
        <v>3002</v>
      </c>
      <c r="C3113" s="3" t="str">
        <f>IFERROR(__xludf.DUMMYFUNCTION("GOOGLETRANSLATE(B3113,""id"",""en"")"),"['', 'Telkomsel', 'help', 'transaction', 'purchase', 'voucher', 'package', 'data', 'thank you']")</f>
        <v>['', 'Telkomsel', 'help', 'transaction', 'purchase', 'voucher', 'package', 'data', 'thank you']</v>
      </c>
      <c r="D3113" s="3">
        <v>5.0</v>
      </c>
    </row>
    <row r="3114" ht="15.75" customHeight="1">
      <c r="A3114" s="1">
        <v>3331.0</v>
      </c>
      <c r="B3114" s="3" t="s">
        <v>3003</v>
      </c>
      <c r="C3114" s="3" t="str">
        <f>IFERROR(__xludf.DUMMYFUNCTION("GOOGLETRANSLATE(B3114,""id"",""en"")"),"['signal', 'stable', 'buy', 'package', 'expensive', 'expensive', 'love', 'signal', 'severe', 'package', 'expensive', 'signal', ' Stable ',' Severe ',' Telkomsel ']")</f>
        <v>['signal', 'stable', 'buy', 'package', 'expensive', 'expensive', 'love', 'signal', 'severe', 'package', 'expensive', 'signal', ' Stable ',' Severe ',' Telkomsel ']</v>
      </c>
      <c r="D3114" s="3">
        <v>1.0</v>
      </c>
    </row>
    <row r="3115" ht="15.75" customHeight="1">
      <c r="A3115" s="1">
        <v>3332.0</v>
      </c>
      <c r="B3115" s="3" t="s">
        <v>3004</v>
      </c>
      <c r="C3115" s="3" t="str">
        <f>IFERROR(__xludf.DUMMYFUNCTION("GOOGLETRANSLATE(B3115,""id"",""en"")"),"['already', 'umpsecuch', 'times',' signal ',' sympathy ',' slow ',' broke ',' connection ',' internet ',' disorder ',' until ',' influencing ',' income ',' business', 'field', 'services',' drivers', 'online', '']")</f>
        <v>['already', 'umpsecuch', 'times',' signal ',' sympathy ',' slow ',' broke ',' connection ',' internet ',' disorder ',' until ',' influencing ',' income ',' business', 'field', 'services',' drivers', 'online', '']</v>
      </c>
      <c r="D3115" s="3">
        <v>1.0</v>
      </c>
    </row>
    <row r="3116" ht="15.75" customHeight="1">
      <c r="A3116" s="1">
        <v>3333.0</v>
      </c>
      <c r="B3116" s="3" t="s">
        <v>3005</v>
      </c>
      <c r="C3116" s="3" t="str">
        <f>IFERROR(__xludf.DUMMYFUNCTION("GOOGLETRANSLATE(B3116,""id"",""en"")"),"['Redem', 'Points',' Tens', 'Coupons',' What ',' Win ',' Lottery ',' Telkomsel ',' Cheat ',' Bener ',' users', 'Telkomsel', ' use ',' card ',' operator ',' point ',' Telkomsel ',' hundreds', 'times',' Redem ',' hundreds', 'cuman', 'just', 'please', 'fix' "&amp;", 'APK', 'servant', 'Uncomfortable', 'Pelangement', 'Disright', 'Customer', ""]")</f>
        <v>['Redem', 'Points',' Tens', 'Coupons',' What ',' Win ',' Lottery ',' Telkomsel ',' Cheat ',' Bener ',' users', 'Telkomsel', ' use ',' card ',' operator ',' point ',' Telkomsel ',' hundreds', 'times',' Redem ',' hundreds', 'cuman', 'just', 'please', 'fix' , 'APK', 'servant', 'Uncomfortable', 'Pelangement', 'Disright', 'Customer', "]</v>
      </c>
      <c r="D3116" s="3">
        <v>1.0</v>
      </c>
    </row>
    <row r="3117" ht="15.75" customHeight="1">
      <c r="A3117" s="1">
        <v>3334.0</v>
      </c>
      <c r="B3117" s="3" t="s">
        <v>3006</v>
      </c>
      <c r="C3117" s="3" t="str">
        <f>IFERROR(__xludf.DUMMYFUNCTION("GOOGLETRANSLATE(B3117,""id"",""en"")"),"['application', 'Telkomsel', 'makes it easier', 'purchase', 'package', 'package', 'internet', 'package', 'call', 'package', 'sms',' etc. ',' Application ',' millions', 'benefits',' Thank you ',' Telkomsel ']")</f>
        <v>['application', 'Telkomsel', 'makes it easier', 'purchase', 'package', 'package', 'internet', 'package', 'call', 'package', 'sms',' etc. ',' Application ',' millions', 'benefits',' Thank you ',' Telkomsel ']</v>
      </c>
      <c r="D3117" s="3">
        <v>5.0</v>
      </c>
    </row>
    <row r="3118" ht="15.75" customHeight="1">
      <c r="A3118" s="1">
        <v>3335.0</v>
      </c>
      <c r="B3118" s="3" t="s">
        <v>3007</v>
      </c>
      <c r="C3118" s="3" t="str">
        <f>IFERROR(__xludf.DUMMYFUNCTION("GOOGLETRANSLATE(B3118,""id"",""en"")"),"['Please', 'Telkomsel', 'Network', 'Family', 'Believe', 'ugly', ""]")</f>
        <v>['Please', 'Telkomsel', 'Network', 'Family', 'Believe', 'ugly', "]</v>
      </c>
      <c r="D3118" s="3">
        <v>5.0</v>
      </c>
    </row>
    <row r="3119" ht="15.75" customHeight="1">
      <c r="A3119" s="1">
        <v>3336.0</v>
      </c>
      <c r="B3119" s="3" t="s">
        <v>3008</v>
      </c>
      <c r="C3119" s="3" t="str">
        <f>IFERROR(__xludf.DUMMYFUNCTION("GOOGLETRANSLATE(B3119,""id"",""en"")"),"['Telkomsel', 'great', 'like', ""]")</f>
        <v>['Telkomsel', 'great', 'like', "]</v>
      </c>
      <c r="D3119" s="3">
        <v>5.0</v>
      </c>
    </row>
    <row r="3120" ht="15.75" customHeight="1">
      <c r="A3120" s="1">
        <v>3337.0</v>
      </c>
      <c r="B3120" s="3" t="s">
        <v>3009</v>
      </c>
      <c r="C3120" s="3" t="str">
        <f>IFERROR(__xludf.DUMMYFUNCTION("GOOGLETRANSLATE(B3120,""id"",""en"")"),"['Signal', 'Severe', 'Telkomsel', 'Gajelas']")</f>
        <v>['Signal', 'Severe', 'Telkomsel', 'Gajelas']</v>
      </c>
      <c r="D3120" s="3">
        <v>1.0</v>
      </c>
    </row>
    <row r="3121" ht="15.75" customHeight="1">
      <c r="A3121" s="1">
        <v>3339.0</v>
      </c>
      <c r="B3121" s="3" t="s">
        <v>3010</v>
      </c>
      <c r="C3121" s="3" t="str">
        <f>IFERROR(__xludf.DUMMYFUNCTION("GOOGLETRANSLATE(B3121,""id"",""en"")"),"['card', 'Sultan', 'package', 'expensive', 'quality', 'signal', 'lowly', 'slow', 'ngelag', 'mulu', ""]")</f>
        <v>['card', 'Sultan', 'package', 'expensive', 'quality', 'signal', 'lowly', 'slow', 'ngelag', 'mulu', "]</v>
      </c>
      <c r="D3121" s="3">
        <v>1.0</v>
      </c>
    </row>
    <row r="3122" ht="15.75" customHeight="1">
      <c r="A3122" s="1">
        <v>3340.0</v>
      </c>
      <c r="B3122" s="3" t="s">
        <v>3011</v>
      </c>
      <c r="C3122" s="3" t="str">
        <f>IFERROR(__xludf.DUMMYFUNCTION("GOOGLETRANSLATE(B3122,""id"",""en"")"),"['Help', ""]")</f>
        <v>['Help', "]</v>
      </c>
      <c r="D3122" s="3">
        <v>5.0</v>
      </c>
    </row>
    <row r="3123" ht="15.75" customHeight="1">
      <c r="A3123" s="1">
        <v>3341.0</v>
      </c>
      <c r="B3123" s="3" t="s">
        <v>3012</v>
      </c>
      <c r="C3123" s="3" t="str">
        <f>IFERROR(__xludf.DUMMYFUNCTION("GOOGLETRANSLATE(B3123,""id"",""en"")"),"['Telkomsel', 'like', 'slow', 'network', 'Different', 'Dri', 'Kouta', 'unlimited', 'clock', 'stable', 'lgi', 'person', ' Upset ',' Disappointed ']")</f>
        <v>['Telkomsel', 'like', 'slow', 'network', 'Different', 'Dri', 'Kouta', 'unlimited', 'clock', 'stable', 'lgi', 'person', ' Upset ',' Disappointed ']</v>
      </c>
      <c r="D3123" s="3">
        <v>1.0</v>
      </c>
    </row>
    <row r="3124" ht="15.75" customHeight="1">
      <c r="A3124" s="1">
        <v>3342.0</v>
      </c>
      <c r="B3124" s="3" t="s">
        <v>3013</v>
      </c>
      <c r="C3124" s="3" t="str">
        <f>IFERROR(__xludf.DUMMYFUNCTION("GOOGLETRANSLATE(B3124,""id"",""en"")"),"['Purchase', 'Package', 'Internet', 'The Application']")</f>
        <v>['Purchase', 'Package', 'Internet', 'The Application']</v>
      </c>
      <c r="D3124" s="3">
        <v>2.0</v>
      </c>
    </row>
    <row r="3125" ht="15.75" customHeight="1">
      <c r="A3125" s="1">
        <v>3343.0</v>
      </c>
      <c r="B3125" s="3" t="s">
        <v>3014</v>
      </c>
      <c r="C3125" s="3" t="str">
        <f>IFERROR(__xludf.DUMMYFUNCTION("GOOGLETRANSLATE(B3125,""id"",""en"")"),"['Knp', 'Telkomsel', 'ngg', 'betfunction', 'surjo', 'check', 'connection', 'mulu', 'ngg', 'betfunction', 'detrimental', 'customer']")</f>
        <v>['Knp', 'Telkomsel', 'ngg', 'betfunction', 'surjo', 'check', 'connection', 'mulu', 'ngg', 'betfunction', 'detrimental', 'customer']</v>
      </c>
      <c r="D3125" s="3">
        <v>1.0</v>
      </c>
    </row>
    <row r="3126" ht="15.75" customHeight="1">
      <c r="A3126" s="1">
        <v>3344.0</v>
      </c>
      <c r="B3126" s="3" t="s">
        <v>3015</v>
      </c>
      <c r="C3126" s="3" t="str">
        <f>IFERROR(__xludf.DUMMYFUNCTION("GOOGLETRANSLATE(B3126,""id"",""en"")"),"['rotten', 'expensive', 'rotten', 'garbage']")</f>
        <v>['rotten', 'expensive', 'rotten', 'garbage']</v>
      </c>
      <c r="D3126" s="3">
        <v>1.0</v>
      </c>
    </row>
    <row r="3127" ht="15.75" customHeight="1">
      <c r="A3127" s="1">
        <v>3345.0</v>
      </c>
      <c r="B3127" s="3" t="s">
        <v>3016</v>
      </c>
      <c r="C3127" s="3" t="str">
        <f>IFERROR(__xludf.DUMMYFUNCTION("GOOGLETRANSLATE(B3127,""id"",""en"")"),"['Banin', 'promo', 'quota', 'cheap', 'user']")</f>
        <v>['Banin', 'promo', 'quota', 'cheap', 'user']</v>
      </c>
      <c r="D3127" s="3">
        <v>4.0</v>
      </c>
    </row>
    <row r="3128" ht="15.75" customHeight="1">
      <c r="A3128" s="1">
        <v>3346.0</v>
      </c>
      <c r="B3128" s="3" t="s">
        <v>122</v>
      </c>
      <c r="C3128" s="3" t="str">
        <f>IFERROR(__xludf.DUMMYFUNCTION("GOOGLETRANSLATE(B3128,""id"",""en"")"),"['easy']")</f>
        <v>['easy']</v>
      </c>
      <c r="D3128" s="3">
        <v>4.0</v>
      </c>
    </row>
    <row r="3129" ht="15.75" customHeight="1">
      <c r="A3129" s="1">
        <v>3347.0</v>
      </c>
      <c r="B3129" s="3" t="s">
        <v>3017</v>
      </c>
      <c r="C3129" s="3" t="str">
        <f>IFERROR(__xludf.DUMMYFUNCTION("GOOGLETRANSLATE(B3129,""id"",""en"")"),"['buy', 'package', 'unlimited', 'quota', 'mainx', 'doank', 'good', 'the rest', 'super', 'slow', 'CPT', 'run out', ' PDHL ',' Gagg ',' Open ',' Gagg ',' Pakek ',' Doank ',' Out ',' Quota ',' Main ', ""]")</f>
        <v>['buy', 'package', 'unlimited', 'quota', 'mainx', 'doank', 'good', 'the rest', 'super', 'slow', 'CPT', 'run out', ' PDHL ',' Gagg ',' Open ',' Gagg ',' Pakek ',' Doank ',' Out ',' Quota ',' Main ', "]</v>
      </c>
      <c r="D3129" s="3">
        <v>1.0</v>
      </c>
    </row>
    <row r="3130" ht="15.75" customHeight="1">
      <c r="A3130" s="1">
        <v>3349.0</v>
      </c>
      <c r="B3130" s="3" t="s">
        <v>3018</v>
      </c>
      <c r="C3130" s="3" t="str">
        <f>IFERROR(__xludf.DUMMYFUNCTION("GOOGLETRANSLATE(B3130,""id"",""en"")"),"['Woy', 'ajg', 'signal', 'lined', 'add', 'destroyed', 'Qjg', 'signal']")</f>
        <v>['Woy', 'ajg', 'signal', 'lined', 'add', 'destroyed', 'Qjg', 'signal']</v>
      </c>
      <c r="D3130" s="3">
        <v>1.0</v>
      </c>
    </row>
    <row r="3131" ht="15.75" customHeight="1">
      <c r="A3131" s="1">
        <v>3350.0</v>
      </c>
      <c r="B3131" s="3" t="s">
        <v>3019</v>
      </c>
      <c r="C3131" s="3" t="str">
        <f>IFERROR(__xludf.DUMMYFUNCTION("GOOGLETRANSLATE(B3131,""id"",""en"")"),"['user', 'Experience', 'delicious',' access', 'MyTelkomsel', 'eat', 'quota', 'speed', 'internet', 'Distas',' KB ',' Percha ',' Held ',' Features', 'Locking', 'Credit', 'Credit', 'Lost', 'Activate', 'Internet']")</f>
        <v>['user', 'Experience', 'delicious',' access', 'MyTelkomsel', 'eat', 'quota', 'speed', 'internet', 'Distas',' KB ',' Percha ',' Held ',' Features', 'Locking', 'Credit', 'Credit', 'Lost', 'Activate', 'Internet']</v>
      </c>
      <c r="D3131" s="3">
        <v>3.0</v>
      </c>
    </row>
    <row r="3132" ht="15.75" customHeight="1">
      <c r="A3132" s="1">
        <v>3351.0</v>
      </c>
      <c r="B3132" s="3" t="s">
        <v>3020</v>
      </c>
      <c r="C3132" s="3" t="str">
        <f>IFERROR(__xludf.DUMMYFUNCTION("GOOGLETRANSLATE(B3132,""id"",""en"")"),"['easy', 'check', 'quota', 'buy', 'quota', 'active', 'selallaru', 'problematic', 'disruption', ""]")</f>
        <v>['easy', 'check', 'quota', 'buy', 'quota', 'active', 'selallaru', 'problematic', 'disruption', "]</v>
      </c>
      <c r="D3132" s="3">
        <v>5.0</v>
      </c>
    </row>
    <row r="3133" ht="15.75" customHeight="1">
      <c r="A3133" s="1">
        <v>3352.0</v>
      </c>
      <c r="B3133" s="3" t="s">
        <v>3021</v>
      </c>
      <c r="C3133" s="3" t="str">
        <f>IFERROR(__xludf.DUMMYFUNCTION("GOOGLETRANSLATE(B3133,""id"",""en"")"),"['satisfying', 'tlkomsel']")</f>
        <v>['satisfying', 'tlkomsel']</v>
      </c>
      <c r="D3133" s="3">
        <v>5.0</v>
      </c>
    </row>
    <row r="3134" ht="15.75" customHeight="1">
      <c r="A3134" s="1">
        <v>3353.0</v>
      </c>
      <c r="B3134" s="3" t="s">
        <v>3022</v>
      </c>
      <c r="C3134" s="3" t="str">
        <f>IFERROR(__xludf.DUMMYFUNCTION("GOOGLETRANSLATE(B3134,""id"",""en"")"),"['suggestion', 'pandemic', 'covid', 'price', 'dumped', '']")</f>
        <v>['suggestion', 'pandemic', 'covid', 'price', 'dumped', '']</v>
      </c>
      <c r="D3134" s="3">
        <v>5.0</v>
      </c>
    </row>
    <row r="3135" ht="15.75" customHeight="1">
      <c r="A3135" s="1">
        <v>3354.0</v>
      </c>
      <c r="B3135" s="3" t="s">
        <v>3023</v>
      </c>
      <c r="C3135" s="3" t="str">
        <f>IFERROR(__xludf.DUMMYFUNCTION("GOOGLETRANSLATE(B3135,""id"",""en"")"),"['Dead', 'Electricity', 'Region', 'Banten', 'Signal', 'Lost', 'Bad']")</f>
        <v>['Dead', 'Electricity', 'Region', 'Banten', 'Signal', 'Lost', 'Bad']</v>
      </c>
      <c r="D3135" s="3">
        <v>2.0</v>
      </c>
    </row>
    <row r="3136" ht="15.75" customHeight="1">
      <c r="A3136" s="1">
        <v>3355.0</v>
      </c>
      <c r="B3136" s="3" t="s">
        <v>3024</v>
      </c>
      <c r="C3136" s="3" t="str">
        <f>IFERROR(__xludf.DUMMYFUNCTION("GOOGLETRANSLATE(B3136,""id"",""en"")"),"['Leet', 'The network', 'Nge', 'lag', 'Severe']")</f>
        <v>['Leet', 'The network', 'Nge', 'lag', 'Severe']</v>
      </c>
      <c r="D3136" s="3">
        <v>1.0</v>
      </c>
    </row>
    <row r="3137" ht="15.75" customHeight="1">
      <c r="A3137" s="1">
        <v>3356.0</v>
      </c>
      <c r="B3137" s="3" t="s">
        <v>3025</v>
      </c>
      <c r="C3137" s="3" t="str">
        <f>IFERROR(__xludf.DUMMYFUNCTION("GOOGLETRANSLATE(B3137,""id"",""en"")"),"['experience']")</f>
        <v>['experience']</v>
      </c>
      <c r="D3137" s="3">
        <v>5.0</v>
      </c>
    </row>
    <row r="3138" ht="15.75" customHeight="1">
      <c r="A3138" s="1">
        <v>3357.0</v>
      </c>
      <c r="B3138" s="3" t="s">
        <v>3026</v>
      </c>
      <c r="C3138" s="3" t="str">
        <f>IFERROR(__xludf.DUMMYFUNCTION("GOOGLETRANSLATE(B3138,""id"",""en"")"),"['Very', 'oath', 'activated', 'quota', 'Lhokseumawe', 'Aceh', 'Jaya', 'Aceh', 'West', 'Power', 'Aceh', 'Singkil', ' Reportered ',' Telkomsel ',' process', 'process',' try ',' report ',' quota ',' Langkat ',' really ',' pulse ',' missing ', ""]")</f>
        <v>['Very', 'oath', 'activated', 'quota', 'Lhokseumawe', 'Aceh', 'Jaya', 'Aceh', 'West', 'Power', 'Aceh', 'Singkil', ' Reportered ',' Telkomsel ',' process', 'process',' try ',' report ',' quota ',' Langkat ',' really ',' pulse ',' missing ', "]</v>
      </c>
      <c r="D3138" s="3">
        <v>1.0</v>
      </c>
    </row>
    <row r="3139" ht="15.75" customHeight="1">
      <c r="A3139" s="1">
        <v>3358.0</v>
      </c>
      <c r="B3139" s="3" t="s">
        <v>3027</v>
      </c>
      <c r="C3139" s="3" t="str">
        <f>IFERROR(__xludf.DUMMYFUNCTION("GOOGLETRANSLATE(B3139,""id"",""en"")"),"['Cheap', 'buy', 'package']")</f>
        <v>['Cheap', 'buy', 'package']</v>
      </c>
      <c r="D3139" s="3">
        <v>5.0</v>
      </c>
    </row>
    <row r="3140" ht="15.75" customHeight="1">
      <c r="A3140" s="1">
        <v>3359.0</v>
      </c>
      <c r="B3140" s="3" t="s">
        <v>3028</v>
      </c>
      <c r="C3140" s="3" t="str">
        <f>IFERROR(__xludf.DUMMYFUNCTION("GOOGLETRANSLATE(B3140,""id"",""en"")"),"['Network', 'bad', 'just', 'felt', 'network', 'bad', 'like', 'gini', 'friend', 'friend', 'feel', 'network', ' "", 'UDH', 'buy', 'quota', 'Telkomsel']")</f>
        <v>['Network', 'bad', 'just', 'felt', 'network', 'bad', 'like', 'gini', 'friend', 'friend', 'feel', 'network', ' ", 'UDH', 'buy', 'quota', 'Telkomsel']</v>
      </c>
      <c r="D3140" s="3">
        <v>1.0</v>
      </c>
    </row>
    <row r="3141" ht="15.75" customHeight="1">
      <c r="A3141" s="1">
        <v>3360.0</v>
      </c>
      <c r="B3141" s="3" t="s">
        <v>3029</v>
      </c>
      <c r="C3141" s="3" t="str">
        <f>IFERROR(__xludf.DUMMYFUNCTION("GOOGLETRANSLATE(B3141,""id"",""en"")"),"['MLM', 'signal', 'Telkom', 'Kenceng', 'really', 'admin', 'Kenceng', 'Bet', 'Muter', 'Loding', ""]")</f>
        <v>['MLM', 'signal', 'Telkom', 'Kenceng', 'really', 'admin', 'Kenceng', 'Bet', 'Muter', 'Loding', "]</v>
      </c>
      <c r="D3141" s="3">
        <v>1.0</v>
      </c>
    </row>
    <row r="3142" ht="15.75" customHeight="1">
      <c r="A3142" s="1">
        <v>3361.0</v>
      </c>
      <c r="B3142" s="3" t="s">
        <v>3030</v>
      </c>
      <c r="C3142" s="3" t="str">
        <f>IFERROR(__xludf.DUMMYFUNCTION("GOOGLETRANSLATE(B3142,""id"",""en"")"),"['Application', 'Bangsattt', 'cheater']")</f>
        <v>['Application', 'Bangsattt', 'cheater']</v>
      </c>
      <c r="D3142" s="3">
        <v>5.0</v>
      </c>
    </row>
    <row r="3143" ht="15.75" customHeight="1">
      <c r="A3143" s="1">
        <v>3363.0</v>
      </c>
      <c r="B3143" s="3" t="s">
        <v>3031</v>
      </c>
      <c r="C3143" s="3" t="str">
        <f>IFERROR(__xludf.DUMMYFUNCTION("GOOGLETRANSLATE(B3143,""id"",""en"")"),"['user', 'app', 'use', 'operator', 'app', 'freed', 'use', 'kouta', 'entering', 'home', 'please', 'mimin', ' Promise ',' Promise ',' Posts', '']")</f>
        <v>['user', 'app', 'use', 'operator', 'app', 'freed', 'use', 'kouta', 'entering', 'home', 'please', 'mimin', ' Promise ',' Promise ',' Posts', '']</v>
      </c>
      <c r="D3143" s="3">
        <v>1.0</v>
      </c>
    </row>
    <row r="3144" ht="15.75" customHeight="1">
      <c r="A3144" s="1">
        <v>3364.0</v>
      </c>
      <c r="B3144" s="3" t="s">
        <v>3032</v>
      </c>
      <c r="C3144" s="3" t="str">
        <f>IFERROR(__xludf.DUMMYFUNCTION("GOOGLETRANSLATE(B3144,""id"",""en"")"),"['Hallo', 'Telkomsel', 'users',' loyal ',' Telkomsel ',' price ',' expensive ',' network ',' abal ',' abal ',' please ',' repaired ',' its network ',' use ',' internet ',' work ',' etc. ',' Telkomsel ',' disappointed ',' really ',' please ',' repaired ','"&amp;" users', 'Telkomsel', 'moved' , '']")</f>
        <v>['Hallo', 'Telkomsel', 'users',' loyal ',' Telkomsel ',' price ',' expensive ',' network ',' abal ',' abal ',' please ',' repaired ',' its network ',' use ',' internet ',' work ',' etc. ',' Telkomsel ',' disappointed ',' really ',' please ',' repaired ',' users', 'Telkomsel', 'moved' , '']</v>
      </c>
      <c r="D3144" s="3">
        <v>1.0</v>
      </c>
    </row>
    <row r="3145" ht="15.75" customHeight="1">
      <c r="A3145" s="1">
        <v>3365.0</v>
      </c>
      <c r="B3145" s="3" t="s">
        <v>3033</v>
      </c>
      <c r="C3145" s="3" t="str">
        <f>IFERROR(__xludf.DUMMYFUNCTION("GOOGLETRANSLATE(B3145,""id"",""en"")"),"['Easy', 'buy', 'Package', 'Data', 'Thank you', 'Telkomsel']")</f>
        <v>['Easy', 'buy', 'Package', 'Data', 'Thank you', 'Telkomsel']</v>
      </c>
      <c r="D3145" s="3">
        <v>5.0</v>
      </c>
    </row>
    <row r="3146" ht="15.75" customHeight="1">
      <c r="A3146" s="1">
        <v>3366.0</v>
      </c>
      <c r="B3146" s="3" t="s">
        <v>3034</v>
      </c>
      <c r="C3146" s="3" t="str">
        <f>IFERROR(__xludf.DUMMYFUNCTION("GOOGLETRANSLATE(B3146,""id"",""en"")"),"['Unfortunately', 'bonus', 'quota', 'upgrade', '']")</f>
        <v>['Unfortunately', 'bonus', 'quota', 'upgrade', '']</v>
      </c>
      <c r="D3146" s="3">
        <v>5.0</v>
      </c>
    </row>
    <row r="3147" ht="15.75" customHeight="1">
      <c r="A3147" s="1">
        <v>3367.0</v>
      </c>
      <c r="B3147" s="3" t="s">
        <v>3035</v>
      </c>
      <c r="C3147" s="3" t="str">
        <f>IFERROR(__xludf.DUMMYFUNCTION("GOOGLETRANSLATE(B3147,""id"",""en"")"),"['network', 'Telkomsel', 'Severe', 'really', 'semester', 'forced', 'moved', 'provider', 'access', 'data']")</f>
        <v>['network', 'Telkomsel', 'Severe', 'really', 'semester', 'forced', 'moved', 'provider', 'access', 'data']</v>
      </c>
      <c r="D3147" s="3">
        <v>2.0</v>
      </c>
    </row>
    <row r="3148" ht="15.75" customHeight="1">
      <c r="A3148" s="1">
        <v>3368.0</v>
      </c>
      <c r="B3148" s="3" t="s">
        <v>3036</v>
      </c>
      <c r="C3148" s="3" t="str">
        <f>IFERROR(__xludf.DUMMYFUNCTION("GOOGLETRANSLATE(B3148,""id"",""en"")"),"['Good', 'service', 'use', 'quota', 'communication', 'customer', 'hope', 'develop', 'fast', 'thank', 'love', 'so']")</f>
        <v>['Good', 'service', 'use', 'quota', 'communication', 'customer', 'hope', 'develop', 'fast', 'thank', 'love', 'so']</v>
      </c>
      <c r="D3148" s="3">
        <v>5.0</v>
      </c>
    </row>
    <row r="3149" ht="15.75" customHeight="1">
      <c r="A3149" s="1">
        <v>3370.0</v>
      </c>
      <c r="B3149" s="3" t="s">
        <v>3037</v>
      </c>
      <c r="C3149" s="3" t="str">
        <f>IFERROR(__xludf.DUMMYFUNCTION("GOOGLETRANSLATE(B3149,""id"",""en"")"),"['APK', 'Useful', 'skali']")</f>
        <v>['APK', 'Useful', 'skali']</v>
      </c>
      <c r="D3149" s="3">
        <v>5.0</v>
      </c>
    </row>
    <row r="3150" ht="15.75" customHeight="1">
      <c r="A3150" s="1">
        <v>3371.0</v>
      </c>
      <c r="B3150" s="3" t="s">
        <v>3038</v>
      </c>
      <c r="C3150" s="3" t="str">
        <f>IFERROR(__xludf.DUMMYFUNCTION("GOOGLETRANSLATE(B3150,""id"",""en"")"),"['Telkomsel', 'no', 'signal', 'strong', 'Move', 'NMR']")</f>
        <v>['Telkomsel', 'no', 'signal', 'strong', 'Move', 'NMR']</v>
      </c>
      <c r="D3150" s="3">
        <v>1.0</v>
      </c>
    </row>
    <row r="3151" ht="15.75" customHeight="1">
      <c r="A3151" s="1">
        <v>3372.0</v>
      </c>
      <c r="B3151" s="3" t="s">
        <v>3039</v>
      </c>
      <c r="C3151" s="3" t="str">
        <f>IFERROR(__xludf.DUMMYFUNCTION("GOOGLETRANSLATE(B3151,""id"",""en"")"),"['Network', 'Please', 'Stabilize', 'Skrng', 'Dead', 'Lights',' Dead ',' JRINGAN ',' Rain ',' Internet ',' Jam ',' Then ',' Calculate ',' internet ',' fast ',' connection ',' connected ',' disappointed ']")</f>
        <v>['Network', 'Please', 'Stabilize', 'Skrng', 'Dead', 'Lights',' Dead ',' JRINGAN ',' Rain ',' Internet ',' Jam ',' Then ',' Calculate ',' internet ',' fast ',' connection ',' connected ',' disappointed ']</v>
      </c>
      <c r="D3151" s="3">
        <v>1.0</v>
      </c>
    </row>
    <row r="3152" ht="15.75" customHeight="1">
      <c r="A3152" s="1">
        <v>3373.0</v>
      </c>
      <c r="B3152" s="3" t="s">
        <v>3040</v>
      </c>
      <c r="C3152" s="3" t="str">
        <f>IFERROR(__xludf.DUMMYFUNCTION("GOOGLETRANSLATE(B3152,""id"",""en"")"),"['Good', 'Important', 'Use', 'Quota', 'Medsos',' Hya ',' Pakenya ',' Quota ',' Medsos', 'quota', 'National', 'Hya', ' application ',' that's', 'quota', 'national', 'first', 'run out', 'trutama', 'wat', 'package', '']")</f>
        <v>['Good', 'Important', 'Use', 'Quota', 'Medsos',' Hya ',' Pakenya ',' Quota ',' Medsos', 'quota', 'National', 'Hya', ' application ',' that's', 'quota', 'national', 'first', 'run out', 'trutama', 'wat', 'package', '']</v>
      </c>
      <c r="D3152" s="3">
        <v>4.0</v>
      </c>
    </row>
    <row r="3153" ht="15.75" customHeight="1">
      <c r="A3153" s="1">
        <v>3374.0</v>
      </c>
      <c r="B3153" s="3" t="s">
        <v>3041</v>
      </c>
      <c r="C3153" s="3" t="str">
        <f>IFERROR(__xludf.DUMMYFUNCTION("GOOGLETRANSLATE(B3153,""id"",""en"")"),"['Please', 'boss', 'inland', 'love', 'network', 'good']")</f>
        <v>['Please', 'boss', 'inland', 'love', 'network', 'good']</v>
      </c>
      <c r="D3153" s="3">
        <v>5.0</v>
      </c>
    </row>
    <row r="3154" ht="15.75" customHeight="1">
      <c r="A3154" s="1">
        <v>3375.0</v>
      </c>
      <c r="B3154" s="3" t="s">
        <v>3042</v>
      </c>
      <c r="C3154" s="3" t="str">
        <f>IFERROR(__xludf.DUMMYFUNCTION("GOOGLETRANSLATE(B3154,""id"",""en"")"),"['admin', 'please', 'quota', 'check', 'daily', 'right', 'use', 'pulse', 'take', 'quota', 'pdhal', 'pulses',' buy ',' quota ',' lohh ',' cape ',' ngmpulin ',' money ',' buy ',' pulses', 'ehh', 'take', 'gnimna', 'yaa', 'balikin' , '']")</f>
        <v>['admin', 'please', 'quota', 'check', 'daily', 'right', 'use', 'pulse', 'take', 'quota', 'pdhal', 'pulses',' buy ',' quota ',' lohh ',' cape ',' ngmpulin ',' money ',' buy ',' pulses', 'ehh', 'take', 'gnimna', 'yaa', 'balikin' , '']</v>
      </c>
      <c r="D3154" s="3">
        <v>1.0</v>
      </c>
    </row>
    <row r="3155" ht="15.75" customHeight="1">
      <c r="A3155" s="1">
        <v>3376.0</v>
      </c>
      <c r="B3155" s="3" t="s">
        <v>3043</v>
      </c>
      <c r="C3155" s="3" t="str">
        <f>IFERROR(__xludf.DUMMYFUNCTION("GOOGLETRANSLATE(B3155,""id"",""en"")"),"['Network', 'bad', 'use', 'Telkomsel', 'network', 'bad', 'city', 'network', 'missing', '']")</f>
        <v>['Network', 'bad', 'use', 'Telkomsel', 'network', 'bad', 'city', 'network', 'missing', '']</v>
      </c>
      <c r="D3155" s="3">
        <v>1.0</v>
      </c>
    </row>
    <row r="3156" ht="15.75" customHeight="1">
      <c r="A3156" s="1">
        <v>3377.0</v>
      </c>
      <c r="B3156" s="3" t="s">
        <v>3044</v>
      </c>
      <c r="C3156" s="3" t="str">
        <f>IFERROR(__xludf.DUMMYFUNCTION("GOOGLETRANSLATE(B3156,""id"",""en"")"),"['Telkomsel', 'Telkomsel', 'reach', 'region', 'isolated', 'isolated', 'community', 'Indonesia', 'hadpone', 'android', 'groups',' children ',' Until ',' Young ',' Sampe ',' Old ',' ']")</f>
        <v>['Telkomsel', 'Telkomsel', 'reach', 'region', 'isolated', 'isolated', 'community', 'Indonesia', 'hadpone', 'android', 'groups',' children ',' Until ',' Young ',' Sampe ',' Old ',' ']</v>
      </c>
      <c r="D3156" s="3">
        <v>5.0</v>
      </c>
    </row>
    <row r="3157" ht="15.75" customHeight="1">
      <c r="A3157" s="1">
        <v>3378.0</v>
      </c>
      <c r="B3157" s="3" t="s">
        <v>3045</v>
      </c>
      <c r="C3157" s="3" t="str">
        <f>IFERROR(__xludf.DUMMYFUNCTION("GOOGLETRANSLATE(B3157,""id"",""en"")"),"['quota', 'expensive', 'network', 'kek', 'bngst', 'please', 'repaired', 'network', 'rural', 'thanks', ""]")</f>
        <v>['quota', 'expensive', 'network', 'kek', 'bngst', 'please', 'repaired', 'network', 'rural', 'thanks', "]</v>
      </c>
      <c r="D3157" s="3">
        <v>1.0</v>
      </c>
    </row>
    <row r="3158" ht="15.75" customHeight="1">
      <c r="A3158" s="1">
        <v>3379.0</v>
      </c>
      <c r="B3158" s="3" t="s">
        <v>3046</v>
      </c>
      <c r="C3158" s="3" t="str">
        <f>IFERROR(__xludf.DUMMYFUNCTION("GOOGLETRANSLATE(B3158,""id"",""en"")"),"['Kenpa', 'Credit', 'Sya', 'Kelelp', 'Bukv', 'Pulses',' TPI ',' Doing business', 'Honest', 'Sya', 'Student', 'Harms',' right ',' can ',' quota ',' kemdikbud ',' right ',' mla ',' pulses', 'kelelp', 'just', 'doang', 'admin', 'my apk', 'low' , 'response', '"&amp;"told', 'complement', 'TPI', 'bls', 'for days', 'star', 'mines', 'already', 'sya', 'minesin', 'minesin']")</f>
        <v>['Kenpa', 'Credit', 'Sya', 'Kelelp', 'Bukv', 'Pulses',' TPI ',' Doing business', 'Honest', 'Sya', 'Student', 'Harms',' right ',' can ',' quota ',' kemdikbud ',' right ',' mla ',' pulses', 'kelelp', 'just', 'doang', 'admin', 'my apk', 'low' , 'response', 'told', 'complement', 'TPI', 'bls', 'for days', 'star', 'mines', 'already', 'sya', 'minesin', 'minesin']</v>
      </c>
      <c r="D3158" s="3">
        <v>1.0</v>
      </c>
    </row>
    <row r="3159" ht="15.75" customHeight="1">
      <c r="A3159" s="1">
        <v>3380.0</v>
      </c>
      <c r="B3159" s="3" t="s">
        <v>3047</v>
      </c>
      <c r="C3159" s="3" t="str">
        <f>IFERROR(__xludf.DUMMYFUNCTION("GOOGLETRANSLATE(B3159,""id"",""en"")"),"['', 'App', 'ugly', 'slow', 'internet', 'slow', 'just', 'motion', 'fast', 'kaco', 'APL', 'network', 'internet ',' Kaco ',' Telkomsel ',' Kaco ',' Bad ',' You ',' Network ',' Internet ',' Shy ',' Network ',' Largest ',' Slow ',' Kek ', 'Kuya']")</f>
        <v>['', 'App', 'ugly', 'slow', 'internet', 'slow', 'just', 'motion', 'fast', 'kaco', 'APL', 'network', 'internet ',' Kaco ',' Telkomsel ',' Kaco ',' Bad ',' You ',' Network ',' Internet ',' Shy ',' Network ',' Largest ',' Slow ',' Kek ', 'Kuya']</v>
      </c>
      <c r="D3159" s="3">
        <v>1.0</v>
      </c>
    </row>
    <row r="3160" ht="15.75" customHeight="1">
      <c r="A3160" s="1">
        <v>3381.0</v>
      </c>
      <c r="B3160" s="3" t="s">
        <v>3048</v>
      </c>
      <c r="C3160" s="3" t="str">
        <f>IFERROR(__xludf.DUMMYFUNCTION("GOOGLETRANSLATE(B3160,""id"",""en"")"),"['level', 'quality', 'network', 'slow', 'network', 'telkomsel', 'price', 'package', 'jangn', 'expensive', 'price', 'populat', ' right ',' pocked ']")</f>
        <v>['level', 'quality', 'network', 'slow', 'network', 'telkomsel', 'price', 'package', 'jangn', 'expensive', 'price', 'populat', ' right ',' pocked ']</v>
      </c>
      <c r="D3160" s="3">
        <v>5.0</v>
      </c>
    </row>
    <row r="3161" ht="15.75" customHeight="1">
      <c r="A3161" s="1">
        <v>3382.0</v>
      </c>
      <c r="B3161" s="3" t="s">
        <v>3049</v>
      </c>
      <c r="C3161" s="3" t="str">
        <f>IFERROR(__xludf.DUMMYFUNCTION("GOOGLETRANSLATE(B3161,""id"",""en"")"),"['Package', 'cheap', 'cheap', 'happy', 'wear', 'card', 'Telkomsel', 'burn', 'card', 'made', 'shook', ""]")</f>
        <v>['Package', 'cheap', 'cheap', 'happy', 'wear', 'card', 'Telkomsel', 'burn', 'card', 'made', 'shook', "]</v>
      </c>
      <c r="D3161" s="3">
        <v>1.0</v>
      </c>
    </row>
    <row r="3162" ht="15.75" customHeight="1">
      <c r="A3162" s="1">
        <v>3383.0</v>
      </c>
      <c r="B3162" s="3" t="s">
        <v>3050</v>
      </c>
      <c r="C3162" s="3" t="str">
        <f>IFERROR(__xludf.DUMMYFUNCTION("GOOGLETRANSLATE(B3162,""id"",""en"")"),"['Application', 'Jos',' Signal ',' Telkomsel ',' Lost ',' Ama ',' Provider ',' Signal ',' Good ',' in the area ',' Urban ',' Doang ',' according to ',' Ama ',' price ',' expensive ']")</f>
        <v>['Application', 'Jos',' Signal ',' Telkomsel ',' Lost ',' Ama ',' Provider ',' Signal ',' Good ',' in the area ',' Urban ',' Doang ',' according to ',' Ama ',' price ',' expensive ']</v>
      </c>
      <c r="D3162" s="3">
        <v>1.0</v>
      </c>
    </row>
    <row r="3163" ht="15.75" customHeight="1">
      <c r="A3163" s="1">
        <v>3384.0</v>
      </c>
      <c r="B3163" s="3" t="s">
        <v>3051</v>
      </c>
      <c r="C3163" s="3" t="str">
        <f>IFERROR(__xludf.DUMMYFUNCTION("GOOGLETRANSLATE(B3163,""id"",""en"")"),"['Like', 'application']")</f>
        <v>['Like', 'application']</v>
      </c>
      <c r="D3163" s="3">
        <v>5.0</v>
      </c>
    </row>
    <row r="3164" ht="15.75" customHeight="1">
      <c r="A3164" s="1">
        <v>3385.0</v>
      </c>
      <c r="B3164" s="3" t="s">
        <v>3052</v>
      </c>
      <c r="C3164" s="3" t="str">
        <f>IFERROR(__xludf.DUMMYFUNCTION("GOOGLETRANSLATE(B3164,""id"",""en"")"),"['Network', 'rotten', 'lose', ""]")</f>
        <v>['Network', 'rotten', 'lose', "]</v>
      </c>
      <c r="D3164" s="3">
        <v>1.0</v>
      </c>
    </row>
    <row r="3165" ht="15.75" customHeight="1">
      <c r="A3165" s="1">
        <v>3386.0</v>
      </c>
      <c r="B3165" s="3" t="s">
        <v>3053</v>
      </c>
      <c r="C3165" s="3" t="str">
        <f>IFERROR(__xludf.DUMMYFUNCTION("GOOGLETRANSLATE(B3165,""id"",""en"")"),"['Credit', 'reduced', 'quota', 'internet', 'reduced', 'emg', 'confused', 'pulse', 'kepakai', 'Telkomsel', ""]")</f>
        <v>['Credit', 'reduced', 'quota', 'internet', 'reduced', 'emg', 'confused', 'pulse', 'kepakai', 'Telkomsel', "]</v>
      </c>
      <c r="D3165" s="3">
        <v>2.0</v>
      </c>
    </row>
    <row r="3166" ht="15.75" customHeight="1">
      <c r="A3166" s="1">
        <v>3387.0</v>
      </c>
      <c r="B3166" s="3" t="s">
        <v>122</v>
      </c>
      <c r="C3166" s="3" t="str">
        <f>IFERROR(__xludf.DUMMYFUNCTION("GOOGLETRANSLATE(B3166,""id"",""en"")"),"['easy']")</f>
        <v>['easy']</v>
      </c>
      <c r="D3166" s="3">
        <v>4.0</v>
      </c>
    </row>
    <row r="3167" ht="15.75" customHeight="1">
      <c r="A3167" s="1">
        <v>3388.0</v>
      </c>
      <c r="B3167" s="3" t="s">
        <v>3054</v>
      </c>
      <c r="C3167" s="3" t="str">
        <f>IFERROR(__xludf.DUMMYFUNCTION("GOOGLETRANSLATE(B3167,""id"",""en"")"),"['hope', 'price', 'package', 'quota', 'cheap', '']")</f>
        <v>['hope', 'price', 'package', 'quota', 'cheap', '']</v>
      </c>
      <c r="D3167" s="3">
        <v>5.0</v>
      </c>
    </row>
    <row r="3168" ht="15.75" customHeight="1">
      <c r="A3168" s="1">
        <v>3389.0</v>
      </c>
      <c r="B3168" s="3" t="s">
        <v>3055</v>
      </c>
      <c r="C3168" s="3" t="str">
        <f>IFERROR(__xludf.DUMMYFUNCTION("GOOGLETRANSLATE(B3168,""id"",""en"")"),"['Severe', 'Provider', 'Kayak', 'Signal', 'Easy', 'Lost', 'Game', 'Severe', 'Road', 'Stuck', 'Red', 'Package', ' internet ',' expensive ',' quality ',' bad ',' mending ',' IM ',' signal ',' bar ',' TPI ',' stable ',' game ',' sakank ',' doang ' , 'fix it'"&amp;"]")</f>
        <v>['Severe', 'Provider', 'Kayak', 'Signal', 'Easy', 'Lost', 'Game', 'Severe', 'Road', 'Stuck', 'Red', 'Package', ' internet ',' expensive ',' quality ',' bad ',' mending ',' IM ',' signal ',' bar ',' TPI ',' stable ',' game ',' sakank ',' doang ' , 'fix it']</v>
      </c>
      <c r="D3168" s="3">
        <v>1.0</v>
      </c>
    </row>
    <row r="3169" ht="15.75" customHeight="1">
      <c r="A3169" s="1">
        <v>3390.0</v>
      </c>
      <c r="B3169" s="3" t="s">
        <v>3056</v>
      </c>
      <c r="C3169" s="3" t="str">
        <f>IFERROR(__xludf.DUMMYFUNCTION("GOOGLETRANSLATE(B3169,""id"",""en"")"),"['network', 'pig', 'win', 'expensive', 'doang']")</f>
        <v>['network', 'pig', 'win', 'expensive', 'doang']</v>
      </c>
      <c r="D3169" s="3">
        <v>1.0</v>
      </c>
    </row>
    <row r="3170" ht="15.75" customHeight="1">
      <c r="A3170" s="1">
        <v>3391.0</v>
      </c>
      <c r="B3170" s="3" t="s">
        <v>3057</v>
      </c>
      <c r="C3170" s="3" t="str">
        <f>IFERROR(__xludf.DUMMYFUNCTION("GOOGLETRANSLATE(B3170,""id"",""en"")"),"['Download', 'Application', 'Read', 'Review', 'User', 'Disappointed', 'Decide', 'Download', '']")</f>
        <v>['Download', 'Application', 'Read', 'Review', 'User', 'Disappointed', 'Decide', 'Download', '']</v>
      </c>
      <c r="D3170" s="3">
        <v>1.0</v>
      </c>
    </row>
    <row r="3171" ht="15.75" customHeight="1">
      <c r="A3171" s="1">
        <v>3393.0</v>
      </c>
      <c r="B3171" s="3" t="s">
        <v>3058</v>
      </c>
      <c r="C3171" s="3" t="str">
        <f>IFERROR(__xludf.DUMMYFUNCTION("GOOGLETRANSLATE(B3171,""id"",""en"")"),"['ping', 'play', ""]")</f>
        <v>['ping', 'play', "]</v>
      </c>
      <c r="D3171" s="3">
        <v>1.0</v>
      </c>
    </row>
    <row r="3172" ht="15.75" customHeight="1">
      <c r="A3172" s="1">
        <v>3394.0</v>
      </c>
      <c r="B3172" s="3" t="s">
        <v>3059</v>
      </c>
      <c r="C3172" s="3" t="str">
        <f>IFERROR(__xludf.DUMMYFUNCTION("GOOGLETRANSLATE(B3172,""id"",""en"")"),"['Wuh', 'Severe', 'already', 'package', 'expensive', 'signal', 'slow', 'forgiveness',' already ',' that's', 'pulse', 'leftover', ' Like ',' Ngilani ',' Ngerti ',' mnding ',' signal ',' good ',' package ',' expensive ',' boro ',' already ',' package ',' ex"&amp;"pensive ',' signal ' , 'Damaged', 'Males']")</f>
        <v>['Wuh', 'Severe', 'already', 'package', 'expensive', 'signal', 'slow', 'forgiveness',' already ',' that's', 'pulse', 'leftover', ' Like ',' Ngilani ',' Ngerti ',' mnding ',' signal ',' good ',' package ',' expensive ',' boro ',' already ',' package ',' expensive ',' signal ' , 'Damaged', 'Males']</v>
      </c>
      <c r="D3172" s="3">
        <v>1.0</v>
      </c>
    </row>
    <row r="3173" ht="15.75" customHeight="1">
      <c r="A3173" s="1">
        <v>3395.0</v>
      </c>
      <c r="B3173" s="3" t="s">
        <v>3060</v>
      </c>
      <c r="C3173" s="3" t="str">
        <f>IFERROR(__xludf.DUMMYFUNCTION("GOOGLETRANSLATE(B3173,""id"",""en"")"),"['Please', 'Sorry', 'Min', 'Network', 'Telkomsel', 'KNPA', 'BNGT', 'Down', 'KEK', 'Price', 'Sembako', 'Ngga', ' Stable ',' wanted ',' moved ',' provider ',' already ',' Not bad ',' Telkomsel ',' SNAGAT ',' Sayangan ',' honest ',' satisfying ']")</f>
        <v>['Please', 'Sorry', 'Min', 'Network', 'Telkomsel', 'KNPA', 'BNGT', 'Down', 'KEK', 'Price', 'Sembako', 'Ngga', ' Stable ',' wanted ',' moved ',' provider ',' already ',' Not bad ',' Telkomsel ',' SNAGAT ',' Sayangan ',' honest ',' satisfying ']</v>
      </c>
      <c r="D3173" s="3">
        <v>1.0</v>
      </c>
    </row>
    <row r="3174" ht="15.75" customHeight="1">
      <c r="A3174" s="1">
        <v>3396.0</v>
      </c>
      <c r="B3174" s="3" t="s">
        <v>3061</v>
      </c>
      <c r="C3174" s="3" t="str">
        <f>IFERROR(__xludf.DUMMYFUNCTION("GOOGLETRANSLATE(B3174,""id"",""en"")"),"['effective']")</f>
        <v>['effective']</v>
      </c>
      <c r="D3174" s="3">
        <v>5.0</v>
      </c>
    </row>
    <row r="3175" ht="15.75" customHeight="1">
      <c r="A3175" s="1">
        <v>3397.0</v>
      </c>
      <c r="B3175" s="3" t="s">
        <v>122</v>
      </c>
      <c r="C3175" s="3" t="str">
        <f>IFERROR(__xludf.DUMMYFUNCTION("GOOGLETRANSLATE(B3175,""id"",""en"")"),"['easy']")</f>
        <v>['easy']</v>
      </c>
      <c r="D3175" s="3">
        <v>5.0</v>
      </c>
    </row>
    <row r="3176" ht="15.75" customHeight="1">
      <c r="A3176" s="1">
        <v>3398.0</v>
      </c>
      <c r="B3176" s="3" t="s">
        <v>3062</v>
      </c>
      <c r="C3176" s="3" t="str">
        <f>IFERROR(__xludf.DUMMYFUNCTION("GOOGLETRANSLATE(B3176,""id"",""en"")"),"['signal', 'leemoot', 'according to', 'price', 'buy', 'quota', 'expensive', ""]")</f>
        <v>['signal', 'leemoot', 'according to', 'price', 'buy', 'quota', 'expensive', "]</v>
      </c>
      <c r="D3176" s="3">
        <v>1.0</v>
      </c>
    </row>
    <row r="3177" ht="15.75" customHeight="1">
      <c r="A3177" s="1">
        <v>3399.0</v>
      </c>
      <c r="B3177" s="3" t="s">
        <v>3063</v>
      </c>
      <c r="C3177" s="3" t="str">
        <f>IFERROR(__xludf.DUMMYFUNCTION("GOOGLETRANSLATE(B3177,""id"",""en"")"),"['Try', 'price', 'quota', 'combo', 'pulse', 'right', 'buy', 'quota', 'notif', 'pulse', ""]")</f>
        <v>['Try', 'price', 'quota', 'combo', 'pulse', 'right', 'buy', 'quota', 'notif', 'pulse', "]</v>
      </c>
      <c r="D3177" s="3">
        <v>1.0</v>
      </c>
    </row>
    <row r="3178" ht="15.75" customHeight="1">
      <c r="A3178" s="1">
        <v>3400.0</v>
      </c>
      <c r="B3178" s="3" t="s">
        <v>3064</v>
      </c>
      <c r="C3178" s="3" t="str">
        <f>IFERROR(__xludf.DUMMYFUNCTION("GOOGLETRANSLATE(B3178,""id"",""en"")"),"['Love', 'Star', 'Hope', 'Service', 'Disappointing', 'Telkomsel']")</f>
        <v>['Love', 'Star', 'Hope', 'Service', 'Disappointing', 'Telkomsel']</v>
      </c>
      <c r="D3178" s="3">
        <v>3.0</v>
      </c>
    </row>
    <row r="3179" ht="15.75" customHeight="1">
      <c r="A3179" s="1">
        <v>3401.0</v>
      </c>
      <c r="B3179" s="3" t="s">
        <v>3065</v>
      </c>
      <c r="C3179" s="3" t="str">
        <f>IFERROR(__xludf.DUMMYFUNCTION("GOOGLETRANSLATE(B3179,""id"",""en"")"),"['Telkomsel', 'disappointing', 'signal', 'then', 'how', 'UDH', 'Telkomsel', 'signal', 'supports',' home ',' signal ',' good ',' Please, 'fix', 'quota', 'expensive', 'sinya', 'jelekkk', '']")</f>
        <v>['Telkomsel', 'disappointing', 'signal', 'then', 'how', 'UDH', 'Telkomsel', 'signal', 'supports',' home ',' signal ',' good ',' Please, 'fix', 'quota', 'expensive', 'sinya', 'jelekkk', '']</v>
      </c>
      <c r="D3179" s="3">
        <v>1.0</v>
      </c>
    </row>
    <row r="3180" ht="15.75" customHeight="1">
      <c r="A3180" s="1">
        <v>3403.0</v>
      </c>
      <c r="B3180" s="3" t="s">
        <v>3066</v>
      </c>
      <c r="C3180" s="3" t="str">
        <f>IFERROR(__xludf.DUMMYFUNCTION("GOOGLETRANSLATE(B3180,""id"",""en"")"),"['Since', 'update', 'package', 'expensive', 'package', 'cheap', 'promo', 'already', 'jadinga', 'at home', 'Telkomsel', 'network', ' slow ',' package ',' expensive ',' learn ',' suggestion ',' love ',' promo ',' min ',' suapaya ',' at home ',' Telkomsel ',"&amp;"' pouch ',' masi ' , 'Pouch', 'Student']")</f>
        <v>['Since', 'update', 'package', 'expensive', 'package', 'cheap', 'promo', 'already', 'jadinga', 'at home', 'Telkomsel', 'network', ' slow ',' package ',' expensive ',' learn ',' suggestion ',' love ',' promo ',' min ',' suapaya ',' at home ',' Telkomsel ',' pouch ',' masi ' , 'Pouch', 'Student']</v>
      </c>
      <c r="D3180" s="3">
        <v>1.0</v>
      </c>
    </row>
    <row r="3181" ht="15.75" customHeight="1">
      <c r="A3181" s="1">
        <v>3404.0</v>
      </c>
      <c r="B3181" s="3" t="s">
        <v>3067</v>
      </c>
      <c r="C3181" s="3" t="str">
        <f>IFERROR(__xludf.DUMMYFUNCTION("GOOGLETRANSLATE(B3181,""id"",""en"")"),"['signal', 'Telkomsel', 'special', 'Tasikmalaya', 'bad', 'threat', 'ugly', 'ugly', 'open', 'application', 'disorder', 'update', ' Severe ',' already ',' expensive ',' signal ',' threat ',' disappointed ',' bin ',' keciwis', ""]")</f>
        <v>['signal', 'Telkomsel', 'special', 'Tasikmalaya', 'bad', 'threat', 'ugly', 'ugly', 'open', 'application', 'disorder', 'update', ' Severe ',' already ',' expensive ',' signal ',' threat ',' disappointed ',' bin ',' keciwis', "]</v>
      </c>
      <c r="D3181" s="3">
        <v>1.0</v>
      </c>
    </row>
    <row r="3182" ht="15.75" customHeight="1">
      <c r="A3182" s="1">
        <v>3405.0</v>
      </c>
      <c r="B3182" s="3" t="s">
        <v>3068</v>
      </c>
      <c r="C3182" s="3" t="str">
        <f>IFERROR(__xludf.DUMMYFUNCTION("GOOGLETRANSLATE(B3182,""id"",""en"")"),"['Telkomsel', 'Sousiny', 'ugly', 'really', 'signal', 'taste', 'smooth', 'decreases',' alias', 'zonk', 'sleep', 'really', ' oath ',' buy ',' package ',' price ',' expensive ',' right ',' loading ',' right ',' gini ',' move ',' card ',' ']")</f>
        <v>['Telkomsel', 'Sousiny', 'ugly', 'really', 'signal', 'taste', 'smooth', 'decreases',' alias', 'zonk', 'sleep', 'really', ' oath ',' buy ',' package ',' price ',' expensive ',' right ',' loading ',' right ',' gini ',' move ',' card ',' ']</v>
      </c>
      <c r="D3182" s="3">
        <v>1.0</v>
      </c>
    </row>
    <row r="3183" ht="15.75" customHeight="1">
      <c r="A3183" s="1">
        <v>3406.0</v>
      </c>
      <c r="B3183" s="3" t="s">
        <v>3069</v>
      </c>
      <c r="C3183" s="3" t="str">
        <f>IFERROR(__xludf.DUMMYFUNCTION("GOOGLETRANSLATE(B3183,""id"",""en"")"),"['signal', 'slow', 'really']")</f>
        <v>['signal', 'slow', 'really']</v>
      </c>
      <c r="D3183" s="3">
        <v>1.0</v>
      </c>
    </row>
    <row r="3184" ht="15.75" customHeight="1">
      <c r="A3184" s="1">
        <v>3407.0</v>
      </c>
      <c r="B3184" s="3" t="s">
        <v>3070</v>
      </c>
      <c r="C3184" s="3" t="str">
        <f>IFERROR(__xludf.DUMMYFUNCTION("GOOGLETRANSLATE(B3184,""id"",""en"")"),"['quota', 'used', 'tap', 'leaked', 'purchase', 'quota', 'division', 'quota', 'post', 'quota', 'absorbed']")</f>
        <v>['quota', 'used', 'tap', 'leaked', 'purchase', 'quota', 'division', 'quota', 'post', 'quota', 'absorbed']</v>
      </c>
      <c r="D3184" s="3">
        <v>1.0</v>
      </c>
    </row>
    <row r="3185" ht="15.75" customHeight="1">
      <c r="A3185" s="1">
        <v>3408.0</v>
      </c>
      <c r="B3185" s="3" t="s">
        <v>3071</v>
      </c>
      <c r="C3185" s="3" t="str">
        <f>IFERROR(__xludf.DUMMYFUNCTION("GOOGLETRANSLATE(B3185,""id"",""en"")"),"['Slow', 'Good', 'Tetep', 'Faithful', 'Telkomsel', 'Card', 'Telkomsel', 'Card', 'Telkomsel', 'Thun', 'Sympathy', 'Telkomse', ' Thun ',' Pokoe ',' Joged ',' Telkomsel ',' ']")</f>
        <v>['Slow', 'Good', 'Tetep', 'Faithful', 'Telkomsel', 'Card', 'Telkomsel', 'Card', 'Telkomsel', 'Thun', 'Sympathy', 'Telkomse', ' Thun ',' Pokoe ',' Joged ',' Telkomsel ',' ']</v>
      </c>
      <c r="D3185" s="3">
        <v>5.0</v>
      </c>
    </row>
    <row r="3186" ht="15.75" customHeight="1">
      <c r="A3186" s="1">
        <v>3409.0</v>
      </c>
      <c r="B3186" s="3" t="s">
        <v>3072</v>
      </c>
      <c r="C3186" s="3" t="str">
        <f>IFERROR(__xludf.DUMMYFUNCTION("GOOGLETRANSLATE(B3186,""id"",""en"")"),"['Here', 'Tsel', 'Credit', 'Fill', 'Enter', 'Sisany', 'Where', 'Woy', 'Cave', 'Pay', 'Quota', 'Emergency', ' Open ',' business', 'internet', 'Corruption', 'pulse', 'person', 'cave', 'student', 'money', 'cave', 'bnyak', 'please', 'brain' , 'little', 'boss'"&amp;"]")</f>
        <v>['Here', 'Tsel', 'Credit', 'Fill', 'Enter', 'Sisany', 'Where', 'Woy', 'Cave', 'Pay', 'Quota', 'Emergency', ' Open ',' business', 'internet', 'Corruption', 'pulse', 'person', 'cave', 'student', 'money', 'cave', 'bnyak', 'please', 'brain' , 'little', 'boss']</v>
      </c>
      <c r="D3186" s="3">
        <v>2.0</v>
      </c>
    </row>
    <row r="3187" ht="15.75" customHeight="1">
      <c r="A3187" s="1">
        <v>3410.0</v>
      </c>
      <c r="B3187" s="3" t="s">
        <v>3073</v>
      </c>
      <c r="C3187" s="3" t="str">
        <f>IFERROR(__xludf.DUMMYFUNCTION("GOOGLETRANSLATE(B3187,""id"",""en"")"),"['network', 'Telkomsel', 'no', 'stable', 'card', 'loop', 'Telkomsel', 'right', 'internet', 'network', 'stable', 'play', ' Game ',' watch ',' youtube ',' difficult ',' card ',' Telkomsel ',' buy ',' package ',' internet ',' network ',' bar ',' stuck ',' ba"&amp;"r ' , 'Worse', 'France', 'Changed', '']")</f>
        <v>['network', 'Telkomsel', 'no', 'stable', 'card', 'loop', 'Telkomsel', 'right', 'internet', 'network', 'stable', 'play', ' Game ',' watch ',' youtube ',' difficult ',' card ',' Telkomsel ',' buy ',' package ',' internet ',' network ',' bar ',' stuck ',' bar ' , 'Worse', 'France', 'Changed', '']</v>
      </c>
      <c r="D3187" s="3">
        <v>1.0</v>
      </c>
    </row>
    <row r="3188" ht="15.75" customHeight="1">
      <c r="A3188" s="1">
        <v>3411.0</v>
      </c>
      <c r="B3188" s="3" t="s">
        <v>3074</v>
      </c>
      <c r="C3188" s="3" t="str">
        <f>IFERROR(__xludf.DUMMYFUNCTION("GOOGLETRANSLATE(B3188,""id"",""en"")"),"['Mantap', 'promo']")</f>
        <v>['Mantap', 'promo']</v>
      </c>
      <c r="D3188" s="3">
        <v>3.0</v>
      </c>
    </row>
    <row r="3189" ht="15.75" customHeight="1">
      <c r="A3189" s="1">
        <v>3412.0</v>
      </c>
      <c r="B3189" s="3" t="s">
        <v>3075</v>
      </c>
      <c r="C3189" s="3" t="str">
        <f>IFERROR(__xludf.DUMMYFUNCTION("GOOGLETRANSLATE(B3189,""id"",""en"")"),"['pulse', 'suck', 'reason', 'reverse', 'free', 'telvon', 'quota', 'pulse', 'suck', 'back', 'woiii', ""]")</f>
        <v>['pulse', 'suck', 'reason', 'reverse', 'free', 'telvon', 'quota', 'pulse', 'suck', 'back', 'woiii', "]</v>
      </c>
      <c r="D3189" s="3">
        <v>1.0</v>
      </c>
    </row>
    <row r="3190" ht="15.75" customHeight="1">
      <c r="A3190" s="1">
        <v>3413.0</v>
      </c>
      <c r="B3190" s="3" t="s">
        <v>3076</v>
      </c>
      <c r="C3190" s="3" t="str">
        <f>IFERROR(__xludf.DUMMYFUNCTION("GOOGLETRANSLATE(B3190,""id"",""en"")"),"['activate', 'internet', 'Sakti', 'quota', 'rb', 'active', 'card', 'Telkomsel', 'owned', 'quota', 'notif', 'sms',' Telkomsel ',' internet ',' Sakti ',' quota ',' please ',' responded ',' ']")</f>
        <v>['activate', 'internet', 'Sakti', 'quota', 'rb', 'active', 'card', 'Telkomsel', 'owned', 'quota', 'notif', 'sms',' Telkomsel ',' internet ',' Sakti ',' quota ',' please ',' responded ',' ']</v>
      </c>
      <c r="D3190" s="3">
        <v>5.0</v>
      </c>
    </row>
    <row r="3191" ht="15.75" customHeight="1">
      <c r="A3191" s="1">
        <v>3414.0</v>
      </c>
      <c r="B3191" s="3" t="s">
        <v>3077</v>
      </c>
      <c r="C3191" s="3" t="str">
        <f>IFERROR(__xludf.DUMMYFUNCTION("GOOGLETRANSLATE(B3191,""id"",""en"")"),"['Telkomsel', 'point', 'intention', 'exchanged', 'quota', 'GB', 'strange', 'exchange', 'point', 'money', 'rb', 'buy', ' Redeem ',' use ',' Telkomsel ',' Points']")</f>
        <v>['Telkomsel', 'point', 'intention', 'exchanged', 'quota', 'GB', 'strange', 'exchange', 'point', 'money', 'rb', 'buy', ' Redeem ',' use ',' Telkomsel ',' Points']</v>
      </c>
      <c r="D3191" s="3">
        <v>2.0</v>
      </c>
    </row>
    <row r="3192" ht="15.75" customHeight="1">
      <c r="A3192" s="1">
        <v>3415.0</v>
      </c>
      <c r="B3192" s="3" t="s">
        <v>3078</v>
      </c>
      <c r="C3192" s="3" t="str">
        <f>IFERROR(__xludf.DUMMYFUNCTION("GOOGLETRANSLATE(B3192,""id"",""en"")"),"['Network', 'Bener', 'Ancur']")</f>
        <v>['Network', 'Bener', 'Ancur']</v>
      </c>
      <c r="D3192" s="3">
        <v>1.0</v>
      </c>
    </row>
    <row r="3193" ht="15.75" customHeight="1">
      <c r="A3193" s="1">
        <v>3417.0</v>
      </c>
      <c r="B3193" s="3" t="s">
        <v>3079</v>
      </c>
      <c r="C3193" s="3" t="str">
        <f>IFERROR(__xludf.DUMMYFUNCTION("GOOGLETRANSLATE(B3193,""id"",""en"")"),"['Fast', 'consistent']")</f>
        <v>['Fast', 'consistent']</v>
      </c>
      <c r="D3193" s="3">
        <v>5.0</v>
      </c>
    </row>
    <row r="3194" ht="15.75" customHeight="1">
      <c r="A3194" s="1">
        <v>3418.0</v>
      </c>
      <c r="B3194" s="3" t="s">
        <v>3080</v>
      </c>
      <c r="C3194" s="3" t="str">
        <f>IFERROR(__xludf.DUMMYFUNCTION("GOOGLETRANSLATE(B3194,""id"",""en"")"),"['How', 'promo', 'cheap', 'friend', ""]")</f>
        <v>['How', 'promo', 'cheap', 'friend', "]</v>
      </c>
      <c r="D3194" s="3">
        <v>1.0</v>
      </c>
    </row>
    <row r="3195" ht="15.75" customHeight="1">
      <c r="A3195" s="1">
        <v>3419.0</v>
      </c>
      <c r="B3195" s="3" t="s">
        <v>3081</v>
      </c>
      <c r="C3195" s="3" t="str">
        <f>IFERROR(__xludf.DUMMYFUNCTION("GOOGLETRANSLATE(B3195,""id"",""en"")"),"['The application', 'satisfying', 'bonus', 'gift', 'abundant', 'free', 'limit', '']")</f>
        <v>['The application', 'satisfying', 'bonus', 'gift', 'abundant', 'free', 'limit', '']</v>
      </c>
      <c r="D3195" s="3">
        <v>5.0</v>
      </c>
    </row>
    <row r="3196" ht="15.75" customHeight="1">
      <c r="A3196" s="1">
        <v>3420.0</v>
      </c>
      <c r="B3196" s="3" t="s">
        <v>3082</v>
      </c>
      <c r="C3196" s="3" t="str">
        <f>IFERROR(__xludf.DUMMYFUNCTION("GOOGLETRANSLATE(B3196,""id"",""en"")"),"['package', 'data', 'expensive']")</f>
        <v>['package', 'data', 'expensive']</v>
      </c>
      <c r="D3196" s="3">
        <v>1.0</v>
      </c>
    </row>
    <row r="3197" ht="15.75" customHeight="1">
      <c r="A3197" s="1">
        <v>3421.0</v>
      </c>
      <c r="B3197" s="3" t="s">
        <v>3083</v>
      </c>
      <c r="C3197" s="3" t="str">
        <f>IFERROR(__xludf.DUMMYFUNCTION("GOOGLETRANSLATE(B3197,""id"",""en"")"),"['Telkomsel', 'pulse', 'package', 'emergency', 'entry', 'purpose', '']")</f>
        <v>['Telkomsel', 'pulse', 'package', 'emergency', 'entry', 'purpose', '']</v>
      </c>
      <c r="D3197" s="3">
        <v>1.0</v>
      </c>
    </row>
    <row r="3198" ht="15.75" customHeight="1">
      <c r="A3198" s="1">
        <v>3422.0</v>
      </c>
      <c r="B3198" s="3" t="s">
        <v>3084</v>
      </c>
      <c r="C3198" s="3" t="str">
        <f>IFERROR(__xludf.DUMMYFUNCTION("GOOGLETRANSLATE(B3198,""id"",""en"")"),"['Buy', 'Quota', 'Install', 'reset', 'application']")</f>
        <v>['Buy', 'Quota', 'Install', 'reset', 'application']</v>
      </c>
      <c r="D3198" s="3">
        <v>1.0</v>
      </c>
    </row>
    <row r="3199" ht="15.75" customHeight="1">
      <c r="A3199" s="1">
        <v>3423.0</v>
      </c>
      <c r="B3199" s="3" t="s">
        <v>3085</v>
      </c>
      <c r="C3199" s="3" t="str">
        <f>IFERROR(__xludf.DUMMYFUNCTION("GOOGLETRANSLATE(B3199,""id"",""en"")"),"['Good', 'size', 'APK', '']")</f>
        <v>['Good', 'size', 'APK', '']</v>
      </c>
      <c r="D3199" s="3">
        <v>5.0</v>
      </c>
    </row>
    <row r="3200" ht="15.75" customHeight="1">
      <c r="A3200" s="1">
        <v>3424.0</v>
      </c>
      <c r="B3200" s="3" t="s">
        <v>3086</v>
      </c>
      <c r="C3200" s="3" t="str">
        <f>IFERROR(__xludf.DUMMYFUNCTION("GOOGLETRANSLATE(B3200,""id"",""en"")"),"['Promo', 'interesting']")</f>
        <v>['Promo', 'interesting']</v>
      </c>
      <c r="D3200" s="3">
        <v>5.0</v>
      </c>
    </row>
    <row r="3201" ht="15.75" customHeight="1">
      <c r="A3201" s="1">
        <v>3425.0</v>
      </c>
      <c r="B3201" s="3" t="s">
        <v>3087</v>
      </c>
      <c r="C3201" s="3" t="str">
        <f>IFERROR(__xludf.DUMMYFUNCTION("GOOGLETRANSLATE(B3201,""id"",""en"")"),"['Help', 'difficult', 'signal', 'thank you']")</f>
        <v>['Help', 'difficult', 'signal', 'thank you']</v>
      </c>
      <c r="D3201" s="3">
        <v>5.0</v>
      </c>
    </row>
    <row r="3202" ht="15.75" customHeight="1">
      <c r="A3202" s="1">
        <v>3426.0</v>
      </c>
      <c r="B3202" s="3" t="s">
        <v>3088</v>
      </c>
      <c r="C3202" s="3" t="str">
        <f>IFERROR(__xludf.DUMMYFUNCTION("GOOGLETRANSLATE(B3202,""id"",""en"")"),"['Bad', 'Telkomsel', 'BLM', 'Claim', 'Gift', 'Daily', 'Check', 'GB', 'Considered', 'Nge', 'Claim', 'Need', ' BLM ',' Nge ',' Claim ',' MLH ',' Notif ',' Please ',' Sorry ',' Experiment ',' Pekahh ', ""]")</f>
        <v>['Bad', 'Telkomsel', 'BLM', 'Claim', 'Gift', 'Daily', 'Check', 'GB', 'Considered', 'Nge', 'Claim', 'Need', ' BLM ',' Nge ',' Claim ',' MLH ',' Notif ',' Please ',' Sorry ',' Experiment ',' Pekahh ', "]</v>
      </c>
      <c r="D3202" s="3">
        <v>1.0</v>
      </c>
    </row>
    <row r="3203" ht="15.75" customHeight="1">
      <c r="A3203" s="1">
        <v>3427.0</v>
      </c>
      <c r="B3203" s="3" t="s">
        <v>3089</v>
      </c>
      <c r="C3203" s="3" t="str">
        <f>IFERROR(__xludf.DUMMYFUNCTION("GOOGLETRANSLATE(B3203,""id"",""en"")"),"['easy', 'good', 'mainly', 'good', 'signal', 'remote', 'remote', 'increase', ""]")</f>
        <v>['easy', 'good', 'mainly', 'good', 'signal', 'remote', 'remote', 'increase', "]</v>
      </c>
      <c r="D3203" s="3">
        <v>5.0</v>
      </c>
    </row>
    <row r="3204" ht="15.75" customHeight="1">
      <c r="A3204" s="1">
        <v>3428.0</v>
      </c>
      <c r="B3204" s="3" t="s">
        <v>3090</v>
      </c>
      <c r="C3204" s="3" t="str">
        <f>IFERROR(__xludf.DUMMYFUNCTION("GOOGLETRANSLATE(B3204,""id"",""en"")"),"['already', 'network', 'error', 'plus', 'detrimental', 'users', 'pulses', 'truncated', 'notification', 'severe']")</f>
        <v>['already', 'network', 'error', 'plus', 'detrimental', 'users', 'pulses', 'truncated', 'notification', 'severe']</v>
      </c>
      <c r="D3204" s="3">
        <v>1.0</v>
      </c>
    </row>
    <row r="3205" ht="15.75" customHeight="1">
      <c r="A3205" s="1">
        <v>3429.0</v>
      </c>
      <c r="B3205" s="3" t="s">
        <v>3091</v>
      </c>
      <c r="C3205" s="3" t="str">
        <f>IFERROR(__xludf.DUMMYFUNCTION("GOOGLETRANSLATE(B3205,""id"",""en"")"),"['heavy', 'really', 'apk', 'optimize', 'access',' quota ',' entry ',' application ',' division ',' package ',' think ',' quota ',' Game ',' pubg ',' mistak ',' quota ',' main ',' safe ',' already ',' list ',' quota ',' game ',' Hadeh ',' sad ',' really ' "&amp;", '']")</f>
        <v>['heavy', 'really', 'apk', 'optimize', 'access',' quota ',' entry ',' application ',' division ',' package ',' think ',' quota ',' Game ',' pubg ',' mistak ',' quota ',' main ',' safe ',' already ',' list ',' quota ',' game ',' Hadeh ',' sad ',' really ' , '']</v>
      </c>
      <c r="D3205" s="3">
        <v>3.0</v>
      </c>
    </row>
    <row r="3206" ht="15.75" customHeight="1">
      <c r="A3206" s="1">
        <v>3430.0</v>
      </c>
      <c r="B3206" s="3" t="s">
        <v>3092</v>
      </c>
      <c r="C3206" s="3" t="str">
        <f>IFERROR(__xludf.DUMMYFUNCTION("GOOGLETRANSLATE(B3206,""id"",""en"")"),"['Buy', 'Package', 'YouTube', 'Unlimited', 'Shame', 'Quota', 'Main', 'Harm', 'Consumer', 'parahhhhhh']")</f>
        <v>['Buy', 'Package', 'YouTube', 'Unlimited', 'Shame', 'Quota', 'Main', 'Harm', 'Consumer', 'parahhhhhh']</v>
      </c>
      <c r="D3206" s="3">
        <v>1.0</v>
      </c>
    </row>
    <row r="3207" ht="15.75" customHeight="1">
      <c r="A3207" s="1">
        <v>3432.0</v>
      </c>
      <c r="B3207" s="3" t="s">
        <v>3093</v>
      </c>
      <c r="C3207" s="3" t="str">
        <f>IFERROR(__xludf.DUMMYFUNCTION("GOOGLETRANSLATE(B3207,""id"",""en"")"),"['Support', 'Performance', 'Increases', 'Business', 'Thank you']")</f>
        <v>['Support', 'Performance', 'Increases', 'Business', 'Thank you']</v>
      </c>
      <c r="D3207" s="3">
        <v>5.0</v>
      </c>
    </row>
    <row r="3208" ht="15.75" customHeight="1">
      <c r="A3208" s="1">
        <v>3433.0</v>
      </c>
      <c r="B3208" s="3" t="s">
        <v>3094</v>
      </c>
      <c r="C3208" s="3" t="str">
        <f>IFERROR(__xludf.DUMMYFUNCTION("GOOGLETRANSLATE(B3208,""id"",""en"")"),"['Enhanced', 'strength', 'signal', 'in various',' regions', 'remote', 'in place', 'Tanjung', 'Selor', 'Kab', 'Bulungan', 'Kalimantan', ' North']")</f>
        <v>['Enhanced', 'strength', 'signal', 'in various',' regions', 'remote', 'in place', 'Tanjung', 'Selor', 'Kab', 'Bulungan', 'Kalimantan', ' North']</v>
      </c>
      <c r="D3208" s="3">
        <v>5.0</v>
      </c>
    </row>
    <row r="3209" ht="15.75" customHeight="1">
      <c r="A3209" s="1">
        <v>3434.0</v>
      </c>
      <c r="B3209" s="3" t="s">
        <v>3095</v>
      </c>
      <c r="C3209" s="3" t="str">
        <f>IFERROR(__xludf.DUMMYFUNCTION("GOOGLETRANSLATE(B3209,""id"",""en"")"),"['service', 'Telkomsel', 'bad', 'Try', 'give', 'message', 'class',' block ',' activity ',' activity ',' hold ',' zoom ',' Disguose ',' POP ',' polite ',' really ',' block ',' option ',' block ',' pop ',' appears', 'nyeleneh', 'sight', 'already', 'disturbi"&amp;"ng' , 'Ngeledek', 'number', 'Tsel', 'Register', 'Media', 'Discard', 'Card', 'Operator', 'Polite', ""]")</f>
        <v>['service', 'Telkomsel', 'bad', 'Try', 'give', 'message', 'class',' block ',' activity ',' activity ',' hold ',' zoom ',' Disguose ',' POP ',' polite ',' really ',' block ',' option ',' block ',' pop ',' appears', 'nyeleneh', 'sight', 'already', 'disturbing' , 'Ngeledek', 'number', 'Tsel', 'Register', 'Media', 'Discard', 'Card', 'Operator', 'Polite', "]</v>
      </c>
      <c r="D3209" s="3">
        <v>1.0</v>
      </c>
    </row>
    <row r="3210" ht="15.75" customHeight="1">
      <c r="A3210" s="1">
        <v>3435.0</v>
      </c>
      <c r="B3210" s="3" t="s">
        <v>134</v>
      </c>
      <c r="C3210" s="3" t="str">
        <f>IFERROR(__xludf.DUMMYFUNCTION("GOOGLETRANSLATE(B3210,""id"",""en"")"),"['cool']")</f>
        <v>['cool']</v>
      </c>
      <c r="D3210" s="3">
        <v>5.0</v>
      </c>
    </row>
    <row r="3211" ht="15.75" customHeight="1">
      <c r="A3211" s="1">
        <v>3436.0</v>
      </c>
      <c r="B3211" s="3" t="s">
        <v>3096</v>
      </c>
      <c r="C3211" s="3" t="str">
        <f>IFERROR(__xludf.DUMMYFUNCTION("GOOGLETRANSLATE(B3211,""id"",""en"")"),"['Kasi', 'star', 'Full', 'intention', 'Hopefully', 'Telkomsel', 'Nengak', 'Tower', 'area', 'because', 'people', ' Telkomsel ',' Signal ',' Bad ',' TPI ',' Masi ',' Love ',' Telkosel ',' Please ',' Attention ',' Trimah ',' Love ', ""]")</f>
        <v>['Kasi', 'star', 'Full', 'intention', 'Hopefully', 'Telkomsel', 'Nengak', 'Tower', 'area', 'because', 'people', ' Telkomsel ',' Signal ',' Bad ',' TPI ',' Masi ',' Love ',' Telkosel ',' Please ',' Attention ',' Trimah ',' Love ', "]</v>
      </c>
      <c r="D3211" s="3">
        <v>5.0</v>
      </c>
    </row>
    <row r="3212" ht="15.75" customHeight="1">
      <c r="A3212" s="1">
        <v>3437.0</v>
      </c>
      <c r="B3212" s="3" t="s">
        <v>3097</v>
      </c>
      <c r="C3212" s="3" t="str">
        <f>IFERROR(__xludf.DUMMYFUNCTION("GOOGLETRANSLATE(B3212,""id"",""en"")"),"['Sometimes', 'jarngan', 'tmpt', 'Lola', 'please', 'Tingkt', ""]")</f>
        <v>['Sometimes', 'jarngan', 'tmpt', 'Lola', 'please', 'Tingkt', "]</v>
      </c>
      <c r="D3212" s="3">
        <v>3.0</v>
      </c>
    </row>
    <row r="3213" ht="15.75" customHeight="1">
      <c r="A3213" s="1">
        <v>3438.0</v>
      </c>
      <c r="B3213" s="3" t="s">
        <v>3098</v>
      </c>
      <c r="C3213" s="3" t="str">
        <f>IFERROR(__xludf.DUMMYFUNCTION("GOOGLETRANSLATE(B3213,""id"",""en"")"),"['Gift', 'Surprise', 'Give', 'Away']")</f>
        <v>['Gift', 'Surprise', 'Give', 'Away']</v>
      </c>
      <c r="D3213" s="3">
        <v>5.0</v>
      </c>
    </row>
    <row r="3214" ht="15.75" customHeight="1">
      <c r="A3214" s="1">
        <v>3439.0</v>
      </c>
      <c r="B3214" s="3" t="s">
        <v>3099</v>
      </c>
      <c r="C3214" s="3" t="str">
        <f>IFERROR(__xludf.DUMMYFUNCTION("GOOGLETRANSLATE(B3214,""id"",""en"")"),"['MyTelkomsel', 'okay', 'really', 'buy', 'package', 'as you like']")</f>
        <v>['MyTelkomsel', 'okay', 'really', 'buy', 'package', 'as you like']</v>
      </c>
      <c r="D3214" s="3">
        <v>5.0</v>
      </c>
    </row>
    <row r="3215" ht="15.75" customHeight="1">
      <c r="A3215" s="1">
        <v>3440.0</v>
      </c>
      <c r="B3215" s="3" t="s">
        <v>3100</v>
      </c>
      <c r="C3215" s="3" t="str">
        <f>IFERROR(__xludf.DUMMYFUNCTION("GOOGLETRANSLATE(B3215,""id"",""en"")"),"['It's easy', 'users', 'Telkomsel', 'smakin', 'success', 'useful']")</f>
        <v>['It's easy', 'users', 'Telkomsel', 'smakin', 'success', 'useful']</v>
      </c>
      <c r="D3215" s="3">
        <v>5.0</v>
      </c>
    </row>
    <row r="3216" ht="15.75" customHeight="1">
      <c r="A3216" s="1">
        <v>3441.0</v>
      </c>
      <c r="B3216" s="3" t="s">
        <v>3101</v>
      </c>
      <c r="C3216" s="3" t="str">
        <f>IFERROR(__xludf.DUMMYFUNCTION("GOOGLETRANSLATE(B3216,""id"",""en"")"),"['expensive', 'product', 'combo', 'Sakti', 'age', 'card', 'udh', 'th', '']")</f>
        <v>['expensive', 'product', 'combo', 'Sakti', 'age', 'card', 'udh', 'th', '']</v>
      </c>
      <c r="D3216" s="3">
        <v>3.0</v>
      </c>
    </row>
    <row r="3217" ht="15.75" customHeight="1">
      <c r="A3217" s="1">
        <v>3442.0</v>
      </c>
      <c r="B3217" s="3" t="s">
        <v>3102</v>
      </c>
      <c r="C3217" s="3" t="str">
        <f>IFERROR(__xludf.DUMMYFUNCTION("GOOGLETRANSLATE(B3217,""id"",""en"")"),"['Good', 'MyTelkomsel', 'like']")</f>
        <v>['Good', 'MyTelkomsel', 'like']</v>
      </c>
      <c r="D3217" s="3">
        <v>5.0</v>
      </c>
    </row>
    <row r="3218" ht="15.75" customHeight="1">
      <c r="A3218" s="1">
        <v>3443.0</v>
      </c>
      <c r="B3218" s="3" t="s">
        <v>3103</v>
      </c>
      <c r="C3218" s="3" t="str">
        <f>IFERROR(__xludf.DUMMYFUNCTION("GOOGLETRANSLATE(B3218,""id"",""en"")"),"['Star', 'open', 'application', 'suck', 'pulse', 'woi', '']")</f>
        <v>['Star', 'open', 'application', 'suck', 'pulse', 'woi', '']</v>
      </c>
      <c r="D3218" s="3">
        <v>1.0</v>
      </c>
    </row>
    <row r="3219" ht="15.75" customHeight="1">
      <c r="A3219" s="1">
        <v>3444.0</v>
      </c>
      <c r="B3219" s="3" t="s">
        <v>3104</v>
      </c>
      <c r="C3219" s="3" t="str">
        <f>IFERROR(__xludf.DUMMYFUNCTION("GOOGLETRANSLATE(B3219,""id"",""en"")"),"['Signal', 'Telkomsel', 'Bad', 'here', 'Tamh', 'Mah', 'Tambo', 'Bad', 'Main', 'Game', 'Signal', 'Ngk', ' Setabil ',' ENK ',' Sekarag ',' bacikk ']")</f>
        <v>['Signal', 'Telkomsel', 'Bad', 'here', 'Tamh', 'Mah', 'Tambo', 'Bad', 'Main', 'Game', 'Signal', 'Ngk', ' Setabil ',' ENK ',' Sekarag ',' bacikk ']</v>
      </c>
      <c r="D3219" s="3">
        <v>1.0</v>
      </c>
    </row>
    <row r="3220" ht="15.75" customHeight="1">
      <c r="A3220" s="1">
        <v>3446.0</v>
      </c>
      <c r="B3220" s="3" t="s">
        <v>3105</v>
      </c>
      <c r="C3220" s="3" t="str">
        <f>IFERROR(__xludf.DUMMYFUNCTION("GOOGLETRANSLATE(B3220,""id"",""en"")"),"['apk', 'help', 'check', 'pulse', 'or', 'check', 'package', 'inet', 'makes it easy', 'find out', 'product', 'Telkomsel', ' through ',' promo ',' unfortunate ',' week ',' kepana ',' signal ',' ugly ',' loading ',' mulu ',' disappointing ',' most ',' promo "&amp;"',' package ' , 'Inet', 'Making', 'The network', 'Sorry', 'Rating', 'Star', 'Lower', 'Disappointing']")</f>
        <v>['apk', 'help', 'check', 'pulse', 'or', 'check', 'package', 'inet', 'makes it easy', 'find out', 'product', 'Telkomsel', ' through ',' promo ',' unfortunate ',' week ',' kepana ',' signal ',' ugly ',' loading ',' mulu ',' disappointing ',' most ',' promo ',' package ' , 'Inet', 'Making', 'The network', 'Sorry', 'Rating', 'Star', 'Lower', 'Disappointing']</v>
      </c>
      <c r="D3220" s="3">
        <v>2.0</v>
      </c>
    </row>
    <row r="3221" ht="15.75" customHeight="1">
      <c r="A3221" s="1">
        <v>3447.0</v>
      </c>
      <c r="B3221" s="3" t="s">
        <v>3106</v>
      </c>
      <c r="C3221" s="3" t="str">
        <f>IFERROR(__xludf.DUMMYFUNCTION("GOOGLETRANSLATE(B3221,""id"",""en"")"),"['', 'Prank', 'Notif', 'Promo', 'Combo', 'Sakti', 'Unlimited', 'right', 'opened', 'promo', 'hope', 'Package', 'data ',' Cheap ',' survives', 'thanks',' accepted ',' complaints']")</f>
        <v>['', 'Prank', 'Notif', 'Promo', 'Combo', 'Sakti', 'Unlimited', 'right', 'opened', 'promo', 'hope', 'Package', 'data ',' Cheap ',' survives', 'thanks',' accepted ',' complaints']</v>
      </c>
      <c r="D3221" s="3">
        <v>5.0</v>
      </c>
    </row>
    <row r="3222" ht="15.75" customHeight="1">
      <c r="A3222" s="1">
        <v>3448.0</v>
      </c>
      <c r="B3222" s="3" t="s">
        <v>3107</v>
      </c>
      <c r="C3222" s="3" t="str">
        <f>IFERROR(__xludf.DUMMYFUNCTION("GOOGLETRANSLATE(B3222,""id"",""en"")"),"['Star', 'Judge']")</f>
        <v>['Star', 'Judge']</v>
      </c>
      <c r="D3222" s="3">
        <v>1.0</v>
      </c>
    </row>
    <row r="3223" ht="15.75" customHeight="1">
      <c r="A3223" s="1">
        <v>3449.0</v>
      </c>
      <c r="B3223" s="3" t="s">
        <v>3108</v>
      </c>
      <c r="C3223" s="3" t="str">
        <f>IFERROR(__xludf.DUMMYFUNCTION("GOOGLETRANSLATE(B3223,""id"",""en"")"),"['Customer', 'believe', 'debt', 'credit', 'emergency', 'contents',' pulse ',' directly ',' pulled ',' information ',' customer ',' loyal ',' Telkomsel ',' signal ',' slow ',' really ',' in the place ',' loyal ',' hope ',' Uklum ']")</f>
        <v>['Customer', 'believe', 'debt', 'credit', 'emergency', 'contents',' pulse ',' directly ',' pulled ',' information ',' customer ',' loyal ',' Telkomsel ',' signal ',' slow ',' really ',' in the place ',' loyal ',' hope ',' Uklum ']</v>
      </c>
      <c r="D3223" s="3">
        <v>2.0</v>
      </c>
    </row>
    <row r="3224" ht="15.75" customHeight="1">
      <c r="A3224" s="1">
        <v>3450.0</v>
      </c>
      <c r="B3224" s="3" t="s">
        <v>3109</v>
      </c>
      <c r="C3224" s="3" t="str">
        <f>IFERROR(__xludf.DUMMYFUNCTION("GOOGLETRANSLATE(B3224,""id"",""en"")"),"['installed', 'android', 'cook', 'lose', 'operator', 'next door', 'direct', 'oiya', 'apps',' belongs', 'plate', 'red', ' Wonder ',' behavior ']")</f>
        <v>['installed', 'android', 'cook', 'lose', 'operator', 'next door', 'direct', 'oiya', 'apps',' belongs', 'plate', 'red', ' Wonder ',' behavior ']</v>
      </c>
      <c r="D3224" s="3">
        <v>1.0</v>
      </c>
    </row>
    <row r="3225" ht="15.75" customHeight="1">
      <c r="A3225" s="1">
        <v>3451.0</v>
      </c>
      <c r="B3225" s="3" t="s">
        <v>3110</v>
      </c>
      <c r="C3225" s="3" t="str">
        <f>IFERROR(__xludf.DUMMYFUNCTION("GOOGLETRANSLATE(B3225,""id"",""en"")"),"['best', 'efficiene']")</f>
        <v>['best', 'efficiene']</v>
      </c>
      <c r="D3225" s="3">
        <v>5.0</v>
      </c>
    </row>
    <row r="3226" ht="15.75" customHeight="1">
      <c r="A3226" s="1">
        <v>3452.0</v>
      </c>
      <c r="B3226" s="3" t="s">
        <v>3111</v>
      </c>
      <c r="C3226" s="3" t="str">
        <f>IFERROR(__xludf.DUMMYFUNCTION("GOOGLETRANSLATE(B3226,""id"",""en"")"),"['Love', 'Bintang', 'TDI', 'Fill', 'Credit', 'Already', 'Pay', 'Telkomsel', 'TPI', 'Package', 'Data', 'Blm', ' entry ',' what ',' SIHH ',' then ',' check ',' pulse ',' pulses', 'already', 'package', 'msk', 'notification', 'please', 'return' , 'Credit', 'M"&amp;"ea', 'Student', 'Disappointed', 'Telkomsel']")</f>
        <v>['Love', 'Bintang', 'TDI', 'Fill', 'Credit', 'Already', 'Pay', 'Telkomsel', 'TPI', 'Package', 'Data', 'Blm', ' entry ',' what ',' SIHH ',' then ',' check ',' pulse ',' pulses', 'already', 'package', 'msk', 'notification', 'please', 'return' , 'Credit', 'Mea', 'Student', 'Disappointed', 'Telkomsel']</v>
      </c>
      <c r="D3226" s="3">
        <v>1.0</v>
      </c>
    </row>
    <row r="3227" ht="15.75" customHeight="1">
      <c r="A3227" s="1">
        <v>3453.0</v>
      </c>
      <c r="B3227" s="3" t="s">
        <v>3112</v>
      </c>
      <c r="C3227" s="3" t="str">
        <f>IFERROR(__xludf.DUMMYFUNCTION("GOOGLETRANSLATE(B3227,""id"",""en"")"),"['quota', 'tbtb', 'run out', 'pulse', 'sucked', 'cave', 'need', 'pulse', 'Rp', 'claim', 'gift', 'daily', ' Checking ',' cave ',' credit ',' ehh ',' udh ',' missing ',' sucked ',' already ',' repeated ',' times', 'lohh', 'loss',' really ' , 'Gaa', 'job', '"&amp;"SIH', 'fill', 'pulse', 'because']")</f>
        <v>['quota', 'tbtb', 'run out', 'pulse', 'sucked', 'cave', 'need', 'pulse', 'Rp', 'claim', 'gift', 'daily', ' Checking ',' cave ',' credit ',' ehh ',' udh ',' missing ',' sucked ',' already ',' repeated ',' times', 'lohh', 'loss',' really ' , 'Gaa', 'job', 'SIH', 'fill', 'pulse', 'because']</v>
      </c>
      <c r="D3227" s="3">
        <v>1.0</v>
      </c>
    </row>
    <row r="3228" ht="15.75" customHeight="1">
      <c r="A3228" s="1">
        <v>3454.0</v>
      </c>
      <c r="B3228" s="3" t="s">
        <v>3113</v>
      </c>
      <c r="C3228" s="3" t="str">
        <f>IFERROR(__xludf.DUMMYFUNCTION("GOOGLETRANSLATE(B3228,""id"",""en"")"),"['Woyy', 'Telkomsel', 'Benerin', 'The network', 'rich', 'good', 'stress', 'network', 'ugly', 'rich', 'gini']")</f>
        <v>['Woyy', 'Telkomsel', 'Benerin', 'The network', 'rich', 'good', 'stress', 'network', 'ugly', 'rich', 'gini']</v>
      </c>
      <c r="D3228" s="3">
        <v>1.0</v>
      </c>
    </row>
    <row r="3229" ht="15.75" customHeight="1">
      <c r="A3229" s="1">
        <v>3455.0</v>
      </c>
      <c r="B3229" s="3" t="s">
        <v>3114</v>
      </c>
      <c r="C3229" s="3" t="str">
        <f>IFERROR(__xludf.DUMMYFUNCTION("GOOGLETRANSLATE(B3229,""id"",""en"")"),"['Wonder', 'deh', 'just', 'pulse', 'direct', 'left', 'sucked', 'quota', 'call', 'minute', 'internet', 'GB', ' critical', '']")</f>
        <v>['Wonder', 'deh', 'just', 'pulse', 'direct', 'left', 'sucked', 'quota', 'call', 'minute', 'internet', 'GB', ' critical', '']</v>
      </c>
      <c r="D3229" s="3">
        <v>2.0</v>
      </c>
    </row>
    <row r="3230" ht="15.75" customHeight="1">
      <c r="A3230" s="1">
        <v>3456.0</v>
      </c>
      <c r="B3230" s="3" t="s">
        <v>3115</v>
      </c>
      <c r="C3230" s="3" t="str">
        <f>IFERROR(__xludf.DUMMYFUNCTION("GOOGLETRANSLATE(B3230,""id"",""en"")"),"['Network', 'slow', 'Tembilahan', 'good', 'love', 'star', '']")</f>
        <v>['Network', 'slow', 'Tembilahan', 'good', 'love', 'star', '']</v>
      </c>
      <c r="D3230" s="3">
        <v>1.0</v>
      </c>
    </row>
    <row r="3231" ht="15.75" customHeight="1">
      <c r="A3231" s="1">
        <v>3457.0</v>
      </c>
      <c r="B3231" s="3" t="s">
        <v>3116</v>
      </c>
      <c r="C3231" s="3" t="str">
        <f>IFERROR(__xludf.DUMMYFUNCTION("GOOGLETRANSLATE(B3231,""id"",""en"")"),"['Open', 'the application', 'difficult']")</f>
        <v>['Open', 'the application', 'difficult']</v>
      </c>
      <c r="D3231" s="3">
        <v>3.0</v>
      </c>
    </row>
    <row r="3232" ht="15.75" customHeight="1">
      <c r="A3232" s="1">
        <v>3458.0</v>
      </c>
      <c r="B3232" s="3" t="s">
        <v>3117</v>
      </c>
      <c r="C3232" s="3" t="str">
        <f>IFERROR(__xludf.DUMMYFUNCTION("GOOGLETRANSLATE(B3232,""id"",""en"")"),"['Love', 'Bintang', '']")</f>
        <v>['Love', 'Bintang', '']</v>
      </c>
      <c r="D3232" s="3">
        <v>2.0</v>
      </c>
    </row>
    <row r="3233" ht="15.75" customHeight="1">
      <c r="A3233" s="1">
        <v>3459.0</v>
      </c>
      <c r="B3233" s="3" t="s">
        <v>3118</v>
      </c>
      <c r="C3233" s="3" t="str">
        <f>IFERROR(__xludf.DUMMYFUNCTION("GOOGLETRANSLATE(B3233,""id"",""en"")"),"['signal', 'slow', 'pairs', 'package', 'data']")</f>
        <v>['signal', 'slow', 'pairs', 'package', 'data']</v>
      </c>
      <c r="D3233" s="3">
        <v>1.0</v>
      </c>
    </row>
    <row r="3234" ht="15.75" customHeight="1">
      <c r="A3234" s="1">
        <v>3461.0</v>
      </c>
      <c r="B3234" s="3" t="s">
        <v>3119</v>
      </c>
      <c r="C3234" s="3" t="str">
        <f>IFERROR(__xludf.DUMMYFUNCTION("GOOGLETRANSLATE(B3234,""id"",""en"")"),"['How', 'Sorry', 'slow', 'really', 'the network']")</f>
        <v>['How', 'Sorry', 'slow', 'really', 'the network']</v>
      </c>
      <c r="D3234" s="3">
        <v>1.0</v>
      </c>
    </row>
    <row r="3235" ht="15.75" customHeight="1">
      <c r="A3235" s="1">
        <v>3462.0</v>
      </c>
      <c r="B3235" s="3" t="s">
        <v>3120</v>
      </c>
      <c r="C3235" s="3" t="str">
        <f>IFERROR(__xludf.DUMMYFUNCTION("GOOGLETRANSLATE(B3235,""id"",""en"")"),"['Steady', 'Telkomsel', 'User', 'Card', 'Telkomsel']")</f>
        <v>['Steady', 'Telkomsel', 'User', 'Card', 'Telkomsel']</v>
      </c>
      <c r="D3235" s="3">
        <v>4.0</v>
      </c>
    </row>
    <row r="3236" ht="15.75" customHeight="1">
      <c r="A3236" s="1">
        <v>3464.0</v>
      </c>
      <c r="B3236" s="3" t="s">
        <v>3121</v>
      </c>
      <c r="C3236" s="3" t="str">
        <f>IFERROR(__xludf.DUMMYFUNCTION("GOOGLETRANSLATE(B3236,""id"",""en"")"),"['', 'pulse', 'ilang', 'continued', 'live', 'quota', 'for a while', 'direct', 'ilang', 'his quota', 'coakes',' pulses', 'quota ',' ']")</f>
        <v>['', 'pulse', 'ilang', 'continued', 'live', 'quota', 'for a while', 'direct', 'ilang', 'his quota', 'coakes',' pulses', 'quota ',' ']</v>
      </c>
      <c r="D3236" s="3">
        <v>1.0</v>
      </c>
    </row>
    <row r="3237" ht="15.75" customHeight="1">
      <c r="A3237" s="1">
        <v>3465.0</v>
      </c>
      <c r="B3237" s="3" t="s">
        <v>3122</v>
      </c>
      <c r="C3237" s="3" t="str">
        <f>IFERROR(__xludf.DUMMYFUNCTION("GOOGLETRANSLATE(B3237,""id"",""en"")"),"['network', 'Telkomsel', 'ugly', 'change', 'network', 'user', 'card', 'Telkomsel', 'disappointed', '']")</f>
        <v>['network', 'Telkomsel', 'ugly', 'change', 'network', 'user', 'card', 'Telkomsel', 'disappointed', '']</v>
      </c>
      <c r="D3237" s="3">
        <v>1.0</v>
      </c>
    </row>
    <row r="3238" ht="15.75" customHeight="1">
      <c r="A3238" s="1">
        <v>3466.0</v>
      </c>
      <c r="B3238" s="3" t="s">
        <v>3123</v>
      </c>
      <c r="C3238" s="3" t="str">
        <f>IFERROR(__xludf.DUMMYFUNCTION("GOOGLETRANSLATE(B3238,""id"",""en"")"),"['apk', 'ugly', 'really', 'lliat', 'see', 'hah', '']")</f>
        <v>['apk', 'ugly', 'really', 'lliat', 'see', 'hah', '']</v>
      </c>
      <c r="D3238" s="3">
        <v>5.0</v>
      </c>
    </row>
    <row r="3239" ht="15.75" customHeight="1">
      <c r="A3239" s="1">
        <v>3467.0</v>
      </c>
      <c r="B3239" s="3" t="s">
        <v>3124</v>
      </c>
      <c r="C3239" s="3" t="str">
        <f>IFERROR(__xludf.DUMMYFUNCTION("GOOGLETRANSLATE(B3239,""id"",""en"")"),"['package', 'expensive', 'signal', 'garbage', '']")</f>
        <v>['package', 'expensive', 'signal', 'garbage', '']</v>
      </c>
      <c r="D3239" s="3">
        <v>1.0</v>
      </c>
    </row>
    <row r="3240" ht="15.75" customHeight="1">
      <c r="A3240" s="1">
        <v>3468.0</v>
      </c>
      <c r="B3240" s="3" t="s">
        <v>3125</v>
      </c>
      <c r="C3240" s="3" t="str">
        <f>IFERROR(__xludf.DUMMYFUNCTION("GOOGLETRANSLATE(B3240,""id"",""en"")"),"['quota', 'stay', 'Search', 'Provider', '']")</f>
        <v>['quota', 'stay', 'Search', 'Provider', '']</v>
      </c>
      <c r="D3240" s="3">
        <v>1.0</v>
      </c>
    </row>
    <row r="3241" ht="15.75" customHeight="1">
      <c r="A3241" s="1">
        <v>3469.0</v>
      </c>
      <c r="B3241" s="3" t="s">
        <v>3126</v>
      </c>
      <c r="C3241" s="3" t="str">
        <f>IFERROR(__xludf.DUMMYFUNCTION("GOOGLETRANSLATE(B3241,""id"",""en"")"),"['Application', 'good', 'ngambit']")</f>
        <v>['Application', 'good', 'ngambit']</v>
      </c>
      <c r="D3241" s="3">
        <v>5.0</v>
      </c>
    </row>
    <row r="3242" ht="15.75" customHeight="1">
      <c r="A3242" s="1">
        <v>3470.0</v>
      </c>
      <c r="B3242" s="3" t="s">
        <v>3127</v>
      </c>
      <c r="C3242" s="3" t="str">
        <f>IFERROR(__xludf.DUMMYFUNCTION("GOOGLETRANSLATE(B3242,""id"",""en"")"),"['quota', 'doang', 'expensive', 'price', 'signal', 'cave', 'replace', 'card']")</f>
        <v>['quota', 'doang', 'expensive', 'price', 'signal', 'cave', 'replace', 'card']</v>
      </c>
      <c r="D3242" s="3">
        <v>1.0</v>
      </c>
    </row>
    <row r="3243" ht="15.75" customHeight="1">
      <c r="A3243" s="1">
        <v>3471.0</v>
      </c>
      <c r="B3243" s="3" t="s">
        <v>3128</v>
      </c>
      <c r="C3243" s="3" t="str">
        <f>IFERROR(__xludf.DUMMYFUNCTION("GOOGLETRANSLATE(B3243,""id"",""en"")"),"['Price', 'Star', 'Quality', 'Feet']")</f>
        <v>['Price', 'Star', 'Quality', 'Feet']</v>
      </c>
      <c r="D3243" s="3">
        <v>2.0</v>
      </c>
    </row>
    <row r="3244" ht="15.75" customHeight="1">
      <c r="A3244" s="1">
        <v>3472.0</v>
      </c>
      <c r="B3244" s="3" t="s">
        <v>3129</v>
      </c>
      <c r="C3244" s="3" t="str">
        <f>IFERROR(__xludf.DUMMYFUNCTION("GOOGLETRANSLATE(B3244,""id"",""en"")"),"['Delicious', 'practical']")</f>
        <v>['Delicious', 'practical']</v>
      </c>
      <c r="D3244" s="3">
        <v>5.0</v>
      </c>
    </row>
    <row r="3245" ht="15.75" customHeight="1">
      <c r="A3245" s="1">
        <v>3475.0</v>
      </c>
      <c r="B3245" s="3" t="s">
        <v>3130</v>
      </c>
      <c r="C3245" s="3" t="str">
        <f>IFERROR(__xludf.DUMMYFUNCTION("GOOGLETRANSLATE(B3245,""id"",""en"")"),"['', 'contact', 'Veronica', 'help', 'complete', 'add', 'anjg']")</f>
        <v>['', 'contact', 'Veronica', 'help', 'complete', 'add', 'anjg']</v>
      </c>
      <c r="D3245" s="3">
        <v>1.0</v>
      </c>
    </row>
    <row r="3246" ht="15.75" customHeight="1">
      <c r="A3246" s="1">
        <v>3476.0</v>
      </c>
      <c r="B3246" s="3" t="s">
        <v>3131</v>
      </c>
      <c r="C3246" s="3" t="str">
        <f>IFERROR(__xludf.DUMMYFUNCTION("GOOGLETRANSLATE(B3246,""id"",""en"")"),"['Credit', 'Cut', 'Colonnases',' Internet ',' GB ',' All ',' Network ',' All ',' Time ',' Quality ',' really ',' tho ',' Kopeettt ',' ']")</f>
        <v>['Credit', 'Cut', 'Colonnases',' Internet ',' GB ',' All ',' Network ',' All ',' Time ',' Quality ',' really ',' tho ',' Kopeettt ',' ']</v>
      </c>
      <c r="D3246" s="3">
        <v>1.0</v>
      </c>
    </row>
    <row r="3247" ht="15.75" customHeight="1">
      <c r="A3247" s="1">
        <v>3477.0</v>
      </c>
      <c r="B3247" s="3" t="s">
        <v>3132</v>
      </c>
      <c r="C3247" s="3" t="str">
        <f>IFERROR(__xludf.DUMMYFUNCTION("GOOGLETRANSLATE(B3247,""id"",""en"")"),"['Please', 'Mauh', 'Donation', 'Limit', 'Points', '']")</f>
        <v>['Please', 'Mauh', 'Donation', 'Limit', 'Points', '']</v>
      </c>
      <c r="D3247" s="3">
        <v>4.0</v>
      </c>
    </row>
    <row r="3248" ht="15.75" customHeight="1">
      <c r="A3248" s="1">
        <v>3478.0</v>
      </c>
      <c r="B3248" s="3" t="s">
        <v>3133</v>
      </c>
      <c r="C3248" s="3" t="str">
        <f>IFERROR(__xludf.DUMMYFUNCTION("GOOGLETRANSLATE(B3248,""id"",""en"")"),"['', 'savings',' funds', 'buy', 'pulse', 'via', 'application', 'danaku', 'latex', 'buy', 'pulse', 'via', 'funds ',' quota ',' deh ',' mytelkomsek ',' ribet ',' ']")</f>
        <v>['', 'savings',' funds', 'buy', 'pulse', 'via', 'application', 'danaku', 'latex', 'buy', 'pulse', 'via', 'funds ',' quota ',' deh ',' mytelkomsek ',' ribet ',' ']</v>
      </c>
      <c r="D3248" s="3">
        <v>3.0</v>
      </c>
    </row>
    <row r="3249" ht="15.75" customHeight="1">
      <c r="A3249" s="1">
        <v>3479.0</v>
      </c>
      <c r="B3249" s="3" t="s">
        <v>3134</v>
      </c>
      <c r="C3249" s="3" t="str">
        <f>IFERROR(__xludf.DUMMYFUNCTION("GOOGLETRANSLATE(B3249,""id"",""en"")"),"['Guddd', 'Sihhh', 'virtue', 'best', 'gamau', 'telkom', 'because' price ',' package ',' internet ',' expensive ',' people ',' Addicted ',' Karna ',' Mahall ',' wkwkww ', ""]")</f>
        <v>['Guddd', 'Sihhh', 'virtue', 'best', 'gamau', 'telkom', 'because' price ',' package ',' internet ',' expensive ',' people ',' Addicted ',' Karna ',' Mahall ',' wkwkww ', "]</v>
      </c>
      <c r="D3249" s="3">
        <v>5.0</v>
      </c>
    </row>
    <row r="3250" ht="15.75" customHeight="1">
      <c r="A3250" s="1">
        <v>3480.0</v>
      </c>
      <c r="B3250" s="3" t="s">
        <v>3135</v>
      </c>
      <c r="C3250" s="3" t="str">
        <f>IFERROR(__xludf.DUMMYFUNCTION("GOOGLETRANSLATE(B3250,""id"",""en"")"),"['Disappointed', 'Telkomsel', 'intentionally', 'press',' mode ',' data ',' pulse ',' run out ',' reduced ',' second ',' second ',' bro ',' Imagine ',' bro ',' pulse ',' buy ',' money ',' leaves', 'talk', 'complaints',' computer ',' reply ',' message ',' T"&amp;"elkomsel ',' thief ' , 'credit', 'changed', 'data', 'life', 'little', 'direct', 'thief', 'bro', 'suggestion', 'consumer', 'disappointed', 'ITH', ' Bro ',' ']")</f>
        <v>['Disappointed', 'Telkomsel', 'intentionally', 'press',' mode ',' data ',' pulse ',' run out ',' reduced ',' second ',' second ',' bro ',' Imagine ',' bro ',' pulse ',' buy ',' money ',' leaves', 'talk', 'complaints',' computer ',' reply ',' message ',' Telkomsel ',' thief ' , 'credit', 'changed', 'data', 'life', 'little', 'direct', 'thief', 'bro', 'suggestion', 'consumer', 'disappointed', 'ITH', ' Bro ',' ']</v>
      </c>
      <c r="D3250" s="3">
        <v>1.0</v>
      </c>
    </row>
    <row r="3251" ht="15.75" customHeight="1">
      <c r="A3251" s="1">
        <v>3481.0</v>
      </c>
      <c r="B3251" s="3" t="s">
        <v>3136</v>
      </c>
      <c r="C3251" s="3" t="str">
        <f>IFERROR(__xludf.DUMMYFUNCTION("GOOGLETRANSLATE(B3251,""id"",""en"")"),"['Network', 'strong', 'in his class', 'Telkomsel']")</f>
        <v>['Network', 'strong', 'in his class', 'Telkomsel']</v>
      </c>
      <c r="D3251" s="3">
        <v>5.0</v>
      </c>
    </row>
    <row r="3252" ht="15.75" customHeight="1">
      <c r="A3252" s="1">
        <v>3483.0</v>
      </c>
      <c r="B3252" s="3" t="s">
        <v>3137</v>
      </c>
      <c r="C3252" s="3" t="str">
        <f>IFERROR(__xludf.DUMMYFUNCTION("GOOGLETRANSLATE(B3252,""id"",""en"")"),"['Used']")</f>
        <v>['Used']</v>
      </c>
      <c r="D3252" s="3">
        <v>3.0</v>
      </c>
    </row>
    <row r="3253" ht="15.75" customHeight="1">
      <c r="A3253" s="1">
        <v>3485.0</v>
      </c>
      <c r="B3253" s="3" t="s">
        <v>3138</v>
      </c>
      <c r="C3253" s="3" t="str">
        <f>IFERROR(__xludf.DUMMYFUNCTION("GOOGLETRANSLATE(B3253,""id"",""en"")"),"['Thanks',' Telkomsel ',' Credit ',' Sometimes', 'Cut', 'Box', 'Gift', 'Package', 'Data', 'Thank you', 'Telkomsel', 'Wear', ' Kartumu ',' ']")</f>
        <v>['Thanks',' Telkomsel ',' Credit ',' Sometimes', 'Cut', 'Box', 'Gift', 'Package', 'Data', 'Thank you', 'Telkomsel', 'Wear', ' Kartumu ',' ']</v>
      </c>
      <c r="D3253" s="3">
        <v>4.0</v>
      </c>
    </row>
    <row r="3254" ht="15.75" customHeight="1">
      <c r="A3254" s="1">
        <v>3486.0</v>
      </c>
      <c r="B3254" s="3" t="s">
        <v>3139</v>
      </c>
      <c r="C3254" s="3" t="str">
        <f>IFERROR(__xludf.DUMMYFUNCTION("GOOGLETRANSLATE(B3254,""id"",""en"")"),"['Telkomsel', 'error', 'mulu', 'already', 'error', 'mulu', 'update', 'error', 'download', 'error', 'load', 'reset', ' error ',' please ',' Telkomsel ',' good ',' good ',' error ',' please ',' repair ',' Telkomsel ',' buy ',' pulse ',' phone ', ""]")</f>
        <v>['Telkomsel', 'error', 'mulu', 'already', 'error', 'mulu', 'update', 'error', 'download', 'error', 'load', 'reset', ' error ',' please ',' Telkomsel ',' good ',' good ',' error ',' please ',' repair ',' Telkomsel ',' buy ',' pulse ',' phone ', "]</v>
      </c>
      <c r="D3254" s="3">
        <v>1.0</v>
      </c>
    </row>
    <row r="3255" ht="15.75" customHeight="1">
      <c r="A3255" s="1">
        <v>3487.0</v>
      </c>
      <c r="B3255" s="3" t="s">
        <v>3140</v>
      </c>
      <c r="C3255" s="3" t="str">
        <f>IFERROR(__xludf.DUMMYFUNCTION("GOOGLETRANSLATE(B3255,""id"",""en"")"),"['like', 'missing', 'connection']")</f>
        <v>['like', 'missing', 'connection']</v>
      </c>
      <c r="D3255" s="3">
        <v>1.0</v>
      </c>
    </row>
    <row r="3256" ht="15.75" customHeight="1">
      <c r="A3256" s="1">
        <v>3488.0</v>
      </c>
      <c r="B3256" s="3" t="s">
        <v>1672</v>
      </c>
      <c r="C3256" s="3" t="str">
        <f>IFERROR(__xludf.DUMMYFUNCTION("GOOGLETRANSLATE(B3256,""id"",""en"")"),"['suitable']")</f>
        <v>['suitable']</v>
      </c>
      <c r="D3256" s="3">
        <v>4.0</v>
      </c>
    </row>
    <row r="3257" ht="15.75" customHeight="1">
      <c r="A3257" s="1">
        <v>3490.0</v>
      </c>
      <c r="B3257" s="3" t="s">
        <v>3141</v>
      </c>
      <c r="C3257" s="3" t="str">
        <f>IFERROR(__xludf.DUMMYFUNCTION("GOOGLETRANSLATE(B3257,""id"",""en"")"),"['Hopefully', 'Network', 'Telkomsel', 'Current']")</f>
        <v>['Hopefully', 'Network', 'Telkomsel', 'Current']</v>
      </c>
      <c r="D3257" s="3">
        <v>5.0</v>
      </c>
    </row>
    <row r="3258" ht="15.75" customHeight="1">
      <c r="A3258" s="1">
        <v>3491.0</v>
      </c>
      <c r="B3258" s="3" t="s">
        <v>3142</v>
      </c>
      <c r="C3258" s="3" t="str">
        <f>IFERROR(__xludf.DUMMYFUNCTION("GOOGLETRANSLATE(B3258,""id"",""en"")"),"['Ngeleg', 'expensive', 'please', 'fix', 'connection', 'buy', 'quota', 'telkom', 'feel', 'smartfren', 'recommendation']")</f>
        <v>['Ngeleg', 'expensive', 'please', 'fix', 'connection', 'buy', 'quota', 'telkom', 'feel', 'smartfren', 'recommendation']</v>
      </c>
      <c r="D3258" s="3">
        <v>1.0</v>
      </c>
    </row>
    <row r="3259" ht="15.75" customHeight="1">
      <c r="A3259" s="1">
        <v>3492.0</v>
      </c>
      <c r="B3259" s="3" t="s">
        <v>3143</v>
      </c>
      <c r="C3259" s="3" t="str">
        <f>IFERROR(__xludf.DUMMYFUNCTION("GOOGLETRANSLATE(B3259,""id"",""en"")"),"['Telkomsel', 'network', 'kayak', 'like', 'ilang']")</f>
        <v>['Telkomsel', 'network', 'kayak', 'like', 'ilang']</v>
      </c>
      <c r="D3259" s="3">
        <v>1.0</v>
      </c>
    </row>
    <row r="3260" ht="15.75" customHeight="1">
      <c r="A3260" s="1">
        <v>3493.0</v>
      </c>
      <c r="B3260" s="3" t="s">
        <v>3144</v>
      </c>
      <c r="C3260" s="3" t="str">
        <f>IFERROR(__xludf.DUMMYFUNCTION("GOOGLETRANSLATE(B3260,""id"",""en"")"),"['Good', 'Cman', 'Enhanced', 'Service', 'Lined', 'Village', 'Constraints', 'Pas', 'Electricity', 'Dead', 'Srmua', ""]")</f>
        <v>['Good', 'Cman', 'Enhanced', 'Service', 'Lined', 'Village', 'Constraints', 'Pas', 'Electricity', 'Dead', 'Srmua', "]</v>
      </c>
      <c r="D3260" s="3">
        <v>4.0</v>
      </c>
    </row>
    <row r="3261" ht="15.75" customHeight="1">
      <c r="A3261" s="1">
        <v>3494.0</v>
      </c>
      <c r="B3261" s="3" t="s">
        <v>3145</v>
      </c>
      <c r="C3261" s="3" t="str">
        <f>IFERROR(__xludf.DUMMYFUNCTION("GOOGLETRANSLATE(B3261,""id"",""en"")"),"['Dear', 'Developer', 'Transfer', 'Pulse', 'Telkomsel', 'Operator', 'Transfer', 'Credit', 'Operator', 'App', 'Telkomsel', 'UMB']")</f>
        <v>['Dear', 'Developer', 'Transfer', 'Pulse', 'Telkomsel', 'Operator', 'Transfer', 'Credit', 'Operator', 'App', 'Telkomsel', 'UMB']</v>
      </c>
      <c r="D3261" s="3">
        <v>1.0</v>
      </c>
    </row>
    <row r="3262" ht="15.75" customHeight="1">
      <c r="A3262" s="1">
        <v>3495.0</v>
      </c>
      <c r="B3262" s="3" t="s">
        <v>3146</v>
      </c>
      <c r="C3262" s="3" t="str">
        <f>IFERROR(__xludf.DUMMYFUNCTION("GOOGLETRANSLATE(B3262,""id"",""en"")"),"['easy', 'buy', 'pulse', 'balance', 'mentok', 'rb', 'stay', 'buy', 'via', 'fund']")</f>
        <v>['easy', 'buy', 'pulse', 'balance', 'mentok', 'rb', 'stay', 'buy', 'via', 'fund']</v>
      </c>
      <c r="D3262" s="3">
        <v>5.0</v>
      </c>
    </row>
    <row r="3263" ht="15.75" customHeight="1">
      <c r="A3263" s="1">
        <v>3496.0</v>
      </c>
      <c r="B3263" s="3" t="s">
        <v>3147</v>
      </c>
      <c r="C3263" s="3" t="str">
        <f>IFERROR(__xludf.DUMMYFUNCTION("GOOGLETRANSLATE(B3263,""id"",""en"")"),"['Bruhh', 'buy', 'quota', 'speed', 'internet', 'slow', 'ngak', 'pass', 'play', 'game', 'auto', 'lose']")</f>
        <v>['Bruhh', 'buy', 'quota', 'speed', 'internet', 'slow', 'ngak', 'pass', 'play', 'game', 'auto', 'lose']</v>
      </c>
      <c r="D3263" s="3">
        <v>2.0</v>
      </c>
    </row>
    <row r="3264" ht="15.75" customHeight="1">
      <c r="A3264" s="1">
        <v>3497.0</v>
      </c>
      <c r="B3264" s="3" t="s">
        <v>3148</v>
      </c>
      <c r="C3264" s="3" t="str">
        <f>IFERROR(__xludf.DUMMYFUNCTION("GOOGLETRANSLATE(B3264,""id"",""en"")"),"['Open', 'The application', 'Credit', 'Reduced', 'Open', 'Application', 'Pulses',' Reduced ',' Kayak ',' Kerot ',' Yesterday ',' Credit ',' the rest of ',' loss', 'bgin', 'then']")</f>
        <v>['Open', 'The application', 'Credit', 'Reduced', 'Open', 'Application', 'Pulses',' Reduced ',' Kayak ',' Kerot ',' Yesterday ',' Credit ',' the rest of ',' loss', 'bgin', 'then']</v>
      </c>
      <c r="D3264" s="3">
        <v>1.0</v>
      </c>
    </row>
    <row r="3265" ht="15.75" customHeight="1">
      <c r="A3265" s="1">
        <v>3498.0</v>
      </c>
      <c r="B3265" s="3" t="s">
        <v>2041</v>
      </c>
      <c r="C3265" s="3" t="str">
        <f>IFERROR(__xludf.DUMMYFUNCTION("GOOGLETRANSLATE(B3265,""id"",""en"")"),"['', '']")</f>
        <v>['', '']</v>
      </c>
      <c r="D3265" s="3">
        <v>5.0</v>
      </c>
    </row>
    <row r="3266" ht="15.75" customHeight="1">
      <c r="A3266" s="1">
        <v>3499.0</v>
      </c>
      <c r="B3266" s="3" t="s">
        <v>3149</v>
      </c>
      <c r="C3266" s="3" t="str">
        <f>IFERROR(__xludf.DUMMYFUNCTION("GOOGLETRANSLATE(B3266,""id"",""en"")"),"['Telkomsel', 'Link', 'Error', 'Indications',' Program ',' Appropriate ',' Procedure ',' Customer ',' YTH ',' Chosen ',' Participation ',' Survey ',' Services', 'UMKM', 'Telkomsel', 'opinions',' click ',' Tsel ',' surveiumkm ']")</f>
        <v>['Telkomsel', 'Link', 'Error', 'Indications',' Program ',' Appropriate ',' Procedure ',' Customer ',' YTH ',' Chosen ',' Participation ',' Survey ',' Services', 'UMKM', 'Telkomsel', 'opinions',' click ',' Tsel ',' surveiumkm ']</v>
      </c>
      <c r="D3266" s="3">
        <v>2.0</v>
      </c>
    </row>
    <row r="3267" ht="15.75" customHeight="1">
      <c r="A3267" s="1">
        <v>3500.0</v>
      </c>
      <c r="B3267" s="3" t="s">
        <v>3150</v>
      </c>
      <c r="C3267" s="3" t="str">
        <f>IFERROR(__xludf.DUMMYFUNCTION("GOOGLETRANSLATE(B3267,""id"",""en"")"),"['Game', 'Network', 'Ancurrr', 'Leg', 'Severe']")</f>
        <v>['Game', 'Network', 'Ancurrr', 'Leg', 'Severe']</v>
      </c>
      <c r="D3267" s="3">
        <v>1.0</v>
      </c>
    </row>
    <row r="3268" ht="15.75" customHeight="1">
      <c r="A3268" s="1">
        <v>3501.0</v>
      </c>
      <c r="B3268" s="3" t="s">
        <v>3151</v>
      </c>
      <c r="C3268" s="3" t="str">
        <f>IFERROR(__xludf.DUMMYFUNCTION("GOOGLETRANSLATE(B3268,""id"",""en"")"),"['Disappointed', 'Telkomsel', 'Network', 'Bad', 'Play', 'Game', 'Online', 'Leg', 'Network', 'Bad', 'Rotten']")</f>
        <v>['Disappointed', 'Telkomsel', 'Network', 'Bad', 'Play', 'Game', 'Online', 'Leg', 'Network', 'Bad', 'Rotten']</v>
      </c>
      <c r="D3268" s="3">
        <v>1.0</v>
      </c>
    </row>
    <row r="3269" ht="15.75" customHeight="1">
      <c r="A3269" s="1">
        <v>3502.0</v>
      </c>
      <c r="B3269" s="3" t="s">
        <v>3152</v>
      </c>
      <c r="C3269" s="3" t="str">
        <f>IFERROR(__xludf.DUMMYFUNCTION("GOOGLETRANSLATE(B3269,""id"",""en"")"),"['Telkomsel', 'annoying', 'pulse', 'used', 'shrinking', 'weather', 'hot', 'pulses', 'yawns']")</f>
        <v>['Telkomsel', 'annoying', 'pulse', 'used', 'shrinking', 'weather', 'hot', 'pulses', 'yawns']</v>
      </c>
      <c r="D3269" s="3">
        <v>1.0</v>
      </c>
    </row>
    <row r="3270" ht="15.75" customHeight="1">
      <c r="A3270" s="1">
        <v>3503.0</v>
      </c>
      <c r="B3270" s="3" t="s">
        <v>3153</v>
      </c>
      <c r="C3270" s="3" t="str">
        <f>IFERROR(__xludf.DUMMYFUNCTION("GOOGLETRANSLATE(B3270,""id"",""en"")"),"['admin', 'application', 'Mending', 'deleted', 'deh', 'application', 'here', 'difficult', 'dipake', 'min', 'please', 'deleted', ' Nyampah ',' Playstor ']")</f>
        <v>['admin', 'application', 'Mending', 'deleted', 'deh', 'application', 'here', 'difficult', 'dipake', 'min', 'please', 'deleted', ' Nyampah ',' Playstor ']</v>
      </c>
      <c r="D3270" s="3">
        <v>1.0</v>
      </c>
    </row>
    <row r="3271" ht="15.75" customHeight="1">
      <c r="A3271" s="1">
        <v>3504.0</v>
      </c>
      <c r="B3271" s="3" t="s">
        <v>3154</v>
      </c>
      <c r="C3271" s="3" t="str">
        <f>IFERROR(__xludf.DUMMYFUNCTION("GOOGLETRANSLATE(B3271,""id"",""en"")"),"['Price', 'Package', 'Changed', 'Plin', 'Plan', 'Telkomsel']")</f>
        <v>['Price', 'Package', 'Changed', 'Plin', 'Plan', 'Telkomsel']</v>
      </c>
      <c r="D3271" s="3">
        <v>1.0</v>
      </c>
    </row>
    <row r="3272" ht="15.75" customHeight="1">
      <c r="A3272" s="1">
        <v>3505.0</v>
      </c>
      <c r="B3272" s="3" t="s">
        <v>3155</v>
      </c>
      <c r="C3272" s="3" t="str">
        <f>IFERROR(__xludf.DUMMYFUNCTION("GOOGLETRANSLATE(B3272,""id"",""en"")"),"['network', 'Telkomsel', 'West Sumatra', 'chaotic', 'original', 'open', 'google', 'forgiveness',' open ',' application ',' game ',' ugly ',' Overcome ',' use ',' tsel ']")</f>
        <v>['network', 'Telkomsel', 'West Sumatra', 'chaotic', 'original', 'open', 'google', 'forgiveness',' open ',' application ',' game ',' ugly ',' Overcome ',' use ',' tsel ']</v>
      </c>
      <c r="D3272" s="3">
        <v>1.0</v>
      </c>
    </row>
    <row r="3273" ht="15.75" customHeight="1">
      <c r="A3273" s="1">
        <v>3506.0</v>
      </c>
      <c r="B3273" s="3" t="s">
        <v>3156</v>
      </c>
      <c r="C3273" s="3" t="str">
        <f>IFERROR(__xludf.DUMMYFUNCTION("GOOGLETRANSLATE(B3273,""id"",""en"")"),"['I', 'hope', 'Telkom', 'I', 'UDH', 'How', 'yes',' Package ',' GameSmax ',' Kek ',' right ',' Match ',' Making ',' broke ',' connection ',' right ',' lights', 'dead', 'network', 'ugly', 'lose', 'competitiveness',' network ',' next door ']")</f>
        <v>['I', 'hope', 'Telkom', 'I', 'UDH', 'How', 'yes',' Package ',' GameSmax ',' Kek ',' right ',' Match ',' Making ',' broke ',' connection ',' right ',' lights', 'dead', 'network', 'ugly', 'lose', 'competitiveness',' network ',' next door ']</v>
      </c>
      <c r="D3273" s="3">
        <v>1.0</v>
      </c>
    </row>
    <row r="3274" ht="15.75" customHeight="1">
      <c r="A3274" s="1">
        <v>3507.0</v>
      </c>
      <c r="B3274" s="3" t="s">
        <v>3157</v>
      </c>
      <c r="C3274" s="3" t="str">
        <f>IFERROR(__xludf.DUMMYFUNCTION("GOOGLETRANSLATE(B3274,""id"",""en"")"),"['balance', 'contents', 'contents', 'stay', 'wtf']")</f>
        <v>['balance', 'contents', 'contents', 'stay', 'wtf']</v>
      </c>
      <c r="D3274" s="3">
        <v>1.0</v>
      </c>
    </row>
    <row r="3275" ht="15.75" customHeight="1">
      <c r="A3275" s="1">
        <v>3509.0</v>
      </c>
      <c r="B3275" s="3" t="s">
        <v>3158</v>
      </c>
      <c r="C3275" s="3" t="str">
        <f>IFERROR(__xludf.DUMMYFUNCTION("GOOGLETRANSLATE(B3275,""id"",""en"")"),"['easy', 'purchase']")</f>
        <v>['easy', 'purchase']</v>
      </c>
      <c r="D3275" s="3">
        <v>5.0</v>
      </c>
    </row>
    <row r="3276" ht="15.75" customHeight="1">
      <c r="A3276" s="1">
        <v>3510.0</v>
      </c>
      <c r="B3276" s="3" t="s">
        <v>3159</v>
      </c>
      <c r="C3276" s="3" t="str">
        <f>IFERROR(__xludf.DUMMYFUNCTION("GOOGLETRANSLATE(B3276,""id"",""en"")"),"['steady', 'application', 'Telkomsel', 'cheap', 'buy', 'package', 'data', 'card', 'Telkomsel']")</f>
        <v>['steady', 'application', 'Telkomsel', 'cheap', 'buy', 'package', 'data', 'card', 'Telkomsel']</v>
      </c>
      <c r="D3276" s="3">
        <v>5.0</v>
      </c>
    </row>
    <row r="3277" ht="15.75" customHeight="1">
      <c r="A3277" s="1">
        <v>3511.0</v>
      </c>
      <c r="B3277" s="3" t="s">
        <v>3160</v>
      </c>
      <c r="C3277" s="3" t="str">
        <f>IFERROR(__xludf.DUMMYFUNCTION("GOOGLETRANSLATE(B3277,""id"",""en"")"),"['signal', 'Benerin', 'package', 'expensive', 'according to', 'quality', 'signal']")</f>
        <v>['signal', 'Benerin', 'package', 'expensive', 'according to', 'quality', 'signal']</v>
      </c>
      <c r="D3277" s="3">
        <v>1.0</v>
      </c>
    </row>
    <row r="3278" ht="15.75" customHeight="1">
      <c r="A3278" s="1">
        <v>3512.0</v>
      </c>
      <c r="B3278" s="3" t="s">
        <v>3161</v>
      </c>
      <c r="C3278" s="3" t="str">
        <f>IFERROR(__xludf.DUMMYFUNCTION("GOOGLETRANSLATE(B3278,""id"",""en"")"),"['cave', 'love', 'star', 'until', 'signal', 'stable', 'udh', 'resolved']")</f>
        <v>['cave', 'love', 'star', 'until', 'signal', 'stable', 'udh', 'resolved']</v>
      </c>
      <c r="D3278" s="3">
        <v>2.0</v>
      </c>
    </row>
    <row r="3279" ht="15.75" customHeight="1">
      <c r="A3279" s="1">
        <v>3513.0</v>
      </c>
      <c r="B3279" s="3" t="s">
        <v>3162</v>
      </c>
      <c r="C3279" s="3" t="str">
        <f>IFERROR(__xludf.DUMMYFUNCTION("GOOGLETRANSLATE(B3279,""id"",""en"")"),"['Really', 'Telkomsel', 'Collapin', 'Star', 'Gara', 'Credit', 'Cut', 'Costs',' Internet ',' Package ',' Internet ',' Quota ',' right ',' hotspot ',' pulse ',' collapse ',' right ',' check ',' pulse ',' rb ',' fit ',' check ',' quota ',' left ',' MB ' , 'p"&amp;"ulse', 'getting', 'kagak', 'quota', 'internet', 'kapok', 'replace', 'card', 'deh', 'that's']")</f>
        <v>['Really', 'Telkomsel', 'Collapin', 'Star', 'Gara', 'Credit', 'Cut', 'Costs',' Internet ',' Package ',' Internet ',' Quota ',' right ',' hotspot ',' pulse ',' collapse ',' right ',' check ',' pulse ',' rb ',' fit ',' check ',' quota ',' left ',' MB ' , 'pulse', 'getting', 'kagak', 'quota', 'internet', 'kapok', 'replace', 'card', 'deh', 'that's']</v>
      </c>
      <c r="D3279" s="3">
        <v>1.0</v>
      </c>
    </row>
    <row r="3280" ht="15.75" customHeight="1">
      <c r="A3280" s="1">
        <v>3514.0</v>
      </c>
      <c r="B3280" s="3" t="s">
        <v>3163</v>
      </c>
      <c r="C3280" s="3" t="str">
        <f>IFERROR(__xludf.DUMMYFUNCTION("GOOGLETRANSLATE(B3280,""id"",""en"")"),"['Okeh', 'Recommended', 'Helpful', 'Good']")</f>
        <v>['Okeh', 'Recommended', 'Helpful', 'Good']</v>
      </c>
      <c r="D3280" s="3">
        <v>5.0</v>
      </c>
    </row>
    <row r="3281" ht="15.75" customHeight="1">
      <c r="A3281" s="1">
        <v>3515.0</v>
      </c>
      <c r="B3281" s="3" t="s">
        <v>3164</v>
      </c>
      <c r="C3281" s="3" t="str">
        <f>IFERROR(__xludf.DUMMYFUNCTION("GOOGLETRANSLATE(B3281,""id"",""en"")"),"['Customer', 'Telkomsel', 'Entrust', 'Telkomsel', 'Forever', 'Hopefully', 'Telkomsel', 'Covering', 'Region', 'Indonesia', 'Remote', 'Negeri', ' network', '']")</f>
        <v>['Customer', 'Telkomsel', 'Entrust', 'Telkomsel', 'Forever', 'Hopefully', 'Telkomsel', 'Covering', 'Region', 'Indonesia', 'Remote', 'Negeri', ' network', '']</v>
      </c>
      <c r="D3281" s="3">
        <v>4.0</v>
      </c>
    </row>
    <row r="3282" ht="15.75" customHeight="1">
      <c r="A3282" s="1">
        <v>3516.0</v>
      </c>
      <c r="B3282" s="3" t="s">
        <v>2542</v>
      </c>
      <c r="C3282" s="3" t="str">
        <f>IFERROR(__xludf.DUMMYFUNCTION("GOOGLETRANSLATE(B3282,""id"",""en"")"),"['Package', 'cheap']")</f>
        <v>['Package', 'cheap']</v>
      </c>
      <c r="D3282" s="3">
        <v>5.0</v>
      </c>
    </row>
    <row r="3283" ht="15.75" customHeight="1">
      <c r="A3283" s="1">
        <v>3517.0</v>
      </c>
      <c r="B3283" s="3" t="s">
        <v>3165</v>
      </c>
      <c r="C3283" s="3" t="str">
        <f>IFERROR(__xludf.DUMMYFUNCTION("GOOGLETRANSLATE(B3283,""id"",""en"")"),"['Where', 'Package', 'Combo', 'Sakti', 'GB', 'Package', 'Giga', 'MaaAxx', 'Paketan', 'Pulp', 'Tawarin']")</f>
        <v>['Where', 'Package', 'Combo', 'Sakti', 'GB', 'Package', 'Giga', 'MaaAxx', 'Paketan', 'Pulp', 'Tawarin']</v>
      </c>
      <c r="D3283" s="3">
        <v>1.0</v>
      </c>
    </row>
    <row r="3284" ht="15.75" customHeight="1">
      <c r="A3284" s="1">
        <v>3518.0</v>
      </c>
      <c r="B3284" s="3" t="s">
        <v>3166</v>
      </c>
      <c r="C3284" s="3" t="str">
        <f>IFERROR(__xludf.DUMMYFUNCTION("GOOGLETRANSLATE(B3284,""id"",""en"")"),"['knp', 'Telkomsel', 'rich', 'gini', 'fair', 'bangett', 'hrga', 'expensive', 'TPI', 'quality', 'buy', 'combo', ' Sakti ',' apply ',' quota ',' main ',' the rest ',' slow ',' pke ',' malahh ', ""]")</f>
        <v>['knp', 'Telkomsel', 'rich', 'gini', 'fair', 'bangett', 'hrga', 'expensive', 'TPI', 'quality', 'buy', 'combo', ' Sakti ',' apply ',' quota ',' main ',' the rest ',' slow ',' pke ',' malahh ', "]</v>
      </c>
      <c r="D3284" s="3">
        <v>1.0</v>
      </c>
    </row>
    <row r="3285" ht="15.75" customHeight="1">
      <c r="A3285" s="1">
        <v>3519.0</v>
      </c>
      <c r="B3285" s="3" t="s">
        <v>3167</v>
      </c>
      <c r="C3285" s="3" t="str">
        <f>IFERROR(__xludf.DUMMYFUNCTION("GOOGLETRANSLATE(B3285,""id"",""en"")"),"['Severe', 'Original', 'Telkomsel', 'Sematang', 'borang', 'palembang', 'signal', 'ugly', 'abis']")</f>
        <v>['Severe', 'Original', 'Telkomsel', 'Sematang', 'borang', 'palembang', 'signal', 'ugly', 'abis']</v>
      </c>
      <c r="D3285" s="3">
        <v>1.0</v>
      </c>
    </row>
    <row r="3286" ht="15.75" customHeight="1">
      <c r="A3286" s="1">
        <v>3521.0</v>
      </c>
      <c r="B3286" s="3" t="s">
        <v>3168</v>
      </c>
      <c r="C3286" s="3" t="str">
        <f>IFERROR(__xludf.DUMMYFUNCTION("GOOGLETRANSLATE(B3286,""id"",""en"")"),"['already', 'replace', 'card', 'package', 'expensive', 'signal', 'quota', 'sumps', 'Ludes', ""]")</f>
        <v>['already', 'replace', 'card', 'package', 'expensive', 'signal', 'quota', 'sumps', 'Ludes', "]</v>
      </c>
      <c r="D3286" s="3">
        <v>1.0</v>
      </c>
    </row>
    <row r="3287" ht="15.75" customHeight="1">
      <c r="A3287" s="1">
        <v>3522.0</v>
      </c>
      <c r="B3287" s="3" t="s">
        <v>3169</v>
      </c>
      <c r="C3287" s="3" t="str">
        <f>IFERROR(__xludf.DUMMYFUNCTION("GOOGLETRANSLATE(B3287,""id"",""en"")"),"['APK', 'MyTelkomsel', 'easy']")</f>
        <v>['APK', 'MyTelkomsel', 'easy']</v>
      </c>
      <c r="D3287" s="3">
        <v>5.0</v>
      </c>
    </row>
    <row r="3288" ht="15.75" customHeight="1">
      <c r="A3288" s="1">
        <v>3523.0</v>
      </c>
      <c r="B3288" s="3" t="s">
        <v>1958</v>
      </c>
      <c r="C3288" s="3" t="str">
        <f>IFERROR(__xludf.DUMMYFUNCTION("GOOGLETRANSLATE(B3288,""id"",""en"")"),"['Application', 'Help']")</f>
        <v>['Application', 'Help']</v>
      </c>
      <c r="D3288" s="3">
        <v>5.0</v>
      </c>
    </row>
    <row r="3289" ht="15.75" customHeight="1">
      <c r="A3289" s="1">
        <v>3524.0</v>
      </c>
      <c r="B3289" s="3" t="s">
        <v>3170</v>
      </c>
      <c r="C3289" s="3" t="str">
        <f>IFERROR(__xludf.DUMMYFUNCTION("GOOGLETRANSLATE(B3289,""id"",""en"")"),"['Okay', 'Pilian', 'fast', 'process']")</f>
        <v>['Okay', 'Pilian', 'fast', 'process']</v>
      </c>
      <c r="D3289" s="3">
        <v>5.0</v>
      </c>
    </row>
    <row r="3290" ht="15.75" customHeight="1">
      <c r="A3290" s="1">
        <v>3525.0</v>
      </c>
      <c r="B3290" s="3" t="s">
        <v>3171</v>
      </c>
      <c r="C3290" s="3" t="str">
        <f>IFERROR(__xludf.DUMMYFUNCTION("GOOGLETRANSLATE(B3290,""id"",""en"")"),"['Mantul', 'steady', '']")</f>
        <v>['Mantul', 'steady', '']</v>
      </c>
      <c r="D3290" s="3">
        <v>5.0</v>
      </c>
    </row>
    <row r="3291" ht="15.75" customHeight="1">
      <c r="A3291" s="1">
        <v>3526.0</v>
      </c>
      <c r="B3291" s="3" t="s">
        <v>3172</v>
      </c>
      <c r="C3291" s="3" t="str">
        <f>IFERROR(__xludf.DUMMYFUNCTION("GOOGLETRANSLATE(B3291,""id"",""en"")"),"['already', 'expensive', 'signal', 'ilang', 'buy', 'quota', 'GB', 'clock', 'already', 'angus',' dipake ',' itungan ',' Buy ',' Unlimited ',' a month ',' a week ',' already ',' Abis', 'troubling', '']")</f>
        <v>['already', 'expensive', 'signal', 'ilang', 'buy', 'quota', 'GB', 'clock', 'already', 'angus',' dipake ',' itungan ',' Buy ',' Unlimited ',' a month ',' a week ',' already ',' Abis', 'troubling', '']</v>
      </c>
      <c r="D3291" s="3">
        <v>1.0</v>
      </c>
    </row>
    <row r="3292" ht="15.75" customHeight="1">
      <c r="A3292" s="1">
        <v>3527.0</v>
      </c>
      <c r="B3292" s="3" t="s">
        <v>3173</v>
      </c>
      <c r="C3292" s="3" t="str">
        <f>IFERROR(__xludf.DUMMYFUNCTION("GOOGLETRANSLATE(B3292,""id"",""en"")"),"['card', 'doang', 'expensive', 'signal', 'kaga']")</f>
        <v>['card', 'doang', 'expensive', 'signal', 'kaga']</v>
      </c>
      <c r="D3292" s="3">
        <v>1.0</v>
      </c>
    </row>
    <row r="3293" ht="15.75" customHeight="1">
      <c r="A3293" s="1">
        <v>3528.0</v>
      </c>
      <c r="B3293" s="3" t="s">
        <v>3174</v>
      </c>
      <c r="C3293" s="3" t="str">
        <f>IFERROR(__xludf.DUMMYFUNCTION("GOOGLETRANSLATE(B3293,""id"",""en"")"),"['strange', 'Telkomsel', 'pulse', 'gabisa', 'transfer', 'pulse', 'total', 'price', 'please', 'Telkomsel', 'gausa', 'eat', ' pulses', 'rights',' people ',' strange ',' really ',' bug ',' repair ',' Telkomsel ',' bug ',' app ',' gabecus', 'really', ""]")</f>
        <v>['strange', 'Telkomsel', 'pulse', 'gabisa', 'transfer', 'pulse', 'total', 'price', 'please', 'Telkomsel', 'gausa', 'eat', ' pulses', 'rights',' people ',' strange ',' really ',' bug ',' repair ',' Telkomsel ',' bug ',' app ',' gabecus', 'really', "]</v>
      </c>
      <c r="D3293" s="3">
        <v>1.0</v>
      </c>
    </row>
    <row r="3294" ht="15.75" customHeight="1">
      <c r="A3294" s="1">
        <v>3529.0</v>
      </c>
      <c r="B3294" s="3" t="s">
        <v>3175</v>
      </c>
      <c r="C3294" s="3" t="str">
        <f>IFERROR(__xludf.DUMMYFUNCTION("GOOGLETRANSLATE(B3294,""id"",""en"")"),"['Network', 'worst', 'package', 'expensive', 'network', 'bad', 'network', 'stable', 'night', 'rain', 'feel', 'internet', ' city ​​Forest', '']")</f>
        <v>['Network', 'worst', 'package', 'expensive', 'network', 'bad', 'network', 'stable', 'night', 'rain', 'feel', 'internet', ' city ​​Forest', '']</v>
      </c>
      <c r="D3294" s="3">
        <v>1.0</v>
      </c>
    </row>
    <row r="3295" ht="15.75" customHeight="1">
      <c r="A3295" s="1">
        <v>3530.0</v>
      </c>
      <c r="B3295" s="3" t="s">
        <v>3176</v>
      </c>
      <c r="C3295" s="3" t="str">
        <f>IFERROR(__xludf.DUMMYFUNCTION("GOOGLETRANSLATE(B3295,""id"",""en"")"),"['Price', 'Package', 'internet "",' derived ',' compete ']")</f>
        <v>['Price', 'Package', 'internet ",' derived ',' compete ']</v>
      </c>
      <c r="D3295" s="3">
        <v>5.0</v>
      </c>
    </row>
    <row r="3296" ht="15.75" customHeight="1">
      <c r="A3296" s="1">
        <v>3531.0</v>
      </c>
      <c r="B3296" s="3" t="s">
        <v>3177</v>
      </c>
      <c r="C3296" s="3" t="str">
        <f>IFERROR(__xludf.DUMMYFUNCTION("GOOGLETRANSLATE(B3296,""id"",""en"")"),"['credit', 'reduced', 'ilang', 'Where', 'right', 'check', 'transaction', 'emang', 'telkomsel', 'here', 'bad', 'service', ' Buy ',' Package ',' Internet ',' Credit ',' Taken ',' Trace ',' ilang ',' Where ',' Ngapa ',' What 'do', 'Wait', 'emang', 'Telkomsel"&amp;"' , 'Severe', 'really']")</f>
        <v>['credit', 'reduced', 'ilang', 'Where', 'right', 'check', 'transaction', 'emang', 'telkomsel', 'here', 'bad', 'service', ' Buy ',' Package ',' Internet ',' Credit ',' Taken ',' Trace ',' ilang ',' Where ',' Ngapa ',' What 'do', 'Wait', 'emang', 'Telkomsel' , 'Severe', 'really']</v>
      </c>
      <c r="D3296" s="3">
        <v>1.0</v>
      </c>
    </row>
    <row r="3297" ht="15.75" customHeight="1">
      <c r="A3297" s="1">
        <v>3532.0</v>
      </c>
      <c r="B3297" s="3" t="s">
        <v>3178</v>
      </c>
      <c r="C3297" s="3" t="str">
        <f>IFERROR(__xludf.DUMMYFUNCTION("GOOGLETRANSLATE(B3297,""id"",""en"")"),"['buy', 'routine', 'package', 'unlimited', 'youtube', 'reduced', 'quota', 'main', 'point', 'unlimited', 'unlimited', ' buy ',' loss', 'buy', 'package', 'contact', 'solution', 'severe', 'really', ""]")</f>
        <v>['buy', 'routine', 'package', 'unlimited', 'youtube', 'reduced', 'quota', 'main', 'point', 'unlimited', 'unlimited', ' buy ',' loss', 'buy', 'package', 'contact', 'solution', 'severe', 'really', "]</v>
      </c>
      <c r="D3297" s="3">
        <v>1.0</v>
      </c>
    </row>
    <row r="3298" ht="15.75" customHeight="1">
      <c r="A3298" s="1">
        <v>3533.0</v>
      </c>
      <c r="B3298" s="3" t="s">
        <v>3179</v>
      </c>
      <c r="C3298" s="3" t="str">
        <f>IFERROR(__xludf.DUMMYFUNCTION("GOOGLETRANSLATE(B3298,""id"",""en"")"),"['', 'Telkomsel', 'siip']")</f>
        <v>['', 'Telkomsel', 'siip']</v>
      </c>
      <c r="D3298" s="3">
        <v>4.0</v>
      </c>
    </row>
    <row r="3299" ht="15.75" customHeight="1">
      <c r="A3299" s="1">
        <v>3534.0</v>
      </c>
      <c r="B3299" s="3" t="s">
        <v>1158</v>
      </c>
      <c r="C3299" s="3" t="str">
        <f>IFERROR(__xludf.DUMMYFUNCTION("GOOGLETRANSLATE(B3299,""id"",""en"")"),"['compatible', 'Android', '']")</f>
        <v>['compatible', 'Android', '']</v>
      </c>
      <c r="D3299" s="3">
        <v>2.0</v>
      </c>
    </row>
    <row r="3300" ht="15.75" customHeight="1">
      <c r="A3300" s="1">
        <v>3535.0</v>
      </c>
      <c r="B3300" s="3" t="s">
        <v>3180</v>
      </c>
      <c r="C3300" s="3" t="str">
        <f>IFERROR(__xludf.DUMMYFUNCTION("GOOGLETRANSLATE(B3300,""id"",""en"")"),"['Network', 'rich']")</f>
        <v>['Network', 'rich']</v>
      </c>
      <c r="D3300" s="3">
        <v>1.0</v>
      </c>
    </row>
    <row r="3301" ht="15.75" customHeight="1">
      <c r="A3301" s="1">
        <v>3536.0</v>
      </c>
      <c r="B3301" s="3" t="s">
        <v>3181</v>
      </c>
      <c r="C3301" s="3" t="str">
        <f>IFERROR(__xludf.DUMMYFUNCTION("GOOGLETRANSLATE(B3301,""id"",""en"")"),"['Fast', 'Service']")</f>
        <v>['Fast', 'Service']</v>
      </c>
      <c r="D3301" s="3">
        <v>5.0</v>
      </c>
    </row>
    <row r="3302" ht="15.75" customHeight="1">
      <c r="A3302" s="1">
        <v>3537.0</v>
      </c>
      <c r="B3302" s="3" t="s">
        <v>3182</v>
      </c>
      <c r="C3302" s="3" t="str">
        <f>IFERROR(__xludf.DUMMYFUNCTION("GOOGLETRANSLATE(B3302,""id"",""en"")"),"['sympathy', 'area', 'gem', 'regency', 'Tangerang', 'ugly', 'forgiveness',' family ',' neighbor ',' thesis', 'defend', 'number', ' Simpati ',' Disappointed ',' Original ',' UDH ',' MOVER ',' MAKE ',' SIMPLE ',' ']")</f>
        <v>['sympathy', 'area', 'gem', 'regency', 'Tangerang', 'ugly', 'forgiveness',' family ',' neighbor ',' thesis', 'defend', 'number', ' Simpati ',' Disappointed ',' Original ',' UDH ',' MOVER ',' MAKE ',' SIMPLE ',' ']</v>
      </c>
      <c r="D3302" s="3">
        <v>1.0</v>
      </c>
    </row>
    <row r="3303" ht="15.75" customHeight="1">
      <c r="A3303" s="1">
        <v>3538.0</v>
      </c>
      <c r="B3303" s="3" t="s">
        <v>3183</v>
      </c>
      <c r="C3303" s="3" t="str">
        <f>IFERROR(__xludf.DUMMYFUNCTION("GOOGLETRANSLATE(B3303,""id"",""en"")"),"['', 'Nothing', 'Need', 'KMI', 'Lot', 'stability']")</f>
        <v>['', 'Nothing', 'Need', 'KMI', 'Lot', 'stability']</v>
      </c>
      <c r="D3303" s="3">
        <v>1.0</v>
      </c>
    </row>
    <row r="3304" ht="15.75" customHeight="1">
      <c r="A3304" s="1">
        <v>3539.0</v>
      </c>
      <c r="B3304" s="3" t="s">
        <v>3184</v>
      </c>
      <c r="C3304" s="3" t="str">
        <f>IFERROR(__xludf.DUMMYFUNCTION("GOOGLETRANSLATE(B3304,""id"",""en"")"),"['It's easy', 'purchase', 'package', 'data']")</f>
        <v>['It's easy', 'purchase', 'package', 'data']</v>
      </c>
      <c r="D3304" s="3">
        <v>5.0</v>
      </c>
    </row>
    <row r="3305" ht="15.75" customHeight="1">
      <c r="A3305" s="1">
        <v>3540.0</v>
      </c>
      <c r="B3305" s="3" t="s">
        <v>3185</v>
      </c>
      <c r="C3305" s="3" t="str">
        <f>IFERROR(__xludf.DUMMYFUNCTION("GOOGLETRANSLATE(B3305,""id"",""en"")"),"['OII', 'Telkomsel', 'Main', 'Game', 'GTU', 'Service', 'Scroll', 'Media', 'Social', '']")</f>
        <v>['OII', 'Telkomsel', 'Main', 'Game', 'GTU', 'Service', 'Scroll', 'Media', 'Social', '']</v>
      </c>
      <c r="D3305" s="3">
        <v>5.0</v>
      </c>
    </row>
    <row r="3306" ht="15.75" customHeight="1">
      <c r="A3306" s="1">
        <v>3542.0</v>
      </c>
      <c r="B3306" s="3" t="s">
        <v>3186</v>
      </c>
      <c r="C3306" s="3" t="str">
        <f>IFERROR(__xludf.DUMMYFUNCTION("GOOGLETRANSLATE(B3306,""id"",""en"")"),"['Gausah', 'expensive', 'expensive', 'package', 'data', 'slow', '']")</f>
        <v>['Gausah', 'expensive', 'expensive', 'package', 'data', 'slow', '']</v>
      </c>
      <c r="D3306" s="3">
        <v>1.0</v>
      </c>
    </row>
    <row r="3307" ht="15.75" customHeight="1">
      <c r="A3307" s="1">
        <v>3543.0</v>
      </c>
      <c r="B3307" s="3" t="s">
        <v>3187</v>
      </c>
      <c r="C3307" s="3" t="str">
        <f>IFERROR(__xludf.DUMMYFUNCTION("GOOGLETRANSLATE(B3307,""id"",""en"")"),"['Sis',' get ',' SMS ',' Telkomsel ',' promo ',' contents', 'credit', 'get', 'pulse', 'just', 'Rupiah', 'fill', ' pulse']")</f>
        <v>['Sis',' get ',' SMS ',' Telkomsel ',' promo ',' contents', 'credit', 'get', 'pulse', 'just', 'Rupiah', 'fill', ' pulse']</v>
      </c>
      <c r="D3307" s="3">
        <v>5.0</v>
      </c>
    </row>
    <row r="3308" ht="15.75" customHeight="1">
      <c r="A3308" s="1">
        <v>3544.0</v>
      </c>
      <c r="B3308" s="3" t="s">
        <v>3188</v>
      </c>
      <c r="C3308" s="3" t="str">
        <f>IFERROR(__xludf.DUMMYFUNCTION("GOOGLETRANSLATE(B3308,""id"",""en"")"),"['Network', 'telephone', 'internet', 'good']")</f>
        <v>['Network', 'telephone', 'internet', 'good']</v>
      </c>
      <c r="D3308" s="3">
        <v>5.0</v>
      </c>
    </row>
    <row r="3309" ht="15.75" customHeight="1">
      <c r="A3309" s="1">
        <v>3545.0</v>
      </c>
      <c r="B3309" s="3" t="s">
        <v>135</v>
      </c>
      <c r="C3309" s="3" t="str">
        <f>IFERROR(__xludf.DUMMYFUNCTION("GOOGLETRANSLATE(B3309,""id"",""en"")"),"['Good', 'help', ""]")</f>
        <v>['Good', 'help', "]</v>
      </c>
      <c r="D3309" s="3">
        <v>5.0</v>
      </c>
    </row>
    <row r="3310" ht="15.75" customHeight="1">
      <c r="A3310" s="1">
        <v>3546.0</v>
      </c>
      <c r="B3310" s="3" t="s">
        <v>3189</v>
      </c>
      <c r="C3310" s="3" t="str">
        <f>IFERROR(__xludf.DUMMYFUNCTION("GOOGLETRANSLATE(B3310,""id"",""en"")"),"['Hopefully', 'MyTelkosel', 'developed', 'package', 'internet', 'expensive', 'rather than', 'card', 'wkwkwkw']")</f>
        <v>['Hopefully', 'MyTelkosel', 'developed', 'package', 'internet', 'expensive', 'rather than', 'card', 'wkwkwkw']</v>
      </c>
      <c r="D3310" s="3">
        <v>5.0</v>
      </c>
    </row>
    <row r="3311" ht="15.75" customHeight="1">
      <c r="A3311" s="1">
        <v>3547.0</v>
      </c>
      <c r="B3311" s="3" t="s">
        <v>3190</v>
      </c>
      <c r="C3311" s="3" t="str">
        <f>IFERROR(__xludf.DUMMYFUNCTION("GOOGLETRANSLATE(B3311,""id"",""en"")"),"['signal', 'destroyed', 'pisan', 'annoyed']")</f>
        <v>['signal', 'destroyed', 'pisan', 'annoyed']</v>
      </c>
      <c r="D3311" s="3">
        <v>1.0</v>
      </c>
    </row>
    <row r="3312" ht="15.75" customHeight="1">
      <c r="A3312" s="1">
        <v>3548.0</v>
      </c>
      <c r="B3312" s="3" t="s">
        <v>3191</v>
      </c>
      <c r="C3312" s="3" t="str">
        <f>IFERROR(__xludf.DUMMYFUNCTION("GOOGLETRANSLATE(B3312,""id"",""en"")"),"['Please', 'Update', 'Support', 'Android', '']")</f>
        <v>['Please', 'Update', 'Support', 'Android', '']</v>
      </c>
      <c r="D3312" s="3">
        <v>2.0</v>
      </c>
    </row>
    <row r="3313" ht="15.75" customHeight="1">
      <c r="A3313" s="1">
        <v>3549.0</v>
      </c>
      <c r="B3313" s="3" t="s">
        <v>80</v>
      </c>
      <c r="C3313" s="3" t="str">
        <f>IFERROR(__xludf.DUMMYFUNCTION("GOOGLETRANSLATE(B3313,""id"",""en"")"),"['help', '']")</f>
        <v>['help', '']</v>
      </c>
      <c r="D3313" s="3">
        <v>5.0</v>
      </c>
    </row>
    <row r="3314" ht="15.75" customHeight="1">
      <c r="A3314" s="1">
        <v>3550.0</v>
      </c>
      <c r="B3314" s="3" t="s">
        <v>3192</v>
      </c>
      <c r="C3314" s="3" t="str">
        <f>IFERROR(__xludf.DUMMYFUNCTION("GOOGLETRANSLATE(B3314,""id"",""en"")"),"['Good', 'supports', 'buy', 'product', 'package', 'tighten']")</f>
        <v>['Good', 'supports', 'buy', 'product', 'package', 'tighten']</v>
      </c>
      <c r="D3314" s="3">
        <v>5.0</v>
      </c>
    </row>
    <row r="3315" ht="15.75" customHeight="1">
      <c r="A3315" s="1">
        <v>3551.0</v>
      </c>
      <c r="B3315" s="3" t="s">
        <v>3193</v>
      </c>
      <c r="C3315" s="3" t="str">
        <f>IFERROR(__xludf.DUMMYFUNCTION("GOOGLETRANSLATE(B3315,""id"",""en"")"),"['Sorry', 'Card', 'Telokomsel', 'Region', 'Bandung', 'Knp', 'signal', 'JLEK', 'Ktika', 'Jln', 'Step', 'Kluarun', ' Signal ',' Sebelum ',' Rich ',' Cman ',' Sorry ',' JLEK ',' I'M, 'RB', 'Performance', 'Signal', 'Sekerti', 'Sorry', 'Sorry' , '']")</f>
        <v>['Sorry', 'Card', 'Telokomsel', 'Region', 'Bandung', 'Knp', 'signal', 'JLEK', 'Ktika', 'Jln', 'Step', 'Kluarun', ' Signal ',' Sebelum ',' Rich ',' Cman ',' Sorry ',' JLEK ',' I'M, 'RB', 'Performance', 'Signal', 'Sekerti', 'Sorry', 'Sorry' , '']</v>
      </c>
      <c r="D3315" s="3">
        <v>4.0</v>
      </c>
    </row>
    <row r="3316" ht="15.75" customHeight="1">
      <c r="A3316" s="1">
        <v>3552.0</v>
      </c>
      <c r="B3316" s="3" t="s">
        <v>3194</v>
      </c>
      <c r="C3316" s="3" t="str">
        <f>IFERROR(__xludf.DUMMYFUNCTION("GOOGLETRANSLATE(B3316,""id"",""en"")"),"['quota', 'Multimedia', 'KNPA', 'quota', 'main', 'Sumpot', 'Detinent', 'Multimedia', 'dlu', 'bru', 'main', 'emng', ' Udh ',' Rules', '']")</f>
        <v>['quota', 'Multimedia', 'KNPA', 'quota', 'main', 'Sumpot', 'Detinent', 'Multimedia', 'dlu', 'bru', 'main', 'emng', ' Udh ',' Rules', '']</v>
      </c>
      <c r="D3316" s="3">
        <v>1.0</v>
      </c>
    </row>
    <row r="3317" ht="15.75" customHeight="1">
      <c r="A3317" s="1">
        <v>3554.0</v>
      </c>
      <c r="B3317" s="3" t="s">
        <v>3195</v>
      </c>
      <c r="C3317" s="3" t="str">
        <f>IFERROR(__xludf.DUMMYFUNCTION("GOOGLETRANSLATE(B3317,""id"",""en"")"),"['Wear', 'Telkomsel', 'Experiencing', 'Difficulties', 'Telkomsel', 'People', 'Network', 'Leet']")</f>
        <v>['Wear', 'Telkomsel', 'Experiencing', 'Difficulties', 'Telkomsel', 'People', 'Network', 'Leet']</v>
      </c>
      <c r="D3317" s="3">
        <v>5.0</v>
      </c>
    </row>
    <row r="3318" ht="15.75" customHeight="1">
      <c r="A3318" s="1">
        <v>3555.0</v>
      </c>
      <c r="B3318" s="3" t="s">
        <v>3196</v>
      </c>
      <c r="C3318" s="3" t="str">
        <f>IFERROR(__xludf.DUMMYFUNCTION("GOOGLETRANSLATE(B3318,""id"",""en"")"),"['Hope', 'Believe', 'Network', 'Best', '']")</f>
        <v>['Hope', 'Believe', 'Network', 'Best', '']</v>
      </c>
      <c r="D3318" s="3">
        <v>4.0</v>
      </c>
    </row>
    <row r="3319" ht="15.75" customHeight="1">
      <c r="A3319" s="1">
        <v>3556.0</v>
      </c>
      <c r="B3319" s="3" t="s">
        <v>323</v>
      </c>
      <c r="C3319" s="3" t="str">
        <f>IFERROR(__xludf.DUMMYFUNCTION("GOOGLETRANSLATE(B3319,""id"",""en"")"),"['Telkomsel']")</f>
        <v>['Telkomsel']</v>
      </c>
      <c r="D3319" s="3">
        <v>5.0</v>
      </c>
    </row>
    <row r="3320" ht="15.75" customHeight="1">
      <c r="A3320" s="1">
        <v>3557.0</v>
      </c>
      <c r="B3320" s="3" t="s">
        <v>3197</v>
      </c>
      <c r="C3320" s="3" t="str">
        <f>IFERROR(__xludf.DUMMYFUNCTION("GOOGLETRANSLATE(B3320,""id"",""en"")"),"['Package', 'Data', 'On', 'Suck', 'Credit', ""]")</f>
        <v>['Package', 'Data', 'On', 'Suck', 'Credit', "]</v>
      </c>
      <c r="D3320" s="3">
        <v>1.0</v>
      </c>
    </row>
    <row r="3321" ht="15.75" customHeight="1">
      <c r="A3321" s="1">
        <v>3558.0</v>
      </c>
      <c r="B3321" s="3" t="s">
        <v>3198</v>
      </c>
      <c r="C3321" s="3" t="str">
        <f>IFERROR(__xludf.DUMMYFUNCTION("GOOGLETRANSLATE(B3321,""id"",""en"")"),"['Credit', 'Collaps',' thousand ',' use ',' quota ',' pulse ',' Cut ',' please ',' Harm ',' really ',' Student ',' Return ',' Credit ',' thousand ']")</f>
        <v>['Credit', 'Collaps',' thousand ',' use ',' quota ',' pulse ',' Cut ',' please ',' Harm ',' really ',' Student ',' Return ',' Credit ',' thousand ']</v>
      </c>
      <c r="D3321" s="3">
        <v>1.0</v>
      </c>
    </row>
    <row r="3322" ht="15.75" customHeight="1">
      <c r="A3322" s="1">
        <v>3559.0</v>
      </c>
      <c r="B3322" s="3" t="s">
        <v>3199</v>
      </c>
      <c r="C3322" s="3" t="str">
        <f>IFERROR(__xludf.DUMMYFUNCTION("GOOGLETRANSLATE(B3322,""id"",""en"")"),"['BLM', 'enter', 'Ling']")</f>
        <v>['BLM', 'enter', 'Ling']</v>
      </c>
      <c r="D3322" s="3">
        <v>3.0</v>
      </c>
    </row>
    <row r="3323" ht="15.75" customHeight="1">
      <c r="A3323" s="1">
        <v>3560.0</v>
      </c>
      <c r="B3323" s="3" t="s">
        <v>3200</v>
      </c>
      <c r="C3323" s="3" t="str">
        <f>IFERROR(__xludf.DUMMYFUNCTION("GOOGLETRANSLATE(B3323,""id"",""en"")"),"['quota', 'Besal', 'GB', 'GB', 'Out', 'Blum', 'Sunday', 'Please', 'cheat', 'Out', ""]")</f>
        <v>['quota', 'Besal', 'GB', 'GB', 'Out', 'Blum', 'Sunday', 'Please', 'cheat', 'Out', "]</v>
      </c>
      <c r="D3323" s="3">
        <v>1.0</v>
      </c>
    </row>
    <row r="3324" ht="15.75" customHeight="1">
      <c r="A3324" s="1">
        <v>3561.0</v>
      </c>
      <c r="B3324" s="3" t="s">
        <v>3201</v>
      </c>
      <c r="C3324" s="3" t="str">
        <f>IFERROR(__xludf.DUMMYFUNCTION("GOOGLETRANSLATE(B3324,""id"",""en"")"),"['Alhamdulillah', 'application', 'help', ""]")</f>
        <v>['Alhamdulillah', 'application', 'help', "]</v>
      </c>
      <c r="D3324" s="3">
        <v>4.0</v>
      </c>
    </row>
    <row r="3325" ht="15.75" customHeight="1">
      <c r="A3325" s="1">
        <v>3562.0</v>
      </c>
      <c r="B3325" s="3" t="s">
        <v>3202</v>
      </c>
      <c r="C3325" s="3" t="str">
        <f>IFERROR(__xludf.DUMMYFUNCTION("GOOGLETRANSLATE(B3325,""id"",""en"")"),"['hope', 'signal', 'good']")</f>
        <v>['hope', 'signal', 'good']</v>
      </c>
      <c r="D3325" s="3">
        <v>5.0</v>
      </c>
    </row>
    <row r="3326" ht="15.75" customHeight="1">
      <c r="A3326" s="1">
        <v>3563.0</v>
      </c>
      <c r="B3326" s="3" t="s">
        <v>3203</v>
      </c>
      <c r="C3326" s="3" t="str">
        <f>IFERROR(__xludf.DUMMYFUNCTION("GOOGLETRANSLATE(B3326,""id"",""en"")"),"['Help', 'loyal', 'always', 'udh', 'th', 'use', 'Telkomsel', '']")</f>
        <v>['Help', 'loyal', 'always', 'udh', 'th', 'use', 'Telkomsel', '']</v>
      </c>
      <c r="D3326" s="3">
        <v>5.0</v>
      </c>
    </row>
    <row r="3327" ht="15.75" customHeight="1">
      <c r="A3327" s="1">
        <v>3564.0</v>
      </c>
      <c r="B3327" s="3" t="s">
        <v>3204</v>
      </c>
      <c r="C3327" s="3" t="str">
        <f>IFERROR(__xludf.DUMMYFUNCTION("GOOGLETRANSLATE(B3327,""id"",""en"")"),"['Thank you', 'Telkomsel', 'access', 'easy', 'fast', 'just', 'please', 'price', 'package', 'expensive', ""]")</f>
        <v>['Thank you', 'Telkomsel', 'access', 'easy', 'fast', 'just', 'please', 'price', 'package', 'expensive', "]</v>
      </c>
      <c r="D3327" s="3">
        <v>5.0</v>
      </c>
    </row>
    <row r="3328" ht="15.75" customHeight="1">
      <c r="A3328" s="1">
        <v>3565.0</v>
      </c>
      <c r="B3328" s="3" t="s">
        <v>3205</v>
      </c>
      <c r="C3328" s="3" t="str">
        <f>IFERROR(__xludf.DUMMYFUNCTION("GOOGLETRANSLATE(B3328,""id"",""en"")"),"['buy', 'package', 'call', 'home', 'quota', 'thousand', 'call', 'home', 'use', 'call', 'number', 'telephone', ' home ',' Target ',' pulse ',' main ',' quota ',' thousand ',' use ',' use ',' sms', 'package', 'active', 'first', 'times' , 'times', 'buy', 'pa"&amp;"ckage', 'call', 'home', 'really', '']")</f>
        <v>['buy', 'package', 'call', 'home', 'quota', 'thousand', 'call', 'home', 'use', 'call', 'number', 'telephone', ' home ',' Target ',' pulse ',' main ',' quota ',' thousand ',' use ',' use ',' sms', 'package', 'active', 'first', 'times' , 'times', 'buy', 'package', 'call', 'home', 'really', '']</v>
      </c>
      <c r="D3328" s="3">
        <v>1.0</v>
      </c>
    </row>
    <row r="3329" ht="15.75" customHeight="1">
      <c r="A3329" s="1">
        <v>3566.0</v>
      </c>
      <c r="B3329" s="3" t="s">
        <v>3206</v>
      </c>
      <c r="C3329" s="3" t="str">
        <f>IFERROR(__xludf.DUMMYFUNCTION("GOOGLETRANSLATE(B3329,""id"",""en"")"),"['Explanation', 'information']")</f>
        <v>['Explanation', 'information']</v>
      </c>
      <c r="D3329" s="3">
        <v>5.0</v>
      </c>
    </row>
    <row r="3330" ht="15.75" customHeight="1">
      <c r="A3330" s="1">
        <v>3567.0</v>
      </c>
      <c r="B3330" s="3" t="s">
        <v>3207</v>
      </c>
      <c r="C3330" s="3" t="str">
        <f>IFERROR(__xludf.DUMMYFUNCTION("GOOGLETRANSLATE(B3330,""id"",""en"")"),"['expensive', 'package', 'Telkomsel', 'number']")</f>
        <v>['expensive', 'package', 'Telkomsel', 'number']</v>
      </c>
      <c r="D3330" s="3">
        <v>1.0</v>
      </c>
    </row>
    <row r="3331" ht="15.75" customHeight="1">
      <c r="A3331" s="1">
        <v>3568.0</v>
      </c>
      <c r="B3331" s="3" t="s">
        <v>3208</v>
      </c>
      <c r="C3331" s="3" t="str">
        <f>IFERROR(__xludf.DUMMYFUNCTION("GOOGLETRANSLATE(B3331,""id"",""en"")"),"['Hopefully', 'Amanah']")</f>
        <v>['Hopefully', 'Amanah']</v>
      </c>
      <c r="D3331" s="3">
        <v>5.0</v>
      </c>
    </row>
    <row r="3332" ht="15.75" customHeight="1">
      <c r="A3332" s="1">
        <v>3569.0</v>
      </c>
      <c r="B3332" s="3" t="s">
        <v>3209</v>
      </c>
      <c r="C3332" s="3" t="str">
        <f>IFERROR(__xludf.DUMMYFUNCTION("GOOGLETRANSLATE(B3332,""id"",""en"")"),"['price', 'package', 'quota', 'expensive', 'reach', 'circle']")</f>
        <v>['price', 'package', 'quota', 'expensive', 'reach', 'circle']</v>
      </c>
      <c r="D3332" s="3">
        <v>4.0</v>
      </c>
    </row>
    <row r="3333" ht="15.75" customHeight="1">
      <c r="A3333" s="1">
        <v>3570.0</v>
      </c>
      <c r="B3333" s="3" t="s">
        <v>3210</v>
      </c>
      <c r="C3333" s="3" t="str">
        <f>IFERROR(__xludf.DUMMYFUNCTION("GOOGLETRANSLATE(B3333,""id"",""en"")"),"['Telkomsel', 'package', 'expensive', 'network', 'boss', 'disappointing', 'customer', 'disappointed', '']")</f>
        <v>['Telkomsel', 'package', 'expensive', 'network', 'boss', 'disappointing', 'customer', 'disappointed', '']</v>
      </c>
      <c r="D3333" s="3">
        <v>1.0</v>
      </c>
    </row>
    <row r="3334" ht="15.75" customHeight="1">
      <c r="A3334" s="1">
        <v>3571.0</v>
      </c>
      <c r="B3334" s="3" t="s">
        <v>3211</v>
      </c>
      <c r="C3334" s="3" t="str">
        <f>IFERROR(__xludf.DUMMYFUNCTION("GOOGLETRANSLATE(B3334,""id"",""en"")"),"['signal', 'stable', 'open', 'APK', 'Telkomsel', 'pulse', 'suck', 'comfortable', 'use', 'Telkomsel', ""]")</f>
        <v>['signal', 'stable', 'open', 'APK', 'Telkomsel', 'pulse', 'suck', 'comfortable', 'use', 'Telkomsel', "]</v>
      </c>
      <c r="D3334" s="3">
        <v>1.0</v>
      </c>
    </row>
    <row r="3335" ht="15.75" customHeight="1">
      <c r="A3335" s="1">
        <v>3572.0</v>
      </c>
      <c r="B3335" s="3" t="s">
        <v>3212</v>
      </c>
      <c r="C3335" s="3" t="str">
        <f>IFERROR(__xludf.DUMMYFUNCTION("GOOGLETRANSLATE(B3335,""id"",""en"")"),"['Disappointed', 'Credit', 'Reduced', 'Quota', 'Internet', 'Credit', 'Take', 'Disappointed', '']")</f>
        <v>['Disappointed', 'Credit', 'Reduced', 'Quota', 'Internet', 'Credit', 'Take', 'Disappointed', '']</v>
      </c>
      <c r="D3335" s="3">
        <v>1.0</v>
      </c>
    </row>
    <row r="3336" ht="15.75" customHeight="1">
      <c r="A3336" s="1">
        <v>3573.0</v>
      </c>
      <c r="B3336" s="3" t="s">
        <v>3213</v>
      </c>
      <c r="C3336" s="3" t="str">
        <f>IFERROR(__xludf.DUMMYFUNCTION("GOOGLETRANSLATE(B3336,""id"",""en"")"),"['Not bad', 'good', 'help']")</f>
        <v>['Not bad', 'good', 'help']</v>
      </c>
      <c r="D3336" s="3">
        <v>3.0</v>
      </c>
    </row>
    <row r="3337" ht="15.75" customHeight="1">
      <c r="A3337" s="1">
        <v>3574.0</v>
      </c>
      <c r="B3337" s="3" t="s">
        <v>3214</v>
      </c>
      <c r="C3337" s="3" t="str">
        <f>IFERROR(__xludf.DUMMYFUNCTION("GOOGLETRANSLATE(B3337,""id"",""en"")"),"['application', 'quota', 'free', 'Benerran', '']")</f>
        <v>['application', 'quota', 'free', 'Benerran', '']</v>
      </c>
      <c r="D3337" s="3">
        <v>3.0</v>
      </c>
    </row>
    <row r="3338" ht="15.75" customHeight="1">
      <c r="A3338" s="1">
        <v>3576.0</v>
      </c>
      <c r="B3338" s="3" t="s">
        <v>3215</v>
      </c>
      <c r="C3338" s="3" t="str">
        <f>IFERROR(__xludf.DUMMYFUNCTION("GOOGLETRANSLATE(B3338,""id"",""en"")"),"['Network', 'strong', 'remote']")</f>
        <v>['Network', 'strong', 'remote']</v>
      </c>
      <c r="D3338" s="3">
        <v>5.0</v>
      </c>
    </row>
    <row r="3339" ht="15.75" customHeight="1">
      <c r="A3339" s="1">
        <v>3577.0</v>
      </c>
      <c r="B3339" s="3" t="s">
        <v>3216</v>
      </c>
      <c r="C3339" s="3" t="str">
        <f>IFERROR(__xludf.DUMMYFUNCTION("GOOGLETRANSLATE(B3339,""id"",""en"")"),"['Package', 'Changed', 'Change', 'Package', 'Bought']")</f>
        <v>['Package', 'Changed', 'Change', 'Package', 'Bought']</v>
      </c>
      <c r="D3339" s="3">
        <v>3.0</v>
      </c>
    </row>
    <row r="3340" ht="15.75" customHeight="1">
      <c r="A3340" s="1">
        <v>3578.0</v>
      </c>
      <c r="B3340" s="3" t="s">
        <v>3217</v>
      </c>
      <c r="C3340" s="3" t="str">
        <f>IFERROR(__xludf.DUMMYFUNCTION("GOOGLETRANSLATE(B3340,""id"",""en"")"),"['Kontl', 'Network']")</f>
        <v>['Kontl', 'Network']</v>
      </c>
      <c r="D3340" s="3">
        <v>1.0</v>
      </c>
    </row>
    <row r="3341" ht="15.75" customHeight="1">
      <c r="A3341" s="1">
        <v>3579.0</v>
      </c>
      <c r="B3341" s="3" t="s">
        <v>3218</v>
      </c>
      <c r="C3341" s="3" t="str">
        <f>IFERROR(__xludf.DUMMYFUNCTION("GOOGLETRANSLATE(B3341,""id"",""en"")"),"['Telkomsel', 'Send', 'Paketan', '']")</f>
        <v>['Telkomsel', 'Send', 'Paketan', '']</v>
      </c>
      <c r="D3341" s="3">
        <v>5.0</v>
      </c>
    </row>
    <row r="3342" ht="15.75" customHeight="1">
      <c r="A3342" s="1">
        <v>3580.0</v>
      </c>
      <c r="B3342" s="3" t="s">
        <v>3219</v>
      </c>
      <c r="C3342" s="3" t="str">
        <f>IFERROR(__xludf.DUMMYFUNCTION("GOOGLETRANSLATE(B3342,""id"",""en"")"),"['klw', 'package', 'cheap', 'compete']")</f>
        <v>['klw', 'package', 'cheap', 'compete']</v>
      </c>
      <c r="D3342" s="3">
        <v>4.0</v>
      </c>
    </row>
    <row r="3343" ht="15.75" customHeight="1">
      <c r="A3343" s="1">
        <v>3582.0</v>
      </c>
      <c r="B3343" s="3" t="s">
        <v>3220</v>
      </c>
      <c r="C3343" s="3" t="str">
        <f>IFERROR(__xludf.DUMMYFUNCTION("GOOGLETRANSLATE(B3343,""id"",""en"")"),"['Mantep', 'Price', 'Combo', 'Sakti', 'Cheap']")</f>
        <v>['Mantep', 'Price', 'Combo', 'Sakti', 'Cheap']</v>
      </c>
      <c r="D3343" s="3">
        <v>5.0</v>
      </c>
    </row>
    <row r="3344" ht="15.75" customHeight="1">
      <c r="A3344" s="1">
        <v>3584.0</v>
      </c>
      <c r="B3344" s="3" t="s">
        <v>3221</v>
      </c>
      <c r="C3344" s="3" t="str">
        <f>IFERROR(__xludf.DUMMYFUNCTION("GOOGLETRANSLATE(B3344,""id"",""en"")"),"['Is there', 'bonus', 'man']")</f>
        <v>['Is there', 'bonus', 'man']</v>
      </c>
      <c r="D3344" s="3">
        <v>5.0</v>
      </c>
    </row>
    <row r="3345" ht="15.75" customHeight="1">
      <c r="A3345" s="1">
        <v>3585.0</v>
      </c>
      <c r="B3345" s="3" t="s">
        <v>3222</v>
      </c>
      <c r="C3345" s="3" t="str">
        <f>IFERROR(__xludf.DUMMYFUNCTION("GOOGLETRANSLATE(B3345,""id"",""en"")"),"['expensive', 'expensive', 'price', 'quota', '']")</f>
        <v>['expensive', 'expensive', 'price', 'quota', '']</v>
      </c>
      <c r="D3345" s="3">
        <v>5.0</v>
      </c>
    </row>
    <row r="3346" ht="15.75" customHeight="1">
      <c r="A3346" s="1">
        <v>3586.0</v>
      </c>
      <c r="B3346" s="3" t="s">
        <v>3223</v>
      </c>
      <c r="C3346" s="3" t="str">
        <f>IFERROR(__xludf.DUMMYFUNCTION("GOOGLETRANSLATE(B3346,""id"",""en"")"),"['Credit', 'Out', 'Package', 'Buy', 'Package', 'Price', 'Mepet', 'Credit', 'Kantel', ""]")</f>
        <v>['Credit', 'Out', 'Package', 'Buy', 'Package', 'Price', 'Mepet', 'Credit', 'Kantel', "]</v>
      </c>
      <c r="D3346" s="3">
        <v>1.0</v>
      </c>
    </row>
    <row r="3347" ht="15.75" customHeight="1">
      <c r="A3347" s="1">
        <v>3587.0</v>
      </c>
      <c r="B3347" s="3" t="s">
        <v>3224</v>
      </c>
      <c r="C3347" s="3" t="str">
        <f>IFERROR(__xludf.DUMMYFUNCTION("GOOGLETRANSLATE(B3347,""id"",""en"")"),"['mantapp', 'package', 'nya']")</f>
        <v>['mantapp', 'package', 'nya']</v>
      </c>
      <c r="D3347" s="3">
        <v>5.0</v>
      </c>
    </row>
    <row r="3348" ht="15.75" customHeight="1">
      <c r="A3348" s="1">
        <v>3588.0</v>
      </c>
      <c r="B3348" s="3" t="s">
        <v>3225</v>
      </c>
      <c r="C3348" s="3" t="str">
        <f>IFERROR(__xludf.DUMMYFUNCTION("GOOGLETRANSLATE(B3348,""id"",""en"")"),"['pulse', 'sqya', 'bqngeet', 'lost']")</f>
        <v>['pulse', 'sqya', 'bqngeet', 'lost']</v>
      </c>
      <c r="D3348" s="3">
        <v>4.0</v>
      </c>
    </row>
    <row r="3349" ht="15.75" customHeight="1">
      <c r="A3349" s="1">
        <v>3589.0</v>
      </c>
      <c r="B3349" s="3" t="s">
        <v>3226</v>
      </c>
      <c r="C3349" s="3" t="str">
        <f>IFERROR(__xludf.DUMMYFUNCTION("GOOGLETRANSLATE(B3349,""id"",""en"")"),"['Combo', 'Sakti', 'Good']")</f>
        <v>['Combo', 'Sakti', 'Good']</v>
      </c>
      <c r="D3349" s="3">
        <v>5.0</v>
      </c>
    </row>
    <row r="3350" ht="15.75" customHeight="1">
      <c r="A3350" s="1">
        <v>3590.0</v>
      </c>
      <c r="B3350" s="3" t="s">
        <v>3227</v>
      </c>
      <c r="C3350" s="3" t="str">
        <f>IFERROR(__xludf.DUMMYFUNCTION("GOOGLETRANSLATE(B3350,""id"",""en"")"),"['Credit', 'automatic', 'kuaota', 'run out', 'notification', 'miss',' number ',' spam ',' notif ',' program ',' promo ',' spam ',' NOTIF ',' quota ',' run out ',' Ter ',' Ignore ',' name ',' System ',' Nyolong ',' Credit ',' Easy ',' Search ',' Halal ',' "&amp;"quota ' , 'HBIS', 'automatic', 'dead', 'data', 'jngn', 'take', 'pulse']")</f>
        <v>['Credit', 'automatic', 'kuaota', 'run out', 'notification', 'miss',' number ',' spam ',' notif ',' program ',' promo ',' spam ',' NOTIF ',' quota ',' run out ',' Ter ',' Ignore ',' name ',' System ',' Nyolong ',' Credit ',' Easy ',' Search ',' Halal ',' quota ' , 'HBIS', 'automatic', 'dead', 'data', 'jngn', 'take', 'pulse']</v>
      </c>
      <c r="D3350" s="3">
        <v>1.0</v>
      </c>
    </row>
    <row r="3351" ht="15.75" customHeight="1">
      <c r="A3351" s="1">
        <v>3591.0</v>
      </c>
      <c r="B3351" s="3" t="s">
        <v>3228</v>
      </c>
      <c r="C3351" s="3" t="str">
        <f>IFERROR(__xludf.DUMMYFUNCTION("GOOGLETRANSLATE(B3351,""id"",""en"")"),"['number', 'application', 'Telkomsel', 'skrg', 'number', 'scorched', 'Gara', 'difference', 'information', 'active', 'number', 'use', ' printed ',' application ',' error ',' application ',' consumer ',' loss']")</f>
        <v>['number', 'application', 'Telkomsel', 'skrg', 'number', 'scorched', 'Gara', 'difference', 'information', 'active', 'number', 'use', ' printed ',' application ',' error ',' application ',' consumer ',' loss']</v>
      </c>
      <c r="D3351" s="3">
        <v>1.0</v>
      </c>
    </row>
    <row r="3352" ht="15.75" customHeight="1">
      <c r="A3352" s="1">
        <v>3592.0</v>
      </c>
      <c r="B3352" s="3" t="s">
        <v>724</v>
      </c>
      <c r="C3352" s="3" t="str">
        <f>IFERROR(__xludf.DUMMYFUNCTION("GOOGLETRANSLATE(B3352,""id"",""en"")"),"['APK', 'Bagus']")</f>
        <v>['APK', 'Bagus']</v>
      </c>
      <c r="D3352" s="3">
        <v>1.0</v>
      </c>
    </row>
    <row r="3353" ht="15.75" customHeight="1">
      <c r="A3353" s="1">
        <v>3593.0</v>
      </c>
      <c r="B3353" s="3" t="s">
        <v>1964</v>
      </c>
      <c r="C3353" s="3" t="str">
        <f>IFERROR(__xludf.DUMMYFUNCTION("GOOGLETRANSLATE(B3353,""id"",""en"")"),"['satisfying', '']")</f>
        <v>['satisfying', '']</v>
      </c>
      <c r="D3353" s="3">
        <v>5.0</v>
      </c>
    </row>
    <row r="3354" ht="15.75" customHeight="1">
      <c r="A3354" s="1">
        <v>3594.0</v>
      </c>
      <c r="B3354" s="3" t="s">
        <v>3229</v>
      </c>
      <c r="C3354" s="3" t="str">
        <f>IFERROR(__xludf.DUMMYFUNCTION("GOOGLETRANSLATE(B3354,""id"",""en"")"),"['Lower', 'Price', 'Package']")</f>
        <v>['Lower', 'Price', 'Package']</v>
      </c>
      <c r="D3354" s="3">
        <v>4.0</v>
      </c>
    </row>
    <row r="3355" ht="15.75" customHeight="1">
      <c r="A3355" s="1">
        <v>3595.0</v>
      </c>
      <c r="B3355" s="3" t="s">
        <v>3230</v>
      </c>
      <c r="C3355" s="3" t="str">
        <f>IFERROR(__xludf.DUMMYFUNCTION("GOOGLETRANSLATE(B3355,""id"",""en"")"),"['Help', 'Application', 'Thanks', 'MyTelkomsel', 'You', 'Are', 'The', 'Best', ""]")</f>
        <v>['Help', 'Application', 'Thanks', 'MyTelkomsel', 'You', 'Are', 'The', 'Best', "]</v>
      </c>
      <c r="D3355" s="3">
        <v>5.0</v>
      </c>
    </row>
    <row r="3356" ht="15.75" customHeight="1">
      <c r="A3356" s="1">
        <v>3596.0</v>
      </c>
      <c r="B3356" s="3" t="s">
        <v>3231</v>
      </c>
      <c r="C3356" s="3" t="str">
        <f>IFERROR(__xludf.DUMMYFUNCTION("GOOGLETRANSLATE(B3356,""id"",""en"")"),"['Hopefully', 'Telkomsel', 'Good', 'continued']")</f>
        <v>['Hopefully', 'Telkomsel', 'Good', 'continued']</v>
      </c>
      <c r="D3356" s="3">
        <v>5.0</v>
      </c>
    </row>
    <row r="3357" ht="15.75" customHeight="1">
      <c r="A3357" s="1">
        <v>3597.0</v>
      </c>
      <c r="B3357" s="3" t="s">
        <v>3232</v>
      </c>
      <c r="C3357" s="3" t="str">
        <f>IFERROR(__xludf.DUMMYFUNCTION("GOOGLETRANSLATE(B3357,""id"",""en"")"),"['slow connection']")</f>
        <v>['slow connection']</v>
      </c>
      <c r="D3357" s="3">
        <v>5.0</v>
      </c>
    </row>
    <row r="3358" ht="15.75" customHeight="1">
      <c r="A3358" s="1">
        <v>3598.0</v>
      </c>
      <c r="B3358" s="3" t="s">
        <v>3233</v>
      </c>
      <c r="C3358" s="3" t="str">
        <f>IFERROR(__xludf.DUMMYFUNCTION("GOOGLETRANSLATE(B3358,""id"",""en"")"),"['APK', 'good', 'package', 'expensive', '']")</f>
        <v>['APK', 'good', 'package', 'expensive', '']</v>
      </c>
      <c r="D3358" s="3">
        <v>4.0</v>
      </c>
    </row>
    <row r="3359" ht="15.75" customHeight="1">
      <c r="A3359" s="1">
        <v>3599.0</v>
      </c>
      <c r="B3359" s="3" t="s">
        <v>3234</v>
      </c>
      <c r="C3359" s="3" t="str">
        <f>IFERROR(__xludf.DUMMYFUNCTION("GOOGLETRANSLATE(B3359,""id"",""en"")"),"['Disappointed', 'Price', 'Signal', 'Boro', 'Kenceng', 'Package', 'OMG', 'Expensive', 'Satan', 'Unlimited', 'Slow', 'Severe', ' Subscriptions', 'Being', 'willing', 'buy', 'package', 'expensive', 'support', 'quality', 'signal', 'kenceng', 'mending', 'walop"&amp;"un', 'slow' , 'Road', 'discount', 'cheap', 'rip', 'signal', 'Indonesia']")</f>
        <v>['Disappointed', 'Price', 'Signal', 'Boro', 'Kenceng', 'Package', 'OMG', 'Expensive', 'Satan', 'Unlimited', 'Slow', 'Severe', ' Subscriptions', 'Being', 'willing', 'buy', 'package', 'expensive', 'support', 'quality', 'signal', 'kenceng', 'mending', 'walopun', 'slow' , 'Road', 'discount', 'cheap', 'rip', 'signal', 'Indonesia']</v>
      </c>
      <c r="D3359" s="3">
        <v>1.0</v>
      </c>
    </row>
    <row r="3360" ht="15.75" customHeight="1">
      <c r="A3360" s="1">
        <v>3600.0</v>
      </c>
      <c r="B3360" s="3" t="s">
        <v>3235</v>
      </c>
      <c r="C3360" s="3" t="str">
        <f>IFERROR(__xludf.DUMMYFUNCTION("GOOGLETRANSLATE(B3360,""id"",""en"")"),"['Setipa', 'times', 'package', 'mainly', 'run out', 'signal', 'unlimited', 'slow', 'really', ""]")</f>
        <v>['Setipa', 'times', 'package', 'mainly', 'run out', 'signal', 'unlimited', 'slow', 'really', "]</v>
      </c>
      <c r="D3360" s="3">
        <v>5.0</v>
      </c>
    </row>
    <row r="3361" ht="15.75" customHeight="1">
      <c r="A3361" s="1">
        <v>3601.0</v>
      </c>
      <c r="B3361" s="3" t="s">
        <v>3236</v>
      </c>
      <c r="C3361" s="3" t="str">
        <f>IFERROR(__xludf.DUMMYFUNCTION("GOOGLETRANSLATE(B3361,""id"",""en"")"),"['SMS', 'notification', 'walo', 'buy', 'package', 'annoying']")</f>
        <v>['SMS', 'notification', 'walo', 'buy', 'package', 'annoying']</v>
      </c>
      <c r="D3361" s="3">
        <v>2.0</v>
      </c>
    </row>
    <row r="3362" ht="15.75" customHeight="1">
      <c r="A3362" s="1">
        <v>3602.0</v>
      </c>
      <c r="B3362" s="3" t="s">
        <v>3237</v>
      </c>
      <c r="C3362" s="3" t="str">
        <f>IFERROR(__xludf.DUMMYFUNCTION("GOOGLETRANSLATE(B3362,""id"",""en"")"),"['Open', 'App', 'Enter', 'App']")</f>
        <v>['Open', 'App', 'Enter', 'App']</v>
      </c>
      <c r="D3362" s="3">
        <v>1.0</v>
      </c>
    </row>
    <row r="3363" ht="15.75" customHeight="1">
      <c r="A3363" s="1">
        <v>3603.0</v>
      </c>
      <c r="B3363" s="3" t="s">
        <v>3238</v>
      </c>
      <c r="C3363" s="3" t="str">
        <f>IFERROR(__xludf.DUMMYFUNCTION("GOOGLETRANSLATE(B3363,""id"",""en"")"),"['Telkomsel', 'taik', 'already', 'expensive', 'slow', 'safety', 'pulses',' pulse ',' cave ',' sumps', 'fix', 'woy', ' Mentang ',' Mentang ',' Pakek ', ""]")</f>
        <v>['Telkomsel', 'taik', 'already', 'expensive', 'slow', 'safety', 'pulses',' pulse ',' cave ',' sumps', 'fix', 'woy', ' Mentang ',' Mentang ',' Pakek ', "]</v>
      </c>
      <c r="D3363" s="3">
        <v>1.0</v>
      </c>
    </row>
    <row r="3364" ht="15.75" customHeight="1">
      <c r="A3364" s="1">
        <v>3604.0</v>
      </c>
      <c r="B3364" s="3" t="s">
        <v>3239</v>
      </c>
      <c r="C3364" s="3" t="str">
        <f>IFERROR(__xludf.DUMMYFUNCTION("GOOGLETRANSLATE(B3364,""id"",""en"")"),"['Simple', 'Easy', 'Variation', 'Package', 'Credit', 'Can', 'Select', 'understood', 'Expert', ""]")</f>
        <v>['Simple', 'Easy', 'Variation', 'Package', 'Credit', 'Can', 'Select', 'understood', 'Expert', "]</v>
      </c>
      <c r="D3364" s="3">
        <v>5.0</v>
      </c>
    </row>
    <row r="3365" ht="15.75" customHeight="1">
      <c r="A3365" s="1">
        <v>3605.0</v>
      </c>
      <c r="B3365" s="3" t="s">
        <v>3240</v>
      </c>
      <c r="C3365" s="3" t="str">
        <f>IFERROR(__xludf.DUMMYFUNCTION("GOOGLETRANSLATE(B3365,""id"",""en"")"),"['pulse', 'lost']")</f>
        <v>['pulse', 'lost']</v>
      </c>
      <c r="D3365" s="3">
        <v>2.0</v>
      </c>
    </row>
    <row r="3366" ht="15.75" customHeight="1">
      <c r="A3366" s="1">
        <v>3606.0</v>
      </c>
      <c r="B3366" s="3" t="s">
        <v>3241</v>
      </c>
      <c r="C3366" s="3" t="str">
        <f>IFERROR(__xludf.DUMMYFUNCTION("GOOGLETRANSLATE(B3366,""id"",""en"")"),"['Telkomsel', 'slow', 'GB', 'already', 'signal', 'good', 'Please', 'Sorry', 'Update', ""]")</f>
        <v>['Telkomsel', 'slow', 'GB', 'already', 'signal', 'good', 'Please', 'Sorry', 'Update', "]</v>
      </c>
      <c r="D3366" s="3">
        <v>2.0</v>
      </c>
    </row>
    <row r="3367" ht="15.75" customHeight="1">
      <c r="A3367" s="1">
        <v>3607.0</v>
      </c>
      <c r="B3367" s="3" t="s">
        <v>3242</v>
      </c>
      <c r="C3367" s="3" t="str">
        <f>IFERROR(__xludf.DUMMYFUNCTION("GOOGLETRANSLATE(B3367,""id"",""en"")"),"['Please', 'Apply', 'Application', 'Upset', 'Ngecewain', 'In the future', 'heart', 'dirty', 'thank', 'love', 'for him', 'for him']")</f>
        <v>['Please', 'Apply', 'Application', 'Upset', 'Ngecewain', 'In the future', 'heart', 'dirty', 'thank', 'love', 'for him', 'for him']</v>
      </c>
      <c r="D3367" s="3">
        <v>5.0</v>
      </c>
    </row>
    <row r="3368" ht="15.75" customHeight="1">
      <c r="A3368" s="1">
        <v>3608.0</v>
      </c>
      <c r="B3368" s="3" t="s">
        <v>3243</v>
      </c>
      <c r="C3368" s="3" t="str">
        <f>IFERROR(__xludf.DUMMYFUNCTION("GOOGLETRANSLATE(B3368,""id"",""en"")"),"['Sagat', 'Helpful', 'sdmua', 'transaction', 'Telkomsel']")</f>
        <v>['Sagat', 'Helpful', 'sdmua', 'transaction', 'Telkomsel']</v>
      </c>
      <c r="D3368" s="3">
        <v>4.0</v>
      </c>
    </row>
    <row r="3369" ht="15.75" customHeight="1">
      <c r="A3369" s="1">
        <v>3609.0</v>
      </c>
      <c r="B3369" s="3" t="s">
        <v>3244</v>
      </c>
      <c r="C3369" s="3" t="str">
        <f>IFERROR(__xludf.DUMMYFUNCTION("GOOGLETRANSLATE(B3369,""id"",""en"")"),"['', 'Telkomsel', 'easy', 'transact', 'hope', 'promo', 'package', 'internet', 'cheap', 'network', 'strong', 'slow']")</f>
        <v>['', 'Telkomsel', 'easy', 'transact', 'hope', 'promo', 'package', 'internet', 'cheap', 'network', 'strong', 'slow']</v>
      </c>
      <c r="D3369" s="3">
        <v>5.0</v>
      </c>
    </row>
    <row r="3370" ht="15.75" customHeight="1">
      <c r="A3370" s="1">
        <v>3610.0</v>
      </c>
      <c r="B3370" s="3" t="s">
        <v>3245</v>
      </c>
      <c r="C3370" s="3" t="str">
        <f>IFERROR(__xludf.DUMMYFUNCTION("GOOGLETRANSLATE(B3370,""id"",""en"")"),"['Trouble', '']")</f>
        <v>['Trouble', '']</v>
      </c>
      <c r="D3370" s="3">
        <v>5.0</v>
      </c>
    </row>
    <row r="3371" ht="15.75" customHeight="1">
      <c r="A3371" s="1">
        <v>3611.0</v>
      </c>
      <c r="B3371" s="3" t="s">
        <v>642</v>
      </c>
      <c r="C3371" s="3" t="str">
        <f>IFERROR(__xludf.DUMMYFUNCTION("GOOGLETRANSLATE(B3371,""id"",""en"")"),"['Network', 'ugly', 'package', 'expensive']")</f>
        <v>['Network', 'ugly', 'package', 'expensive']</v>
      </c>
      <c r="D3371" s="3">
        <v>1.0</v>
      </c>
    </row>
    <row r="3372" ht="15.75" customHeight="1">
      <c r="A3372" s="1">
        <v>3612.0</v>
      </c>
      <c r="B3372" s="3" t="s">
        <v>3246</v>
      </c>
      <c r="C3372" s="3" t="str">
        <f>IFERROR(__xludf.DUMMYFUNCTION("GOOGLETRANSLATE(B3372,""id"",""en"")"),"['down', 'open', 'google', 'etc.', 'package', 'package', 'cheap', 'right', 'pulse', 'turn', 'already', 'contents',' Lost ',' promo ',' package ',' cheap ',' gajelas', 'Please', 'repaired', 'enhanced', ""]")</f>
        <v>['down', 'open', 'google', 'etc.', 'package', 'package', 'cheap', 'right', 'pulse', 'turn', 'already', 'contents',' Lost ',' promo ',' package ',' cheap ',' gajelas', 'Please', 'repaired', 'enhanced', "]</v>
      </c>
      <c r="D3372" s="3">
        <v>2.0</v>
      </c>
    </row>
    <row r="3373" ht="15.75" customHeight="1">
      <c r="A3373" s="1">
        <v>3613.0</v>
      </c>
      <c r="B3373" s="3" t="s">
        <v>3247</v>
      </c>
      <c r="C3373" s="3" t="str">
        <f>IFERROR(__xludf.DUMMYFUNCTION("GOOGLETRANSLATE(B3373,""id"",""en"")"),"['Disappointed', 'pulse', 'missing', 'used', 'pulses', 'missing', '']")</f>
        <v>['Disappointed', 'pulse', 'missing', 'used', 'pulses', 'missing', '']</v>
      </c>
      <c r="D3373" s="3">
        <v>1.0</v>
      </c>
    </row>
    <row r="3374" ht="15.75" customHeight="1">
      <c r="A3374" s="1">
        <v>3614.0</v>
      </c>
      <c r="B3374" s="3" t="s">
        <v>3248</v>
      </c>
      <c r="C3374" s="3" t="str">
        <f>IFERROR(__xludf.DUMMYFUNCTION("GOOGLETRANSLATE(B3374,""id"",""en"")"),"['Cook', 'Helpful', 'Help']")</f>
        <v>['Cook', 'Helpful', 'Help']</v>
      </c>
      <c r="D3374" s="3">
        <v>5.0</v>
      </c>
    </row>
    <row r="3375" ht="15.75" customHeight="1">
      <c r="A3375" s="1">
        <v>3615.0</v>
      </c>
      <c r="B3375" s="3" t="s">
        <v>3249</v>
      </c>
      <c r="C3375" s="3" t="str">
        <f>IFERROR(__xludf.DUMMYFUNCTION("GOOGLETRANSLATE(B3375,""id"",""en"")"),"['Telkomsel', 'pork', 'Gblok', 'Asuu', 'Jaran', 'goat', 'signal', 'broken']")</f>
        <v>['Telkomsel', 'pork', 'Gblok', 'Asuu', 'Jaran', 'goat', 'signal', 'broken']</v>
      </c>
      <c r="D3375" s="3">
        <v>1.0</v>
      </c>
    </row>
    <row r="3376" ht="15.75" customHeight="1">
      <c r="A3376" s="1">
        <v>3617.0</v>
      </c>
      <c r="B3376" s="3" t="s">
        <v>3250</v>
      </c>
      <c r="C3376" s="3" t="str">
        <f>IFERROR(__xludf.DUMMYFUNCTION("GOOGLETRANSLATE(B3376,""id"",""en"")"),"['Bgus', 'makes it easy']")</f>
        <v>['Bgus', 'makes it easy']</v>
      </c>
      <c r="D3376" s="3">
        <v>5.0</v>
      </c>
    </row>
    <row r="3377" ht="15.75" customHeight="1">
      <c r="A3377" s="1">
        <v>3618.0</v>
      </c>
      <c r="B3377" s="3" t="s">
        <v>3251</v>
      </c>
      <c r="C3377" s="3" t="str">
        <f>IFERROR(__xludf.DUMMYFUNCTION("GOOGLETRANSLATE(B3377,""id"",""en"")"),"['APK', 'Help']")</f>
        <v>['APK', 'Help']</v>
      </c>
      <c r="D3377" s="3">
        <v>5.0</v>
      </c>
    </row>
    <row r="3378" ht="15.75" customHeight="1">
      <c r="A3378" s="1">
        <v>3619.0</v>
      </c>
      <c r="B3378" s="3" t="s">
        <v>3252</v>
      </c>
      <c r="C3378" s="3" t="str">
        <f>IFERROR(__xludf.DUMMYFUNCTION("GOOGLETRANSLATE(B3378,""id"",""en"")"),"['', 'Lotten', 'promo', 'free', 'quota']")</f>
        <v>['', 'Lotten', 'promo', 'free', 'quota']</v>
      </c>
      <c r="D3378" s="3">
        <v>4.0</v>
      </c>
    </row>
    <row r="3379" ht="15.75" customHeight="1">
      <c r="A3379" s="1">
        <v>3620.0</v>
      </c>
      <c r="B3379" s="3" t="s">
        <v>3253</v>
      </c>
      <c r="C3379" s="3" t="str">
        <f>IFERROR(__xludf.DUMMYFUNCTION("GOOGLETRANSLATE(B3379,""id"",""en"")"),"['application', 'Sometimes',' open ',' Uninstall ',' Install ',' reset ',' opened ',' run ',' normal ',' pitur ',' complete ',' easy ',' transacting ',' pulse ',' package ',' quota ',' internet ',' thank ',' love ',' ']")</f>
        <v>['application', 'Sometimes',' open ',' Uninstall ',' Install ',' reset ',' opened ',' run ',' normal ',' pitur ',' complete ',' easy ',' transacting ',' pulse ',' package ',' quota ',' internet ',' thank ',' love ',' ']</v>
      </c>
      <c r="D3379" s="3">
        <v>4.0</v>
      </c>
    </row>
    <row r="3380" ht="15.75" customHeight="1">
      <c r="A3380" s="1">
        <v>3621.0</v>
      </c>
      <c r="B3380" s="3" t="s">
        <v>3254</v>
      </c>
      <c r="C3380" s="3" t="str">
        <f>IFERROR(__xludf.DUMMYFUNCTION("GOOGLETRANSLATE(B3380,""id"",""en"")"),"['Useful', 'Easy', 'Information', 'Purchase', 'Package', 'Bill']")</f>
        <v>['Useful', 'Easy', 'Information', 'Purchase', 'Package', 'Bill']</v>
      </c>
      <c r="D3380" s="3">
        <v>5.0</v>
      </c>
    </row>
    <row r="3381" ht="15.75" customHeight="1">
      <c r="A3381" s="1">
        <v>3623.0</v>
      </c>
      <c r="B3381" s="3" t="s">
        <v>1268</v>
      </c>
      <c r="C3381" s="3" t="str">
        <f>IFERROR(__xludf.DUMMYFUNCTION("GOOGLETRANSLATE(B3381,""id"",""en"")"),"['Success', 'Telkomsel']")</f>
        <v>['Success', 'Telkomsel']</v>
      </c>
      <c r="D3381" s="3">
        <v>5.0</v>
      </c>
    </row>
    <row r="3382" ht="15.75" customHeight="1">
      <c r="A3382" s="1">
        <v>3624.0</v>
      </c>
      <c r="B3382" s="3" t="s">
        <v>3255</v>
      </c>
      <c r="C3382" s="3" t="str">
        <f>IFERROR(__xludf.DUMMYFUNCTION("GOOGLETRANSLATE(B3382,""id"",""en"")"),"['Good', 'Apparate', '']")</f>
        <v>['Good', 'Apparate', '']</v>
      </c>
      <c r="D3382" s="3">
        <v>5.0</v>
      </c>
    </row>
    <row r="3383" ht="15.75" customHeight="1">
      <c r="A3383" s="1">
        <v>3625.0</v>
      </c>
      <c r="B3383" s="3" t="s">
        <v>3256</v>
      </c>
      <c r="C3383" s="3" t="str">
        <f>IFERROR(__xludf.DUMMYFUNCTION("GOOGLETRANSLATE(B3383,""id"",""en"")"),"['ugly', 'network', 'pdhl', 'expensive', 'please', 'fix', 'pity', 'udh', 'loyal', 'dri', 'dlu', 'pke', ' Telkomsel ',' activated ',' data ',' credit ',' UDH ',' ilang ',' in ',' bbrp ',' second ',' parahhhhhhhhhhhhhhhhhhhhhhhhhhhhhhhhhhhhhhhhhhhhhhhhhhhhh"&amp;"hhhhhhhhhhhhhhhhhhhhhhhhhhhhhhhhhhhhhhhhhhhhhhhhhhhhh")</f>
        <v>['ugly', 'network', 'pdhl', 'expensive', 'please', 'fix', 'pity', 'udh', 'loyal', 'dri', 'dlu', 'pke', ' Telkomsel ',' activated ',' data ',' credit ',' UDH ',' ilang ',' in ',' bbrp ',' second ',' parahhhhhhhhhhhhhhhhhhhhhhhhhhhhhhhhhhhhhhhhhhhhhhhhhhhhhhhhhhhhhhhhhhhhhhhhhhhhhhhhhhhhhhhhhhhhhhhhhhhhhhhhhh</v>
      </c>
      <c r="D3383" s="3">
        <v>1.0</v>
      </c>
    </row>
    <row r="3384" ht="15.75" customHeight="1">
      <c r="A3384" s="1">
        <v>3626.0</v>
      </c>
      <c r="B3384" s="3" t="s">
        <v>3257</v>
      </c>
      <c r="C3384" s="3" t="str">
        <f>IFERROR(__xludf.DUMMYFUNCTION("GOOGLETRANSLATE(B3384,""id"",""en"")"),"['aged', 'luck']")</f>
        <v>['aged', 'luck']</v>
      </c>
      <c r="D3384" s="3">
        <v>5.0</v>
      </c>
    </row>
    <row r="3385" ht="15.75" customHeight="1">
      <c r="A3385" s="1">
        <v>3627.0</v>
      </c>
      <c r="B3385" s="3" t="s">
        <v>3258</v>
      </c>
      <c r="C3385" s="3" t="str">
        <f>IFERROR(__xludf.DUMMYFUNCTION("GOOGLETRANSLATE(B3385,""id"",""en"")"),"['Good', 'informative']")</f>
        <v>['Good', 'informative']</v>
      </c>
      <c r="D3385" s="3">
        <v>5.0</v>
      </c>
    </row>
    <row r="3386" ht="15.75" customHeight="1">
      <c r="A3386" s="1">
        <v>3628.0</v>
      </c>
      <c r="B3386" s="3" t="s">
        <v>3259</v>
      </c>
      <c r="C3386" s="3" t="str">
        <f>IFERROR(__xludf.DUMMYFUNCTION("GOOGLETRANSLATE(B3386,""id"",""en"")"),"['Newbie', 'use it', 'Telkomsel']")</f>
        <v>['Newbie', 'use it', 'Telkomsel']</v>
      </c>
      <c r="D3386" s="3">
        <v>5.0</v>
      </c>
    </row>
    <row r="3387" ht="15.75" customHeight="1">
      <c r="A3387" s="1">
        <v>3629.0</v>
      </c>
      <c r="B3387" s="3" t="s">
        <v>3260</v>
      </c>
      <c r="C3387" s="3" t="str">
        <f>IFERROR(__xludf.DUMMYFUNCTION("GOOGLETRANSLATE(B3387,""id"",""en"")"),"['Star', 'Bebrapa', 'lag', 'smooth', 'network']")</f>
        <v>['Star', 'Bebrapa', 'lag', 'smooth', 'network']</v>
      </c>
      <c r="D3387" s="3">
        <v>2.0</v>
      </c>
    </row>
    <row r="3388" ht="15.75" customHeight="1">
      <c r="A3388" s="1">
        <v>3630.0</v>
      </c>
      <c r="B3388" s="3" t="s">
        <v>3261</v>
      </c>
      <c r="C3388" s="3" t="str">
        <f>IFERROR(__xludf.DUMMYFUNCTION("GOOGLETRANSLATE(B3388,""id"",""en"")"),"['continue', 'love', 'promotion', 'package', 'cheap', 'GB', 'thousand', 'hope', 'useful', 'hope', 'Aamiin', ' YRA ',' Thank you ']")</f>
        <v>['continue', 'love', 'promotion', 'package', 'cheap', 'GB', 'thousand', 'hope', 'useful', 'hope', 'Aamiin', ' YRA ',' Thank you ']</v>
      </c>
      <c r="D3388" s="3">
        <v>5.0</v>
      </c>
    </row>
    <row r="3389" ht="15.75" customHeight="1">
      <c r="A3389" s="1">
        <v>3631.0</v>
      </c>
      <c r="B3389" s="3" t="s">
        <v>3262</v>
      </c>
      <c r="C3389" s="3" t="str">
        <f>IFERROR(__xludf.DUMMYFUNCTION("GOOGLETRANSLATE(B3389,""id"",""en"")"),"['taking', 'prizes', 'daily', 'cut', 'credit', 'Telkomsel', 'cut', 'leftover', 'pulses']")</f>
        <v>['taking', 'prizes', 'daily', 'cut', 'credit', 'Telkomsel', 'cut', 'leftover', 'pulses']</v>
      </c>
      <c r="D3389" s="3">
        <v>1.0</v>
      </c>
    </row>
    <row r="3390" ht="15.75" customHeight="1">
      <c r="A3390" s="1">
        <v>3632.0</v>
      </c>
      <c r="B3390" s="3" t="s">
        <v>3263</v>
      </c>
      <c r="C3390" s="3" t="str">
        <f>IFERROR(__xludf.DUMMYFUNCTION("GOOGLETRANSLATE(B3390,""id"",""en"")"),"['Telkomsel', 'anjeng', 'signal', 'kek', 'dick', 'pig', 'please', 'fix']")</f>
        <v>['Telkomsel', 'anjeng', 'signal', 'kek', 'dick', 'pig', 'please', 'fix']</v>
      </c>
      <c r="D3390" s="3">
        <v>1.0</v>
      </c>
    </row>
    <row r="3391" ht="15.75" customHeight="1">
      <c r="A3391" s="1">
        <v>3633.0</v>
      </c>
      <c r="B3391" s="3" t="s">
        <v>3264</v>
      </c>
      <c r="C3391" s="3" t="str">
        <f>IFERROR(__xludf.DUMMYFUNCTION("GOOGLETRANSLATE(B3391,""id"",""en"")"),"['Please', 'Lower', 'Price', 'Package', 'Night', 'Use', 'Rp', 'GB', 'Rp', 'Drain', 'Wallet', 'Price', ' Please, 'Lower', 'War', 'Consumers', 'Comfortable', 'Wear', 'Telkomsel', 'Take', 'Untung', ""]")</f>
        <v>['Please', 'Lower', 'Price', 'Package', 'Night', 'Use', 'Rp', 'GB', 'Rp', 'Drain', 'Wallet', 'Price', ' Please, 'Lower', 'War', 'Consumers', 'Comfortable', 'Wear', 'Telkomsel', 'Take', 'Untung', "]</v>
      </c>
      <c r="D3391" s="3">
        <v>3.0</v>
      </c>
    </row>
    <row r="3392" ht="15.75" customHeight="1">
      <c r="A3392" s="1">
        <v>3634.0</v>
      </c>
      <c r="B3392" s="3" t="s">
        <v>3265</v>
      </c>
      <c r="C3392" s="3" t="str">
        <f>IFERROR(__xludf.DUMMYFUNCTION("GOOGLETRANSLATE(B3392,""id"",""en"")"),"['complaint', 'told', 'please', 'Telkomsel', 'suck', 'credit', 'internet', 'call', 'sms',' pulse ',' stay ',' strange ',' checked ',' pulse ',' run out ',' because 'internet', 'network', 'greedy', 'wasteful', 'name', 'still', 'her sister', 'Telkomsel', 'j"&amp;"ust' , 'Jadiin', 'SIM', 'backup', 'just', 'gegara', 'network', 'greedy', 'suck', 'pulses', ""]")</f>
        <v>['complaint', 'told', 'please', 'Telkomsel', 'suck', 'credit', 'internet', 'call', 'sms',' pulse ',' stay ',' strange ',' checked ',' pulse ',' run out ',' because 'internet', 'network', 'greedy', 'wasteful', 'name', 'still', 'her sister', 'Telkomsel', 'just' , 'Jadiin', 'SIM', 'backup', 'just', 'gegara', 'network', 'greedy', 'suck', 'pulses', "]</v>
      </c>
      <c r="D3392" s="3">
        <v>1.0</v>
      </c>
    </row>
    <row r="3393" ht="15.75" customHeight="1">
      <c r="A3393" s="1">
        <v>3635.0</v>
      </c>
      <c r="B3393" s="3" t="s">
        <v>3266</v>
      </c>
      <c r="C3393" s="3" t="str">
        <f>IFERROR(__xludf.DUMMYFUNCTION("GOOGLETRANSLATE(B3393,""id"",""en"")"),"['Save', 'Smart', 'Simple']")</f>
        <v>['Save', 'Smart', 'Simple']</v>
      </c>
      <c r="D3393" s="3">
        <v>5.0</v>
      </c>
    </row>
    <row r="3394" ht="15.75" customHeight="1">
      <c r="A3394" s="1">
        <v>3636.0</v>
      </c>
      <c r="B3394" s="3" t="s">
        <v>3267</v>
      </c>
      <c r="C3394" s="3" t="str">
        <f>IFERROR(__xludf.DUMMYFUNCTION("GOOGLETRANSLATE(B3394,""id"",""en"")"),"['Please', 'Enhanced', 'Submission', 'Information', 'Promo', 'Updated', 'Response', 'Fast', 'Consistency', 'Complete', 'Finish', 'Constraints',' thank you', '']")</f>
        <v>['Please', 'Enhanced', 'Submission', 'Information', 'Promo', 'Updated', 'Response', 'Fast', 'Consistency', 'Complete', 'Finish', 'Constraints',' thank you', '']</v>
      </c>
      <c r="D3394" s="3">
        <v>4.0</v>
      </c>
    </row>
    <row r="3395" ht="15.75" customHeight="1">
      <c r="A3395" s="1">
        <v>3637.0</v>
      </c>
      <c r="B3395" s="3" t="s">
        <v>3268</v>
      </c>
      <c r="C3395" s="3" t="str">
        <f>IFERROR(__xludf.DUMMYFUNCTION("GOOGLETRANSLATE(B3395,""id"",""en"")"),"['information', '']")</f>
        <v>['information', '']</v>
      </c>
      <c r="D3395" s="3">
        <v>4.0</v>
      </c>
    </row>
    <row r="3396" ht="15.75" customHeight="1">
      <c r="A3396" s="1">
        <v>3638.0</v>
      </c>
      <c r="B3396" s="3" t="s">
        <v>3269</v>
      </c>
      <c r="C3396" s="3" t="str">
        <f>IFERROR(__xludf.DUMMYFUNCTION("GOOGLETRANSLATE(B3396,""id"",""en"")"),"['service', 'Telkomsel', 'great', 'deh', 'staple']")</f>
        <v>['service', 'Telkomsel', 'great', 'deh', 'staple']</v>
      </c>
      <c r="D3396" s="3">
        <v>5.0</v>
      </c>
    </row>
    <row r="3397" ht="15.75" customHeight="1">
      <c r="A3397" s="1">
        <v>3639.0</v>
      </c>
      <c r="B3397" s="3" t="s">
        <v>2299</v>
      </c>
      <c r="C3397" s="3" t="str">
        <f>IFERROR(__xludf.DUMMYFUNCTION("GOOGLETRANSLATE(B3397,""id"",""en"")"),"['Application', 'Help']")</f>
        <v>['Application', 'Help']</v>
      </c>
      <c r="D3397" s="3">
        <v>5.0</v>
      </c>
    </row>
    <row r="3398" ht="15.75" customHeight="1">
      <c r="A3398" s="1">
        <v>3640.0</v>
      </c>
      <c r="B3398" s="3" t="s">
        <v>3270</v>
      </c>
      <c r="C3398" s="3" t="str">
        <f>IFERROR(__xludf.DUMMYFUNCTION("GOOGLETRANSLATE(B3398,""id"",""en"")"),"['Network', 'Lakok', 'Plus']")</f>
        <v>['Network', 'Lakok', 'Plus']</v>
      </c>
      <c r="D3398" s="3">
        <v>3.0</v>
      </c>
    </row>
    <row r="3399" ht="15.75" customHeight="1">
      <c r="A3399" s="1">
        <v>3641.0</v>
      </c>
      <c r="B3399" s="3" t="s">
        <v>3271</v>
      </c>
      <c r="C3399" s="3" t="str">
        <f>IFERROR(__xludf.DUMMYFUNCTION("GOOGLETRANSLATE(B3399,""id"",""en"")"),"['buy', 'package', 'cheap', 'easy', 'just', 'network', 'feature', 'lock', 'pulse', 'pulse', 'safe', 'no', ' Rich ',' Operator ',' Next ']")</f>
        <v>['buy', 'package', 'cheap', 'easy', 'just', 'network', 'feature', 'lock', 'pulse', 'pulse', 'safe', 'no', ' Rich ',' Operator ',' Next ']</v>
      </c>
      <c r="D3399" s="3">
        <v>1.0</v>
      </c>
    </row>
    <row r="3400" ht="15.75" customHeight="1">
      <c r="A3400" s="1">
        <v>3642.0</v>
      </c>
      <c r="B3400" s="3" t="s">
        <v>3272</v>
      </c>
      <c r="C3400" s="3" t="str">
        <f>IFERROR(__xludf.DUMMYFUNCTION("GOOGLETRANSLATE(B3400,""id"",""en"")"),"['Display', 'Bagusan']")</f>
        <v>['Display', 'Bagusan']</v>
      </c>
      <c r="D3400" s="3">
        <v>4.0</v>
      </c>
    </row>
    <row r="3401" ht="15.75" customHeight="1">
      <c r="A3401" s="1">
        <v>3643.0</v>
      </c>
      <c r="B3401" s="3" t="s">
        <v>3273</v>
      </c>
      <c r="C3401" s="3" t="str">
        <f>IFERROR(__xludf.DUMMYFUNCTION("GOOGLETRANSLATE(B3401,""id"",""en"")"),"['Gift', 'unexpected']")</f>
        <v>['Gift', 'unexpected']</v>
      </c>
      <c r="D3401" s="3">
        <v>5.0</v>
      </c>
    </row>
    <row r="3402" ht="15.75" customHeight="1">
      <c r="A3402" s="1">
        <v>3644.0</v>
      </c>
      <c r="B3402" s="3" t="s">
        <v>3274</v>
      </c>
      <c r="C3402" s="3" t="str">
        <f>IFERROR(__xludf.DUMMYFUNCTION("GOOGLETRANSLATE(B3402,""id"",""en"")"),"['network', 'Telkomsel', 'bad', 'package', 'quota', 'expensive', 'quality', 'slow', 'disappointed', 'subscription', 'tens']")</f>
        <v>['network', 'Telkomsel', 'bad', 'package', 'quota', 'expensive', 'quality', 'slow', 'disappointed', 'subscription', 'tens']</v>
      </c>
      <c r="D3402" s="3">
        <v>1.0</v>
      </c>
    </row>
    <row r="3403" ht="15.75" customHeight="1">
      <c r="A3403" s="1">
        <v>3645.0</v>
      </c>
      <c r="B3403" s="3" t="s">
        <v>3275</v>
      </c>
      <c r="C3403" s="3" t="str">
        <f>IFERROR(__xludf.DUMMYFUNCTION("GOOGLETRANSLATE(B3403,""id"",""en"")"),"['steady', 'Cool', 'smooth', 'login', 'easy', 'lottery', 'car', 'Honda', 'Brio', 'Telkomsel', 'Points',' Min ',' Motor ',' GPP ',' Deh ',' Please ',' Anya ',' Aamiin ',' Yaa ',' Allah ', ""]")</f>
        <v>['steady', 'Cool', 'smooth', 'login', 'easy', 'lottery', 'car', 'Honda', 'Brio', 'Telkomsel', 'Points',' Min ',' Motor ',' GPP ',' Deh ',' Please ',' Anya ',' Aamiin ',' Yaa ',' Allah ', "]</v>
      </c>
      <c r="D3403" s="3">
        <v>5.0</v>
      </c>
    </row>
    <row r="3404" ht="15.75" customHeight="1">
      <c r="A3404" s="1">
        <v>3646.0</v>
      </c>
      <c r="B3404" s="3" t="s">
        <v>3276</v>
      </c>
      <c r="C3404" s="3" t="str">
        <f>IFERROR(__xludf.DUMMYFUNCTION("GOOGLETRANSLATE(B3404,""id"",""en"")"),"['Exchange', 'Points', 'Layi', 'Undi', 'Hepi', 'Points', 'Points', 'Swollen', 'Thumb']")</f>
        <v>['Exchange', 'Points', 'Layi', 'Undi', 'Hepi', 'Points', 'Points', 'Swollen', 'Thumb']</v>
      </c>
      <c r="D3404" s="3">
        <v>1.0</v>
      </c>
    </row>
    <row r="3405" ht="15.75" customHeight="1">
      <c r="A3405" s="1">
        <v>3647.0</v>
      </c>
      <c r="B3405" s="3" t="s">
        <v>3277</v>
      </c>
      <c r="C3405" s="3" t="str">
        <f>IFERROR(__xludf.DUMMYFUNCTION("GOOGLETRANSLATE(B3405,""id"",""en"")"),"['Delicious', 'APK', 'Ribet', 'Good']")</f>
        <v>['Delicious', 'APK', 'Ribet', 'Good']</v>
      </c>
      <c r="D3405" s="3">
        <v>5.0</v>
      </c>
    </row>
    <row r="3406" ht="15.75" customHeight="1">
      <c r="A3406" s="1">
        <v>3648.0</v>
      </c>
      <c r="B3406" s="3" t="s">
        <v>3278</v>
      </c>
      <c r="C3406" s="3" t="str">
        <f>IFERROR(__xludf.DUMMYFUNCTION("GOOGLETRANSLATE(B3406,""id"",""en"")"),"['application', 'run', 'slow', 'load', 'data', 'customer', 'cellphone', 'processor', 'core', 'ram', 'impact', 'connecting', ' Internet ',' slow ',' ROM ',' cellphone ',' full ',' application ',' burden ',' system ',' RAM ',' cellphone ',' hope ',' version"&amp;" ',' light ' , 'Nimble', 'Loading', 'Data', 'Customer', 'Cellphone', 'Specifications', 'Low', '']")</f>
        <v>['application', 'run', 'slow', 'load', 'data', 'customer', 'cellphone', 'processor', 'core', 'ram', 'impact', 'connecting', ' Internet ',' slow ',' ROM ',' cellphone ',' full ',' application ',' burden ',' system ',' RAM ',' cellphone ',' hope ',' version ',' light ' , 'Nimble', 'Loading', 'Data', 'Customer', 'Cellphone', 'Specifications', 'Low', '']</v>
      </c>
      <c r="D3406" s="3">
        <v>2.0</v>
      </c>
    </row>
    <row r="3407" ht="15.75" customHeight="1">
      <c r="A3407" s="1">
        <v>3649.0</v>
      </c>
      <c r="B3407" s="3" t="s">
        <v>3279</v>
      </c>
      <c r="C3407" s="3" t="str">
        <f>IFERROR(__xludf.DUMMYFUNCTION("GOOGLETRANSLATE(B3407,""id"",""en"")"),"['Credit', 'truncated', 'multiples',' Sometimes', 'check', 'History', 'transaction', 'printed', 'use', 'late', 'kb', 'use', ' Paketan ',' monthly ',' pulses', 'caught', 'pulse', 'found out', '']")</f>
        <v>['Credit', 'truncated', 'multiples',' Sometimes', 'check', 'History', 'transaction', 'printed', 'use', 'late', 'kb', 'use', ' Paketan ',' monthly ',' pulses', 'caught', 'pulse', 'found out', '']</v>
      </c>
      <c r="D3407" s="3">
        <v>4.0</v>
      </c>
    </row>
    <row r="3408" ht="15.75" customHeight="1">
      <c r="A3408" s="1">
        <v>3650.0</v>
      </c>
      <c r="B3408" s="3" t="s">
        <v>3280</v>
      </c>
      <c r="C3408" s="3" t="str">
        <f>IFERROR(__xludf.DUMMYFUNCTION("GOOGLETRANSLATE(B3408,""id"",""en"")"),"['Out', 'thought', 'sympathy', 'contents',' blm ',' use ',' package ',' data ',' already ',' stuff ',' severe ',' already ',' blessings', 'motit', 'stop', 'difficult', '']")</f>
        <v>['Out', 'thought', 'sympathy', 'contents',' blm ',' use ',' package ',' data ',' already ',' stuff ',' severe ',' already ',' blessings', 'motit', 'stop', 'difficult', '']</v>
      </c>
      <c r="D3408" s="3">
        <v>1.0</v>
      </c>
    </row>
    <row r="3409" ht="15.75" customHeight="1">
      <c r="A3409" s="1">
        <v>3651.0</v>
      </c>
      <c r="B3409" s="3" t="s">
        <v>3281</v>
      </c>
      <c r="C3409" s="3" t="str">
        <f>IFERROR(__xludf.DUMMYFUNCTION("GOOGLETRANSLATE(B3409,""id"",""en"")"),"['Useful', 'promo', 'application', 'Telkomsel']")</f>
        <v>['Useful', 'promo', 'application', 'Telkomsel']</v>
      </c>
      <c r="D3409" s="3">
        <v>5.0</v>
      </c>
    </row>
    <row r="3410" ht="15.75" customHeight="1">
      <c r="A3410" s="1">
        <v>3652.0</v>
      </c>
      <c r="B3410" s="3" t="s">
        <v>3282</v>
      </c>
      <c r="C3410" s="3" t="str">
        <f>IFERROR(__xludf.DUMMYFUNCTION("GOOGLETRANSLATE(B3410,""id"",""en"")"),"['Claim', 'Bonus', 'Login', 'The reason', 'limit', 'Exchange', 'Telkom', 'Error', ""]")</f>
        <v>['Claim', 'Bonus', 'Login', 'The reason', 'limit', 'Exchange', 'Telkom', 'Error', "]</v>
      </c>
      <c r="D3410" s="3">
        <v>1.0</v>
      </c>
    </row>
    <row r="3411" ht="15.75" customHeight="1">
      <c r="A3411" s="1">
        <v>3653.0</v>
      </c>
      <c r="B3411" s="3" t="s">
        <v>2445</v>
      </c>
      <c r="C3411" s="3" t="str">
        <f>IFERROR(__xludf.DUMMYFUNCTION("GOOGLETRANSLATE(B3411,""id"",""en"")"),"['beneficial']")</f>
        <v>['beneficial']</v>
      </c>
      <c r="D3411" s="3">
        <v>2.0</v>
      </c>
    </row>
    <row r="3412" ht="15.75" customHeight="1">
      <c r="A3412" s="1">
        <v>3654.0</v>
      </c>
      <c r="B3412" s="3" t="s">
        <v>3283</v>
      </c>
      <c r="C3412" s="3" t="str">
        <f>IFERROR(__xludf.DUMMYFUNCTION("GOOGLETRANSLATE(B3412,""id"",""en"")"),"['family', 'network', 'Telkom', 'celluler', 'because', 'ciknal', 'clear']")</f>
        <v>['family', 'network', 'Telkom', 'celluler', 'because', 'ciknal', 'clear']</v>
      </c>
      <c r="D3412" s="3">
        <v>5.0</v>
      </c>
    </row>
    <row r="3413" ht="15.75" customHeight="1">
      <c r="A3413" s="1">
        <v>3655.0</v>
      </c>
      <c r="B3413" s="3" t="s">
        <v>3284</v>
      </c>
      <c r="C3413" s="3" t="str">
        <f>IFERROR(__xludf.DUMMYFUNCTION("GOOGLETRANSLATE(B3413,""id"",""en"")"),"['Please', 'Quality', 'Repaired', 'Knp', 'Quality', 'The Network', 'Provider', 'Amateurism', 'Customer', 'Buy', 'Pakek', 'Money', ' debt ',' knp ',' the network ',' slow ']")</f>
        <v>['Please', 'Quality', 'Repaired', 'Knp', 'Quality', 'The Network', 'Provider', 'Amateurism', 'Customer', 'Buy', 'Pakek', 'Money', ' debt ',' knp ',' the network ',' slow ']</v>
      </c>
      <c r="D3413" s="3">
        <v>1.0</v>
      </c>
    </row>
    <row r="3414" ht="15.75" customHeight="1">
      <c r="A3414" s="1">
        <v>3656.0</v>
      </c>
      <c r="B3414" s="3" t="s">
        <v>3285</v>
      </c>
      <c r="C3414" s="3" t="str">
        <f>IFERROR(__xludf.DUMMYFUNCTION("GOOGLETRANSLATE(B3414,""id"",""en"")"),"['promo', 'package', 'internet', 'okay', 'gift', 'check', 'border', 'blank']")</f>
        <v>['promo', 'package', 'internet', 'okay', 'gift', 'check', 'border', 'blank']</v>
      </c>
      <c r="D3414" s="3">
        <v>1.0</v>
      </c>
    </row>
    <row r="3415" ht="15.75" customHeight="1">
      <c r="A3415" s="1">
        <v>3658.0</v>
      </c>
      <c r="B3415" s="3" t="s">
        <v>3286</v>
      </c>
      <c r="C3415" s="3" t="str">
        <f>IFERROR(__xludf.DUMMYFUNCTION("GOOGLETRANSLATE(B3415,""id"",""en"")"),"['signal', 'steady', 'stable', 'Unfortunately', 'right', 'dead', 'lights', 'signal', 'disappear', ""]")</f>
        <v>['signal', 'steady', 'stable', 'Unfortunately', 'right', 'dead', 'lights', 'signal', 'disappear', "]</v>
      </c>
      <c r="D3415" s="3">
        <v>5.0</v>
      </c>
    </row>
    <row r="3416" ht="15.75" customHeight="1">
      <c r="A3416" s="1">
        <v>3659.0</v>
      </c>
      <c r="B3416" s="3" t="s">
        <v>3287</v>
      </c>
      <c r="C3416" s="3" t="str">
        <f>IFERROR(__xludf.DUMMYFUNCTION("GOOGLETRANSLATE(B3416,""id"",""en"")"),"['Login', 'stable', 'difficult']")</f>
        <v>['Login', 'stable', 'difficult']</v>
      </c>
      <c r="D3416" s="3">
        <v>3.0</v>
      </c>
    </row>
    <row r="3417" ht="15.75" customHeight="1">
      <c r="A3417" s="1">
        <v>3660.0</v>
      </c>
      <c r="B3417" s="3" t="s">
        <v>3288</v>
      </c>
      <c r="C3417" s="3" t="str">
        <f>IFERROR(__xludf.DUMMYFUNCTION("GOOGLETRANSLATE(B3417,""id"",""en"")"),"['Not bad', 'easy', 'transaction']")</f>
        <v>['Not bad', 'easy', 'transaction']</v>
      </c>
      <c r="D3417" s="3">
        <v>5.0</v>
      </c>
    </row>
    <row r="3418" ht="15.75" customHeight="1">
      <c r="A3418" s="1">
        <v>3661.0</v>
      </c>
      <c r="B3418" s="3" t="s">
        <v>3289</v>
      </c>
      <c r="C3418" s="3" t="str">
        <f>IFERROR(__xludf.DUMMYFUNCTION("GOOGLETRANSLATE(B3418,""id"",""en"")"),"['number', 'promo', 'package', 'internet', 'expensive', 'package', 'internet']")</f>
        <v>['number', 'promo', 'package', 'internet', 'expensive', 'package', 'internet']</v>
      </c>
      <c r="D3418" s="3">
        <v>1.0</v>
      </c>
    </row>
    <row r="3419" ht="15.75" customHeight="1">
      <c r="A3419" s="1">
        <v>3662.0</v>
      </c>
      <c r="B3419" s="3" t="s">
        <v>145</v>
      </c>
      <c r="C3419" s="3" t="str">
        <f>IFERROR(__xludf.DUMMYFUNCTION("GOOGLETRANSLATE(B3419,""id"",""en"")"),"['Steady', 'help', ""]")</f>
        <v>['Steady', 'help', "]</v>
      </c>
      <c r="D3419" s="3">
        <v>5.0</v>
      </c>
    </row>
    <row r="3420" ht="15.75" customHeight="1">
      <c r="A3420" s="1">
        <v>3663.0</v>
      </c>
      <c r="B3420" s="3" t="s">
        <v>3290</v>
      </c>
      <c r="C3420" s="3" t="str">
        <f>IFERROR(__xludf.DUMMYFUNCTION("GOOGLETRANSLATE(B3420,""id"",""en"")"),"['User', 'Loss', 'Network', 'deteriorated', 'quota', 'unlimited', 'used', 'Telkomsel', 'bankrupt', ""]")</f>
        <v>['User', 'Loss', 'Network', 'deteriorated', 'quota', 'unlimited', 'used', 'Telkomsel', 'bankrupt', "]</v>
      </c>
      <c r="D3420" s="3">
        <v>1.0</v>
      </c>
    </row>
    <row r="3421" ht="15.75" customHeight="1">
      <c r="A3421" s="1">
        <v>3664.0</v>
      </c>
      <c r="B3421" s="3" t="s">
        <v>3291</v>
      </c>
      <c r="C3421" s="3" t="str">
        <f>IFERROR(__xludf.DUMMYFUNCTION("GOOGLETRANSLATE(B3421,""id"",""en"")"),"['Registration', 'difficult', 'reply', 'sms']")</f>
        <v>['Registration', 'difficult', 'reply', 'sms']</v>
      </c>
      <c r="D3421" s="3">
        <v>1.0</v>
      </c>
    </row>
    <row r="3422" ht="15.75" customHeight="1">
      <c r="A3422" s="1">
        <v>3666.0</v>
      </c>
      <c r="B3422" s="3" t="s">
        <v>3292</v>
      </c>
      <c r="C3422" s="3" t="str">
        <f>IFERROR(__xludf.DUMMYFUNCTION("GOOGLETRANSLATE(B3422,""id"",""en"")"),"['price', 'package', 'comfort', 'use', 'comparable', 'price', 'package', 'expensive', 'connection', 'destroyed', 'losing', 'provider', ' Next to ',' Provider ',' Next to ',' Price ',' Package ',' Cheap ',' Connection ',' Good ',' Disappointed ',' Gue ',' "&amp;"Telkomsel ',' Greetings', 'Finger' ]")</f>
        <v>['price', 'package', 'comfort', 'use', 'comparable', 'price', 'package', 'expensive', 'connection', 'destroyed', 'losing', 'provider', ' Next to ',' Provider ',' Next to ',' Price ',' Package ',' Cheap ',' Connection ',' Good ',' Disappointed ',' Gue ',' Telkomsel ',' Greetings', 'Finger' ]</v>
      </c>
      <c r="D3422" s="3">
        <v>1.0</v>
      </c>
    </row>
    <row r="3423" ht="15.75" customHeight="1">
      <c r="A3423" s="1">
        <v>3667.0</v>
      </c>
      <c r="B3423" s="3" t="s">
        <v>3293</v>
      </c>
      <c r="C3423" s="3" t="str">
        <f>IFERROR(__xludf.DUMMYFUNCTION("GOOGLETRANSLATE(B3423,""id"",""en"")"),"['already', 'a week', 'signal', 'difficult', 'kmarin', 'contents',' quota ',' omg ',' GB ',' skarang ',' live ',' mb ',' No "", 'because', 'signal', 'difficult', 'please', 'repay', 'loss', 'klau', 'contents', 'already', 'abis', 'no', '']")</f>
        <v>['already', 'a week', 'signal', 'difficult', 'kmarin', 'contents',' quota ',' omg ',' GB ',' skarang ',' live ',' mb ',' No ", 'because', 'signal', 'difficult', 'please', 'repay', 'loss', 'klau', 'contents', 'already', 'abis', 'no', '']</v>
      </c>
      <c r="D3423" s="3">
        <v>1.0</v>
      </c>
    </row>
    <row r="3424" ht="15.75" customHeight="1">
      <c r="A3424" s="1">
        <v>3668.0</v>
      </c>
      <c r="B3424" s="3" t="s">
        <v>3294</v>
      </c>
      <c r="C3424" s="3" t="str">
        <f>IFERROR(__xludf.DUMMYFUNCTION("GOOGLETRANSLATE(B3424,""id"",""en"")"),"['The network', 'like', 'ngilance', 'like', 'disorder', 'signal']")</f>
        <v>['The network', 'like', 'ngilance', 'like', 'disorder', 'signal']</v>
      </c>
      <c r="D3424" s="3">
        <v>2.0</v>
      </c>
    </row>
    <row r="3425" ht="15.75" customHeight="1">
      <c r="A3425" s="1">
        <v>3669.0</v>
      </c>
      <c r="B3425" s="3" t="s">
        <v>3295</v>
      </c>
      <c r="C3425" s="3" t="str">
        <f>IFERROR(__xludf.DUMMYFUNCTION("GOOGLETRANSLATE(B3425,""id"",""en"")"),"['Good', 'sngat', 'help']")</f>
        <v>['Good', 'sngat', 'help']</v>
      </c>
      <c r="D3425" s="3">
        <v>4.0</v>
      </c>
    </row>
    <row r="3426" ht="15.75" customHeight="1">
      <c r="A3426" s="1">
        <v>3670.0</v>
      </c>
      <c r="B3426" s="3" t="s">
        <v>3296</v>
      </c>
      <c r="C3426" s="3" t="str">
        <f>IFERROR(__xludf.DUMMYFUNCTION("GOOGLETRANSLATE(B3426,""id"",""en"")"),"['Telkomsel', 'Smart', 'Good']")</f>
        <v>['Telkomsel', 'Smart', 'Good']</v>
      </c>
      <c r="D3426" s="3">
        <v>5.0</v>
      </c>
    </row>
    <row r="3427" ht="15.75" customHeight="1">
      <c r="A3427" s="1">
        <v>3671.0</v>
      </c>
      <c r="B3427" s="3" t="s">
        <v>3297</v>
      </c>
      <c r="C3427" s="3" t="str">
        <f>IFERROR(__xludf.DUMMYFUNCTION("GOOGLETRANSLATE(B3427,""id"",""en"")"),"['Points', 'Telkomsel', 'use', 'buy', 'Package', 'pulse', 'Mending', 'Gausah', 'Points', 'What's']")</f>
        <v>['Points', 'Telkomsel', 'use', 'buy', 'Package', 'pulse', 'Mending', 'Gausah', 'Points', 'What's']</v>
      </c>
      <c r="D3427" s="3">
        <v>1.0</v>
      </c>
    </row>
    <row r="3428" ht="15.75" customHeight="1">
      <c r="A3428" s="1">
        <v>3672.0</v>
      </c>
      <c r="B3428" s="3" t="s">
        <v>3298</v>
      </c>
      <c r="C3428" s="3" t="str">
        <f>IFERROR(__xludf.DUMMYFUNCTION("GOOGLETRANSLATE(B3428,""id"",""en"")"),"['MyTelkomsel', 'easy', 'fun']")</f>
        <v>['MyTelkomsel', 'easy', 'fun']</v>
      </c>
      <c r="D3428" s="3">
        <v>5.0</v>
      </c>
    </row>
    <row r="3429" ht="15.75" customHeight="1">
      <c r="A3429" s="1">
        <v>3673.0</v>
      </c>
      <c r="B3429" s="3" t="s">
        <v>3299</v>
      </c>
      <c r="C3429" s="3" t="str">
        <f>IFERROR(__xludf.DUMMYFUNCTION("GOOGLETRANSLATE(B3429,""id"",""en"")"),"['Points',' Helpful ',' Points', 'Exchange', 'Credit', 'Package', 'Quota', 'Costs',' Additional ',' Lottery ',' Prizes', 'Impossible', ' HHH ',' CMN ',' sweetener ',' sheer ',' ']")</f>
        <v>['Points',' Helpful ',' Points', 'Exchange', 'Credit', 'Package', 'Quota', 'Costs',' Additional ',' Lottery ',' Prizes', 'Impossible', ' HHH ',' CMN ',' sweetener ',' sheer ',' ']</v>
      </c>
      <c r="D3429" s="3">
        <v>1.0</v>
      </c>
    </row>
    <row r="3430" ht="15.75" customHeight="1">
      <c r="A3430" s="1">
        <v>3674.0</v>
      </c>
      <c r="B3430" s="3" t="s">
        <v>3300</v>
      </c>
      <c r="C3430" s="3" t="str">
        <f>IFERROR(__xludf.DUMMYFUNCTION("GOOGLETRANSLATE(B3430,""id"",""en"")"),"['Alright', 'Stay']")</f>
        <v>['Alright', 'Stay']</v>
      </c>
      <c r="D3430" s="3">
        <v>4.0</v>
      </c>
    </row>
    <row r="3431" ht="15.75" customHeight="1">
      <c r="A3431" s="1">
        <v>3675.0</v>
      </c>
      <c r="B3431" s="3" t="s">
        <v>3301</v>
      </c>
      <c r="C3431" s="3" t="str">
        <f>IFERROR(__xludf.DUMMYFUNCTION("GOOGLETRANSLATE(B3431,""id"",""en"")"),"['Cool', 'this makes', '']")</f>
        <v>['Cool', 'this makes', '']</v>
      </c>
      <c r="D3431" s="3">
        <v>5.0</v>
      </c>
    </row>
    <row r="3432" ht="15.75" customHeight="1">
      <c r="A3432" s="1">
        <v>3676.0</v>
      </c>
      <c r="B3432" s="3" t="s">
        <v>3302</v>
      </c>
      <c r="C3432" s="3" t="str">
        <f>IFERROR(__xludf.DUMMYFUNCTION("GOOGLETRANSLATE(B3432,""id"",""en"")"),"['info', 'official', 'anything', 'internet', 'product', 'application', 'easy']")</f>
        <v>['info', 'official', 'anything', 'internet', 'product', 'application', 'easy']</v>
      </c>
      <c r="D3432" s="3">
        <v>4.0</v>
      </c>
    </row>
    <row r="3433" ht="15.75" customHeight="1">
      <c r="A3433" s="1">
        <v>3677.0</v>
      </c>
      <c r="B3433" s="3" t="s">
        <v>3303</v>
      </c>
      <c r="C3433" s="3" t="str">
        <f>IFERROR(__xludf.DUMMYFUNCTION("GOOGLETRANSLATE(B3433,""id"",""en"")"),"['quota', 'missing', 'kayak', 'swallow', 'earth', '']")</f>
        <v>['quota', 'missing', 'kayak', 'swallow', 'earth', '']</v>
      </c>
      <c r="D3433" s="3">
        <v>1.0</v>
      </c>
    </row>
    <row r="3434" ht="15.75" customHeight="1">
      <c r="A3434" s="1">
        <v>3678.0</v>
      </c>
      <c r="B3434" s="3" t="s">
        <v>3304</v>
      </c>
      <c r="C3434" s="3" t="str">
        <f>IFERROR(__xludf.DUMMYFUNCTION("GOOGLETRANSLATE(B3434,""id"",""en"")"),"['Fix', 'Gga', 'lag']")</f>
        <v>['Fix', 'Gga', 'lag']</v>
      </c>
      <c r="D3434" s="3">
        <v>5.0</v>
      </c>
    </row>
    <row r="3435" ht="15.75" customHeight="1">
      <c r="A3435" s="1">
        <v>3679.0</v>
      </c>
      <c r="B3435" s="3" t="s">
        <v>3305</v>
      </c>
      <c r="C3435" s="3" t="str">
        <f>IFERROR(__xludf.DUMMYFUNCTION("GOOGLETRANSLATE(B3435,""id"",""en"")"),"['Satisfied', 'service', 'Telkomsel', 'please', 'package', 'card', 'please', 'reproduced', 'discount']")</f>
        <v>['Satisfied', 'service', 'Telkomsel', 'please', 'package', 'card', 'please', 'reproduced', 'discount']</v>
      </c>
      <c r="D3435" s="3">
        <v>5.0</v>
      </c>
    </row>
    <row r="3436" ht="15.75" customHeight="1">
      <c r="A3436" s="1">
        <v>3680.0</v>
      </c>
      <c r="B3436" s="3" t="s">
        <v>3306</v>
      </c>
      <c r="C3436" s="3" t="str">
        <f>IFERROR(__xludf.DUMMYFUNCTION("GOOGLETRANSLATE(B3436,""id"",""en"")"),"['Min', 'Android']")</f>
        <v>['Min', 'Android']</v>
      </c>
      <c r="D3436" s="3">
        <v>5.0</v>
      </c>
    </row>
    <row r="3437" ht="15.75" customHeight="1">
      <c r="A3437" s="1">
        <v>3681.0</v>
      </c>
      <c r="B3437" s="3" t="s">
        <v>3307</v>
      </c>
      <c r="C3437" s="3" t="str">
        <f>IFERROR(__xludf.DUMMYFUNCTION("GOOGLETRANSLATE(B3437,""id"",""en"")"),"['Thank you', 'Min', 'My APK', 'Sangat', 'Good']")</f>
        <v>['Thank you', 'Min', 'My APK', 'Sangat', 'Good']</v>
      </c>
      <c r="D3437" s="3">
        <v>5.0</v>
      </c>
    </row>
    <row r="3438" ht="15.75" customHeight="1">
      <c r="A3438" s="1">
        <v>3682.0</v>
      </c>
      <c r="B3438" s="3" t="s">
        <v>3308</v>
      </c>
      <c r="C3438" s="3" t="str">
        <f>IFERROR(__xludf.DUMMYFUNCTION("GOOGLETRANSLATE(B3438,""id"",""en"")"),"['card', 'postpaid', 'signal', 'ugly', 'missing', 'no', 'difference', 'card', 'prepaid', ""]")</f>
        <v>['card', 'postpaid', 'signal', 'ugly', 'missing', 'no', 'difference', 'card', 'prepaid', "]</v>
      </c>
      <c r="D3438" s="3">
        <v>1.0</v>
      </c>
    </row>
    <row r="3439" ht="15.75" customHeight="1">
      <c r="A3439" s="1">
        <v>3683.0</v>
      </c>
      <c r="B3439" s="3" t="s">
        <v>3309</v>
      </c>
      <c r="C3439" s="3" t="str">
        <f>IFERROR(__xludf.DUMMYFUNCTION("GOOGLETRANSLATE(B3439,""id"",""en"")"),"['Pay', 'package', 'night', 'run out', 'active', 'package', 'setlh', 'awaited', 'error', 'number', 'quitans',' rb ',' Paid ',' ']")</f>
        <v>['Pay', 'package', 'night', 'run out', 'active', 'package', 'setlh', 'awaited', 'error', 'number', 'quitans',' rb ',' Paid ',' ']</v>
      </c>
      <c r="D3439" s="3">
        <v>1.0</v>
      </c>
    </row>
    <row r="3440" ht="15.75" customHeight="1">
      <c r="A3440" s="1">
        <v>3684.0</v>
      </c>
      <c r="B3440" s="3" t="s">
        <v>3310</v>
      </c>
      <c r="C3440" s="3" t="str">
        <f>IFERROR(__xludf.DUMMYFUNCTION("GOOGLETRANSLATE(B3440,""id"",""en"")"),"['Service', 'ugly', 'good', 'tratata', 'confused', 'user']")</f>
        <v>['Service', 'ugly', 'good', 'tratata', 'confused', 'user']</v>
      </c>
      <c r="D3440" s="3">
        <v>1.0</v>
      </c>
    </row>
    <row r="3441" ht="15.75" customHeight="1">
      <c r="A3441" s="1">
        <v>3685.0</v>
      </c>
      <c r="B3441" s="3" t="s">
        <v>3311</v>
      </c>
      <c r="C3441" s="3" t="str">
        <f>IFERROR(__xludf.DUMMYFUNCTION("GOOGLETRANSLATE(B3441,""id"",""en"")"),"['difficult', 'open']")</f>
        <v>['difficult', 'open']</v>
      </c>
      <c r="D3441" s="3">
        <v>4.0</v>
      </c>
    </row>
    <row r="3442" ht="15.75" customHeight="1">
      <c r="A3442" s="1">
        <v>3686.0</v>
      </c>
      <c r="B3442" s="3" t="s">
        <v>3312</v>
      </c>
      <c r="C3442" s="3" t="str">
        <f>IFERROR(__xludf.DUMMYFUNCTION("GOOGLETRANSLATE(B3442,""id"",""en"")"),"['Network', 'kaga', 'right', 'right', 'quota', 'expensive', 'dipake', 'kaga', 'right', 'please', ""]")</f>
        <v>['Network', 'kaga', 'right', 'right', 'quota', 'expensive', 'dipake', 'kaga', 'right', 'please', "]</v>
      </c>
      <c r="D3442" s="3">
        <v>1.0</v>
      </c>
    </row>
    <row r="3443" ht="15.75" customHeight="1">
      <c r="A3443" s="1">
        <v>3687.0</v>
      </c>
      <c r="B3443" s="3" t="s">
        <v>3313</v>
      </c>
      <c r="C3443" s="3" t="str">
        <f>IFERROR(__xludf.DUMMYFUNCTION("GOOGLETRANSLATE(B3443,""id"",""en"")"),"['Telkomsel', 'ugly', 'severe', 'signal', 'lost', 'package', 'expensive', 'user', 'satisfied', 'please', 'repair', 'price', ' Package ',' quota ',' cheap ',' signal ',' ugly ',' gpp ',' ']")</f>
        <v>['Telkomsel', 'ugly', 'severe', 'signal', 'lost', 'package', 'expensive', 'user', 'satisfied', 'please', 'repair', 'price', ' Package ',' quota ',' cheap ',' signal ',' ugly ',' gpp ',' ']</v>
      </c>
      <c r="D3443" s="3">
        <v>4.0</v>
      </c>
    </row>
    <row r="3444" ht="15.75" customHeight="1">
      <c r="A3444" s="1">
        <v>3688.0</v>
      </c>
      <c r="B3444" s="3" t="s">
        <v>3314</v>
      </c>
      <c r="C3444" s="3" t="str">
        <f>IFERROR(__xludf.DUMMYFUNCTION("GOOGLETRANSLATE(B3444,""id"",""en"")"),"['PDA', 'DSAR', 'application', 'Bgus',' TPI ',' Prlu ',' Print ',' Network ',' Special ',' City ',' Jambi ',' Msih ',' Trdpat ',' Network ',' tdak ',' stable ',' pdhal ',' jambi ',' mrupakn ',' city ',' ckup ',' gmana ',' msih ',' blm ',' mrata ' , 'BSA',"&amp;" 'JRANKAN', 'DLAM', 'Room', 'Room', 'Guest', 'Room', 'Bath', 'Terrace', 'Different', 'Evenly', 'Speed', ' network ',' smpai ',' lose ',' provider ',' brkembang ',' ']")</f>
        <v>['PDA', 'DSAR', 'application', 'Bgus',' TPI ',' Prlu ',' Print ',' Network ',' Special ',' City ',' Jambi ',' Msih ',' Trdpat ',' Network ',' tdak ',' stable ',' pdhal ',' jambi ',' mrupakn ',' city ',' ckup ',' gmana ',' msih ',' blm ',' mrata ' , 'BSA', 'JRANKAN', 'DLAM', 'Room', 'Room', 'Guest', 'Room', 'Bath', 'Terrace', 'Different', 'Evenly', 'Speed', ' network ',' smpai ',' lose ',' provider ',' brkembang ',' ']</v>
      </c>
      <c r="D3444" s="3">
        <v>3.0</v>
      </c>
    </row>
    <row r="3445" ht="15.75" customHeight="1">
      <c r="A3445" s="1">
        <v>3689.0</v>
      </c>
      <c r="B3445" s="3" t="s">
        <v>3315</v>
      </c>
      <c r="C3445" s="3" t="str">
        <f>IFERROR(__xludf.DUMMYFUNCTION("GOOGLETRANSLATE(B3445,""id"",""en"")"),"['Telkomsel', 'network', 'slow', 'clock', 'repair', 'donk', 'signal', 'fast']")</f>
        <v>['Telkomsel', 'network', 'slow', 'clock', 'repair', 'donk', 'signal', 'fast']</v>
      </c>
      <c r="D3445" s="3">
        <v>1.0</v>
      </c>
    </row>
    <row r="3446" ht="15.75" customHeight="1">
      <c r="A3446" s="1">
        <v>3690.0</v>
      </c>
      <c r="B3446" s="3" t="s">
        <v>3316</v>
      </c>
      <c r="C3446" s="3" t="str">
        <f>IFERROR(__xludf.DUMMYFUNCTION("GOOGLETRANSLATE(B3446,""id"",""en"")"),"['spirit', 'gift', 'Telkomsel', 'The', 'Best', 'Telkomsel']")</f>
        <v>['spirit', 'gift', 'Telkomsel', 'The', 'Best', 'Telkomsel']</v>
      </c>
      <c r="D3446" s="3">
        <v>5.0</v>
      </c>
    </row>
    <row r="3447" ht="15.75" customHeight="1">
      <c r="A3447" s="1">
        <v>3691.0</v>
      </c>
      <c r="B3447" s="3" t="s">
        <v>3317</v>
      </c>
      <c r="C3447" s="3" t="str">
        <f>IFERROR(__xludf.DUMMYFUNCTION("GOOGLETRANSLATE(B3447,""id"",""en"")"),"['', 'Cadih', 'star', 'signal', 'difficult', 'Mulu', '']")</f>
        <v>['', 'Cadih', 'star', 'signal', 'difficult', 'Mulu', '']</v>
      </c>
      <c r="D3447" s="3">
        <v>4.0</v>
      </c>
    </row>
    <row r="3448" ht="15.75" customHeight="1">
      <c r="A3448" s="1">
        <v>3692.0</v>
      </c>
      <c r="B3448" s="3" t="s">
        <v>3318</v>
      </c>
      <c r="C3448" s="3" t="str">
        <f>IFERROR(__xludf.DUMMYFUNCTION("GOOGLETRANSLATE(B3448,""id"",""en"")"),"['update', 'package', 'expensive', 'no', 'setabilizer', 'signal', 'eager', 'cave', 'combo', 'sakti', 'update', 'card', ' Paketan ',' Price ',' Development ',' Telkomsel ',' Great ',' ']")</f>
        <v>['update', 'package', 'expensive', 'no', 'setabilizer', 'signal', 'eager', 'cave', 'combo', 'sakti', 'update', 'card', ' Paketan ',' Price ',' Development ',' Telkomsel ',' Great ',' ']</v>
      </c>
      <c r="D3448" s="3">
        <v>1.0</v>
      </c>
    </row>
    <row r="3449" ht="15.75" customHeight="1">
      <c r="A3449" s="1">
        <v>3693.0</v>
      </c>
      <c r="B3449" s="3" t="s">
        <v>3319</v>
      </c>
      <c r="C3449" s="3" t="str">
        <f>IFERROR(__xludf.DUMMYFUNCTION("GOOGLETRANSLATE(B3449,""id"",""en"")"),"['Application', 'Okay', 'Laah']")</f>
        <v>['Application', 'Okay', 'Laah']</v>
      </c>
      <c r="D3449" s="3">
        <v>5.0</v>
      </c>
    </row>
    <row r="3450" ht="15.75" customHeight="1">
      <c r="A3450" s="1">
        <v>3694.0</v>
      </c>
      <c r="B3450" s="3" t="s">
        <v>3320</v>
      </c>
      <c r="C3450" s="3" t="str">
        <f>IFERROR(__xludf.DUMMYFUNCTION("GOOGLETRANSLATE(B3450,""id"",""en"")"),"['MyTelkomsel', 'okay']")</f>
        <v>['MyTelkomsel', 'okay']</v>
      </c>
      <c r="D3450" s="3">
        <v>5.0</v>
      </c>
    </row>
    <row r="3451" ht="15.75" customHeight="1">
      <c r="A3451" s="1">
        <v>3695.0</v>
      </c>
      <c r="B3451" s="3" t="s">
        <v>3321</v>
      </c>
      <c r="C3451" s="3" t="str">
        <f>IFERROR(__xludf.DUMMYFUNCTION("GOOGLETRANSLATE(B3451,""id"",""en"")"),"['Dnnn', 'forced', 'APL', 'Telkomsel', 'HPS', 'LGI', 'device', 'Krna', 'card', 'sympathy', 'use', 'kagak', ' MSK ',' Pisan ',' APL ',' Greetings', 'NKRI', ""]")</f>
        <v>['Dnnn', 'forced', 'APL', 'Telkomsel', 'HPS', 'LGI', 'device', 'Krna', 'card', 'sympathy', 'use', 'kagak', ' MSK ',' Pisan ',' APL ',' Greetings', 'NKRI', "]</v>
      </c>
      <c r="D3451" s="3">
        <v>1.0</v>
      </c>
    </row>
    <row r="3452" ht="15.75" customHeight="1">
      <c r="A3452" s="1">
        <v>3696.0</v>
      </c>
      <c r="B3452" s="3" t="s">
        <v>3322</v>
      </c>
      <c r="C3452" s="3" t="str">
        <f>IFERROR(__xludf.DUMMYFUNCTION("GOOGLETRANSLATE(B3452,""id"",""en"")"),"['Hopefully', 'program', 'exchange', 'point', 'prize', 'real', 'Telkomsel', 'user', 'loyal', 'hope', 'gift', 'Amin', ' ']")</f>
        <v>['Hopefully', 'program', 'exchange', 'point', 'prize', 'real', 'Telkomsel', 'user', 'loyal', 'hope', 'gift', 'Amin', ' ']</v>
      </c>
      <c r="D3452" s="3">
        <v>5.0</v>
      </c>
    </row>
    <row r="3453" ht="15.75" customHeight="1">
      <c r="A3453" s="1">
        <v>3697.0</v>
      </c>
      <c r="B3453" s="3" t="s">
        <v>3323</v>
      </c>
      <c r="C3453" s="3" t="str">
        <f>IFERROR(__xludf.DUMMYFUNCTION("GOOGLETRANSLATE(B3453,""id"",""en"")"),"['TOP', 'Times', 'Raying', 'Download']")</f>
        <v>['TOP', 'Times', 'Raying', 'Download']</v>
      </c>
      <c r="D3453" s="3">
        <v>5.0</v>
      </c>
    </row>
    <row r="3454" ht="15.75" customHeight="1">
      <c r="A3454" s="1">
        <v>3698.0</v>
      </c>
      <c r="B3454" s="3" t="s">
        <v>3324</v>
      </c>
      <c r="C3454" s="3" t="str">
        <f>IFERROR(__xludf.DUMMYFUNCTION("GOOGLETRANSLATE(B3454,""id"",""en"")"),"['', 'Allah', 'Telkomsel', 'GMANA', 'Package', 'Gojek', 'GB', 'APK', 'Update', 'Package', 'ilang']")</f>
        <v>['', 'Allah', 'Telkomsel', 'GMANA', 'Package', 'Gojek', 'GB', 'APK', 'Update', 'Package', 'ilang']</v>
      </c>
      <c r="D3454" s="3">
        <v>1.0</v>
      </c>
    </row>
    <row r="3455" ht="15.75" customHeight="1">
      <c r="A3455" s="1">
        <v>3699.0</v>
      </c>
      <c r="B3455" s="3" t="s">
        <v>3325</v>
      </c>
      <c r="C3455" s="3" t="str">
        <f>IFERROR(__xludf.DUMMYFUNCTION("GOOGLETRANSLATE(B3455,""id"",""en"")"),"['Package', 'Emergency', 'Maana']")</f>
        <v>['Package', 'Emergency', 'Maana']</v>
      </c>
      <c r="D3455" s="3">
        <v>5.0</v>
      </c>
    </row>
    <row r="3456" ht="15.75" customHeight="1">
      <c r="A3456" s="1">
        <v>3700.0</v>
      </c>
      <c r="B3456" s="3" t="s">
        <v>3326</v>
      </c>
      <c r="C3456" s="3" t="str">
        <f>IFERROR(__xludf.DUMMYFUNCTION("GOOGLETRANSLATE(B3456,""id"",""en"")"),"['operator', 'country', 'expensive', 'slow', 'buy', 'package', 'tap', ""]")</f>
        <v>['operator', 'country', 'expensive', 'slow', 'buy', 'package', 'tap', "]</v>
      </c>
      <c r="D3456" s="3">
        <v>1.0</v>
      </c>
    </row>
    <row r="3457" ht="15.75" customHeight="1">
      <c r="A3457" s="1">
        <v>3701.0</v>
      </c>
      <c r="B3457" s="3" t="s">
        <v>3327</v>
      </c>
      <c r="C3457" s="3" t="str">
        <f>IFERROR(__xludf.DUMMYFUNCTION("GOOGLETRANSLATE(B3457,""id"",""en"")"),"['Application', 'good', 'help']")</f>
        <v>['Application', 'good', 'help']</v>
      </c>
      <c r="D3457" s="3">
        <v>5.0</v>
      </c>
    </row>
    <row r="3458" ht="15.75" customHeight="1">
      <c r="A3458" s="1">
        <v>3702.0</v>
      </c>
      <c r="B3458" s="3" t="s">
        <v>3328</v>
      </c>
      <c r="C3458" s="3" t="str">
        <f>IFERROR(__xludf.DUMMYFUNCTION("GOOGLETRANSLATE(B3458,""id"",""en"")"),"['Just', 'buy', 'package', 'before', 'already', 'check', 'package', 'promo', 'right', 'already', 'contents',' pulses', ' pact ',' promo ',' ilang ',' njin ',' loss', 'many', 'kek', 'gini', 'money', 'already', 'unemployed', 'emg', 'good' , 'Search', 'money"&amp;"', 'pansemi', 'gini', 'jg', 'bangatatttttt']")</f>
        <v>['Just', 'buy', 'package', 'before', 'already', 'check', 'package', 'promo', 'right', 'already', 'contents',' pulses', ' pact ',' promo ',' ilang ',' njin ',' loss', 'many', 'kek', 'gini', 'money', 'already', 'unemployed', 'emg', 'good' , 'Search', 'money', 'pansemi', 'gini', 'jg', 'bangatatttttt']</v>
      </c>
      <c r="D3458" s="3">
        <v>1.0</v>
      </c>
    </row>
    <row r="3459" ht="15.75" customHeight="1">
      <c r="A3459" s="1">
        <v>3703.0</v>
      </c>
      <c r="B3459" s="3" t="s">
        <v>3329</v>
      </c>
      <c r="C3459" s="3" t="str">
        <f>IFERROR(__xludf.DUMMYFUNCTION("GOOGLETRANSLATE(B3459,""id"",""en"")"),"['Paketan', 'cave', 'expensive']")</f>
        <v>['Paketan', 'cave', 'expensive']</v>
      </c>
      <c r="D3459" s="3">
        <v>1.0</v>
      </c>
    </row>
    <row r="3460" ht="15.75" customHeight="1">
      <c r="A3460" s="1">
        <v>3704.0</v>
      </c>
      <c r="B3460" s="3" t="s">
        <v>3330</v>
      </c>
      <c r="C3460" s="3" t="str">
        <f>IFERROR(__xludf.DUMMYFUNCTION("GOOGLETRANSLATE(B3460,""id"",""en"")"),"['Please', 'Telkomsel', 'The network', 'bad', 'sorry', 'please', 'fix', '']")</f>
        <v>['Please', 'Telkomsel', 'The network', 'bad', 'sorry', 'please', 'fix', '']</v>
      </c>
      <c r="D3460" s="3">
        <v>1.0</v>
      </c>
    </row>
    <row r="3461" ht="15.75" customHeight="1">
      <c r="A3461" s="1">
        <v>3705.0</v>
      </c>
      <c r="B3461" s="3" t="s">
        <v>3331</v>
      </c>
      <c r="C3461" s="3" t="str">
        <f>IFERROR(__xludf.DUMMYFUNCTION("GOOGLETRANSLATE(B3461,""id"",""en"")"),"['HADEW', 'Makinlama', 'Severe', 'Telkomsel', 'Criticism', 'Benerin', 'Dibarin', 'It is said', 'Prov', 'Indo', 'Sorry', 'user', ' Dri ']")</f>
        <v>['HADEW', 'Makinlama', 'Severe', 'Telkomsel', 'Criticism', 'Benerin', 'Dibarin', 'It is said', 'Prov', 'Indo', 'Sorry', 'user', ' Dri ']</v>
      </c>
      <c r="D3461" s="3">
        <v>1.0</v>
      </c>
    </row>
    <row r="3462" ht="15.75" customHeight="1">
      <c r="A3462" s="1">
        <v>3706.0</v>
      </c>
      <c r="B3462" s="3" t="s">
        <v>3332</v>
      </c>
      <c r="C3462" s="3" t="str">
        <f>IFERROR(__xludf.DUMMYFUNCTION("GOOGLETRANSLATE(B3462,""id"",""en"")"),"['good luck']")</f>
        <v>['good luck']</v>
      </c>
      <c r="D3462" s="3">
        <v>3.0</v>
      </c>
    </row>
    <row r="3463" ht="15.75" customHeight="1">
      <c r="A3463" s="1">
        <v>3707.0</v>
      </c>
      <c r="B3463" s="3" t="s">
        <v>2222</v>
      </c>
      <c r="C3463" s="3" t="str">
        <f>IFERROR(__xludf.DUMMYFUNCTION("GOOGLETRANSLATE(B3463,""id"",""en"")"),"['Satisfied', 'Telkomsel']")</f>
        <v>['Satisfied', 'Telkomsel']</v>
      </c>
      <c r="D3463" s="3">
        <v>3.0</v>
      </c>
    </row>
    <row r="3464" ht="15.75" customHeight="1">
      <c r="A3464" s="1">
        <v>3708.0</v>
      </c>
      <c r="B3464" s="3" t="s">
        <v>135</v>
      </c>
      <c r="C3464" s="3" t="str">
        <f>IFERROR(__xludf.DUMMYFUNCTION("GOOGLETRANSLATE(B3464,""id"",""en"")"),"['Good', 'help', ""]")</f>
        <v>['Good', 'help', "]</v>
      </c>
      <c r="D3464" s="3">
        <v>5.0</v>
      </c>
    </row>
    <row r="3465" ht="15.75" customHeight="1">
      <c r="A3465" s="1">
        <v>3710.0</v>
      </c>
      <c r="B3465" s="3" t="s">
        <v>3333</v>
      </c>
      <c r="C3465" s="3" t="str">
        <f>IFERROR(__xludf.DUMMYFUNCTION("GOOGLETRANSLATE(B3465,""id"",""en"")"),"['disappointed', 'provider', 'Telkomsel', 'expensive', 'network', 'taik', 'sosmed', 'youtube', 'slow', 'really', 'complain', 'contact', ' Center ',' told ',' Wait ',' Service ',' Best ',' Price ',' Expensive ']")</f>
        <v>['disappointed', 'provider', 'Telkomsel', 'expensive', 'network', 'taik', 'sosmed', 'youtube', 'slow', 'really', 'complain', 'contact', ' Center ',' told ',' Wait ',' Service ',' Best ',' Price ',' Expensive ']</v>
      </c>
      <c r="D3465" s="3">
        <v>1.0</v>
      </c>
    </row>
    <row r="3466" ht="15.75" customHeight="1">
      <c r="A3466" s="1">
        <v>3711.0</v>
      </c>
      <c r="B3466" s="3" t="s">
        <v>3334</v>
      </c>
      <c r="C3466" s="3" t="str">
        <f>IFERROR(__xludf.DUMMYFUNCTION("GOOGLETRANSLATE(B3466,""id"",""en"")"),"['Application', 'Update', 'package', 'expensive', 'package', 'missing', 'Tampa', 'trail']")</f>
        <v>['Application', 'Update', 'package', 'expensive', 'package', 'missing', 'Tampa', 'trail']</v>
      </c>
      <c r="D3466" s="3">
        <v>2.0</v>
      </c>
    </row>
    <row r="3467" ht="15.75" customHeight="1">
      <c r="A3467" s="1">
        <v>3712.0</v>
      </c>
      <c r="B3467" s="3" t="s">
        <v>3335</v>
      </c>
      <c r="C3467" s="3" t="str">
        <f>IFERROR(__xludf.DUMMYFUNCTION("GOOGLETRANSLATE(B3467,""id"",""en"")"),"['dizziness',' Telkomsel ',' quota ',' exstra ',' unclosed ',' registered ',' city ',' sragen ',' right ',' check ',' friend ',' Telkomsel ',' Paketan ',' ilang ']")</f>
        <v>['dizziness',' Telkomsel ',' quota ',' exstra ',' unclosed ',' registered ',' city ',' sragen ',' right ',' check ',' friend ',' Telkomsel ',' Paketan ',' ilang ']</v>
      </c>
      <c r="D3467" s="3">
        <v>1.0</v>
      </c>
    </row>
    <row r="3468" ht="15.75" customHeight="1">
      <c r="A3468" s="1">
        <v>3713.0</v>
      </c>
      <c r="B3468" s="3" t="s">
        <v>3336</v>
      </c>
      <c r="C3468" s="3" t="str">
        <f>IFERROR(__xludf.DUMMYFUNCTION("GOOGLETRANSLATE(B3468,""id"",""en"")"),"['Already', 'Jakpus',' ugly ',' network ',' chaotic ',' Telkomsel ',' obviously ',' Damn ',' already ',' buy ',' package ',' GB ',' network ',' kayak ',' taikkkkkkk ']")</f>
        <v>['Already', 'Jakpus',' ugly ',' network ',' chaotic ',' Telkomsel ',' obviously ',' Damn ',' already ',' buy ',' package ',' GB ',' network ',' kayak ',' taikkkkkkk ']</v>
      </c>
      <c r="D3468" s="3">
        <v>1.0</v>
      </c>
    </row>
    <row r="3469" ht="15.75" customHeight="1">
      <c r="A3469" s="1">
        <v>3714.0</v>
      </c>
      <c r="B3469" s="3" t="s">
        <v>3337</v>
      </c>
      <c r="C3469" s="3" t="str">
        <f>IFERROR(__xludf.DUMMYFUNCTION("GOOGLETRANSLATE(B3469,""id"",""en"")"),"['Satisfied', 'subscribe', 'Telkomsel', 'Network', 'Good']")</f>
        <v>['Satisfied', 'subscribe', 'Telkomsel', 'Network', 'Good']</v>
      </c>
      <c r="D3469" s="3">
        <v>5.0</v>
      </c>
    </row>
    <row r="3470" ht="15.75" customHeight="1">
      <c r="A3470" s="1">
        <v>3715.0</v>
      </c>
      <c r="B3470" s="3" t="s">
        <v>3338</v>
      </c>
      <c r="C3470" s="3" t="str">
        <f>IFERROR(__xludf.DUMMYFUNCTION("GOOGLETRANSLATE(B3470,""id"",""en"")"),"['signal', 'internet', 'slow', 'dead', 'electricity', 'cook', 'network', 'internet', 'dead', 'back', 'ups',' genset ',' ']")</f>
        <v>['signal', 'internet', 'slow', 'dead', 'electricity', 'cook', 'network', 'internet', 'dead', 'back', 'ups',' genset ',' ']</v>
      </c>
      <c r="D3470" s="3">
        <v>3.0</v>
      </c>
    </row>
    <row r="3471" ht="15.75" customHeight="1">
      <c r="A3471" s="1">
        <v>3716.0</v>
      </c>
      <c r="B3471" s="3" t="s">
        <v>3339</v>
      </c>
      <c r="C3471" s="3" t="str">
        <f>IFERROR(__xludf.DUMMYFUNCTION("GOOGLETRANSLATE(B3471,""id"",""en"")"),"['Application', 'Bags']")</f>
        <v>['Application', 'Bags']</v>
      </c>
      <c r="D3471" s="3">
        <v>5.0</v>
      </c>
    </row>
    <row r="3472" ht="15.75" customHeight="1">
      <c r="A3472" s="1">
        <v>3717.0</v>
      </c>
      <c r="B3472" s="3" t="s">
        <v>2734</v>
      </c>
      <c r="C3472" s="3" t="str">
        <f>IFERROR(__xludf.DUMMYFUNCTION("GOOGLETRANSLATE(B3472,""id"",""en"")"),"['Network', 'stable', '']")</f>
        <v>['Network', 'stable', '']</v>
      </c>
      <c r="D3472" s="3">
        <v>1.0</v>
      </c>
    </row>
    <row r="3473" ht="15.75" customHeight="1">
      <c r="A3473" s="1">
        <v>3718.0</v>
      </c>
      <c r="B3473" s="3" t="s">
        <v>3340</v>
      </c>
      <c r="C3473" s="3" t="str">
        <f>IFERROR(__xludf.DUMMYFUNCTION("GOOGLETRANSLATE(B3473,""id"",""en"")"),"['code', 'redeem', 'purchase', 'package', 'gamesmax', 'enter', 'error', 'gmna', '']")</f>
        <v>['code', 'redeem', 'purchase', 'package', 'gamesmax', 'enter', 'error', 'gmna', '']</v>
      </c>
      <c r="D3473" s="3">
        <v>1.0</v>
      </c>
    </row>
    <row r="3474" ht="15.75" customHeight="1">
      <c r="A3474" s="1">
        <v>3719.0</v>
      </c>
      <c r="B3474" s="3" t="s">
        <v>1861</v>
      </c>
      <c r="C3474" s="3" t="str">
        <f>IFERROR(__xludf.DUMMYFUNCTION("GOOGLETRANSLATE(B3474,""id"",""en"")"),"['', 'Telkomsel', 'steady']")</f>
        <v>['', 'Telkomsel', 'steady']</v>
      </c>
      <c r="D3474" s="3">
        <v>5.0</v>
      </c>
    </row>
    <row r="3475" ht="15.75" customHeight="1">
      <c r="A3475" s="1">
        <v>3720.0</v>
      </c>
      <c r="B3475" s="3" t="s">
        <v>3341</v>
      </c>
      <c r="C3475" s="3" t="str">
        <f>IFERROR(__xludf.DUMMYFUNCTION("GOOGLETRANSLATE(B3475,""id"",""en"")"),"['repair']")</f>
        <v>['repair']</v>
      </c>
      <c r="D3475" s="3">
        <v>5.0</v>
      </c>
    </row>
    <row r="3476" ht="15.75" customHeight="1">
      <c r="A3476" s="1">
        <v>3721.0</v>
      </c>
      <c r="B3476" s="3" t="s">
        <v>1568</v>
      </c>
      <c r="C3476" s="3" t="str">
        <f>IFERROR(__xludf.DUMMYFUNCTION("GOOGLETRANSLATE(B3476,""id"",""en"")"),"['Application', 'good', 'help']")</f>
        <v>['Application', 'good', 'help']</v>
      </c>
      <c r="D3476" s="3">
        <v>5.0</v>
      </c>
    </row>
    <row r="3477" ht="15.75" customHeight="1">
      <c r="A3477" s="1">
        <v>3723.0</v>
      </c>
      <c r="B3477" s="3" t="s">
        <v>3342</v>
      </c>
      <c r="C3477" s="3" t="str">
        <f>IFERROR(__xludf.DUMMYFUNCTION("GOOGLETRANSLATE(B3477,""id"",""en"")"),"['Contents',' pulse ',' night ',' rb ',' mah ',' package ',' hose ',' minute ',' pulse ',' rb ',' please ',' return ',' pulse']")</f>
        <v>['Contents',' pulse ',' night ',' rb ',' mah ',' package ',' hose ',' minute ',' pulse ',' rb ',' please ',' return ',' pulse']</v>
      </c>
      <c r="D3477" s="3">
        <v>1.0</v>
      </c>
    </row>
    <row r="3478" ht="15.75" customHeight="1">
      <c r="A3478" s="1">
        <v>3724.0</v>
      </c>
      <c r="B3478" s="3" t="s">
        <v>3343</v>
      </c>
      <c r="C3478" s="3" t="str">
        <f>IFERROR(__xludf.DUMMYFUNCTION("GOOGLETRANSLATE(B3478,""id"",""en"")"),"['ugly', 'application', 'Telkomsel', 'since', 'update', 'difficult', 'entry']")</f>
        <v>['ugly', 'application', 'Telkomsel', 'since', 'update', 'difficult', 'entry']</v>
      </c>
      <c r="D3478" s="3">
        <v>1.0</v>
      </c>
    </row>
    <row r="3479" ht="15.75" customHeight="1">
      <c r="A3479" s="1">
        <v>3725.0</v>
      </c>
      <c r="B3479" s="3" t="s">
        <v>3344</v>
      </c>
      <c r="C3479" s="3" t="str">
        <f>IFERROR(__xludf.DUMMYFUNCTION("GOOGLETRANSLATE(B3479,""id"",""en"")"),"['Update', 'Mulu', 'Jirrrrr', 'Sya', 'love', 'bntang', 'Telkomsel', 'open', 'Telkomsel', 'data', 'sampek', 'kb', ' speed ',' error ',' understand ',' Telkomsel ',' update ',' mulu ',' add ',' burden ',' already ',' difficult ',' signal ',' Telkomsel ',' N"&amp;"gertiin ' , 'Reach', 'Sampek', 'Jdi', 'Please', 'Jngan', 'Update', 'Mulu', 'Please']")</f>
        <v>['Update', 'Mulu', 'Jirrrrr', 'Sya', 'love', 'bntang', 'Telkomsel', 'open', 'Telkomsel', 'data', 'sampek', 'kb', ' speed ',' error ',' understand ',' Telkomsel ',' update ',' mulu ',' add ',' burden ',' already ',' difficult ',' signal ',' Telkomsel ',' Ngertiin ' , 'Reach', 'Sampek', 'Jdi', 'Please', 'Jngan', 'Update', 'Mulu', 'Please']</v>
      </c>
      <c r="D3479" s="3">
        <v>1.0</v>
      </c>
    </row>
    <row r="3480" ht="15.75" customHeight="1">
      <c r="A3480" s="1">
        <v>3726.0</v>
      </c>
      <c r="B3480" s="3" t="s">
        <v>3345</v>
      </c>
      <c r="C3480" s="3" t="str">
        <f>IFERROR(__xludf.DUMMYFUNCTION("GOOGLETRANSLATE(B3480,""id"",""en"")"),"['Easy', 'Understand']")</f>
        <v>['Easy', 'Understand']</v>
      </c>
      <c r="D3480" s="3">
        <v>5.0</v>
      </c>
    </row>
    <row r="3481" ht="15.75" customHeight="1">
      <c r="A3481" s="1">
        <v>3727.0</v>
      </c>
      <c r="B3481" s="3" t="s">
        <v>3346</v>
      </c>
      <c r="C3481" s="3" t="str">
        <f>IFERROR(__xludf.DUMMYFUNCTION("GOOGLETRANSLATE(B3481,""id"",""en"")"),"['', 'update', 'package']")</f>
        <v>['', 'update', 'package']</v>
      </c>
      <c r="D3481" s="3">
        <v>3.0</v>
      </c>
    </row>
    <row r="3482" ht="15.75" customHeight="1">
      <c r="A3482" s="1">
        <v>3728.0</v>
      </c>
      <c r="B3482" s="3" t="s">
        <v>3347</v>
      </c>
      <c r="C3482" s="3" t="str">
        <f>IFERROR(__xludf.DUMMYFUNCTION("GOOGLETRANSLATE(B3482,""id"",""en"")"),"['card', 'sympathy', 'improved', 'slow', 'price', 'quota', 'expensive', 'suits', 'signal', 'read', 'comment', 'income']")</f>
        <v>['card', 'sympathy', 'improved', 'slow', 'price', 'quota', 'expensive', 'suits', 'signal', 'read', 'comment', 'income']</v>
      </c>
      <c r="D3482" s="3">
        <v>3.0</v>
      </c>
    </row>
    <row r="3483" ht="15.75" customHeight="1">
      <c r="A3483" s="1">
        <v>3729.0</v>
      </c>
      <c r="B3483" s="3" t="s">
        <v>722</v>
      </c>
      <c r="C3483" s="3" t="str">
        <f>IFERROR(__xludf.DUMMYFUNCTION("GOOGLETRANSLATE(B3483,""id"",""en"")"),"['Increase', 'Service']")</f>
        <v>['Increase', 'Service']</v>
      </c>
      <c r="D3483" s="3">
        <v>5.0</v>
      </c>
    </row>
    <row r="3484" ht="15.75" customHeight="1">
      <c r="A3484" s="1">
        <v>3730.0</v>
      </c>
      <c r="B3484" s="3" t="s">
        <v>3348</v>
      </c>
      <c r="C3484" s="3" t="str">
        <f>IFERROR(__xludf.DUMMYFUNCTION("GOOGLETRANSLATE(B3484,""id"",""en"")"),"['expensive', 'tariff', 'package', 'Telkomsel', 'skrng', 'network', 'level', 'ngerak', 'emng', 'otw', 'switch', 'operator', ' Satisfied ',' service ',' Dri ',' TEL ',' SEM ',' KOM ']")</f>
        <v>['expensive', 'tariff', 'package', 'Telkomsel', 'skrng', 'network', 'level', 'ngerak', 'emng', 'otw', 'switch', 'operator', ' Satisfied ',' service ',' Dri ',' TEL ',' SEM ',' KOM ']</v>
      </c>
      <c r="D3484" s="3">
        <v>1.0</v>
      </c>
    </row>
    <row r="3485" ht="15.75" customHeight="1">
      <c r="A3485" s="1">
        <v>3731.0</v>
      </c>
      <c r="B3485" s="3" t="s">
        <v>3349</v>
      </c>
      <c r="C3485" s="3" t="str">
        <f>IFERROR(__xludf.DUMMYFUNCTION("GOOGLETRANSLATE(B3485,""id"",""en"")"),"['The network', 'ngak', 'ngak', 'times',' buy ',' card ',' Damn ',' send ',' task ',' difficult ',' mending ',' card ',' ']")</f>
        <v>['The network', 'ngak', 'ngak', 'times',' buy ',' card ',' Damn ',' send ',' task ',' difficult ',' mending ',' card ',' ']</v>
      </c>
      <c r="D3485" s="3">
        <v>1.0</v>
      </c>
    </row>
    <row r="3486" ht="15.75" customHeight="1">
      <c r="A3486" s="1">
        <v>3732.0</v>
      </c>
      <c r="B3486" s="3" t="s">
        <v>3350</v>
      </c>
      <c r="C3486" s="3" t="str">
        <f>IFERROR(__xludf.DUMMYFUNCTION("GOOGLETRANSLATE(B3486,""id"",""en"")"),"['pleasant']")</f>
        <v>['pleasant']</v>
      </c>
      <c r="D3486" s="3">
        <v>5.0</v>
      </c>
    </row>
    <row r="3487" ht="15.75" customHeight="1">
      <c r="A3487" s="1">
        <v>3733.0</v>
      </c>
      <c r="B3487" s="3" t="s">
        <v>3351</v>
      </c>
      <c r="C3487" s="3" t="str">
        <f>IFERROR(__xludf.DUMMYFUNCTION("GOOGLETRANSLATE(B3487,""id"",""en"")"),"['Easy', 'understandable']")</f>
        <v>['Easy', 'understandable']</v>
      </c>
      <c r="D3487" s="3">
        <v>5.0</v>
      </c>
    </row>
    <row r="3488" ht="15.75" customHeight="1">
      <c r="A3488" s="1">
        <v>3734.0</v>
      </c>
      <c r="B3488" s="3" t="s">
        <v>3352</v>
      </c>
      <c r="C3488" s="3" t="str">
        <f>IFERROR(__xludf.DUMMYFUNCTION("GOOGLETRANSLATE(B3488,""id"",""en"")"),"['APL', 'help', 'buy', 'package', 'internet', 'bely', 'choice']")</f>
        <v>['APL', 'help', 'buy', 'package', 'internet', 'bely', 'choice']</v>
      </c>
      <c r="D3488" s="3">
        <v>5.0</v>
      </c>
    </row>
    <row r="3489" ht="15.75" customHeight="1">
      <c r="A3489" s="1">
        <v>3735.0</v>
      </c>
      <c r="B3489" s="3" t="s">
        <v>3353</v>
      </c>
      <c r="C3489" s="3" t="str">
        <f>IFERROR(__xludf.DUMMYFUNCTION("GOOGLETRANSLATE(B3489,""id"",""en"")"),"['Since', 'Tragedy', 'Telkom', 'Fire', 'Quality', 'Network', 'Bad', 'Please', 'Enhanced', 'Disappointing', 'Customer', 'Telkomsel', ' ']")</f>
        <v>['Since', 'Tragedy', 'Telkom', 'Fire', 'Quality', 'Network', 'Bad', 'Please', 'Enhanced', 'Disappointing', 'Customer', 'Telkomsel', ' ']</v>
      </c>
      <c r="D3489" s="3">
        <v>5.0</v>
      </c>
    </row>
    <row r="3490" ht="15.75" customHeight="1">
      <c r="A3490" s="1">
        <v>3736.0</v>
      </c>
      <c r="B3490" s="3" t="s">
        <v>3354</v>
      </c>
      <c r="C3490" s="3" t="str">
        <f>IFERROR(__xludf.DUMMYFUNCTION("GOOGLETRANSLATE(B3490,""id"",""en"")"),"['signal', 'slow', 'price', 'package', 'internet', 'expensive', '']")</f>
        <v>['signal', 'slow', 'price', 'package', 'internet', 'expensive', '']</v>
      </c>
      <c r="D3490" s="3">
        <v>1.0</v>
      </c>
    </row>
    <row r="3491" ht="15.75" customHeight="1">
      <c r="A3491" s="1">
        <v>3737.0</v>
      </c>
      <c r="B3491" s="3" t="s">
        <v>3355</v>
      </c>
      <c r="C3491" s="3" t="str">
        <f>IFERROR(__xludf.DUMMYFUNCTION("GOOGLETRANSLATE(B3491,""id"",""en"")"),"['Easy', 'smooth']")</f>
        <v>['Easy', 'smooth']</v>
      </c>
      <c r="D3491" s="3">
        <v>5.0</v>
      </c>
    </row>
    <row r="3492" ht="15.75" customHeight="1">
      <c r="A3492" s="1">
        <v>3738.0</v>
      </c>
      <c r="B3492" s="3" t="s">
        <v>3356</v>
      </c>
      <c r="C3492" s="3" t="str">
        <f>IFERROR(__xludf.DUMMYFUNCTION("GOOGLETRANSLATE(B3492,""id"",""en"")"),"['network', 'data', 'super', 'slow', 'detrimental', 'user', 'bli', 'package', 'rb', 'lbh', 'quality', 'super', ' Low ',' Increases', 'Quality', 'Network', 'Internet', 'Disappointed', 'BLI', 'Expensive', '']")</f>
        <v>['network', 'data', 'super', 'slow', 'detrimental', 'user', 'bli', 'package', 'rb', 'lbh', 'quality', 'super', ' Low ',' Increases', 'Quality', 'Network', 'Internet', 'Disappointed', 'BLI', 'Expensive', '']</v>
      </c>
      <c r="D3492" s="3">
        <v>1.0</v>
      </c>
    </row>
    <row r="3493" ht="15.75" customHeight="1">
      <c r="A3493" s="1">
        <v>3739.0</v>
      </c>
      <c r="B3493" s="3" t="s">
        <v>3357</v>
      </c>
      <c r="C3493" s="3" t="str">
        <f>IFERROR(__xludf.DUMMYFUNCTION("GOOGLETRANSLATE(B3493,""id"",""en"")"),"['Satisfied', 'APK']")</f>
        <v>['Satisfied', 'APK']</v>
      </c>
      <c r="D3493" s="3">
        <v>5.0</v>
      </c>
    </row>
    <row r="3494" ht="15.75" customHeight="1">
      <c r="A3494" s="1">
        <v>3740.0</v>
      </c>
      <c r="B3494" s="3" t="s">
        <v>3358</v>
      </c>
      <c r="C3494" s="3" t="str">
        <f>IFERROR(__xludf.DUMMYFUNCTION("GOOGLETRANSLATE(B3494,""id"",""en"")"),"['Try', 'try', 'value', 'what', 'good', '']")</f>
        <v>['Try', 'try', 'value', 'what', 'good', '']</v>
      </c>
      <c r="D3494" s="3">
        <v>3.0</v>
      </c>
    </row>
    <row r="3495" ht="15.75" customHeight="1">
      <c r="A3495" s="1">
        <v>3741.0</v>
      </c>
      <c r="B3495" s="3" t="s">
        <v>3359</v>
      </c>
      <c r="C3495" s="3" t="str">
        <f>IFERROR(__xludf.DUMMYFUNCTION("GOOGLETRANSLATE(B3495,""id"",""en"")"),"['Strange', 'Combo', 'Sakti', 'Number', 'Different', 'Price', 'Flatter', 'Yes',' Buy ',' GB ',' DLU ',' GB ',' Masi ',' strange ',' fix ',' loyal ',' elu ',' me ',' telkom ',' me ',' replace ',' operator ',' gini ', ""]")</f>
        <v>['Strange', 'Combo', 'Sakti', 'Number', 'Different', 'Price', 'Flatter', 'Yes',' Buy ',' GB ',' DLU ',' GB ',' Masi ',' strange ',' fix ',' loyal ',' elu ',' me ',' telkom ',' me ',' replace ',' operator ',' gini ', "]</v>
      </c>
      <c r="D3495" s="3">
        <v>2.0</v>
      </c>
    </row>
    <row r="3496" ht="15.75" customHeight="1">
      <c r="A3496" s="1">
        <v>3742.0</v>
      </c>
      <c r="B3496" s="3" t="s">
        <v>3360</v>
      </c>
      <c r="C3496" s="3" t="str">
        <f>IFERROR(__xludf.DUMMYFUNCTION("GOOGLETRANSLATE(B3496,""id"",""en"")"),"['technology', 'volte', 'doang', 'volte']")</f>
        <v>['technology', 'volte', 'doang', 'volte']</v>
      </c>
      <c r="D3496" s="3">
        <v>5.0</v>
      </c>
    </row>
    <row r="3497" ht="15.75" customHeight="1">
      <c r="A3497" s="1">
        <v>3743.0</v>
      </c>
      <c r="B3497" s="3" t="s">
        <v>3361</v>
      </c>
      <c r="C3497" s="3" t="str">
        <f>IFERROR(__xludf.DUMMYFUNCTION("GOOGLETRANSLATE(B3497,""id"",""en"")"),"['', 'Tlong', 'level', 'network', 'Telkomsel']")</f>
        <v>['', 'Tlong', 'level', 'network', 'Telkomsel']</v>
      </c>
      <c r="D3497" s="3">
        <v>2.0</v>
      </c>
    </row>
    <row r="3498" ht="15.75" customHeight="1">
      <c r="A3498" s="1">
        <v>3744.0</v>
      </c>
      <c r="B3498" s="3" t="s">
        <v>3362</v>
      </c>
      <c r="C3498" s="3" t="str">
        <f>IFERROR(__xludf.DUMMYFUNCTION("GOOGLETRANSLATE(B3498,""id"",""en"")"),"['Package', 'Telkomsel', 'Good', 'Used']")</f>
        <v>['Package', 'Telkomsel', 'Good', 'Used']</v>
      </c>
      <c r="D3498" s="3">
        <v>5.0</v>
      </c>
    </row>
    <row r="3499" ht="15.75" customHeight="1">
      <c r="A3499" s="1">
        <v>3745.0</v>
      </c>
      <c r="B3499" s="3" t="s">
        <v>3363</v>
      </c>
      <c r="C3499" s="3" t="str">
        <f>IFERROR(__xludf.DUMMYFUNCTION("GOOGLETRANSLATE(B3499,""id"",""en"")"),"['Network', 'beg', 'level']")</f>
        <v>['Network', 'beg', 'level']</v>
      </c>
      <c r="D3499" s="3">
        <v>4.0</v>
      </c>
    </row>
    <row r="3500" ht="15.75" customHeight="1">
      <c r="A3500" s="1">
        <v>3746.0</v>
      </c>
      <c r="B3500" s="3" t="s">
        <v>3364</v>
      </c>
      <c r="C3500" s="3" t="str">
        <f>IFERROR(__xludf.DUMMYFUNCTION("GOOGLETRANSLATE(B3500,""id"",""en"")"),"['updaetan', 'updet', 'pea', 'gmnh', 'cave', 'updet', 'updet', 'ajh']")</f>
        <v>['updaetan', 'updet', 'pea', 'gmnh', 'cave', 'updet', 'updet', 'ajh']</v>
      </c>
      <c r="D3500" s="3">
        <v>5.0</v>
      </c>
    </row>
    <row r="3501" ht="15.75" customHeight="1">
      <c r="A3501" s="1">
        <v>3747.0</v>
      </c>
      <c r="B3501" s="3" t="s">
        <v>3365</v>
      </c>
      <c r="C3501" s="3" t="str">
        <f>IFERROR(__xludf.DUMMYFUNCTION("GOOGLETRANSLATE(B3501,""id"",""en"")"),"['Thank you', 'The application', 'Sis']")</f>
        <v>['Thank you', 'The application', 'Sis']</v>
      </c>
      <c r="D3501" s="3">
        <v>4.0</v>
      </c>
    </row>
    <row r="3502" ht="15.75" customHeight="1">
      <c r="A3502" s="1">
        <v>3748.0</v>
      </c>
      <c r="B3502" s="3" t="s">
        <v>3366</v>
      </c>
      <c r="C3502" s="3" t="str">
        <f>IFERROR(__xludf.DUMMYFUNCTION("GOOGLETRANSLATE(B3502,""id"",""en"")"),"['buy', 'quota', 'telkomsel', 'ajg', 'slow', 'forgiveness',' quota ',' list ',' GB ',' open ',' facebook ',' recommendation ',' Facebook ',' Free ',' Asw ',' Telkomsel ',' ']")</f>
        <v>['buy', 'quota', 'telkomsel', 'ajg', 'slow', 'forgiveness',' quota ',' list ',' GB ',' open ',' facebook ',' recommendation ',' Facebook ',' Free ',' Asw ',' Telkomsel ',' ']</v>
      </c>
      <c r="D3502" s="3">
        <v>1.0</v>
      </c>
    </row>
    <row r="3503" ht="15.75" customHeight="1">
      <c r="A3503" s="1">
        <v>3749.0</v>
      </c>
      <c r="B3503" s="3" t="s">
        <v>3367</v>
      </c>
      <c r="C3503" s="3" t="str">
        <f>IFERROR(__xludf.DUMMYFUNCTION("GOOGLETRANSLATE(B3503,""id"",""en"")"),"['application', 'make it easy', 'buy', 'package', 'data', 'buy', 'package', 'data', 'notification', 'system', 'interference', 'contact', ' intention ',' help ']")</f>
        <v>['application', 'make it easy', 'buy', 'package', 'data', 'buy', 'package', 'data', 'notification', 'system', 'interference', 'contact', ' intention ',' help ']</v>
      </c>
      <c r="D3503" s="3">
        <v>1.0</v>
      </c>
    </row>
    <row r="3504" ht="15.75" customHeight="1">
      <c r="A3504" s="1">
        <v>3750.0</v>
      </c>
      <c r="B3504" s="3" t="s">
        <v>3368</v>
      </c>
      <c r="C3504" s="3" t="str">
        <f>IFERROR(__xludf.DUMMYFUNCTION("GOOGLETRANSLATE(B3504,""id"",""en"")"),"['Application', 'Login', 'Mulu', 'Please', 'Think', 'Update', 'Fix', 'Threat', 'Network', ""]")</f>
        <v>['Application', 'Login', 'Mulu', 'Please', 'Think', 'Update', 'Fix', 'Threat', 'Network', "]</v>
      </c>
      <c r="D3504" s="3">
        <v>1.0</v>
      </c>
    </row>
    <row r="3505" ht="15.75" customHeight="1">
      <c r="A3505" s="1">
        <v>3751.0</v>
      </c>
      <c r="B3505" s="3" t="s">
        <v>223</v>
      </c>
      <c r="C3505" s="3" t="str">
        <f>IFERROR(__xludf.DUMMYFUNCTION("GOOGLETRANSLATE(B3505,""id"",""en"")"),"['']")</f>
        <v>['']</v>
      </c>
      <c r="D3505" s="3">
        <v>5.0</v>
      </c>
    </row>
    <row r="3506" ht="15.75" customHeight="1">
      <c r="A3506" s="1">
        <v>3752.0</v>
      </c>
      <c r="B3506" s="3" t="s">
        <v>3369</v>
      </c>
      <c r="C3506" s="3" t="str">
        <f>IFERROR(__xludf.DUMMYFUNCTION("GOOGLETRANSLATE(B3506,""id"",""en"")"),"['Try', 'Promo', 'Lotsin', 'Signal', 'Network', 'Reinforced', '']")</f>
        <v>['Try', 'Promo', 'Lotsin', 'Signal', 'Network', 'Reinforced', '']</v>
      </c>
      <c r="D3506" s="3">
        <v>4.0</v>
      </c>
    </row>
    <row r="3507" ht="15.75" customHeight="1">
      <c r="A3507" s="1">
        <v>3753.0</v>
      </c>
      <c r="B3507" s="3" t="s">
        <v>3370</v>
      </c>
      <c r="C3507" s="3" t="str">
        <f>IFERROR(__xludf.DUMMYFUNCTION("GOOGLETRANSLATE(B3507,""id"",""en"")"),"['already', 'Packagein', 'telephone', 'credit', 'Taken', 'Woy', 'check', 'DIPK', 'TELKOM', 'Different', 'Results',' pulses', ' How ',' please ',' Lined ']")</f>
        <v>['already', 'Packagein', 'telephone', 'credit', 'Taken', 'Woy', 'check', 'DIPK', 'TELKOM', 'Different', 'Results',' pulses', ' How ',' please ',' Lined ']</v>
      </c>
      <c r="D3507" s="3">
        <v>1.0</v>
      </c>
    </row>
    <row r="3508" ht="15.75" customHeight="1">
      <c r="A3508" s="1">
        <v>3754.0</v>
      </c>
      <c r="B3508" s="3" t="s">
        <v>3371</v>
      </c>
      <c r="C3508" s="3" t="str">
        <f>IFERROR(__xludf.DUMMYFUNCTION("GOOGLETRANSLATE(B3508,""id"",""en"")"),"['expensive', 'signal', 'ugly', '']")</f>
        <v>['expensive', 'signal', 'ugly', '']</v>
      </c>
      <c r="D3508" s="3">
        <v>1.0</v>
      </c>
    </row>
    <row r="3509" ht="15.75" customHeight="1">
      <c r="A3509" s="1">
        <v>3755.0</v>
      </c>
      <c r="B3509" s="3" t="s">
        <v>3372</v>
      </c>
      <c r="C3509" s="3" t="str">
        <f>IFERROR(__xludf.DUMMYFUNCTION("GOOGLETRANSLATE(B3509,""id"",""en"")"),"['Increases', 'Quality', 'Sousal', '']")</f>
        <v>['Increases', 'Quality', 'Sousal', '']</v>
      </c>
      <c r="D3509" s="3">
        <v>5.0</v>
      </c>
    </row>
    <row r="3510" ht="15.75" customHeight="1">
      <c r="A3510" s="1">
        <v>3756.0</v>
      </c>
      <c r="B3510" s="3" t="s">
        <v>3373</v>
      </c>
      <c r="C3510" s="3" t="str">
        <f>IFERROR(__xludf.DUMMYFUNCTION("GOOGLETRANSLATE(B3510,""id"",""en"")"),"['Package', 'cheap', 'multiply', '']")</f>
        <v>['Package', 'cheap', 'multiply', '']</v>
      </c>
      <c r="D3510" s="3">
        <v>4.0</v>
      </c>
    </row>
    <row r="3511" ht="15.75" customHeight="1">
      <c r="A3511" s="1">
        <v>3757.0</v>
      </c>
      <c r="B3511" s="3" t="s">
        <v>3374</v>
      </c>
      <c r="C3511" s="3" t="str">
        <f>IFERROR(__xludf.DUMMYFUNCTION("GOOGLETRANSLATE(B3511,""id"",""en"")"),"['Plis', 'hurry', 'signal', 'Bener', 'school', 'online', 'tormented', 'woy', ""]")</f>
        <v>['Plis', 'hurry', 'signal', 'Bener', 'school', 'online', 'tormented', 'woy', "]</v>
      </c>
      <c r="D3511" s="3">
        <v>1.0</v>
      </c>
    </row>
    <row r="3512" ht="15.75" customHeight="1">
      <c r="A3512" s="1">
        <v>3758.0</v>
      </c>
      <c r="B3512" s="3" t="s">
        <v>3375</v>
      </c>
      <c r="C3512" s="3" t="str">
        <f>IFERROR(__xludf.DUMMYFUNCTION("GOOGLETRANSLATE(B3512,""id"",""en"")"),"['Network', 'Kayak', 'Region', '']")</f>
        <v>['Network', 'Kayak', 'Region', '']</v>
      </c>
      <c r="D3512" s="3">
        <v>1.0</v>
      </c>
    </row>
    <row r="3513" ht="15.75" customHeight="1">
      <c r="A3513" s="1">
        <v>3759.0</v>
      </c>
      <c r="B3513" s="3" t="s">
        <v>1909</v>
      </c>
      <c r="C3513" s="3" t="str">
        <f>IFERROR(__xludf.DUMMYFUNCTION("GOOGLETRANSLATE(B3513,""id"",""en"")"),"['Network', 'severe']")</f>
        <v>['Network', 'severe']</v>
      </c>
      <c r="D3513" s="3">
        <v>1.0</v>
      </c>
    </row>
    <row r="3514" ht="15.75" customHeight="1">
      <c r="A3514" s="1">
        <v>3761.0</v>
      </c>
      <c r="B3514" s="3" t="s">
        <v>3376</v>
      </c>
      <c r="C3514" s="3" t="str">
        <f>IFERROR(__xludf.DUMMYFUNCTION("GOOGLETRANSLATE(B3514,""id"",""en"")"),"['network', 'threat', 'inhibits', 'needs', 'person', ""]")</f>
        <v>['network', 'threat', 'inhibits', 'needs', 'person', "]</v>
      </c>
      <c r="D3514" s="3">
        <v>1.0</v>
      </c>
    </row>
    <row r="3515" ht="15.75" customHeight="1">
      <c r="A3515" s="1">
        <v>3762.0</v>
      </c>
      <c r="B3515" s="3" t="s">
        <v>3377</v>
      </c>
      <c r="C3515" s="3" t="str">
        <f>IFERROR(__xludf.DUMMYFUNCTION("GOOGLETRANSLATE(B3515,""id"",""en"")"),"['Region', 'Islands', 'Thousand', 'North', 'Signal', 'Anjinggggggggg', 'Severe', 'Ajj', 'Signal', 'Telkomsell', 'Babyy']")</f>
        <v>['Region', 'Islands', 'Thousand', 'North', 'Signal', 'Anjinggggggggg', 'Severe', 'Ajj', 'Signal', 'Telkomsell', 'Babyy']</v>
      </c>
      <c r="D3515" s="3">
        <v>1.0</v>
      </c>
    </row>
    <row r="3516" ht="15.75" customHeight="1">
      <c r="A3516" s="1">
        <v>3763.0</v>
      </c>
      <c r="B3516" s="3" t="s">
        <v>3378</v>
      </c>
      <c r="C3516" s="3" t="str">
        <f>IFERROR(__xludf.DUMMYFUNCTION("GOOGLETRANSLATE(B3516,""id"",""en"")"),"['Please', 'Tell', 'Change', 'anything', 'ituuu', ""]")</f>
        <v>['Please', 'Tell', 'Change', 'anything', 'ituuu', "]</v>
      </c>
      <c r="D3516" s="3">
        <v>1.0</v>
      </c>
    </row>
    <row r="3517" ht="15.75" customHeight="1">
      <c r="A3517" s="1">
        <v>3764.0</v>
      </c>
      <c r="B3517" s="3" t="s">
        <v>3379</v>
      </c>
      <c r="C3517" s="3" t="str">
        <f>IFERROR(__xludf.DUMMYFUNCTION("GOOGLETRANSLATE(B3517,""id"",""en"")"),"['Good', 'Sometimes', 'lag', '']")</f>
        <v>['Good', 'Sometimes', 'lag', '']</v>
      </c>
      <c r="D3517" s="3">
        <v>5.0</v>
      </c>
    </row>
    <row r="3518" ht="15.75" customHeight="1">
      <c r="A3518" s="1">
        <v>3765.0</v>
      </c>
      <c r="B3518" s="3" t="s">
        <v>3380</v>
      </c>
      <c r="C3518" s="3" t="str">
        <f>IFERROR(__xludf.DUMMYFUNCTION("GOOGLETRANSLATE(B3518,""id"",""en"")"),"['Network', 'Where', 'Quality', 'Lemooot', 'Night', 'Kyk', 'Dhutan', 'with you', 'Telkomsel', ""]")</f>
        <v>['Network', 'Where', 'Quality', 'Lemooot', 'Night', 'Kyk', 'Dhutan', 'with you', 'Telkomsel', "]</v>
      </c>
      <c r="D3518" s="3">
        <v>1.0</v>
      </c>
    </row>
    <row r="3519" ht="15.75" customHeight="1">
      <c r="A3519" s="1">
        <v>3766.0</v>
      </c>
      <c r="B3519" s="3" t="s">
        <v>3381</v>
      </c>
      <c r="C3519" s="3" t="str">
        <f>IFERROR(__xludf.DUMMYFUNCTION("GOOGLETRANSLATE(B3519,""id"",""en"")"),"['price', 'package', 'expensive', 'barengi', 'quality', 'signal', '']")</f>
        <v>['price', 'package', 'expensive', 'barengi', 'quality', 'signal', '']</v>
      </c>
      <c r="D3519" s="3">
        <v>1.0</v>
      </c>
    </row>
    <row r="3520" ht="15.75" customHeight="1">
      <c r="A3520" s="1">
        <v>3767.0</v>
      </c>
      <c r="B3520" s="3" t="s">
        <v>3382</v>
      </c>
      <c r="C3520" s="3" t="str">
        <f>IFERROR(__xludf.DUMMYFUNCTION("GOOGLETRANSLATE(B3520,""id"",""en"")"),"['network', 'snail', 'wonder', 'Nge', 'game', 'wrong', 'internet', 'wrong', 'disappointing', 'oath', ""]")</f>
        <v>['network', 'snail', 'wonder', 'Nge', 'game', 'wrong', 'internet', 'wrong', 'disappointing', 'oath', "]</v>
      </c>
      <c r="D3520" s="3">
        <v>1.0</v>
      </c>
    </row>
    <row r="3521" ht="15.75" customHeight="1">
      <c r="A3521" s="1">
        <v>3768.0</v>
      </c>
      <c r="B3521" s="3" t="s">
        <v>3383</v>
      </c>
      <c r="C3521" s="3" t="str">
        <f>IFERROR(__xludf.DUMMYFUNCTION("GOOGLETRANSLATE(B3521,""id"",""en"")"),"['Telcomsel', 'package', 'doang', 'expensive', 'net', 'ugly', 'anjingggggg']")</f>
        <v>['Telcomsel', 'package', 'doang', 'expensive', 'net', 'ugly', 'anjingggggg']</v>
      </c>
      <c r="D3521" s="3">
        <v>1.0</v>
      </c>
    </row>
    <row r="3522" ht="15.75" customHeight="1">
      <c r="A3522" s="1">
        <v>3769.0</v>
      </c>
      <c r="B3522" s="3" t="s">
        <v>3384</v>
      </c>
      <c r="C3522" s="3" t="str">
        <f>IFERROR(__xludf.DUMMYFUNCTION("GOOGLETRANSLATE(B3522,""id"",""en"")"),"['Network', 'Telkomsel']")</f>
        <v>['Network', 'Telkomsel']</v>
      </c>
      <c r="D3522" s="3">
        <v>5.0</v>
      </c>
    </row>
    <row r="3523" ht="15.75" customHeight="1">
      <c r="A3523" s="1">
        <v>3770.0</v>
      </c>
      <c r="B3523" s="3" t="s">
        <v>3385</v>
      </c>
      <c r="C3523" s="3" t="str">
        <f>IFERROR(__xludf.DUMMYFUNCTION("GOOGLETRANSLATE(B3523,""id"",""en"")"),"['The application', 'good', 'promo', 'bonus', 'check', '']")</f>
        <v>['The application', 'good', 'promo', 'bonus', 'check', '']</v>
      </c>
      <c r="D3523" s="3">
        <v>4.0</v>
      </c>
    </row>
    <row r="3524" ht="15.75" customHeight="1">
      <c r="A3524" s="1">
        <v>3771.0</v>
      </c>
      <c r="B3524" s="3" t="s">
        <v>3386</v>
      </c>
      <c r="C3524" s="3" t="str">
        <f>IFERROR(__xludf.DUMMYFUNCTION("GOOGLETRANSLATE(B3524,""id"",""en"")"),"['card', 'tahi', 'expensive', 'network', 'ngellag', 'mintak', 'forgiveness', 'ngalotak', 'card', 'tahii', 'ngtd']")</f>
        <v>['card', 'tahi', 'expensive', 'network', 'ngellag', 'mintak', 'forgiveness', 'ngalotak', 'card', 'tahii', 'ngtd']</v>
      </c>
      <c r="D3524" s="3">
        <v>1.0</v>
      </c>
    </row>
    <row r="3525" ht="15.75" customHeight="1">
      <c r="A3525" s="1">
        <v>3772.0</v>
      </c>
      <c r="B3525" s="3" t="s">
        <v>3387</v>
      </c>
      <c r="C3525" s="3" t="str">
        <f>IFERROR(__xludf.DUMMYFUNCTION("GOOGLETRANSLATE(B3525,""id"",""en"")"),"['Lottery', 'Points', 'Telkomsel', 'Win']")</f>
        <v>['Lottery', 'Points', 'Telkomsel', 'Win']</v>
      </c>
      <c r="D3525" s="3">
        <v>3.0</v>
      </c>
    </row>
    <row r="3526" ht="15.75" customHeight="1">
      <c r="A3526" s="1">
        <v>3773.0</v>
      </c>
      <c r="B3526" s="3" t="s">
        <v>3388</v>
      </c>
      <c r="C3526" s="3" t="str">
        <f>IFERROR(__xludf.DUMMYFUNCTION("GOOGLETRANSLATE(B3526,""id"",""en"")"),"['hope', 'bonus', 'telephone', 'quota', 'internet']")</f>
        <v>['hope', 'bonus', 'telephone', 'quota', 'internet']</v>
      </c>
      <c r="D3526" s="3">
        <v>4.0</v>
      </c>
    </row>
    <row r="3527" ht="15.75" customHeight="1">
      <c r="A3527" s="1">
        <v>3774.0</v>
      </c>
      <c r="B3527" s="3" t="s">
        <v>3389</v>
      </c>
      <c r="C3527" s="3" t="str">
        <f>IFERROR(__xludf.DUMMYFUNCTION("GOOGLETRANSLATE(B3527,""id"",""en"")"),"['Good', 'Cok']")</f>
        <v>['Good', 'Cok']</v>
      </c>
      <c r="D3527" s="3">
        <v>5.0</v>
      </c>
    </row>
    <row r="3528" ht="15.75" customHeight="1">
      <c r="A3528" s="1">
        <v>3775.0</v>
      </c>
      <c r="B3528" s="3" t="s">
        <v>3390</v>
      </c>
      <c r="C3528" s="3" t="str">
        <f>IFERROR(__xludf.DUMMYFUNCTION("GOOGLETRANSLATE(B3528,""id"",""en"")"),"['Package', 'unlimited', 'GB', 'thousand', 'buy', 'access', 'information', 'buy', 'product', 'buy', 'trs', 'what' do ',' Pajang ',' ']")</f>
        <v>['Package', 'unlimited', 'GB', 'thousand', 'buy', 'access', 'information', 'buy', 'product', 'buy', 'trs', 'what' do ',' Pajang ',' ']</v>
      </c>
      <c r="D3528" s="3">
        <v>1.0</v>
      </c>
    </row>
    <row r="3529" ht="15.75" customHeight="1">
      <c r="A3529" s="1">
        <v>3776.0</v>
      </c>
      <c r="B3529" s="3" t="s">
        <v>3391</v>
      </c>
      <c r="C3529" s="3" t="str">
        <f>IFERROR(__xludf.DUMMYFUNCTION("GOOGLETRANSLATE(B3529,""id"",""en"")"),"['application', 'easy']")</f>
        <v>['application', 'easy']</v>
      </c>
      <c r="D3529" s="3">
        <v>5.0</v>
      </c>
    </row>
    <row r="3530" ht="15.75" customHeight="1">
      <c r="A3530" s="1">
        <v>3777.0</v>
      </c>
      <c r="B3530" s="3" t="s">
        <v>3392</v>
      </c>
      <c r="C3530" s="3" t="str">
        <f>IFERROR(__xludf.DUMMYFUNCTION("GOOGLETRANSLATE(B3530,""id"",""en"")"),"['OK good']")</f>
        <v>['OK good']</v>
      </c>
      <c r="D3530" s="3">
        <v>5.0</v>
      </c>
    </row>
    <row r="3531" ht="15.75" customHeight="1">
      <c r="A3531" s="1">
        <v>3778.0</v>
      </c>
      <c r="B3531" s="3" t="s">
        <v>3393</v>
      </c>
      <c r="C3531" s="3" t="str">
        <f>IFERROR(__xludf.DUMMYFUNCTION("GOOGLETRANSLATE(B3531,""id"",""en"")"),"['Level', 'service']")</f>
        <v>['Level', 'service']</v>
      </c>
      <c r="D3531" s="3">
        <v>3.0</v>
      </c>
    </row>
    <row r="3532" ht="15.75" customHeight="1">
      <c r="A3532" s="1">
        <v>3779.0</v>
      </c>
      <c r="B3532" s="3" t="s">
        <v>3394</v>
      </c>
      <c r="C3532" s="3" t="str">
        <f>IFERROR(__xludf.DUMMYFUNCTION("GOOGLETRANSLATE(B3532,""id"",""en"")"),"['Application', 'like', 'Error', 'Kersal', 'I']")</f>
        <v>['Application', 'like', 'Error', 'Kersal', 'I']</v>
      </c>
      <c r="D3532" s="3">
        <v>1.0</v>
      </c>
    </row>
    <row r="3533" ht="15.75" customHeight="1">
      <c r="A3533" s="1">
        <v>3780.0</v>
      </c>
      <c r="B3533" s="3" t="s">
        <v>3395</v>
      </c>
      <c r="C3533" s="3" t="str">
        <f>IFERROR(__xludf.DUMMYFUNCTION("GOOGLETRANSLATE(B3533,""id"",""en"")"),"['love', 'star', 'signal', 'ugly', 'price', 'expensive', 'disappointed', 'quality']")</f>
        <v>['love', 'star', 'signal', 'ugly', 'price', 'expensive', 'disappointed', 'quality']</v>
      </c>
      <c r="D3533" s="3">
        <v>1.0</v>
      </c>
    </row>
    <row r="3534" ht="15.75" customHeight="1">
      <c r="A3534" s="1">
        <v>3781.0</v>
      </c>
      <c r="B3534" s="3" t="s">
        <v>3396</v>
      </c>
      <c r="C3534" s="3" t="str">
        <f>IFERROR(__xludf.DUMMYFUNCTION("GOOGLETRANSLATE(B3534,""id"",""en"")"),"['please', 'Telkomsel', 'fix', 'signal', 'yes',' sometimes', 'dapet', 'promo', 'cheap', 'signal', 'ugly', 'learning', ' Online ',' difficult ',' bnget ',' just ',' send ',' photo ',' 4 hours', 'clock']")</f>
        <v>['please', 'Telkomsel', 'fix', 'signal', 'yes',' sometimes', 'dapet', 'promo', 'cheap', 'signal', 'ugly', 'learning', ' Online ',' difficult ',' bnget ',' just ',' send ',' photo ',' 4 hours', 'clock']</v>
      </c>
      <c r="D3534" s="3">
        <v>1.0</v>
      </c>
    </row>
    <row r="3535" ht="15.75" customHeight="1">
      <c r="A3535" s="1">
        <v>3782.0</v>
      </c>
      <c r="B3535" s="3" t="s">
        <v>3397</v>
      </c>
      <c r="C3535" s="3" t="str">
        <f>IFERROR(__xludf.DUMMYFUNCTION("GOOGLETRANSLATE(B3535,""id"",""en"")"),"['like']")</f>
        <v>['like']</v>
      </c>
      <c r="D3535" s="3">
        <v>5.0</v>
      </c>
    </row>
    <row r="3536" ht="15.75" customHeight="1">
      <c r="A3536" s="1">
        <v>3783.0</v>
      </c>
      <c r="B3536" s="3" t="s">
        <v>3398</v>
      </c>
      <c r="C3536" s="3" t="str">
        <f>IFERROR(__xludf.DUMMYFUNCTION("GOOGLETRANSLATE(B3536,""id"",""en"")"),"['Like', 'Application', 'Love', 'You']")</f>
        <v>['Like', 'Application', 'Love', 'You']</v>
      </c>
      <c r="D3536" s="3">
        <v>4.0</v>
      </c>
    </row>
    <row r="3537" ht="15.75" customHeight="1">
      <c r="A3537" s="1">
        <v>3784.0</v>
      </c>
      <c r="B3537" s="3" t="s">
        <v>3399</v>
      </c>
      <c r="C3537" s="3" t="str">
        <f>IFERROR(__xludf.DUMMYFUNCTION("GOOGLETRANSLATE(B3537,""id"",""en"")"),"['Easy', 'Indication']")</f>
        <v>['Easy', 'Indication']</v>
      </c>
      <c r="D3537" s="3">
        <v>5.0</v>
      </c>
    </row>
    <row r="3538" ht="15.75" customHeight="1">
      <c r="A3538" s="1">
        <v>3785.0</v>
      </c>
      <c r="B3538" s="3" t="s">
        <v>3400</v>
      </c>
      <c r="C3538" s="3" t="str">
        <f>IFERROR(__xludf.DUMMYFUNCTION("GOOGLETRANSLATE(B3538,""id"",""en"")"),"['Help', 'Purchase', 'Pusa', 'Quota', 'Internet']")</f>
        <v>['Help', 'Purchase', 'Pusa', 'Quota', 'Internet']</v>
      </c>
      <c r="D3538" s="3">
        <v>5.0</v>
      </c>
    </row>
    <row r="3539" ht="15.75" customHeight="1">
      <c r="A3539" s="1">
        <v>3786.0</v>
      </c>
      <c r="B3539" s="3" t="s">
        <v>3401</v>
      </c>
      <c r="C3539" s="3" t="str">
        <f>IFERROR(__xludf.DUMMYFUNCTION("GOOGLETRANSLATE(B3539,""id"",""en"")"),"['Application', 'steady', '']")</f>
        <v>['Application', 'steady', '']</v>
      </c>
      <c r="D3539" s="3">
        <v>5.0</v>
      </c>
    </row>
    <row r="3540" ht="15.75" customHeight="1">
      <c r="A3540" s="1">
        <v>3787.0</v>
      </c>
      <c r="B3540" s="3" t="s">
        <v>3402</v>
      </c>
      <c r="C3540" s="3" t="str">
        <f>IFERROR(__xludf.DUMMYFUNCTION("GOOGLETRANSLATE(B3540,""id"",""en"")"),"['Please', 'for a while', 'for a while', 'credit', 'loan', 'comfortable', 'intentionally', 'touch', 'loan', 'borrow', 'quota', 'annoying', ' thanks']")</f>
        <v>['Please', 'for a while', 'for a while', 'credit', 'loan', 'comfortable', 'intentionally', 'touch', 'loan', 'borrow', 'quota', 'annoying', ' thanks']</v>
      </c>
      <c r="D3540" s="3">
        <v>1.0</v>
      </c>
    </row>
    <row r="3541" ht="15.75" customHeight="1">
      <c r="A3541" s="1">
        <v>3788.0</v>
      </c>
      <c r="B3541" s="3" t="s">
        <v>2222</v>
      </c>
      <c r="C3541" s="3" t="str">
        <f>IFERROR(__xludf.DUMMYFUNCTION("GOOGLETRANSLATE(B3541,""id"",""en"")"),"['Satisfied', 'Telkomsel']")</f>
        <v>['Satisfied', 'Telkomsel']</v>
      </c>
      <c r="D3541" s="3">
        <v>4.0</v>
      </c>
    </row>
    <row r="3542" ht="15.75" customHeight="1">
      <c r="A3542" s="1">
        <v>3789.0</v>
      </c>
      <c r="B3542" s="3" t="s">
        <v>3403</v>
      </c>
      <c r="C3542" s="3" t="str">
        <f>IFERROR(__xludf.DUMMYFUNCTION("GOOGLETRANSLATE(B3542,""id"",""en"")"),"['Keep']")</f>
        <v>['Keep']</v>
      </c>
      <c r="D3542" s="3">
        <v>5.0</v>
      </c>
    </row>
    <row r="3543" ht="15.75" customHeight="1">
      <c r="A3543" s="1">
        <v>3790.0</v>
      </c>
      <c r="B3543" s="3" t="s">
        <v>3404</v>
      </c>
      <c r="C3543" s="3" t="str">
        <f>IFERROR(__xludf.DUMMYFUNCTION("GOOGLETRANSLATE(B3543,""id"",""en"")"),"['signal', 'network', 'strong']")</f>
        <v>['signal', 'network', 'strong']</v>
      </c>
      <c r="D3543" s="3">
        <v>5.0</v>
      </c>
    </row>
    <row r="3544" ht="15.75" customHeight="1">
      <c r="A3544" s="1">
        <v>3791.0</v>
      </c>
      <c r="B3544" s="3" t="s">
        <v>3405</v>
      </c>
      <c r="C3544" s="3" t="str">
        <f>IFERROR(__xludf.DUMMYFUNCTION("GOOGLETRANSLATE(B3544,""id"",""en"")"),"['sekrang', 'Telkomsel', 'slow', 'really', '']")</f>
        <v>['sekrang', 'Telkomsel', 'slow', 'really', '']</v>
      </c>
      <c r="D3544" s="3">
        <v>2.0</v>
      </c>
    </row>
    <row r="3545" ht="15.75" customHeight="1">
      <c r="A3545" s="1">
        <v>3792.0</v>
      </c>
      <c r="B3545" s="3" t="s">
        <v>3406</v>
      </c>
      <c r="C3545" s="3" t="str">
        <f>IFERROR(__xludf.DUMMYFUNCTION("GOOGLETRANSLATE(B3545,""id"",""en"")"),"['Application', 'Useful', 'Thank', 'Love']")</f>
        <v>['Application', 'Useful', 'Thank', 'Love']</v>
      </c>
      <c r="D3545" s="3">
        <v>5.0</v>
      </c>
    </row>
    <row r="3546" ht="15.75" customHeight="1">
      <c r="A3546" s="1">
        <v>3793.0</v>
      </c>
      <c r="B3546" s="3" t="s">
        <v>3407</v>
      </c>
      <c r="C3546" s="3" t="str">
        <f>IFERROR(__xludf.DUMMYFUNCTION("GOOGLETRANSLATE(B3546,""id"",""en"")"),"['Love', 'Package', 'GB', 'thousand']")</f>
        <v>['Love', 'Package', 'GB', 'thousand']</v>
      </c>
      <c r="D3546" s="3">
        <v>5.0</v>
      </c>
    </row>
    <row r="3547" ht="15.75" customHeight="1">
      <c r="A3547" s="1">
        <v>3794.0</v>
      </c>
      <c r="B3547" s="3" t="s">
        <v>3408</v>
      </c>
      <c r="C3547" s="3" t="str">
        <f>IFERROR(__xludf.DUMMYFUNCTION("GOOGLETRANSLATE(B3547,""id"",""en"")"),"['Team', 'Telkomsel', 'on duty', 'respect', 'Adi', 'Prayoga', 'Sorry', 'Sayings',' Yesterday ',' Delicious', 'Listen', 'Realizing', ' Selenen ',' deed ',' said ',' yesterday ',' worth ',' Say ',' bybunka ',' private ',' sorry ',' magnitude ', ""]")</f>
        <v>['Team', 'Telkomsel', 'on duty', 'respect', 'Adi', 'Prayoga', 'Sorry', 'Sayings',' Yesterday ',' Delicious', 'Listen', 'Realizing', ' Selenen ',' deed ',' said ',' yesterday ',' worth ',' Say ',' bybunka ',' private ',' sorry ',' magnitude ', "]</v>
      </c>
      <c r="D3547" s="3">
        <v>5.0</v>
      </c>
    </row>
    <row r="3548" ht="15.75" customHeight="1">
      <c r="A3548" s="1">
        <v>3795.0</v>
      </c>
      <c r="B3548" s="3" t="s">
        <v>3409</v>
      </c>
      <c r="C3548" s="3" t="str">
        <f>IFERROR(__xludf.DUMMYFUNCTION("GOOGLETRANSLATE(B3548,""id"",""en"")"),"['It's easy', 'business', 'check', 'check', 'helped', 'thanks', 'dumped']")</f>
        <v>['It's easy', 'business', 'check', 'check', 'helped', 'thanks', 'dumped']</v>
      </c>
      <c r="D3548" s="3">
        <v>4.0</v>
      </c>
    </row>
    <row r="3549" ht="15.75" customHeight="1">
      <c r="A3549" s="1">
        <v>3796.0</v>
      </c>
      <c r="B3549" s="3" t="s">
        <v>3410</v>
      </c>
      <c r="C3549" s="3" t="str">
        <f>IFERROR(__xludf.DUMMYFUNCTION("GOOGLETRANSLATE(B3549,""id"",""en"")"),"['Telkomsel', 'network', 'slow', 'debate', 'upgraded', 'forward', 'because', 'user', 'loyal', 'card', 'Telkomsel', 'disappointed', ' Users', 'repaired']")</f>
        <v>['Telkomsel', 'network', 'slow', 'debate', 'upgraded', 'forward', 'because', 'user', 'loyal', 'card', 'Telkomsel', 'disappointed', ' Users', 'repaired']</v>
      </c>
      <c r="D3549" s="3">
        <v>1.0</v>
      </c>
    </row>
    <row r="3550" ht="15.75" customHeight="1">
      <c r="A3550" s="1">
        <v>3797.0</v>
      </c>
      <c r="B3550" s="3" t="s">
        <v>3411</v>
      </c>
      <c r="C3550" s="3" t="str">
        <f>IFERROR(__xludf.DUMMYFUNCTION("GOOGLETRANSLATE(B3550,""id"",""en"")"),"['Telkomsel', 'True', 'Thanks', '']")</f>
        <v>['Telkomsel', 'True', 'Thanks', '']</v>
      </c>
      <c r="D3550" s="3">
        <v>5.0</v>
      </c>
    </row>
    <row r="3551" ht="15.75" customHeight="1">
      <c r="A3551" s="1">
        <v>3798.0</v>
      </c>
      <c r="B3551" s="3" t="s">
        <v>3412</v>
      </c>
      <c r="C3551" s="3" t="str">
        <f>IFERROR(__xludf.DUMMYFUNCTION("GOOGLETRANSLATE(B3551,""id"",""en"")"),"['Network', 'Telkomsel', 'BURIK', 'MOVER', 'MAKE', 'Quota', 'Doly "",' expensive ',' Sorry ',' Mending ',' Change ',' card ',' rich ',' gini ',' signal ',' disappointed ',' according to ',' price ',' package ',' expensive ',' the network ', ""]")</f>
        <v>['Network', 'Telkomsel', 'BURIK', 'MOVER', 'MAKE', 'Quota', 'Doly ",' expensive ',' Sorry ',' Mending ',' Change ',' card ',' rich ',' gini ',' signal ',' disappointed ',' according to ',' price ',' package ',' expensive ',' the network ', "]</v>
      </c>
      <c r="D3551" s="3">
        <v>1.0</v>
      </c>
    </row>
    <row r="3552" ht="15.75" customHeight="1">
      <c r="A3552" s="1">
        <v>3799.0</v>
      </c>
      <c r="B3552" s="3" t="s">
        <v>3413</v>
      </c>
      <c r="C3552" s="3" t="str">
        <f>IFERROR(__xludf.DUMMYFUNCTION("GOOGLETRANSLATE(B3552,""id"",""en"")"),"['Please', 'Sorry', 'made', 'card', 'Perdana', 'simPATI', 'number', 'number', 'missing', 'number', 'contact', 'data', ' private ',' missing ',' fell ',' height ',' building ',' search ',' meet ',' beg ',' info ',' thank you ']")</f>
        <v>['Please', 'Sorry', 'made', 'card', 'Perdana', 'simPATI', 'number', 'number', 'missing', 'number', 'contact', 'data', ' private ',' missing ',' fell ',' height ',' building ',' search ',' meet ',' beg ',' info ',' thank you ']</v>
      </c>
      <c r="D3552" s="3">
        <v>4.0</v>
      </c>
    </row>
    <row r="3553" ht="15.75" customHeight="1">
      <c r="A3553" s="1">
        <v>3800.0</v>
      </c>
      <c r="B3553" s="3" t="s">
        <v>3414</v>
      </c>
      <c r="C3553" s="3" t="str">
        <f>IFERROR(__xludf.DUMMYFUNCTION("GOOGLETRANSLATE(B3553,""id"",""en"")"),"['Woyy', 'how', 'Stalliin', 'Package', 'Internet']")</f>
        <v>['Woyy', 'how', 'Stalliin', 'Package', 'Internet']</v>
      </c>
      <c r="D3553" s="3">
        <v>1.0</v>
      </c>
    </row>
    <row r="3554" ht="15.75" customHeight="1">
      <c r="A3554" s="1">
        <v>3801.0</v>
      </c>
      <c r="B3554" s="3" t="s">
        <v>3415</v>
      </c>
      <c r="C3554" s="3" t="str">
        <f>IFERROR(__xludf.DUMMYFUNCTION("GOOGLETRANSLATE(B3554,""id"",""en"")"),"['Lemot', 'Telkomsel', 'Severe', 'expensive', 'Doang', 'Hadeuh']")</f>
        <v>['Lemot', 'Telkomsel', 'Severe', 'expensive', 'Doang', 'Hadeuh']</v>
      </c>
      <c r="D3554" s="3">
        <v>1.0</v>
      </c>
    </row>
    <row r="3555" ht="15.75" customHeight="1">
      <c r="A3555" s="1">
        <v>3802.0</v>
      </c>
      <c r="B3555" s="3" t="s">
        <v>3416</v>
      </c>
      <c r="C3555" s="3" t="str">
        <f>IFERROR(__xludf.DUMMYFUNCTION("GOOGLETRANSLATE(B3555,""id"",""en"")"),"['Severe', 'network', 'Telkomsel', 'lose', 'competitors', 'competitors', 'Please', 'fix', 'as fast']")</f>
        <v>['Severe', 'network', 'Telkomsel', 'lose', 'competitors', 'competitors', 'Please', 'fix', 'as fast']</v>
      </c>
      <c r="D3555" s="3">
        <v>1.0</v>
      </c>
    </row>
    <row r="3556" ht="15.75" customHeight="1">
      <c r="A3556" s="1">
        <v>3803.0</v>
      </c>
      <c r="B3556" s="3" t="s">
        <v>3417</v>
      </c>
      <c r="C3556" s="3" t="str">
        <f>IFERROR(__xludf.DUMMYFUNCTION("GOOGLETRANSLATE(B3556,""id"",""en"")"),"['Telekomsel', 'Pakek', 'Features',' Save ',' Credit ',' Provider ',' Pakek ',' Credit ',' Safe ',' Sumpot ',' Credit ',' right ',' Quota ',' Internet ',' Abis', 'Please', 'Respond', 'Credit', 'Sumpot', 'Min', 'Pas',' Internet ',' Abis', 'Save', 'Credit' "&amp;"]")</f>
        <v>['Telekomsel', 'Pakek', 'Features',' Save ',' Credit ',' Provider ',' Pakek ',' Credit ',' Safe ',' Sumpot ',' Credit ',' right ',' Quota ',' Internet ',' Abis', 'Please', 'Respond', 'Credit', 'Sumpot', 'Min', 'Pas',' Internet ',' Abis', 'Save', 'Credit' ]</v>
      </c>
      <c r="D3556" s="3">
        <v>1.0</v>
      </c>
    </row>
    <row r="3557" ht="15.75" customHeight="1">
      <c r="A3557" s="1">
        <v>3804.0</v>
      </c>
      <c r="B3557" s="3" t="s">
        <v>3418</v>
      </c>
      <c r="C3557" s="3" t="str">
        <f>IFERROR(__xludf.DUMMYFUNCTION("GOOGLETRANSLATE(B3557,""id"",""en"")"),"['call', 'phone', 'nampilin', 'leftover', 'pulse', 'jdi', 'uncomfortable']")</f>
        <v>['call', 'phone', 'nampilin', 'leftover', 'pulse', 'jdi', 'uncomfortable']</v>
      </c>
      <c r="D3557" s="3">
        <v>3.0</v>
      </c>
    </row>
    <row r="3558" ht="15.75" customHeight="1">
      <c r="A3558" s="1">
        <v>3805.0</v>
      </c>
      <c r="B3558" s="3" t="s">
        <v>3419</v>
      </c>
      <c r="C3558" s="3" t="str">
        <f>IFERROR(__xludf.DUMMYFUNCTION("GOOGLETRANSLATE(B3558,""id"",""en"")"),"['', 'Severe', 'Package', 'Cheap', 'Mantap']")</f>
        <v>['', 'Severe', 'Package', 'Cheap', 'Mantap']</v>
      </c>
      <c r="D3558" s="3">
        <v>5.0</v>
      </c>
    </row>
    <row r="3559" ht="15.75" customHeight="1">
      <c r="A3559" s="1">
        <v>3806.0</v>
      </c>
      <c r="B3559" s="3" t="s">
        <v>3420</v>
      </c>
      <c r="C3559" s="3" t="str">
        <f>IFERROR(__xludf.DUMMYFUNCTION("GOOGLETRANSLATE(B3559,""id"",""en"")"),"['quota', 'unlimited', 'Telkomsel', 'star', 'share', 'friend', 'family', 'mytelkomsel', 'pleaseee']")</f>
        <v>['quota', 'unlimited', 'Telkomsel', 'star', 'share', 'friend', 'family', 'mytelkomsel', 'pleaseee']</v>
      </c>
      <c r="D3559" s="3">
        <v>5.0</v>
      </c>
    </row>
    <row r="3560" ht="15.75" customHeight="1">
      <c r="A3560" s="1">
        <v>3807.0</v>
      </c>
      <c r="B3560" s="3" t="s">
        <v>3421</v>
      </c>
      <c r="C3560" s="3" t="str">
        <f>IFERROR(__xludf.DUMMYFUNCTION("GOOGLETRANSLATE(B3560,""id"",""en"")"),"['package', 'quota', 'data', 'multimedia', 'pktan', 'trap', 'ala', 'Telkomsel', 'package', 'use']")</f>
        <v>['package', 'quota', 'data', 'multimedia', 'pktan', 'trap', 'ala', 'Telkomsel', 'package', 'use']</v>
      </c>
      <c r="D3560" s="3">
        <v>1.0</v>
      </c>
    </row>
    <row r="3561" ht="15.75" customHeight="1">
      <c r="A3561" s="1">
        <v>3808.0</v>
      </c>
      <c r="B3561" s="3" t="s">
        <v>3422</v>
      </c>
      <c r="C3561" s="3" t="str">
        <f>IFERROR(__xludf.DUMMYFUNCTION("GOOGLETRANSLATE(B3561,""id"",""en"")"),"['Update', 'Application', 'Nonya', 'No', 'Entered', 'Please', 'Repaired', 'Program', 'The Application', 'No', 'Please', 'make it', ' features', 'application', 'track', 'automatically', 'no', 'comfortable', 'really', 'thank you', '']")</f>
        <v>['Update', 'Application', 'Nonya', 'No', 'Entered', 'Please', 'Repaired', 'Program', 'The Application', 'No', 'Please', 'make it', ' features', 'application', 'track', 'automatically', 'no', 'comfortable', 'really', 'thank you', '']</v>
      </c>
      <c r="D3561" s="3">
        <v>1.0</v>
      </c>
    </row>
    <row r="3562" ht="15.75" customHeight="1">
      <c r="A3562" s="1">
        <v>3809.0</v>
      </c>
      <c r="B3562" s="3" t="s">
        <v>3423</v>
      </c>
      <c r="C3562" s="3" t="str">
        <f>IFERROR(__xludf.DUMMYFUNCTION("GOOGLETRANSLATE(B3562,""id"",""en"")"),"['kntle', 'emmg', 'credit', 'cave', 'hbis',' little ',' stolen ',' makai ',' data ',' telkom ',' save ',' pulses', ' buy ',' package ',' stolen ',' pulse ',' disappointed ',' UDH ',' corrupt ']")</f>
        <v>['kntle', 'emmg', 'credit', 'cave', 'hbis',' little ',' stolen ',' makai ',' data ',' telkom ',' save ',' pulses', ' buy ',' package ',' stolen ',' pulse ',' disappointed ',' UDH ',' corrupt ']</v>
      </c>
      <c r="D3562" s="3">
        <v>1.0</v>
      </c>
    </row>
    <row r="3563" ht="15.75" customHeight="1">
      <c r="A3563" s="1">
        <v>3810.0</v>
      </c>
      <c r="B3563" s="3" t="s">
        <v>3424</v>
      </c>
      <c r="C3563" s="3" t="str">
        <f>IFERROR(__xludf.DUMMYFUNCTION("GOOGLETRANSLATE(B3563,""id"",""en"")"),"['The application', 'easy']")</f>
        <v>['The application', 'easy']</v>
      </c>
      <c r="D3563" s="3">
        <v>5.0</v>
      </c>
    </row>
    <row r="3564" ht="15.75" customHeight="1">
      <c r="A3564" s="1">
        <v>3811.0</v>
      </c>
      <c r="B3564" s="3" t="s">
        <v>3425</v>
      </c>
      <c r="C3564" s="3" t="str">
        <f>IFERROR(__xludf.DUMMYFUNCTION("GOOGLETRANSLATE(B3564,""id"",""en"")"),"['thank', 'love', 'heart']")</f>
        <v>['thank', 'love', 'heart']</v>
      </c>
      <c r="D3564" s="3">
        <v>5.0</v>
      </c>
    </row>
    <row r="3565" ht="15.75" customHeight="1">
      <c r="A3565" s="1">
        <v>3812.0</v>
      </c>
      <c r="B3565" s="3" t="s">
        <v>3426</v>
      </c>
      <c r="C3565" s="3" t="str">
        <f>IFERROR(__xludf.DUMMYFUNCTION("GOOGLETRANSLATE(B3565,""id"",""en"")"),"['Review', 'missing', 'strange', 'watch out', 'heart', 'promo', 'point', 'Telkomsel', '']")</f>
        <v>['Review', 'missing', 'strange', 'watch out', 'heart', 'promo', 'point', 'Telkomsel', '']</v>
      </c>
      <c r="D3565" s="3">
        <v>1.0</v>
      </c>
    </row>
    <row r="3566" ht="15.75" customHeight="1">
      <c r="A3566" s="1">
        <v>3813.0</v>
      </c>
      <c r="B3566" s="3" t="s">
        <v>3427</v>
      </c>
      <c r="C3566" s="3" t="str">
        <f>IFERROR(__xludf.DUMMYFUNCTION("GOOGLETRANSLATE(B3566,""id"",""en"")"),"['disappointed', 'heavy', 'Telkomsel', 'price', 'signal', 'so', 'open', 'quota', 'dead', 'lights',' signal ',' ilang ',' Liat ',' Noh ',' Indosat ',' right ',' dead ',' lights', 'signal', 'good', 'Telkomsel', 'signal', 'minimal', 'signal', 'ugly' , 'lack "&amp;"of', 'price']")</f>
        <v>['disappointed', 'heavy', 'Telkomsel', 'price', 'signal', 'so', 'open', 'quota', 'dead', 'lights',' signal ',' ilang ',' Liat ',' Noh ',' Indosat ',' right ',' dead ',' lights', 'signal', 'good', 'Telkomsel', 'signal', 'minimal', 'signal', 'ugly' , 'lack of', 'price']</v>
      </c>
      <c r="D3566" s="3">
        <v>1.0</v>
      </c>
    </row>
    <row r="3567" ht="15.75" customHeight="1">
      <c r="A3567" s="1">
        <v>3814.0</v>
      </c>
      <c r="B3567" s="3" t="s">
        <v>3428</v>
      </c>
      <c r="C3567" s="3" t="str">
        <f>IFERROR(__xludf.DUMMYFUNCTION("GOOGLETRANSLATE(B3567,""id"",""en"")"),"['buy', 'Package', 'Instagram', 'Purchase', 'Credit', 'Reduced', 'How', 'Telkomsel', 'Karen', 'Need', 'Package', 'Combo', ' Sakti ',' Buy ',' Package ',' Combo ',' Sakti ',' Expenditures', 'Increases',' Telkomsel ',' Cancel ',' Purchase ',' Package ',' In"&amp;"stagram ',' Kasi ' , 'Bintang', 'buy', 'reduction', 'star', 'do', 'as', 'form', 'complement', ""]")</f>
        <v>['buy', 'Package', 'Instagram', 'Purchase', 'Credit', 'Reduced', 'How', 'Telkomsel', 'Karen', 'Need', 'Package', 'Combo', ' Sakti ',' Buy ',' Package ',' Combo ',' Sakti ',' Expenditures', 'Increases',' Telkomsel ',' Cancel ',' Purchase ',' Package ',' Instagram ',' Kasi ' , 'Bintang', 'buy', 'reduction', 'star', 'do', 'as', 'form', 'complement', "]</v>
      </c>
      <c r="D3567" s="3">
        <v>1.0</v>
      </c>
    </row>
    <row r="3568" ht="15.75" customHeight="1">
      <c r="A3568" s="1">
        <v>3816.0</v>
      </c>
      <c r="B3568" s="3" t="s">
        <v>3429</v>
      </c>
      <c r="C3568" s="3" t="str">
        <f>IFERROR(__xludf.DUMMYFUNCTION("GOOGLETRANSLATE(B3568,""id"",""en"")"),"['Application', 'Good', 'Sorry', 'Review', 'Yesterday']")</f>
        <v>['Application', 'Good', 'Sorry', 'Review', 'Yesterday']</v>
      </c>
      <c r="D3568" s="3">
        <v>5.0</v>
      </c>
    </row>
    <row r="3569" ht="15.75" customHeight="1">
      <c r="A3569" s="1">
        <v>3817.0</v>
      </c>
      <c r="B3569" s="3" t="s">
        <v>3430</v>
      </c>
      <c r="C3569" s="3" t="str">
        <f>IFERROR(__xludf.DUMMYFUNCTION("GOOGLETRANSLATE(B3569,""id"",""en"")"),"['Claim', 'quota', 'GB', 'Error', 'repeated', 'Claims',' times', 'opened', 'Daily', 'Chekin', 'Bonus',' Considered ',' Additions', 'Packages',' I'll be ',' application ',' fraudsters']")</f>
        <v>['Claim', 'quota', 'GB', 'Error', 'repeated', 'Claims',' times', 'opened', 'Daily', 'Chekin', 'Bonus',' Considered ',' Additions', 'Packages',' I'll be ',' application ',' fraudsters']</v>
      </c>
      <c r="D3569" s="3">
        <v>1.0</v>
      </c>
    </row>
    <row r="3570" ht="15.75" customHeight="1">
      <c r="A3570" s="1">
        <v>3818.0</v>
      </c>
      <c r="B3570" s="3" t="s">
        <v>3431</v>
      </c>
      <c r="C3570" s="3" t="str">
        <f>IFERROR(__xludf.DUMMYFUNCTION("GOOGLETRANSLATE(B3570,""id"",""en"")"),"['Registration', 'difficult', 'number', 'active', 'check', 'Telkomsel', 'card', 'BLI', 'parahhh']")</f>
        <v>['Registration', 'difficult', 'number', 'active', 'check', 'Telkomsel', 'card', 'BLI', 'parahhh']</v>
      </c>
      <c r="D3570" s="3">
        <v>3.0</v>
      </c>
    </row>
    <row r="3571" ht="15.75" customHeight="1">
      <c r="A3571" s="1">
        <v>3820.0</v>
      </c>
      <c r="B3571" s="3" t="s">
        <v>3432</v>
      </c>
      <c r="C3571" s="3" t="str">
        <f>IFERROR(__xludf.DUMMYFUNCTION("GOOGLETRANSLATE(B3571,""id"",""en"")"),"['Good', 'really', 'please', 'promo', 'point', 'exchange', 'quota', 'varied', 'cheap', 'example', 'point', 'GB', ' Cool ',' TPI ',' Dear ',' Wrong ',' a month ',' apply ',' good ',' a week ',' thank ',' love ',' Telkomsel ', ""]")</f>
        <v>['Good', 'really', 'please', 'promo', 'point', 'exchange', 'quota', 'varied', 'cheap', 'example', 'point', 'GB', ' Cool ',' TPI ',' Dear ',' Wrong ',' a month ',' apply ',' good ',' a week ',' thank ',' love ',' Telkomsel ', "]</v>
      </c>
      <c r="D3571" s="3">
        <v>4.0</v>
      </c>
    </row>
    <row r="3572" ht="15.75" customHeight="1">
      <c r="A3572" s="1">
        <v>3821.0</v>
      </c>
      <c r="B3572" s="3" t="s">
        <v>3433</v>
      </c>
      <c r="C3572" s="3" t="str">
        <f>IFERROR(__xludf.DUMMYFUNCTION("GOOGLETRANSLATE(B3572,""id"",""en"")"),"['Good', 'Kya', 'dlu']")</f>
        <v>['Good', 'Kya', 'dlu']</v>
      </c>
      <c r="D3572" s="3">
        <v>3.0</v>
      </c>
    </row>
    <row r="3573" ht="15.75" customHeight="1">
      <c r="A3573" s="1">
        <v>3822.0</v>
      </c>
      <c r="B3573" s="3" t="s">
        <v>3434</v>
      </c>
      <c r="C3573" s="3" t="str">
        <f>IFERROR(__xludf.DUMMYFUNCTION("GOOGLETRANSLATE(B3573,""id"",""en"")"),"['territory', 'Indonesia', 'East', 'price', 'package', 'expensive']")</f>
        <v>['territory', 'Indonesia', 'East', 'price', 'package', 'expensive']</v>
      </c>
      <c r="D3573" s="3">
        <v>4.0</v>
      </c>
    </row>
    <row r="3574" ht="15.75" customHeight="1">
      <c r="A3574" s="1">
        <v>3823.0</v>
      </c>
      <c r="B3574" s="3" t="s">
        <v>3435</v>
      </c>
      <c r="C3574" s="3" t="str">
        <f>IFERROR(__xludf.DUMMYFUNCTION("GOOGLETRANSLATE(B3574,""id"",""en"")"),"['The network', 'please', 'repaired', 'signal', 'down', 'naek', 'gajelas', 'please', 'fix', 'bug', '']")</f>
        <v>['The network', 'please', 'repaired', 'signal', 'down', 'naek', 'gajelas', 'please', 'fix', 'bug', '']</v>
      </c>
      <c r="D3574" s="3">
        <v>3.0</v>
      </c>
    </row>
    <row r="3575" ht="15.75" customHeight="1">
      <c r="A3575" s="1">
        <v>3824.0</v>
      </c>
      <c r="B3575" s="3" t="s">
        <v>3436</v>
      </c>
      <c r="C3575" s="3" t="str">
        <f>IFERROR(__xludf.DUMMYFUNCTION("GOOGLETRANSLATE(B3575,""id"",""en"")"),"['Pliss',' Features', 'Exchange', 'Points',' Package ',' Data ',' JGAN ',' PKE ',' Rates', 'Mna', 'Rates',' Kayak ',' Buy ',' Package ',' Points', 'Points',' Cave ',' Numpuk ',' Njirrr ',' Shame ',' Thank ',' Love ', ""]")</f>
        <v>['Pliss',' Features', 'Exchange', 'Points',' Package ',' Data ',' JGAN ',' PKE ',' Rates', 'Mna', 'Rates',' Kayak ',' Buy ',' Package ',' Points', 'Points',' Cave ',' Numpuk ',' Njirrr ',' Shame ',' Thank ',' Love ', "]</v>
      </c>
      <c r="D3575" s="3">
        <v>5.0</v>
      </c>
    </row>
    <row r="3576" ht="15.75" customHeight="1">
      <c r="A3576" s="1">
        <v>3825.0</v>
      </c>
      <c r="B3576" s="3" t="s">
        <v>3437</v>
      </c>
      <c r="C3576" s="3" t="str">
        <f>IFERROR(__xludf.DUMMYFUNCTION("GOOGLETRANSLATE(B3576,""id"",""en"")"),"['contents', 'pulse', 'take', 'kouta', 'daily', 'kouta', 'daily', 'complement', 'guide']")</f>
        <v>['contents', 'pulse', 'take', 'kouta', 'daily', 'kouta', 'daily', 'complement', 'guide']</v>
      </c>
      <c r="D3576" s="3">
        <v>1.0</v>
      </c>
    </row>
    <row r="3577" ht="15.75" customHeight="1">
      <c r="A3577" s="1">
        <v>3826.0</v>
      </c>
      <c r="B3577" s="3" t="s">
        <v>3438</v>
      </c>
      <c r="C3577" s="3" t="str">
        <f>IFERROR(__xludf.DUMMYFUNCTION("GOOGLETRANSLATE(B3577,""id"",""en"")"),"['steady', 'pisan', 'application']")</f>
        <v>['steady', 'pisan', 'application']</v>
      </c>
      <c r="D3577" s="3">
        <v>5.0</v>
      </c>
    </row>
    <row r="3578" ht="15.75" customHeight="1">
      <c r="A3578" s="1">
        <v>3827.0</v>
      </c>
      <c r="B3578" s="3" t="s">
        <v>3439</v>
      </c>
      <c r="C3578" s="3" t="str">
        <f>IFERROR(__xludf.DUMMYFUNCTION("GOOGLETRANSLATE(B3578,""id"",""en"")"),"['easy', 'check', 'package', 'application']")</f>
        <v>['easy', 'check', 'package', 'application']</v>
      </c>
      <c r="D3578" s="3">
        <v>5.0</v>
      </c>
    </row>
    <row r="3579" ht="15.75" customHeight="1">
      <c r="A3579" s="1">
        <v>3828.0</v>
      </c>
      <c r="B3579" s="3" t="s">
        <v>3440</v>
      </c>
      <c r="C3579" s="3" t="str">
        <f>IFERROR(__xludf.DUMMYFUNCTION("GOOGLETRANSLATE(B3579,""id"",""en"")"),"['Cool', 'mantabzzzz']")</f>
        <v>['Cool', 'mantabzzzz']</v>
      </c>
      <c r="D3579" s="3">
        <v>5.0</v>
      </c>
    </row>
    <row r="3580" ht="15.75" customHeight="1">
      <c r="A3580" s="1">
        <v>3829.0</v>
      </c>
      <c r="B3580" s="3" t="s">
        <v>3397</v>
      </c>
      <c r="C3580" s="3" t="str">
        <f>IFERROR(__xludf.DUMMYFUNCTION("GOOGLETRANSLATE(B3580,""id"",""en"")"),"['like']")</f>
        <v>['like']</v>
      </c>
      <c r="D3580" s="3">
        <v>5.0</v>
      </c>
    </row>
    <row r="3581" ht="15.75" customHeight="1">
      <c r="A3581" s="1">
        <v>3830.0</v>
      </c>
      <c r="B3581" s="3" t="s">
        <v>3441</v>
      </c>
      <c r="C3581" s="3" t="str">
        <f>IFERROR(__xludf.DUMMYFUNCTION("GOOGLETRANSLATE(B3581,""id"",""en"")"),"['Package', 'Call', 'Cheap', 'Package', 'Internet', 'Expensive']")</f>
        <v>['Package', 'Call', 'Cheap', 'Package', 'Internet', 'Expensive']</v>
      </c>
      <c r="D3581" s="3">
        <v>3.0</v>
      </c>
    </row>
    <row r="3582" ht="15.75" customHeight="1">
      <c r="A3582" s="1">
        <v>3831.0</v>
      </c>
      <c r="B3582" s="3" t="s">
        <v>3442</v>
      </c>
      <c r="C3582" s="3" t="str">
        <f>IFERROR(__xludf.DUMMYFUNCTION("GOOGLETRANSLATE(B3582,""id"",""en"")"),"['Log', 'account', 'times',' Try ',' Click ',' Link ',' Sent ',' Namu ',' Link ',' Expiration ',' Try ',' Method ',' Try ',' Veronika ',' reply ',' APK ',' number ']")</f>
        <v>['Log', 'account', 'times',' Try ',' Click ',' Link ',' Sent ',' Namu ',' Link ',' Expiration ',' Try ',' Method ',' Try ',' Veronika ',' reply ',' APK ',' number ']</v>
      </c>
      <c r="D3582" s="3">
        <v>1.0</v>
      </c>
    </row>
    <row r="3583" ht="15.75" customHeight="1">
      <c r="A3583" s="1">
        <v>3832.0</v>
      </c>
      <c r="B3583" s="3" t="s">
        <v>3443</v>
      </c>
      <c r="C3583" s="3" t="str">
        <f>IFERROR(__xludf.DUMMYFUNCTION("GOOGLETRANSLATE(B3583,""id"",""en"")"),"['Apasih', 'already', 'contents', 'quota', 'APK']")</f>
        <v>['Apasih', 'already', 'contents', 'quota', 'APK']</v>
      </c>
      <c r="D3583" s="3">
        <v>1.0</v>
      </c>
    </row>
    <row r="3584" ht="15.75" customHeight="1">
      <c r="A3584" s="1">
        <v>3833.0</v>
      </c>
      <c r="B3584" s="3" t="s">
        <v>3444</v>
      </c>
      <c r="C3584" s="3" t="str">
        <f>IFERROR(__xludf.DUMMYFUNCTION("GOOGLETRANSLATE(B3584,""id"",""en"")"),"['Telkom', 'quota', 'Yutub', 'Active', 'semalem', 'gabisa', 'use', 'slow', 'good']")</f>
        <v>['Telkom', 'quota', 'Yutub', 'Active', 'semalem', 'gabisa', 'use', 'slow', 'good']</v>
      </c>
      <c r="D3584" s="3">
        <v>1.0</v>
      </c>
    </row>
    <row r="3585" ht="15.75" customHeight="1">
      <c r="A3585" s="1">
        <v>3834.0</v>
      </c>
      <c r="B3585" s="3" t="s">
        <v>2299</v>
      </c>
      <c r="C3585" s="3" t="str">
        <f>IFERROR(__xludf.DUMMYFUNCTION("GOOGLETRANSLATE(B3585,""id"",""en"")"),"['Application', 'Help']")</f>
        <v>['Application', 'Help']</v>
      </c>
      <c r="D3585" s="3">
        <v>5.0</v>
      </c>
    </row>
    <row r="3586" ht="15.75" customHeight="1">
      <c r="A3586" s="1">
        <v>3836.0</v>
      </c>
      <c r="B3586" s="3" t="s">
        <v>3445</v>
      </c>
      <c r="C3586" s="3" t="str">
        <f>IFERROR(__xludf.DUMMYFUNCTION("GOOGLETRANSLATE(B3586,""id"",""en"")"),"['Easy', 'Login']")</f>
        <v>['Easy', 'Login']</v>
      </c>
      <c r="D3586" s="3">
        <v>5.0</v>
      </c>
    </row>
    <row r="3587" ht="15.75" customHeight="1">
      <c r="A3587" s="1">
        <v>3837.0</v>
      </c>
      <c r="B3587" s="3" t="s">
        <v>3446</v>
      </c>
      <c r="C3587" s="3" t="str">
        <f>IFERROR(__xludf.DUMMYFUNCTION("GOOGLETRANSLATE(B3587,""id"",""en"")"),"['Upgrade', 'Disruption', 'Mulu', 'Contents', 'Package', 'Mulu', 'pdhl', 'bald']")</f>
        <v>['Upgrade', 'Disruption', 'Mulu', 'Contents', 'Package', 'Mulu', 'pdhl', 'bald']</v>
      </c>
      <c r="D3587" s="3">
        <v>2.0</v>
      </c>
    </row>
    <row r="3588" ht="15.75" customHeight="1">
      <c r="A3588" s="1">
        <v>3838.0</v>
      </c>
      <c r="B3588" s="3" t="s">
        <v>3447</v>
      </c>
      <c r="C3588" s="3" t="str">
        <f>IFERROR(__xludf.DUMMYFUNCTION("GOOGLETRANSLATE(B3588,""id"",""en"")"),"['Network', 'Telkomsel', 'Poldered', 'Light', 'Slow', 'Open', 'Social', 'Media', 'Difficult', 'Main', 'Game', 'Fucked', ' critical']")</f>
        <v>['Network', 'Telkomsel', 'Poldered', 'Light', 'Slow', 'Open', 'Social', 'Media', 'Difficult', 'Main', 'Game', 'Fucked', ' critical']</v>
      </c>
      <c r="D3588" s="3">
        <v>1.0</v>
      </c>
    </row>
    <row r="3589" ht="15.75" customHeight="1">
      <c r="A3589" s="1">
        <v>3839.0</v>
      </c>
      <c r="B3589" s="3" t="s">
        <v>3448</v>
      </c>
      <c r="C3589" s="3" t="str">
        <f>IFERROR(__xludf.DUMMYFUNCTION("GOOGLETRANSLATE(B3589,""id"",""en"")"),"['Application', 'weird']")</f>
        <v>['Application', 'weird']</v>
      </c>
      <c r="D3589" s="3">
        <v>2.0</v>
      </c>
    </row>
    <row r="3590" ht="15.75" customHeight="1">
      <c r="A3590" s="1">
        <v>3840.0</v>
      </c>
      <c r="B3590" s="3" t="s">
        <v>3449</v>
      </c>
      <c r="C3590" s="3" t="str">
        <f>IFERROR(__xludf.DUMMYFUNCTION("GOOGLETRANSLATE(B3590,""id"",""en"")"),"['mantep', 'mantep', 'bnyak', 'promo']")</f>
        <v>['mantep', 'mantep', 'bnyak', 'promo']</v>
      </c>
      <c r="D3590" s="3">
        <v>5.0</v>
      </c>
    </row>
    <row r="3591" ht="15.75" customHeight="1">
      <c r="A3591" s="1">
        <v>3841.0</v>
      </c>
      <c r="B3591" s="3" t="s">
        <v>2753</v>
      </c>
      <c r="C3591" s="3" t="str">
        <f>IFERROR(__xludf.DUMMYFUNCTION("GOOGLETRANSLATE(B3591,""id"",""en"")"),"['Easy']")</f>
        <v>['Easy']</v>
      </c>
      <c r="D3591" s="3">
        <v>5.0</v>
      </c>
    </row>
    <row r="3592" ht="15.75" customHeight="1">
      <c r="A3592" s="1">
        <v>3843.0</v>
      </c>
      <c r="B3592" s="3" t="s">
        <v>3450</v>
      </c>
      <c r="C3592" s="3" t="str">
        <f>IFERROR(__xludf.DUMMYFUNCTION("GOOGLETRANSLATE(B3592,""id"",""en"")"),"['thanks', 'apk', 'sya', 'jdh', 'mida', 'bought', 'pulse']")</f>
        <v>['thanks', 'apk', 'sya', 'jdh', 'mida', 'bought', 'pulse']</v>
      </c>
      <c r="D3592" s="3">
        <v>5.0</v>
      </c>
    </row>
    <row r="3593" ht="15.75" customHeight="1">
      <c r="A3593" s="1">
        <v>3844.0</v>
      </c>
      <c r="B3593" s="3" t="s">
        <v>3451</v>
      </c>
      <c r="C3593" s="3" t="str">
        <f>IFERROR(__xludf.DUMMYFUNCTION("GOOGLETRANSLATE(B3593,""id"",""en"")"),"['Good', 'Sangant', 'help', ""]")</f>
        <v>['Good', 'Sangant', 'help', "]</v>
      </c>
      <c r="D3593" s="3">
        <v>5.0</v>
      </c>
    </row>
    <row r="3594" ht="15.75" customHeight="1">
      <c r="A3594" s="1">
        <v>3845.0</v>
      </c>
      <c r="B3594" s="3" t="s">
        <v>3452</v>
      </c>
      <c r="C3594" s="3" t="str">
        <f>IFERROR(__xludf.DUMMYFUNCTION("GOOGLETRANSLATE(B3594,""id"",""en"")"),"['happy', 'service', 'Telkomsel']")</f>
        <v>['happy', 'service', 'Telkomsel']</v>
      </c>
      <c r="D3594" s="3">
        <v>5.0</v>
      </c>
    </row>
    <row r="3595" ht="15.75" customHeight="1">
      <c r="A3595" s="1">
        <v>3846.0</v>
      </c>
      <c r="B3595" s="3" t="s">
        <v>3453</v>
      </c>
      <c r="C3595" s="3" t="str">
        <f>IFERROR(__xludf.DUMMYFUNCTION("GOOGLETRANSLATE(B3595,""id"",""en"")"),"['My APK', 'You're]")</f>
        <v>['My APK', 'You're]</v>
      </c>
      <c r="D3595" s="3">
        <v>5.0</v>
      </c>
    </row>
    <row r="3596" ht="15.75" customHeight="1">
      <c r="A3596" s="1">
        <v>3847.0</v>
      </c>
      <c r="B3596" s="3" t="s">
        <v>3454</v>
      </c>
      <c r="C3596" s="3" t="str">
        <f>IFERROR(__xludf.DUMMYFUNCTION("GOOGLETRANSLATE(B3596,""id"",""en"")"),"['like', 'APK', 'Network', 'ugly', 'please', 'repaired', 'network', 'yaa', 'download', 'apk', 'need', 'minutes',' Please ',' Acceleration ',' Improvement ',' Yaa ', ""]")</f>
        <v>['like', 'APK', 'Network', 'ugly', 'please', 'repaired', 'network', 'yaa', 'download', 'apk', 'need', 'minutes',' Please ',' Acceleration ',' Improvement ',' Yaa ', "]</v>
      </c>
      <c r="D3596" s="3">
        <v>5.0</v>
      </c>
    </row>
    <row r="3597" ht="15.75" customHeight="1">
      <c r="A3597" s="1">
        <v>3848.0</v>
      </c>
      <c r="B3597" s="3" t="s">
        <v>3455</v>
      </c>
      <c r="C3597" s="3" t="str">
        <f>IFERROR(__xludf.DUMMYFUNCTION("GOOGLETRANSLATE(B3597,""id"",""en"")"),"['hope', 'lbih']")</f>
        <v>['hope', 'lbih']</v>
      </c>
      <c r="D3597" s="3">
        <v>5.0</v>
      </c>
    </row>
    <row r="3598" ht="15.75" customHeight="1">
      <c r="A3598" s="1">
        <v>3849.0</v>
      </c>
      <c r="B3598" s="3" t="s">
        <v>3456</v>
      </c>
      <c r="C3598" s="3" t="str">
        <f>IFERROR(__xludf.DUMMYFUNCTION("GOOGLETRANSLATE(B3598,""id"",""en"")"),"['installed', 'Android', '']")</f>
        <v>['installed', 'Android', '']</v>
      </c>
      <c r="D3598" s="3">
        <v>3.0</v>
      </c>
    </row>
    <row r="3599" ht="15.75" customHeight="1">
      <c r="A3599" s="1">
        <v>3850.0</v>
      </c>
      <c r="B3599" s="3" t="s">
        <v>3457</v>
      </c>
      <c r="C3599" s="3" t="str">
        <f>IFERROR(__xludf.DUMMYFUNCTION("GOOGLETRANSLATE(B3599,""id"",""en"")"),"['given', 'Package']")</f>
        <v>['given', 'Package']</v>
      </c>
      <c r="D3599" s="3">
        <v>5.0</v>
      </c>
    </row>
    <row r="3600" ht="15.75" customHeight="1">
      <c r="A3600" s="1">
        <v>3851.0</v>
      </c>
      <c r="B3600" s="3" t="s">
        <v>3458</v>
      </c>
      <c r="C3600" s="3" t="str">
        <f>IFERROR(__xludf.DUMMYFUNCTION("GOOGLETRANSLATE(B3600,""id"",""en"")"),"['Please', 'Sorry', 'Biyanya', 'Number', 'Application', 'MyTelkomsel', 'KOQ', '']")</f>
        <v>['Please', 'Sorry', 'Biyanya', 'Number', 'Application', 'MyTelkomsel', 'KOQ', '']</v>
      </c>
      <c r="D3600" s="3">
        <v>5.0</v>
      </c>
    </row>
    <row r="3601" ht="15.75" customHeight="1">
      <c r="A3601" s="1">
        <v>3853.0</v>
      </c>
      <c r="B3601" s="3" t="s">
        <v>3459</v>
      </c>
      <c r="C3601" s="3" t="str">
        <f>IFERROR(__xludf.DUMMYFUNCTION("GOOGLETRANSLATE(B3601,""id"",""en"")"),"['expensive', 'Sis', '']")</f>
        <v>['expensive', 'Sis', '']</v>
      </c>
      <c r="D3601" s="3">
        <v>5.0</v>
      </c>
    </row>
    <row r="3602" ht="15.75" customHeight="1">
      <c r="A3602" s="1">
        <v>3854.0</v>
      </c>
      <c r="B3602" s="3" t="s">
        <v>3460</v>
      </c>
      <c r="C3602" s="3" t="str">
        <f>IFERROR(__xludf.DUMMYFUNCTION("GOOGLETRANSLATE(B3602,""id"",""en"")"),"['like', 'application', 'sekrang', 'Telkomsel', 'bnget']")</f>
        <v>['like', 'application', 'sekrang', 'Telkomsel', 'bnget']</v>
      </c>
      <c r="D3602" s="3">
        <v>1.0</v>
      </c>
    </row>
    <row r="3603" ht="15.75" customHeight="1">
      <c r="A3603" s="1">
        <v>3855.0</v>
      </c>
      <c r="B3603" s="3" t="s">
        <v>3461</v>
      </c>
      <c r="C3603" s="3" t="str">
        <f>IFERROR(__xludf.DUMMYFUNCTION("GOOGLETRANSLATE(B3603,""id"",""en"")"),"['', 'Bintang', 'Full', '']")</f>
        <v>['', 'Bintang', 'Full', '']</v>
      </c>
      <c r="D3603" s="3">
        <v>5.0</v>
      </c>
    </row>
    <row r="3604" ht="15.75" customHeight="1">
      <c r="A3604" s="1">
        <v>3856.0</v>
      </c>
      <c r="B3604" s="3" t="s">
        <v>2445</v>
      </c>
      <c r="C3604" s="3" t="str">
        <f>IFERROR(__xludf.DUMMYFUNCTION("GOOGLETRANSLATE(B3604,""id"",""en"")"),"['beneficial']")</f>
        <v>['beneficial']</v>
      </c>
      <c r="D3604" s="3">
        <v>5.0</v>
      </c>
    </row>
    <row r="3605" ht="15.75" customHeight="1">
      <c r="A3605" s="1">
        <v>3857.0</v>
      </c>
      <c r="B3605" s="3" t="s">
        <v>3462</v>
      </c>
      <c r="C3605" s="3" t="str">
        <f>IFERROR(__xludf.DUMMYFUNCTION("GOOGLETRANSLATE(B3605,""id"",""en"")"),"['Package', 'GB', 'already', 'hhhmmm', 'disorder', 'Muluk']")</f>
        <v>['Package', 'GB', 'already', 'hhhmmm', 'disorder', 'Muluk']</v>
      </c>
      <c r="D3605" s="3">
        <v>1.0</v>
      </c>
    </row>
    <row r="3606" ht="15.75" customHeight="1">
      <c r="A3606" s="1">
        <v>3858.0</v>
      </c>
      <c r="B3606" s="3" t="s">
        <v>3463</v>
      </c>
      <c r="C3606" s="3" t="str">
        <f>IFERROR(__xludf.DUMMYFUNCTION("GOOGLETRANSLATE(B3606,""id"",""en"")"),"['easy', 'bought']")</f>
        <v>['easy', 'bought']</v>
      </c>
      <c r="D3606" s="3">
        <v>5.0</v>
      </c>
    </row>
    <row r="3607" ht="15.75" customHeight="1">
      <c r="A3607" s="1">
        <v>3860.0</v>
      </c>
      <c r="B3607" s="3" t="s">
        <v>323</v>
      </c>
      <c r="C3607" s="3" t="str">
        <f>IFERROR(__xludf.DUMMYFUNCTION("GOOGLETRANSLATE(B3607,""id"",""en"")"),"['Telkomsel']")</f>
        <v>['Telkomsel']</v>
      </c>
      <c r="D3607" s="3">
        <v>5.0</v>
      </c>
    </row>
    <row r="3608" ht="15.75" customHeight="1">
      <c r="A3608" s="1">
        <v>3861.0</v>
      </c>
      <c r="B3608" s="3" t="s">
        <v>3464</v>
      </c>
      <c r="C3608" s="3" t="str">
        <f>IFERROR(__xludf.DUMMYFUNCTION("GOOGLETRANSLATE(B3608,""id"",""en"")"),"['LBH', 'easy', 'lbh', 'cheap']")</f>
        <v>['LBH', 'easy', 'lbh', 'cheap']</v>
      </c>
      <c r="D3608" s="3">
        <v>5.0</v>
      </c>
    </row>
    <row r="3609" ht="15.75" customHeight="1">
      <c r="A3609" s="1">
        <v>3862.0</v>
      </c>
      <c r="B3609" s="3" t="s">
        <v>3465</v>
      </c>
      <c r="C3609" s="3" t="str">
        <f>IFERROR(__xludf.DUMMYFUNCTION("GOOGLETRANSLATE(B3609,""id"",""en"")"),"['Update', 'slow']")</f>
        <v>['Update', 'slow']</v>
      </c>
      <c r="D3609" s="3">
        <v>4.0</v>
      </c>
    </row>
    <row r="3610" ht="15.75" customHeight="1">
      <c r="A3610" s="1">
        <v>3863.0</v>
      </c>
      <c r="B3610" s="3" t="s">
        <v>3466</v>
      </c>
      <c r="C3610" s="3" t="str">
        <f>IFERROR(__xludf.DUMMYFUNCTION("GOOGLETRANSLATE(B3610,""id"",""en"")"),"['Sis',' purchase ',' package ',' internet ',' Sis', 'Install', 'reset', 'repeat', 'times',' signal ',' full ',' Ajah ',' Paketan ',' already ',' urgent ']")</f>
        <v>['Sis',' purchase ',' package ',' internet ',' Sis', 'Install', 'reset', 'repeat', 'times',' signal ',' full ',' Ajah ',' Paketan ',' already ',' urgent ']</v>
      </c>
      <c r="D3610" s="3">
        <v>2.0</v>
      </c>
    </row>
    <row r="3611" ht="15.75" customHeight="1">
      <c r="A3611" s="1">
        <v>3864.0</v>
      </c>
      <c r="B3611" s="3" t="s">
        <v>3467</v>
      </c>
      <c r="C3611" s="3" t="str">
        <f>IFERROR(__xludf.DUMMYFUNCTION("GOOGLETRANSLATE(B3611,""id"",""en"")"),"['Bgus', 'application']")</f>
        <v>['Bgus', 'application']</v>
      </c>
      <c r="D3611" s="3">
        <v>5.0</v>
      </c>
    </row>
    <row r="3612" ht="15.75" customHeight="1">
      <c r="A3612" s="1">
        <v>3865.0</v>
      </c>
      <c r="B3612" s="3" t="s">
        <v>3468</v>
      </c>
      <c r="C3612" s="3" t="str">
        <f>IFERROR(__xludf.DUMMYFUNCTION("GOOGLETRANSLATE(B3612,""id"",""en"")"),"['Terbimah', 'Kasi', 'Telkomsel', 'Satisfied', 'DGAN', 'PROMO', 'NON', 'PROMO', '']")</f>
        <v>['Terbimah', 'Kasi', 'Telkomsel', 'Satisfied', 'DGAN', 'PROMO', 'NON', 'PROMO', '']</v>
      </c>
      <c r="D3612" s="3">
        <v>5.0</v>
      </c>
    </row>
    <row r="3613" ht="15.75" customHeight="1">
      <c r="A3613" s="1">
        <v>3866.0</v>
      </c>
      <c r="B3613" s="3" t="s">
        <v>2925</v>
      </c>
      <c r="C3613" s="3" t="str">
        <f>IFERROR(__xludf.DUMMYFUNCTION("GOOGLETRANSLATE(B3613,""id"",""en"")"),"['Good', 'service']")</f>
        <v>['Good', 'service']</v>
      </c>
      <c r="D3613" s="3">
        <v>5.0</v>
      </c>
    </row>
    <row r="3614" ht="15.75" customHeight="1">
      <c r="A3614" s="1">
        <v>3867.0</v>
      </c>
      <c r="B3614" s="3" t="s">
        <v>3469</v>
      </c>
      <c r="C3614" s="3" t="str">
        <f>IFERROR(__xludf.DUMMYFUNCTION("GOOGLETRANSLATE(B3614,""id"",""en"")"),"['Telkomsel', 'Sangad', 'lag', ""]")</f>
        <v>['Telkomsel', 'Sangad', 'lag', "]</v>
      </c>
      <c r="D3614" s="3">
        <v>1.0</v>
      </c>
    </row>
    <row r="3615" ht="15.75" customHeight="1">
      <c r="A3615" s="1">
        <v>3868.0</v>
      </c>
      <c r="B3615" s="3" t="s">
        <v>3470</v>
      </c>
      <c r="C3615" s="3" t="str">
        <f>IFERROR(__xludf.DUMMYFUNCTION("GOOGLETRANSLATE(B3615,""id"",""en"")"),"['quota', 'lgi', 'open', 'google', 'disappointed', 'telkomsel', 'active', 'disappointed', 'telkom']")</f>
        <v>['quota', 'lgi', 'open', 'google', 'disappointed', 'telkomsel', 'active', 'disappointed', 'telkom']</v>
      </c>
      <c r="D3615" s="3">
        <v>1.0</v>
      </c>
    </row>
    <row r="3616" ht="15.75" customHeight="1">
      <c r="A3616" s="1">
        <v>3869.0</v>
      </c>
      <c r="B3616" s="3" t="s">
        <v>3471</v>
      </c>
      <c r="C3616" s="3" t="str">
        <f>IFERROR(__xludf.DUMMYFUNCTION("GOOGLETRANSLATE(B3616,""id"",""en"")"),"['want', 'dpat', 'quota', ""]")</f>
        <v>['want', 'dpat', 'quota', "]</v>
      </c>
      <c r="D3616" s="3">
        <v>5.0</v>
      </c>
    </row>
    <row r="3617" ht="15.75" customHeight="1">
      <c r="A3617" s="1">
        <v>3870.0</v>
      </c>
      <c r="B3617" s="3" t="s">
        <v>3472</v>
      </c>
      <c r="C3617" s="3" t="str">
        <f>IFERROR(__xludf.DUMMYFUNCTION("GOOGLETRANSLATE(B3617,""id"",""en"")"),"['Come on', 'Telkomsel', 'Sunday', 'Yesterday', 'Buy', 'Package', 'Telfon', 'Package', 'Data', 'Why', 'MOVER', 'DEVOLOPER', ' Find out ',' weighing ',' please ',' repaired ',' Devoloper ', ""]")</f>
        <v>['Come on', 'Telkomsel', 'Sunday', 'Yesterday', 'Buy', 'Package', 'Telfon', 'Package', 'Data', 'Why', 'MOVER', 'DEVOLOPER', ' Find out ',' weighing ',' please ',' repaired ',' Devoloper ', "]</v>
      </c>
      <c r="D3617" s="3">
        <v>1.0</v>
      </c>
    </row>
    <row r="3618" ht="15.75" customHeight="1">
      <c r="A3618" s="1">
        <v>3871.0</v>
      </c>
      <c r="B3618" s="3" t="s">
        <v>3473</v>
      </c>
      <c r="C3618" s="3" t="str">
        <f>IFERROR(__xludf.DUMMYFUNCTION("GOOGLETRANSLATE(B3618,""id"",""en"")"),"['knp', 'difficult', 'opened', 'reno', ""]")</f>
        <v>['knp', 'difficult', 'opened', 'reno', "]</v>
      </c>
      <c r="D3618" s="3">
        <v>1.0</v>
      </c>
    </row>
    <row r="3619" ht="15.75" customHeight="1">
      <c r="A3619" s="1">
        <v>3872.0</v>
      </c>
      <c r="B3619" s="3" t="s">
        <v>3474</v>
      </c>
      <c r="C3619" s="3" t="str">
        <f>IFERROR(__xludf.DUMMYFUNCTION("GOOGLETRANSLATE(B3619,""id"",""en"")"),"['here', 'slow', 'Severe', 'slow', '']")</f>
        <v>['here', 'slow', 'Severe', 'slow', '']</v>
      </c>
      <c r="D3619" s="3">
        <v>4.0</v>
      </c>
    </row>
    <row r="3620" ht="15.75" customHeight="1">
      <c r="A3620" s="1">
        <v>3873.0</v>
      </c>
      <c r="B3620" s="3" t="s">
        <v>3475</v>
      </c>
      <c r="C3620" s="3" t="str">
        <f>IFERROR(__xludf.DUMMYFUNCTION("GOOGLETRANSLATE(B3620,""id"",""en"")"),"['network', 'threat', 'atruran']")</f>
        <v>['network', 'threat', 'atruran']</v>
      </c>
      <c r="D3620" s="3">
        <v>3.0</v>
      </c>
    </row>
    <row r="3621" ht="15.75" customHeight="1">
      <c r="A3621" s="1">
        <v>3874.0</v>
      </c>
      <c r="B3621" s="3" t="s">
        <v>3476</v>
      </c>
      <c r="C3621" s="3" t="str">
        <f>IFERROR(__xludf.DUMMYFUNCTION("GOOGLETRANSLATE(B3621,""id"",""en"")"),"['th', 'JDI', 'customers', 'loyal', 'Telkomsel', 'please', 'signal', 'strength', 'area', 'kabpaten', ""]")</f>
        <v>['th', 'JDI', 'customers', 'loyal', 'Telkomsel', 'please', 'signal', 'strength', 'area', 'kabpaten', "]</v>
      </c>
      <c r="D3621" s="3">
        <v>3.0</v>
      </c>
    </row>
    <row r="3622" ht="15.75" customHeight="1">
      <c r="A3622" s="1">
        <v>3875.0</v>
      </c>
      <c r="B3622" s="3" t="s">
        <v>3477</v>
      </c>
      <c r="C3622" s="3" t="str">
        <f>IFERROR(__xludf.DUMMYFUNCTION("GOOGLETRANSLATE(B3622,""id"",""en"")"),"['Provider', 'Internet', 'promo', 'best', ""]")</f>
        <v>['Provider', 'Internet', 'promo', 'best', "]</v>
      </c>
      <c r="D3622" s="3">
        <v>5.0</v>
      </c>
    </row>
    <row r="3623" ht="15.75" customHeight="1">
      <c r="A3623" s="1">
        <v>3876.0</v>
      </c>
      <c r="B3623" s="3" t="s">
        <v>3478</v>
      </c>
      <c r="C3623" s="3" t="str">
        <f>IFERROR(__xludf.DUMMYFUNCTION("GOOGLETRANSLATE(B3623,""id"",""en"")"),"['Help', 'Direct', 'code', 'wkwkwkwk']")</f>
        <v>['Help', 'Direct', 'code', 'wkwkwkwk']</v>
      </c>
      <c r="D3623" s="3">
        <v>5.0</v>
      </c>
    </row>
    <row r="3624" ht="15.75" customHeight="1">
      <c r="A3624" s="1">
        <v>3877.0</v>
      </c>
      <c r="B3624" s="3" t="s">
        <v>3479</v>
      </c>
      <c r="C3624" s="3" t="str">
        <f>IFERROR(__xludf.DUMMYFUNCTION("GOOGLETRANSLATE(B3624,""id"",""en"")"),"['Kerennnn', 'bnyak', 'promo', 'internet', 'cheap']")</f>
        <v>['Kerennnn', 'bnyak', 'promo', 'internet', 'cheap']</v>
      </c>
      <c r="D3624" s="3">
        <v>5.0</v>
      </c>
    </row>
    <row r="3625" ht="15.75" customHeight="1">
      <c r="A3625" s="1">
        <v>3878.0</v>
      </c>
      <c r="B3625" s="3" t="s">
        <v>1584</v>
      </c>
      <c r="C3625" s="3" t="str">
        <f>IFERROR(__xludf.DUMMYFUNCTION("GOOGLETRANSLATE(B3625,""id"",""en"")"),"['fast', 'access', 'internet']")</f>
        <v>['fast', 'access', 'internet']</v>
      </c>
      <c r="D3625" s="3">
        <v>5.0</v>
      </c>
    </row>
    <row r="3626" ht="15.75" customHeight="1">
      <c r="A3626" s="1">
        <v>3880.0</v>
      </c>
      <c r="B3626" s="3" t="s">
        <v>3480</v>
      </c>
      <c r="C3626" s="3" t="str">
        <f>IFERROR(__xludf.DUMMYFUNCTION("GOOGLETRANSLATE(B3626,""id"",""en"")"),"['application', 'Bgus', '']")</f>
        <v>['application', 'Bgus', '']</v>
      </c>
      <c r="D3626" s="3">
        <v>5.0</v>
      </c>
    </row>
    <row r="3627" ht="15.75" customHeight="1">
      <c r="A3627" s="1">
        <v>3881.0</v>
      </c>
      <c r="B3627" s="3" t="s">
        <v>3481</v>
      </c>
      <c r="C3627" s="3" t="str">
        <f>IFERROR(__xludf.DUMMYFUNCTION("GOOGLETRANSLATE(B3627,""id"",""en"")"),"['Reduce', 'Star', 'Disappointed', 'Signal', 'Lost', 'Please', 'Dwakiri', '']")</f>
        <v>['Reduce', 'Star', 'Disappointed', 'Signal', 'Lost', 'Please', 'Dwakiri', '']</v>
      </c>
      <c r="D3627" s="3">
        <v>2.0</v>
      </c>
    </row>
    <row r="3628" ht="15.75" customHeight="1">
      <c r="A3628" s="1">
        <v>3882.0</v>
      </c>
      <c r="B3628" s="3" t="s">
        <v>3482</v>
      </c>
      <c r="C3628" s="3" t="str">
        <f>IFERROR(__xludf.DUMMYFUNCTION("GOOGLETRANSLATE(B3628,""id"",""en"")"),"['', 'Telkomsel', 'application', 'easy', 'installed', 'complicated', 'steady', 'recommendation', 'user', 'Telkomsel']")</f>
        <v>['', 'Telkomsel', 'application', 'easy', 'installed', 'complicated', 'steady', 'recommendation', 'user', 'Telkomsel']</v>
      </c>
      <c r="D3628" s="3">
        <v>5.0</v>
      </c>
    </row>
    <row r="3629" ht="15.75" customHeight="1">
      <c r="A3629" s="1">
        <v>3883.0</v>
      </c>
      <c r="B3629" s="3" t="s">
        <v>3483</v>
      </c>
      <c r="C3629" s="3" t="str">
        <f>IFERROR(__xludf.DUMMYFUNCTION("GOOGLETRANSLATE(B3629,""id"",""en"")"),"['APK', 'good', 'really', 'draw', '']")</f>
        <v>['APK', 'good', 'really', 'draw', '']</v>
      </c>
      <c r="D3629" s="3">
        <v>5.0</v>
      </c>
    </row>
    <row r="3630" ht="15.75" customHeight="1">
      <c r="A3630" s="1">
        <v>3884.0</v>
      </c>
      <c r="B3630" s="3" t="s">
        <v>3484</v>
      </c>
      <c r="C3630" s="3" t="str">
        <f>IFERROR(__xludf.DUMMYFUNCTION("GOOGLETRANSLATE(B3630,""id"",""en"")"),"['Steady', 'Telkomsel', 'Bravo']")</f>
        <v>['Steady', 'Telkomsel', 'Bravo']</v>
      </c>
      <c r="D3630" s="3">
        <v>5.0</v>
      </c>
    </row>
    <row r="3631" ht="15.75" customHeight="1">
      <c r="A3631" s="1">
        <v>3885.0</v>
      </c>
      <c r="B3631" s="3" t="s">
        <v>3485</v>
      </c>
      <c r="C3631" s="3" t="str">
        <f>IFERROR(__xludf.DUMMYFUNCTION("GOOGLETRANSLATE(B3631,""id"",""en"")"),"['application', 'ugly', 'package', 'expensive', 'network', 'Burok', 'kedaong', 'lahh', 'bnar', 'bnar', 'stone', 'harge', ' Package ',' Harge ',' Package ',' Customize ',' JARINAGN ',' Asuk ']")</f>
        <v>['application', 'ugly', 'package', 'expensive', 'network', 'Burok', 'kedaong', 'lahh', 'bnar', 'bnar', 'stone', 'harge', ' Package ',' Harge ',' Package ',' Customize ',' JARINAGN ',' Asuk ']</v>
      </c>
      <c r="D3631" s="3">
        <v>1.0</v>
      </c>
    </row>
    <row r="3632" ht="15.75" customHeight="1">
      <c r="A3632" s="1">
        <v>3886.0</v>
      </c>
      <c r="B3632" s="3" t="s">
        <v>3486</v>
      </c>
      <c r="C3632" s="3" t="str">
        <f>IFERROR(__xludf.DUMMYFUNCTION("GOOGLETRANSLATE(B3632,""id"",""en"")"),"['developer', 'please', 'really', 'donk', 'work', 'buy', 'package', 'game', 'already', 'list', 'dipake', 'idiot', ' Kyk ',' gini ',' vain ',' vain ',' money ',' as good as', 'work', 'professional']")</f>
        <v>['developer', 'please', 'really', 'donk', 'work', 'buy', 'package', 'game', 'already', 'list', 'dipake', 'idiot', ' Kyk ',' gini ',' vain ',' vain ',' money ',' as good as', 'work', 'professional']</v>
      </c>
      <c r="D3632" s="3">
        <v>1.0</v>
      </c>
    </row>
    <row r="3633" ht="15.75" customHeight="1">
      <c r="A3633" s="1">
        <v>3887.0</v>
      </c>
      <c r="B3633" s="3" t="s">
        <v>3487</v>
      </c>
      <c r="C3633" s="3" t="str">
        <f>IFERROR(__xludf.DUMMYFUNCTION("GOOGLETRANSLATE(B3633,""id"",""en"")"),"['Increase', 'Service']")</f>
        <v>['Increase', 'Service']</v>
      </c>
      <c r="D3633" s="3">
        <v>5.0</v>
      </c>
    </row>
    <row r="3634" ht="15.75" customHeight="1">
      <c r="A3634" s="1">
        <v>3888.0</v>
      </c>
      <c r="B3634" s="3" t="s">
        <v>3488</v>
      </c>
      <c r="C3634" s="3" t="str">
        <f>IFERROR(__xludf.DUMMYFUNCTION("GOOGLETRANSLATE(B3634,""id"",""en"")"),"['Increases', 'service', 'front']")</f>
        <v>['Increases', 'service', 'front']</v>
      </c>
      <c r="D3634" s="3">
        <v>4.0</v>
      </c>
    </row>
    <row r="3635" ht="15.75" customHeight="1">
      <c r="A3635" s="1">
        <v>3889.0</v>
      </c>
      <c r="B3635" s="3" t="s">
        <v>3489</v>
      </c>
      <c r="C3635" s="3" t="str">
        <f>IFERROR(__xludf.DUMMYFUNCTION("GOOGLETRANSLATE(B3635,""id"",""en"")"),"['Level', 'Performance', 'Telkomsel', 'JDI', 'Internet', 'number', 'Indonesia']")</f>
        <v>['Level', 'Performance', 'Telkomsel', 'JDI', 'Internet', 'number', 'Indonesia']</v>
      </c>
      <c r="D3635" s="3">
        <v>5.0</v>
      </c>
    </row>
    <row r="3636" ht="15.75" customHeight="1">
      <c r="A3636" s="1">
        <v>3890.0</v>
      </c>
      <c r="B3636" s="3" t="s">
        <v>3490</v>
      </c>
      <c r="C3636" s="3" t="str">
        <f>IFERROR(__xludf.DUMMYFUNCTION("GOOGLETRANSLATE(B3636,""id"",""en"")"),"['Increase', 'Promo', 'Internet', 'Weekend', 'Affordable', 'Masy', ""]")</f>
        <v>['Increase', 'Promo', 'Internet', 'Weekend', 'Affordable', 'Masy', "]</v>
      </c>
      <c r="D3636" s="3">
        <v>5.0</v>
      </c>
    </row>
    <row r="3637" ht="15.75" customHeight="1">
      <c r="A3637" s="1">
        <v>3891.0</v>
      </c>
      <c r="B3637" s="3" t="s">
        <v>3491</v>
      </c>
      <c r="C3637" s="3" t="str">
        <f>IFERROR(__xludf.DUMMYFUNCTION("GOOGLETRANSLATE(B3637,""id"",""en"")"),"['application', 'makes it easy', 'buy', 'package', 'call', 'package', 'data']")</f>
        <v>['application', 'makes it easy', 'buy', 'package', 'call', 'package', 'data']</v>
      </c>
      <c r="D3637" s="3">
        <v>5.0</v>
      </c>
    </row>
    <row r="3638" ht="15.75" customHeight="1">
      <c r="A3638" s="1">
        <v>3892.0</v>
      </c>
      <c r="B3638" s="3" t="s">
        <v>3492</v>
      </c>
      <c r="C3638" s="3" t="str">
        <f>IFERROR(__xludf.DUMMYFUNCTION("GOOGLETRANSLATE(B3638,""id"",""en"")"),"['Sinya', 'ugly']")</f>
        <v>['Sinya', 'ugly']</v>
      </c>
      <c r="D3638" s="3">
        <v>5.0</v>
      </c>
    </row>
    <row r="3639" ht="15.75" customHeight="1">
      <c r="A3639" s="1">
        <v>3893.0</v>
      </c>
      <c r="B3639" s="3" t="s">
        <v>3493</v>
      </c>
      <c r="C3639" s="3" t="str">
        <f>IFERROR(__xludf.DUMMYFUNCTION("GOOGLETRANSLATE(B3639,""id"",""en"")"),"['wahh', 'SIH', 'Yesterday', 'signal', 'Bener', 'like', 'Makinnn', 'Lagg', 'Knp', 'Sihh', 'price', 'according to' Quality ',' Kayak ',' Gini ',' Change ',' Card ']")</f>
        <v>['wahh', 'SIH', 'Yesterday', 'signal', 'Bener', 'like', 'Makinnn', 'Lagg', 'Knp', 'Sihh', 'price', 'according to' Quality ',' Kayak ',' Gini ',' Change ',' Card ']</v>
      </c>
      <c r="D3639" s="3">
        <v>1.0</v>
      </c>
    </row>
    <row r="3640" ht="15.75" customHeight="1">
      <c r="A3640" s="1">
        <v>3894.0</v>
      </c>
      <c r="B3640" s="3" t="s">
        <v>3494</v>
      </c>
      <c r="C3640" s="3" t="str">
        <f>IFERROR(__xludf.DUMMYFUNCTION("GOOGLETRANSLATE(B3640,""id"",""en"")"),"['How', 'CiII', 'Lossin', 'NSUMEN', 'COSTER', 'Dooong', 'Credit', 'Missing', 'MLL', ""]")</f>
        <v>['How', 'CiII', 'Lossin', 'NSUMEN', 'COSTER', 'Dooong', 'Credit', 'Missing', 'MLL', "]</v>
      </c>
      <c r="D3640" s="3">
        <v>3.0</v>
      </c>
    </row>
    <row r="3641" ht="15.75" customHeight="1">
      <c r="A3641" s="1">
        <v>3895.0</v>
      </c>
      <c r="B3641" s="3" t="s">
        <v>3495</v>
      </c>
      <c r="C3641" s="3" t="str">
        <f>IFERROR(__xludf.DUMMYFUNCTION("GOOGLETRANSLATE(B3641,""id"",""en"")"),"['Telkomsel', 'ugly', 'signal', 'me', 'left', 'city', 'complaining', 'network', 'Telkomsel', 'good', 'really', 'worst', ' activities', 'lectures',' internet ',' buy ',' package ',' expensive ',' network ',' ugly ',' friend ',' friend ',' me ',' banyka ','"&amp;" replace ' , 'card', 'network', 'ugly', 'mulu', 'kayak', 'regret', 'buy', 'package', 'telkomsel']")</f>
        <v>['Telkomsel', 'ugly', 'signal', 'me', 'left', 'city', 'complaining', 'network', 'Telkomsel', 'good', 'really', 'worst', ' activities', 'lectures',' internet ',' buy ',' package ',' expensive ',' network ',' ugly ',' friend ',' friend ',' me ',' banyka ',' replace ' , 'card', 'network', 'ugly', 'mulu', 'kayak', 'regret', 'buy', 'package', 'telkomsel']</v>
      </c>
      <c r="D3641" s="3">
        <v>1.0</v>
      </c>
    </row>
    <row r="3642" ht="15.75" customHeight="1">
      <c r="A3642" s="1">
        <v>3896.0</v>
      </c>
      <c r="B3642" s="3" t="s">
        <v>3496</v>
      </c>
      <c r="C3642" s="3" t="str">
        <f>IFERROR(__xludf.DUMMYFUNCTION("GOOGLETRANSLATE(B3642,""id"",""en"")"),"['Credit', 'Taken', 'use', 'Fraudster', 'Response', 'CPAT']")</f>
        <v>['Credit', 'Taken', 'use', 'Fraudster', 'Response', 'CPAT']</v>
      </c>
      <c r="D3642" s="3">
        <v>1.0</v>
      </c>
    </row>
    <row r="3643" ht="15.75" customHeight="1">
      <c r="A3643" s="1">
        <v>3898.0</v>
      </c>
      <c r="B3643" s="3" t="s">
        <v>3497</v>
      </c>
      <c r="C3643" s="3" t="str">
        <f>IFERROR(__xludf.DUMMYFUNCTION("GOOGLETRANSLATE(B3643,""id"",""en"")"),"['easy', 'information', 'Telkomsel']")</f>
        <v>['easy', 'information', 'Telkomsel']</v>
      </c>
      <c r="D3643" s="3">
        <v>5.0</v>
      </c>
    </row>
    <row r="3644" ht="15.75" customHeight="1">
      <c r="A3644" s="1">
        <v>3899.0</v>
      </c>
      <c r="B3644" s="3" t="s">
        <v>3498</v>
      </c>
      <c r="C3644" s="3" t="str">
        <f>IFERROR(__xludf.DUMMYFUNCTION("GOOGLETRANSLATE(B3644,""id"",""en"")"),"['Satisfied', 'Telkomsel', 'steady']")</f>
        <v>['Satisfied', 'Telkomsel', 'steady']</v>
      </c>
      <c r="D3644" s="3">
        <v>5.0</v>
      </c>
    </row>
    <row r="3645" ht="15.75" customHeight="1">
      <c r="A3645" s="1">
        <v>3900.0</v>
      </c>
      <c r="B3645" s="3" t="s">
        <v>3499</v>
      </c>
      <c r="C3645" s="3" t="str">
        <f>IFERROR(__xludf.DUMMYFUNCTION("GOOGLETRANSLATE(B3645,""id"",""en"")"),"['Nge', 'bug', 'application', 'Send', 'Verivikasi', 'already', 'click', 'ber', 'times',' time ',' message ',' enter']")</f>
        <v>['Nge', 'bug', 'application', 'Send', 'Verivikasi', 'already', 'click', 'ber', 'times',' time ',' message ',' enter']</v>
      </c>
      <c r="D3645" s="3">
        <v>1.0</v>
      </c>
    </row>
    <row r="3646" ht="15.75" customHeight="1">
      <c r="A3646" s="1">
        <v>3901.0</v>
      </c>
      <c r="B3646" s="3" t="s">
        <v>3500</v>
      </c>
      <c r="C3646" s="3" t="str">
        <f>IFERROR(__xludf.DUMMYFUNCTION("GOOGLETRANSLATE(B3646,""id"",""en"")"),"['', 'Different', 'Telkomsel', 'Package', 'Unlimetedmax', 'ugly', 'Hadeuuuh']")</f>
        <v>['', 'Different', 'Telkomsel', 'Package', 'Unlimetedmax', 'ugly', 'Hadeuuuh']</v>
      </c>
      <c r="D3646" s="3">
        <v>1.0</v>
      </c>
    </row>
    <row r="3647" ht="15.75" customHeight="1">
      <c r="A3647" s="1">
        <v>3903.0</v>
      </c>
      <c r="B3647" s="3" t="s">
        <v>3501</v>
      </c>
      <c r="C3647" s="3" t="str">
        <f>IFERROR(__xludf.DUMMYFUNCTION("GOOGLETRANSLATE(B3647,""id"",""en"")"),"['Telkomsel', 'bad', 'quality', 'signal', 'service', 'already', 'said', 'many', 'times',' need ',' customer ',' service ',' Dimasshenger ',' Understand ',' Understand ',' Bilangnha ',' Benerin ',' Signal ',' Dieses', 'Cave', 'Already', 'Moon', 'Eid', 'Adh"&amp;"a', 'Adha', 'finished' , 'Sampe', 'Quality', 'Dieses', 'Cave', 'Change', 'Provider', 'Males', ""]")</f>
        <v>['Telkomsel', 'bad', 'quality', 'signal', 'service', 'already', 'said', 'many', 'times',' need ',' customer ',' service ',' Dimasshenger ',' Understand ',' Understand ',' Bilangnha ',' Benerin ',' Signal ',' Dieses', 'Cave', 'Already', 'Moon', 'Eid', 'Adha', 'Adha', 'finished' , 'Sampe', 'Quality', 'Dieses', 'Cave', 'Change', 'Provider', 'Males', "]</v>
      </c>
      <c r="D3647" s="3">
        <v>1.0</v>
      </c>
    </row>
    <row r="3648" ht="15.75" customHeight="1">
      <c r="A3648" s="1">
        <v>3904.0</v>
      </c>
      <c r="B3648" s="3" t="s">
        <v>3502</v>
      </c>
      <c r="C3648" s="3" t="str">
        <f>IFERROR(__xludf.DUMMYFUNCTION("GOOGLETRANSLATE(B3648,""id"",""en"")"),"['ugly', 'package', 'expensive']")</f>
        <v>['ugly', 'package', 'expensive']</v>
      </c>
      <c r="D3648" s="3">
        <v>1.0</v>
      </c>
    </row>
    <row r="3649" ht="15.75" customHeight="1">
      <c r="A3649" s="1">
        <v>3905.0</v>
      </c>
      <c r="B3649" s="3" t="s">
        <v>3503</v>
      </c>
      <c r="C3649" s="3" t="str">
        <f>IFERROR(__xludf.DUMMYFUNCTION("GOOGLETRANSLATE(B3649,""id"",""en"")"),"['Telkomsel', 'HSTI']")</f>
        <v>['Telkomsel', 'HSTI']</v>
      </c>
      <c r="D3649" s="3">
        <v>5.0</v>
      </c>
    </row>
    <row r="3650" ht="15.75" customHeight="1">
      <c r="A3650" s="1">
        <v>3906.0</v>
      </c>
      <c r="B3650" s="3" t="s">
        <v>3504</v>
      </c>
      <c r="C3650" s="3" t="str">
        <f>IFERROR(__xludf.DUMMYFUNCTION("GOOGLETRANSLATE(B3650,""id"",""en"")"),"['Network', 'good', 'just', 'expensive', '']")</f>
        <v>['Network', 'good', 'just', 'expensive', '']</v>
      </c>
      <c r="D3650" s="3">
        <v>5.0</v>
      </c>
    </row>
    <row r="3651" ht="15.75" customHeight="1">
      <c r="A3651" s="1">
        <v>3907.0</v>
      </c>
      <c r="B3651" s="3" t="s">
        <v>3505</v>
      </c>
      <c r="C3651" s="3" t="str">
        <f>IFERROR(__xludf.DUMMYFUNCTION("GOOGLETRANSLATE(B3651,""id"",""en"")"),"['Knp', 'Telkomsel', 'Leet']")</f>
        <v>['Knp', 'Telkomsel', 'Leet']</v>
      </c>
      <c r="D3651" s="3">
        <v>1.0</v>
      </c>
    </row>
    <row r="3652" ht="15.75" customHeight="1">
      <c r="A3652" s="1">
        <v>3908.0</v>
      </c>
      <c r="B3652" s="3" t="s">
        <v>3506</v>
      </c>
      <c r="C3652" s="3" t="str">
        <f>IFERROR(__xludf.DUMMYFUNCTION("GOOGLETRANSLATE(B3652,""id"",""en"")"),"['Please', 'Signal', 'Area', 'Mountain', 'Inner', 'Lampung', 'Repaired', 'Donk', 'Severe', 'Abis',' Nich ',' loyal ',' Telkomsel ',' dlu ',' ']")</f>
        <v>['Please', 'Signal', 'Area', 'Mountain', 'Inner', 'Lampung', 'Repaired', 'Donk', 'Severe', 'Abis',' Nich ',' loyal ',' Telkomsel ',' dlu ',' ']</v>
      </c>
      <c r="D3652" s="3">
        <v>5.0</v>
      </c>
    </row>
    <row r="3653" ht="15.75" customHeight="1">
      <c r="A3653" s="1">
        <v>3909.0</v>
      </c>
      <c r="B3653" s="3" t="s">
        <v>3507</v>
      </c>
      <c r="C3653" s="3" t="str">
        <f>IFERROR(__xludf.DUMMYFUNCTION("GOOGLETRANSLATE(B3653,""id"",""en"")"),"['difficult', 'skrng', 'entry', 'bro', '']")</f>
        <v>['difficult', 'skrng', 'entry', 'bro', '']</v>
      </c>
      <c r="D3653" s="3">
        <v>5.0</v>
      </c>
    </row>
    <row r="3654" ht="15.75" customHeight="1">
      <c r="A3654" s="1">
        <v>3910.0</v>
      </c>
      <c r="B3654" s="3" t="s">
        <v>3508</v>
      </c>
      <c r="C3654" s="3" t="str">
        <f>IFERROR(__xludf.DUMMYFUNCTION("GOOGLETRANSLATE(B3654,""id"",""en"")"),"['Price', 'Package', 'Internet', 'Different', 'Different', 'Card', 'Please', 'Lucted', 'Package', 'Price', 'Internet', 'Fortunime', ' Fortunately, 'it hurts']")</f>
        <v>['Price', 'Package', 'Internet', 'Different', 'Different', 'Card', 'Please', 'Lucted', 'Package', 'Price', 'Internet', 'Fortunime', ' Fortunately, 'it hurts']</v>
      </c>
      <c r="D3654" s="3">
        <v>1.0</v>
      </c>
    </row>
    <row r="3655" ht="15.75" customHeight="1">
      <c r="A3655" s="1">
        <v>3911.0</v>
      </c>
      <c r="B3655" s="3" t="s">
        <v>3509</v>
      </c>
      <c r="C3655" s="3" t="str">
        <f>IFERROR(__xludf.DUMMYFUNCTION("GOOGLETRANSLATE(B3655,""id"",""en"")"),"['Useful', 'bonus', '']")</f>
        <v>['Useful', 'bonus', '']</v>
      </c>
      <c r="D3655" s="3">
        <v>5.0</v>
      </c>
    </row>
    <row r="3656" ht="15.75" customHeight="1">
      <c r="A3656" s="1">
        <v>3913.0</v>
      </c>
      <c r="B3656" s="3" t="s">
        <v>3510</v>
      </c>
      <c r="C3656" s="3" t="str">
        <f>IFERROR(__xludf.DUMMYFUNCTION("GOOGLETRANSLATE(B3656,""id"",""en"")"),"['difficult', 'buy', 'package']")</f>
        <v>['difficult', 'buy', 'package']</v>
      </c>
      <c r="D3656" s="3">
        <v>1.0</v>
      </c>
    </row>
    <row r="3657" ht="15.75" customHeight="1">
      <c r="A3657" s="1">
        <v>3914.0</v>
      </c>
      <c r="B3657" s="3" t="s">
        <v>3511</v>
      </c>
      <c r="C3657" s="3" t="str">
        <f>IFERROR(__xludf.DUMMYFUNCTION("GOOGLETRANSLATE(B3657,""id"",""en"")"),"['already', 'buy', 'package', 'data', 'missing', 'quota', 'filled']")</f>
        <v>['already', 'buy', 'package', 'data', 'missing', 'quota', 'filled']</v>
      </c>
      <c r="D3657" s="3">
        <v>1.0</v>
      </c>
    </row>
    <row r="3658" ht="15.75" customHeight="1">
      <c r="A3658" s="1">
        <v>3916.0</v>
      </c>
      <c r="B3658" s="3" t="s">
        <v>3512</v>
      </c>
      <c r="C3658" s="3" t="str">
        <f>IFERROR(__xludf.DUMMYFUNCTION("GOOGLETRANSLATE(B3658,""id"",""en"")"),"['Best', 'App', 'Ribet', 'Recommendation', 'really']")</f>
        <v>['Best', 'App', 'Ribet', 'Recommendation', 'really']</v>
      </c>
      <c r="D3658" s="3">
        <v>5.0</v>
      </c>
    </row>
    <row r="3659" ht="15.75" customHeight="1">
      <c r="A3659" s="1">
        <v>3917.0</v>
      </c>
      <c r="B3659" s="3" t="s">
        <v>3513</v>
      </c>
      <c r="C3659" s="3" t="str">
        <f>IFERROR(__xludf.DUMMYFUNCTION("GOOGLETRANSLATE(B3659,""id"",""en"")"),"['network', 'down', 'Season', 'sympathy', 'network', 'good', 'Indonesia', 'severe', 'rich', 'taeee', 'sympathy', 'severe', ' network ',' anjeeng ',' ktanya ',' network ',' widest ',' lemooot ',' najisss']")</f>
        <v>['network', 'down', 'Season', 'sympathy', 'network', 'good', 'Indonesia', 'severe', 'rich', 'taeee', 'sympathy', 'severe', ' network ',' anjeeng ',' ktanya ',' network ',' widest ',' lemooot ',' najisss']</v>
      </c>
      <c r="D3659" s="3">
        <v>1.0</v>
      </c>
    </row>
    <row r="3660" ht="15.75" customHeight="1">
      <c r="A3660" s="1">
        <v>3918.0</v>
      </c>
      <c r="B3660" s="3" t="s">
        <v>3514</v>
      </c>
      <c r="C3660" s="3" t="str">
        <f>IFERROR(__xludf.DUMMYFUNCTION("GOOGLETRANSLATE(B3660,""id"",""en"")"),"['signal', 'rotten', 'Telkomsel', 'disappointing']")</f>
        <v>['signal', 'rotten', 'Telkomsel', 'disappointing']</v>
      </c>
      <c r="D3660" s="3">
        <v>1.0</v>
      </c>
    </row>
    <row r="3661" ht="15.75" customHeight="1">
      <c r="A3661" s="1">
        <v>3919.0</v>
      </c>
      <c r="B3661" s="3" t="s">
        <v>3515</v>
      </c>
      <c r="C3661" s="3" t="str">
        <f>IFERROR(__xludf.DUMMYFUNCTION("GOOGLETRANSLATE(B3661,""id"",""en"")"),"['disappointing', 'log', 'bsa', 'naruk', 'point', 'bsa', 'application', 'useless']")</f>
        <v>['disappointing', 'log', 'bsa', 'naruk', 'point', 'bsa', 'application', 'useless']</v>
      </c>
      <c r="D3661" s="3">
        <v>1.0</v>
      </c>
    </row>
    <row r="3662" ht="15.75" customHeight="1">
      <c r="A3662" s="1">
        <v>3920.0</v>
      </c>
      <c r="B3662" s="3" t="s">
        <v>3516</v>
      </c>
      <c r="C3662" s="3" t="str">
        <f>IFERROR(__xludf.DUMMYFUNCTION("GOOGLETRANSLATE(B3662,""id"",""en"")"),"['Lally', 'promo', 'good']")</f>
        <v>['Lally', 'promo', 'good']</v>
      </c>
      <c r="D3662" s="3">
        <v>4.0</v>
      </c>
    </row>
    <row r="3663" ht="15.75" customHeight="1">
      <c r="A3663" s="1">
        <v>3921.0</v>
      </c>
      <c r="B3663" s="3" t="s">
        <v>3517</v>
      </c>
      <c r="C3663" s="3" t="str">
        <f>IFERROR(__xludf.DUMMYFUNCTION("GOOGLETRANSLATE(B3663,""id"",""en"")"),"['verytttttt', 'help', ""]")</f>
        <v>['verytttttt', 'help', "]</v>
      </c>
      <c r="D3663" s="3">
        <v>5.0</v>
      </c>
    </row>
    <row r="3664" ht="15.75" customHeight="1">
      <c r="A3664" s="1">
        <v>3922.0</v>
      </c>
      <c r="B3664" s="3" t="s">
        <v>3518</v>
      </c>
      <c r="C3664" s="3" t="str">
        <f>IFERROR(__xludf.DUMMYFUNCTION("GOOGLETRANSLATE(B3664,""id"",""en"")"),"['Loading', 'quota', 'please', 'fix', 'disappointed', 'consumer', 'user', 'please', 'fix']")</f>
        <v>['Loading', 'quota', 'please', 'fix', 'disappointed', 'consumer', 'user', 'please', 'fix']</v>
      </c>
      <c r="D3664" s="3">
        <v>3.0</v>
      </c>
    </row>
    <row r="3665" ht="15.75" customHeight="1">
      <c r="A3665" s="1">
        <v>3923.0</v>
      </c>
      <c r="B3665" s="3" t="s">
        <v>3519</v>
      </c>
      <c r="C3665" s="3" t="str">
        <f>IFERROR(__xludf.DUMMYFUNCTION("GOOGLETRANSLATE(B3665,""id"",""en"")"),"['abidden', 'service', 'signal', 'late', 'pay', 'then', 'block', 'block', 'Telkomsel', 'fix', 'drawback', 'tks']")</f>
        <v>['abidden', 'service', 'signal', 'late', 'pay', 'then', 'block', 'block', 'Telkomsel', 'fix', 'drawback', 'tks']</v>
      </c>
      <c r="D3665" s="3">
        <v>4.0</v>
      </c>
    </row>
    <row r="3666" ht="15.75" customHeight="1">
      <c r="A3666" s="1">
        <v>3924.0</v>
      </c>
      <c r="B3666" s="3" t="s">
        <v>3520</v>
      </c>
      <c r="C3666" s="3" t="str">
        <f>IFERROR(__xludf.DUMMYFUNCTION("GOOGLETRANSLATE(B3666,""id"",""en"")"),"['buy', 'pulse', 'sucked', 'Telkomsel', 'ngeta', 'in', 'buy', 'pulse', 'leaves',' times', 'already', 'buy', ' money ',' Telkomsel ',' as soon as', 'his forehead', 'Maling']")</f>
        <v>['buy', 'pulse', 'sucked', 'Telkomsel', 'ngeta', 'in', 'buy', 'pulse', 'leaves',' times', 'already', 'buy', ' money ',' Telkomsel ',' as soon as', 'his forehead', 'Maling']</v>
      </c>
      <c r="D3666" s="3">
        <v>1.0</v>
      </c>
    </row>
    <row r="3667" ht="15.75" customHeight="1">
      <c r="A3667" s="1">
        <v>3925.0</v>
      </c>
      <c r="B3667" s="3" t="s">
        <v>3521</v>
      </c>
      <c r="C3667" s="3" t="str">
        <f>IFERROR(__xludf.DUMMYFUNCTION("GOOGLETRANSLATE(B3667,""id"",""en"")"),"['package', 'quota', 'watch', 'local', 'coakes', 'streaming', 'apk', 'kepake', 'quota', 'internal']")</f>
        <v>['package', 'quota', 'watch', 'local', 'coakes', 'streaming', 'apk', 'kepake', 'quota', 'internal']</v>
      </c>
      <c r="D3667" s="3">
        <v>1.0</v>
      </c>
    </row>
    <row r="3668" ht="15.75" customHeight="1">
      <c r="A3668" s="1">
        <v>3926.0</v>
      </c>
      <c r="B3668" s="3" t="s">
        <v>3522</v>
      </c>
      <c r="C3668" s="3" t="str">
        <f>IFERROR(__xludf.DUMMYFUNCTION("GOOGLETRANSLATE(B3668,""id"",""en"")"),"['Quality', 'Signal', 'Best', ""]")</f>
        <v>['Quality', 'Signal', 'Best', "]</v>
      </c>
      <c r="D3668" s="3">
        <v>5.0</v>
      </c>
    </row>
    <row r="3669" ht="15.75" customHeight="1">
      <c r="A3669" s="1">
        <v>3927.0</v>
      </c>
      <c r="B3669" s="3" t="s">
        <v>3523</v>
      </c>
      <c r="C3669" s="3" t="str">
        <f>IFERROR(__xludf.DUMMYFUNCTION("GOOGLETRANSLATE(B3669,""id"",""en"")"),"['finishing', 'Perfaces', 'Perfection', 'really', '']")</f>
        <v>['finishing', 'Perfaces', 'Perfection', 'really', '']</v>
      </c>
      <c r="D3669" s="3">
        <v>5.0</v>
      </c>
    </row>
    <row r="3670" ht="15.75" customHeight="1">
      <c r="A3670" s="1">
        <v>3928.0</v>
      </c>
      <c r="B3670" s="3" t="s">
        <v>3524</v>
      </c>
      <c r="C3670" s="3" t="str">
        <f>IFERROR(__xludf.DUMMYFUNCTION("GOOGLETRANSLATE(B3670,""id"",""en"")"),"['network', 'slow', 'price', 'expensive', 'according to', 'facilities', 'service', 'best', 'mending', 'down', 'price', 'customize']")</f>
        <v>['network', 'slow', 'price', 'expensive', 'according to', 'facilities', 'service', 'best', 'mending', 'down', 'price', 'customize']</v>
      </c>
      <c r="D3670" s="3">
        <v>1.0</v>
      </c>
    </row>
    <row r="3671" ht="15.75" customHeight="1">
      <c r="A3671" s="1">
        <v>3930.0</v>
      </c>
      <c r="B3671" s="3" t="s">
        <v>3525</v>
      </c>
      <c r="C3671" s="3" t="str">
        <f>IFERROR(__xludf.DUMMYFUNCTION("GOOGLETRANSLATE(B3671,""id"",""en"")"),"['easy', 'dang', 'easy', 'mantaaaaaappp', '']")</f>
        <v>['easy', 'dang', 'easy', 'mantaaaaaappp', '']</v>
      </c>
      <c r="D3671" s="3">
        <v>5.0</v>
      </c>
    </row>
    <row r="3672" ht="15.75" customHeight="1">
      <c r="A3672" s="1">
        <v>3931.0</v>
      </c>
      <c r="B3672" s="3" t="s">
        <v>3526</v>
      </c>
      <c r="C3672" s="3" t="str">
        <f>IFERROR(__xludf.DUMMYFUNCTION("GOOGLETRANSLATE(B3672,""id"",""en"")"),"['Ribet', 'Login', 'Mulu', 'Notif']")</f>
        <v>['Ribet', 'Login', 'Mulu', 'Notif']</v>
      </c>
      <c r="D3672" s="3">
        <v>1.0</v>
      </c>
    </row>
    <row r="3673" ht="15.75" customHeight="1">
      <c r="A3673" s="1">
        <v>3932.0</v>
      </c>
      <c r="B3673" s="3" t="s">
        <v>3527</v>
      </c>
      <c r="C3673" s="3" t="str">
        <f>IFERROR(__xludf.DUMMYFUNCTION("GOOGLETRANSLATE(B3673,""id"",""en"")"),"['Telkomsel', 'the network', 'bad', 'really', 'package', 'used', 'lag', 'hope', 'in the future', 'Telkomsel', 'fix', 'signal', ' The network is', 'Current', 'Wear', 'Kouta']")</f>
        <v>['Telkomsel', 'the network', 'bad', 'really', 'package', 'used', 'lag', 'hope', 'in the future', 'Telkomsel', 'fix', 'signal', ' The network is', 'Current', 'Wear', 'Kouta']</v>
      </c>
      <c r="D3673" s="3">
        <v>1.0</v>
      </c>
    </row>
    <row r="3674" ht="15.75" customHeight="1">
      <c r="A3674" s="1">
        <v>3933.0</v>
      </c>
      <c r="B3674" s="3" t="s">
        <v>3528</v>
      </c>
      <c r="C3674" s="3" t="str">
        <f>IFERROR(__xludf.DUMMYFUNCTION("GOOGLETRANSLATE(B3674,""id"",""en"")"),"['Sorry', 'complement', 'pulses',' lost ',' trs', 'pdhl', 'quota', 'bnyk', 'telkomsel', 'trs',' take ',' left ',' Credit ',' Please ',' Help ',' ']")</f>
        <v>['Sorry', 'complement', 'pulses',' lost ',' trs', 'pdhl', 'quota', 'bnyk', 'telkomsel', 'trs',' take ',' left ',' Credit ',' Please ',' Help ',' ']</v>
      </c>
      <c r="D3674" s="3">
        <v>2.0</v>
      </c>
    </row>
    <row r="3675" ht="15.75" customHeight="1">
      <c r="A3675" s="1">
        <v>3934.0</v>
      </c>
      <c r="B3675" s="3" t="s">
        <v>3529</v>
      </c>
      <c r="C3675" s="3" t="str">
        <f>IFERROR(__xludf.DUMMYFUNCTION("GOOGLETRANSLATE(B3675,""id"",""en"")"),"['easy', '']")</f>
        <v>['easy', '']</v>
      </c>
      <c r="D3675" s="3">
        <v>5.0</v>
      </c>
    </row>
    <row r="3676" ht="15.75" customHeight="1">
      <c r="A3676" s="1">
        <v>3935.0</v>
      </c>
      <c r="B3676" s="3" t="s">
        <v>3530</v>
      </c>
      <c r="C3676" s="3" t="str">
        <f>IFERROR(__xludf.DUMMYFUNCTION("GOOGLETRANSLATE(B3676,""id"",""en"")"),"['Steady', 'Ngk', 'Mnger']")</f>
        <v>['Steady', 'Ngk', 'Mnger']</v>
      </c>
      <c r="D3676" s="3">
        <v>5.0</v>
      </c>
    </row>
    <row r="3677" ht="15.75" customHeight="1">
      <c r="A3677" s="1">
        <v>3936.0</v>
      </c>
      <c r="B3677" s="3" t="s">
        <v>3531</v>
      </c>
      <c r="C3677" s="3" t="str">
        <f>IFERROR(__xludf.DUMMYFUNCTION("GOOGLETRANSLATE(B3677,""id"",""en"")"),"['Good', 'Provider', 'Telkomsel', 'deteriorating', 'signal', 'policy', 'provider', 'Indonesia', 'sorry', 'move', 'provider', 'service', ' Telkomsel ',' ']")</f>
        <v>['Good', 'Provider', 'Telkomsel', 'deteriorating', 'signal', 'policy', 'provider', 'Indonesia', 'sorry', 'move', 'provider', 'service', ' Telkomsel ',' ']</v>
      </c>
      <c r="D3677" s="3">
        <v>1.0</v>
      </c>
    </row>
    <row r="3678" ht="15.75" customHeight="1">
      <c r="A3678" s="1">
        <v>3937.0</v>
      </c>
      <c r="B3678" s="3" t="s">
        <v>3532</v>
      </c>
      <c r="C3678" s="3" t="str">
        <f>IFERROR(__xludf.DUMMYFUNCTION("GOOGLETRANSLATE(B3678,""id"",""en"")"),"['Please', 'Telkom', 'Benerin', 'Knp', 'Buy', 'Credit', 'Direct', 'Abis', 'Oath', 'Disappointed', 'Really', ""]")</f>
        <v>['Please', 'Telkom', 'Benerin', 'Knp', 'Buy', 'Credit', 'Direct', 'Abis', 'Oath', 'Disappointed', 'Really', "]</v>
      </c>
      <c r="D3678" s="3">
        <v>1.0</v>
      </c>
    </row>
    <row r="3679" ht="15.75" customHeight="1">
      <c r="A3679" s="1">
        <v>3938.0</v>
      </c>
      <c r="B3679" s="3" t="s">
        <v>3533</v>
      </c>
      <c r="C3679" s="3" t="str">
        <f>IFERROR(__xludf.DUMMYFUNCTION("GOOGLETRANSLATE(B3679,""id"",""en"")"),"['Price', 'quota', 'Telkomsel', 'expensive', 'others']")</f>
        <v>['Price', 'quota', 'Telkomsel', 'expensive', 'others']</v>
      </c>
      <c r="D3679" s="3">
        <v>1.0</v>
      </c>
    </row>
    <row r="3680" ht="15.75" customHeight="1">
      <c r="A3680" s="1">
        <v>3939.0</v>
      </c>
      <c r="B3680" s="3" t="s">
        <v>3534</v>
      </c>
      <c r="C3680" s="3" t="str">
        <f>IFERROR(__xludf.DUMMYFUNCTION("GOOGLETRANSLATE(B3680,""id"",""en"")"),"['quota', 'game', 'gabisa', 'play', 'game', 'tcih']")</f>
        <v>['quota', 'game', 'gabisa', 'play', 'game', 'tcih']</v>
      </c>
      <c r="D3680" s="3">
        <v>1.0</v>
      </c>
    </row>
    <row r="3681" ht="15.75" customHeight="1">
      <c r="A3681" s="1">
        <v>3940.0</v>
      </c>
      <c r="B3681" s="3" t="s">
        <v>3535</v>
      </c>
      <c r="C3681" s="3" t="str">
        <f>IFERROR(__xludf.DUMMYFUNCTION("GOOGLETRANSLATE(B3681,""id"",""en"")"),"['', 'Ngirit', ""]")</f>
        <v>['', 'Ngirit', "]</v>
      </c>
      <c r="D3681" s="3">
        <v>5.0</v>
      </c>
    </row>
    <row r="3682" ht="15.75" customHeight="1">
      <c r="A3682" s="1">
        <v>3942.0</v>
      </c>
      <c r="B3682" s="3" t="s">
        <v>3536</v>
      </c>
      <c r="C3682" s="3" t="str">
        <f>IFERROR(__xludf.DUMMYFUNCTION("GOOGLETRANSLATE(B3682,""id"",""en"")"),"['installed', 'Android', '']")</f>
        <v>['installed', 'Android', '']</v>
      </c>
      <c r="D3682" s="3">
        <v>1.0</v>
      </c>
    </row>
    <row r="3683" ht="15.75" customHeight="1">
      <c r="A3683" s="1">
        <v>3943.0</v>
      </c>
      <c r="B3683" s="3" t="s">
        <v>3537</v>
      </c>
      <c r="C3683" s="3" t="str">
        <f>IFERROR(__xludf.DUMMYFUNCTION("GOOGLETRANSLATE(B3683,""id"",""en"")"),"['signal', 'slow', 'maen', 'game', 'lag', 'come on', 'fix']")</f>
        <v>['signal', 'slow', 'maen', 'game', 'lag', 'come on', 'fix']</v>
      </c>
      <c r="D3683" s="3">
        <v>1.0</v>
      </c>
    </row>
    <row r="3684" ht="15.75" customHeight="1">
      <c r="A3684" s="1">
        <v>3944.0</v>
      </c>
      <c r="B3684" s="3" t="s">
        <v>3538</v>
      </c>
      <c r="C3684" s="3" t="str">
        <f>IFERROR(__xludf.DUMMYFUNCTION("GOOGLETRANSLATE(B3684,""id"",""en"")"),"['Please', 'repaired', 'network', 'package', 'promo', 'reproduced', 'bntg']")</f>
        <v>['Please', 'repaired', 'network', 'package', 'promo', 'reproduced', 'bntg']</v>
      </c>
      <c r="D3684" s="3">
        <v>4.0</v>
      </c>
    </row>
    <row r="3685" ht="15.75" customHeight="1">
      <c r="A3685" s="1">
        <v>3945.0</v>
      </c>
      <c r="B3685" s="3" t="s">
        <v>3539</v>
      </c>
      <c r="C3685" s="3" t="str">
        <f>IFERROR(__xludf.DUMMYFUNCTION("GOOGLETRANSLATE(B3685,""id"",""en"")"),"['Telkomsel', 'Leading', 'Amin']")</f>
        <v>['Telkomsel', 'Leading', 'Amin']</v>
      </c>
      <c r="D3685" s="3">
        <v>5.0</v>
      </c>
    </row>
    <row r="3686" ht="15.75" customHeight="1">
      <c r="A3686" s="1">
        <v>3946.0</v>
      </c>
      <c r="B3686" s="3" t="s">
        <v>3540</v>
      </c>
      <c r="C3686" s="3" t="str">
        <f>IFERROR(__xludf.DUMMYFUNCTION("GOOGLETRANSLATE(B3686,""id"",""en"")"),"['signal', 'internet', 'slow', 'sweet', 'eyes', 'KLABAR']")</f>
        <v>['signal', 'internet', 'slow', 'sweet', 'eyes', 'KLABAR']</v>
      </c>
      <c r="D3686" s="3">
        <v>1.0</v>
      </c>
    </row>
    <row r="3687" ht="15.75" customHeight="1">
      <c r="A3687" s="1">
        <v>3947.0</v>
      </c>
      <c r="B3687" s="3" t="s">
        <v>81</v>
      </c>
      <c r="C3687" s="3" t="str">
        <f>IFERROR(__xludf.DUMMYFUNCTION("GOOGLETRANSLATE(B3687,""id"",""en"")"),"['application', 'good']")</f>
        <v>['application', 'good']</v>
      </c>
      <c r="D3687" s="3">
        <v>5.0</v>
      </c>
    </row>
    <row r="3688" ht="15.75" customHeight="1">
      <c r="A3688" s="1">
        <v>3948.0</v>
      </c>
      <c r="B3688" s="3" t="s">
        <v>3541</v>
      </c>
      <c r="C3688" s="3" t="str">
        <f>IFERROR(__xludf.DUMMYFUNCTION("GOOGLETRANSLATE(B3688,""id"",""en"")"),"['process', 'entry', 'complicated', 'use', 'link', 'menu', 'good', 'no', 'use', 'code', 'verification', 'practical']")</f>
        <v>['process', 'entry', 'complicated', 'use', 'link', 'menu', 'good', 'no', 'use', 'code', 'verification', 'practical']</v>
      </c>
      <c r="D3688" s="3">
        <v>3.0</v>
      </c>
    </row>
    <row r="3689" ht="15.75" customHeight="1">
      <c r="A3689" s="1">
        <v>3949.0</v>
      </c>
      <c r="B3689" s="3" t="s">
        <v>3542</v>
      </c>
      <c r="C3689" s="3" t="str">
        <f>IFERROR(__xludf.DUMMYFUNCTION("GOOGLETRANSLATE(B3689,""id"",""en"")"),"['Package', 'Unlimited', 'Gede', 'Terure', 'Unlimited', 'Quota', 'Main', 'Out', 'Provider', 'Terure "",""]")</f>
        <v>['Package', 'Unlimited', 'Gede', 'Terure', 'Unlimited', 'Quota', 'Main', 'Out', 'Provider', 'Terure ","]</v>
      </c>
      <c r="D3689" s="3">
        <v>4.0</v>
      </c>
    </row>
    <row r="3690" ht="15.75" customHeight="1">
      <c r="A3690" s="1">
        <v>3950.0</v>
      </c>
      <c r="B3690" s="3" t="s">
        <v>3543</v>
      </c>
      <c r="C3690" s="3" t="str">
        <f>IFERROR(__xludf.DUMMYFUNCTION("GOOGLETRANSLATE(B3690,""id"",""en"")"),"['Thank you', 'application', 'Helpful']")</f>
        <v>['Thank you', 'application', 'Helpful']</v>
      </c>
      <c r="D3690" s="3">
        <v>1.0</v>
      </c>
    </row>
    <row r="3691" ht="15.75" customHeight="1">
      <c r="A3691" s="1">
        <v>3951.0</v>
      </c>
      <c r="B3691" s="3" t="s">
        <v>3544</v>
      </c>
      <c r="C3691" s="3" t="str">
        <f>IFERROR(__xludf.DUMMYFUNCTION("GOOGLETRANSLATE(B3691,""id"",""en"")"),"['Telkomsel', 'Didalem', 'room', 'problematic', 'get', 'signal', 'broken', 'on the floor', 'room', 'open', 'difficult', 'signal', ' in the place ',' work ',' enter ',' kedalem ',' difficult ',' room ',' get ',' signal ', ""]")</f>
        <v>['Telkomsel', 'Didalem', 'room', 'problematic', 'get', 'signal', 'broken', 'on the floor', 'room', 'open', 'difficult', 'signal', ' in the place ',' work ',' enter ',' kedalem ',' difficult ',' room ',' get ',' signal ', "]</v>
      </c>
      <c r="D3691" s="3">
        <v>5.0</v>
      </c>
    </row>
    <row r="3692" ht="15.75" customHeight="1">
      <c r="A3692" s="1">
        <v>3952.0</v>
      </c>
      <c r="B3692" s="3" t="s">
        <v>3545</v>
      </c>
      <c r="C3692" s="3" t="str">
        <f>IFERROR(__xludf.DUMMYFUNCTION("GOOGLETRANSLATE(B3692,""id"",""en"")"),"['Admin', 'Sory', 'Nei', 'Try', 'Data', 'Out', 'Automatic', 'Credit', 'Take', 'Lost', 'Automatic', 'Credit', ' Tetep ',' Thanks', '']")</f>
        <v>['Admin', 'Sory', 'Nei', 'Try', 'Data', 'Out', 'Automatic', 'Credit', 'Take', 'Lost', 'Automatic', 'Credit', ' Tetep ',' Thanks', '']</v>
      </c>
      <c r="D3692" s="3">
        <v>4.0</v>
      </c>
    </row>
    <row r="3693" ht="15.75" customHeight="1">
      <c r="A3693" s="1">
        <v>3953.0</v>
      </c>
      <c r="B3693" s="3" t="s">
        <v>3546</v>
      </c>
      <c r="C3693" s="3" t="str">
        <f>IFERROR(__xludf.DUMMYFUNCTION("GOOGLETRANSLATE(B3693,""id"",""en"")"),"['Try', 'Love', 'Star', 'Please', 'Increase', 'Signal', 'Telkomsel', 'in the area', 'Lombok', 'Thank you']")</f>
        <v>['Try', 'Love', 'Star', 'Please', 'Increase', 'Signal', 'Telkomsel', 'in the area', 'Lombok', 'Thank you']</v>
      </c>
      <c r="D3693" s="3">
        <v>4.0</v>
      </c>
    </row>
    <row r="3694" ht="15.75" customHeight="1">
      <c r="A3694" s="1">
        <v>3954.0</v>
      </c>
      <c r="B3694" s="3" t="s">
        <v>3547</v>
      </c>
      <c r="C3694" s="3" t="str">
        <f>IFERROR(__xludf.DUMMYFUNCTION("GOOGLETRANSLATE(B3694,""id"",""en"")"),"['petrified', 'development', 'era', 'jigital']")</f>
        <v>['petrified', 'development', 'era', 'jigital']</v>
      </c>
      <c r="D3694" s="3">
        <v>5.0</v>
      </c>
    </row>
    <row r="3695" ht="15.75" customHeight="1">
      <c r="A3695" s="1">
        <v>3955.0</v>
      </c>
      <c r="B3695" s="3" t="s">
        <v>3548</v>
      </c>
      <c r="C3695" s="3" t="str">
        <f>IFERROR(__xludf.DUMMYFUNCTION("GOOGLETRANSLATE(B3695,""id"",""en"")"),"['Telkomsel', 'Stop', 'Tipu', 'Package', 'Rupiah', 'Pulse', 'Sucked', 'Approval', ""]")</f>
        <v>['Telkomsel', 'Stop', 'Tipu', 'Package', 'Rupiah', 'Pulse', 'Sucked', 'Approval', "]</v>
      </c>
      <c r="D3695" s="3">
        <v>1.0</v>
      </c>
    </row>
    <row r="3696" ht="15.75" customHeight="1">
      <c r="A3696" s="1">
        <v>3956.0</v>
      </c>
      <c r="B3696" s="3" t="s">
        <v>3549</v>
      </c>
      <c r="C3696" s="3" t="str">
        <f>IFERROR(__xludf.DUMMYFUNCTION("GOOGLETRANSLATE(B3696,""id"",""en"")"),"['satisfying', 'feature', 'interesting', '']")</f>
        <v>['satisfying', 'feature', 'interesting', '']</v>
      </c>
      <c r="D3696" s="3">
        <v>5.0</v>
      </c>
    </row>
    <row r="3697" ht="15.75" customHeight="1">
      <c r="A3697" s="1">
        <v>3957.0</v>
      </c>
      <c r="B3697" s="3" t="s">
        <v>3550</v>
      </c>
      <c r="C3697" s="3" t="str">
        <f>IFERROR(__xludf.DUMMYFUNCTION("GOOGLETRANSLATE(B3697,""id"",""en"")"),"['user', 'network', 'Telkomsel', 'many years', 'customers', 'network', 'good', 'good', 'please', 'fix']")</f>
        <v>['user', 'network', 'Telkomsel', 'many years', 'customers', 'network', 'good', 'good', 'please', 'fix']</v>
      </c>
      <c r="D3697" s="3">
        <v>1.0</v>
      </c>
    </row>
    <row r="3698" ht="15.75" customHeight="1">
      <c r="A3698" s="1">
        <v>3958.0</v>
      </c>
      <c r="B3698" s="3" t="s">
        <v>3551</v>
      </c>
      <c r="C3698" s="3" t="str">
        <f>IFERROR(__xludf.DUMMYFUNCTION("GOOGLETRANSLATE(B3698,""id"",""en"")"),"['bad', 'signal', 'mya', 'ugly', 'love', 'bimtang', 'beg', 'fix', 'signal']")</f>
        <v>['bad', 'signal', 'mya', 'ugly', 'love', 'bimtang', 'beg', 'fix', 'signal']</v>
      </c>
      <c r="D3698" s="3">
        <v>1.0</v>
      </c>
    </row>
    <row r="3699" ht="15.75" customHeight="1">
      <c r="A3699" s="1">
        <v>3959.0</v>
      </c>
      <c r="B3699" s="3" t="s">
        <v>3552</v>
      </c>
      <c r="C3699" s="3" t="str">
        <f>IFERROR(__xludf.DUMMYFUNCTION("GOOGLETRANSLATE(B3699,""id"",""en"")"),"['knp', 'apk', 'jelaaassss']")</f>
        <v>['knp', 'apk', 'jelaaassss']</v>
      </c>
      <c r="D3699" s="3">
        <v>1.0</v>
      </c>
    </row>
    <row r="3700" ht="15.75" customHeight="1">
      <c r="A3700" s="1">
        <v>3960.0</v>
      </c>
      <c r="B3700" s="3" t="s">
        <v>3553</v>
      </c>
      <c r="C3700" s="3" t="str">
        <f>IFERROR(__xludf.DUMMYFUNCTION("GOOGLETRANSLATE(B3700,""id"",""en"")"),"['Update', 'Change', 'MyTelkomsel', 'Bad', 'TOP']")</f>
        <v>['Update', 'Change', 'MyTelkomsel', 'Bad', 'TOP']</v>
      </c>
      <c r="D3700" s="3">
        <v>1.0</v>
      </c>
    </row>
    <row r="3701" ht="15.75" customHeight="1">
      <c r="A3701" s="1">
        <v>3961.0</v>
      </c>
      <c r="B3701" s="3" t="s">
        <v>154</v>
      </c>
      <c r="C3701" s="3" t="str">
        <f>IFERROR(__xludf.DUMMYFUNCTION("GOOGLETRANSLATE(B3701,""id"",""en"")"),"['satisfying']")</f>
        <v>['satisfying']</v>
      </c>
      <c r="D3701" s="3">
        <v>5.0</v>
      </c>
    </row>
    <row r="3702" ht="15.75" customHeight="1">
      <c r="A3702" s="1">
        <v>3962.0</v>
      </c>
      <c r="B3702" s="3" t="s">
        <v>3554</v>
      </c>
      <c r="C3702" s="3" t="str">
        <f>IFERROR(__xludf.DUMMYFUNCTION("GOOGLETRANSLATE(B3702,""id"",""en"")"),"['Hopefully', 'application', 'help', '']")</f>
        <v>['Hopefully', 'application', 'help', '']</v>
      </c>
      <c r="D3702" s="3">
        <v>5.0</v>
      </c>
    </row>
    <row r="3703" ht="15.75" customHeight="1">
      <c r="A3703" s="1">
        <v>3963.0</v>
      </c>
      <c r="B3703" s="3" t="s">
        <v>3555</v>
      </c>
      <c r="C3703" s="3" t="str">
        <f>IFERROR(__xludf.DUMMYFUNCTION("GOOGLETRANSLATE(B3703,""id"",""en"")"),"['', 'Not bad', 'okay']")</f>
        <v>['', 'Not bad', 'okay']</v>
      </c>
      <c r="D3703" s="3">
        <v>5.0</v>
      </c>
    </row>
    <row r="3704" ht="15.75" customHeight="1">
      <c r="A3704" s="1">
        <v>3964.0</v>
      </c>
      <c r="B3704" s="3" t="s">
        <v>3556</v>
      </c>
      <c r="C3704" s="3" t="str">
        <f>IFERROR(__xludf.DUMMYFUNCTION("GOOGLETRANSLATE(B3704,""id"",""en"")"),"['', 'APK', 'Help']")</f>
        <v>['', 'APK', 'Help']</v>
      </c>
      <c r="D3704" s="3">
        <v>5.0</v>
      </c>
    </row>
    <row r="3705" ht="15.75" customHeight="1">
      <c r="A3705" s="1">
        <v>3965.0</v>
      </c>
      <c r="B3705" s="3" t="s">
        <v>3557</v>
      </c>
      <c r="C3705" s="3" t="str">
        <f>IFERROR(__xludf.DUMMYFUNCTION("GOOGLETRANSLATE(B3705,""id"",""en"")"),"['Cipinang', 'Muara', 'Jakarta', 'East', 'signal']")</f>
        <v>['Cipinang', 'Muara', 'Jakarta', 'East', 'signal']</v>
      </c>
      <c r="D3705" s="3">
        <v>1.0</v>
      </c>
    </row>
    <row r="3706" ht="15.75" customHeight="1">
      <c r="A3706" s="1">
        <v>3966.0</v>
      </c>
      <c r="B3706" s="3" t="s">
        <v>3558</v>
      </c>
      <c r="C3706" s="3" t="str">
        <f>IFERROR(__xludf.DUMMYFUNCTION("GOOGLETRANSLATE(B3706,""id"",""en"")"),"['', 'Telkomsel', 'practical', 'easy']")</f>
        <v>['', 'Telkomsel', 'practical', 'easy']</v>
      </c>
      <c r="D3706" s="3">
        <v>5.0</v>
      </c>
    </row>
    <row r="3707" ht="15.75" customHeight="1">
      <c r="A3707" s="1">
        <v>3967.0</v>
      </c>
      <c r="B3707" s="3" t="s">
        <v>3559</v>
      </c>
      <c r="C3707" s="3" t="str">
        <f>IFERROR(__xludf.DUMMYFUNCTION("GOOGLETRANSLATE(B3707,""id"",""en"")"),"['Continue', 'Service', 'Best']")</f>
        <v>['Continue', 'Service', 'Best']</v>
      </c>
      <c r="D3707" s="3">
        <v>4.0</v>
      </c>
    </row>
    <row r="3708" ht="15.75" customHeight="1">
      <c r="A3708" s="1">
        <v>3969.0</v>
      </c>
      <c r="B3708" s="3" t="s">
        <v>3560</v>
      </c>
      <c r="C3708" s="3" t="str">
        <f>IFERROR(__xludf.DUMMYFUNCTION("GOOGLETRANSLATE(B3708,""id"",""en"")"),"['network', 'internet', 'superrrrr', 'slow', 'price', 'package', 'internet', 'superrrrr', 'Mahallll', 'connection', 'internet', 'superrrrr', ' Lelatttttt ',' Recommended ',' Use ',' Card ',' Telkomsel ']")</f>
        <v>['network', 'internet', 'superrrrr', 'slow', 'price', 'package', 'internet', 'superrrrr', 'Mahallll', 'connection', 'internet', 'superrrrr', ' Lelatttttt ',' Recommended ',' Use ',' Card ',' Telkomsel ']</v>
      </c>
      <c r="D3708" s="3">
        <v>1.0</v>
      </c>
    </row>
    <row r="3709" ht="15.75" customHeight="1">
      <c r="A3709" s="1">
        <v>3970.0</v>
      </c>
      <c r="B3709" s="3" t="s">
        <v>3561</v>
      </c>
      <c r="C3709" s="3" t="str">
        <f>IFERROR(__xludf.DUMMYFUNCTION("GOOGLETRANSLATE(B3709,""id"",""en"")"),"['disappointing']")</f>
        <v>['disappointing']</v>
      </c>
      <c r="D3709" s="3">
        <v>1.0</v>
      </c>
    </row>
    <row r="3710" ht="15.75" customHeight="1">
      <c r="A3710" s="1">
        <v>3972.0</v>
      </c>
      <c r="B3710" s="3" t="s">
        <v>3562</v>
      </c>
      <c r="C3710" s="3" t="str">
        <f>IFERROR(__xludf.DUMMYFUNCTION("GOOGLETRANSLATE(B3710,""id"",""en"")"),"['Open', 'Application', 'Telkomsel', 'SLLU', 'restart']")</f>
        <v>['Open', 'Application', 'Telkomsel', 'SLLU', 'restart']</v>
      </c>
      <c r="D3710" s="3">
        <v>1.0</v>
      </c>
    </row>
    <row r="3711" ht="15.75" customHeight="1">
      <c r="A3711" s="1">
        <v>3974.0</v>
      </c>
      <c r="B3711" s="3" t="s">
        <v>3563</v>
      </c>
      <c r="C3711" s="3" t="str">
        <f>IFERROR(__xludf.DUMMYFUNCTION("GOOGLETRANSLATE(B3711,""id"",""en"")"),"['buy', 'package', 'unlimited', 'youtube', 'quota', 'main', 'truncated']")</f>
        <v>['buy', 'package', 'unlimited', 'youtube', 'quota', 'main', 'truncated']</v>
      </c>
      <c r="D3711" s="3">
        <v>1.0</v>
      </c>
    </row>
    <row r="3712" ht="15.75" customHeight="1">
      <c r="A3712" s="1">
        <v>3975.0</v>
      </c>
      <c r="B3712" s="3" t="s">
        <v>3564</v>
      </c>
      <c r="C3712" s="3" t="str">
        <f>IFERROR(__xludf.DUMMYFUNCTION("GOOGLETRANSLATE(B3712,""id"",""en"")"),"['Disappointed', 'buy', 'card', 'application', 'messages',' dsni ',' reason ',' good ',' fast ',' disappointing ',' message ',' telfn ',' Telkomsel ',' The card ',' mala ',' tangled ',' card ',' dead ',' card ',' pay ',' message ',' free ']")</f>
        <v>['Disappointed', 'buy', 'card', 'application', 'messages',' dsni ',' reason ',' good ',' fast ',' disappointing ',' message ',' telfn ',' Telkomsel ',' The card ',' mala ',' tangled ',' card ',' dead ',' card ',' pay ',' message ',' free ']</v>
      </c>
      <c r="D3712" s="3">
        <v>1.0</v>
      </c>
    </row>
    <row r="3713" ht="15.75" customHeight="1">
      <c r="A3713" s="1">
        <v>3976.0</v>
      </c>
      <c r="B3713" s="3" t="s">
        <v>3565</v>
      </c>
      <c r="C3713" s="3" t="str">
        <f>IFERROR(__xludf.DUMMYFUNCTION("GOOGLETRANSLATE(B3713,""id"",""en"")"),"['promo', 'package', 'good']")</f>
        <v>['promo', 'package', 'good']</v>
      </c>
      <c r="D3713" s="3">
        <v>5.0</v>
      </c>
    </row>
    <row r="3714" ht="15.75" customHeight="1">
      <c r="A3714" s="1">
        <v>3977.0</v>
      </c>
      <c r="B3714" s="3" t="s">
        <v>3566</v>
      </c>
      <c r="C3714" s="3" t="str">
        <f>IFERROR(__xludf.DUMMYFUNCTION("GOOGLETRANSLATE(B3714,""id"",""en"")"),"['manufacture', 'feels',' feels', 'imagine', 'signal', 'internet', 'road', 'kemedia', 'consumer', 'report', 'service', 'Kominfo', ' negligence ',' service ',' consumer ',' tweet ',' technicians', 'Telkomsel', 'direct', 'region', 'underwater', 'ugly', 'the"&amp;" network', '']")</f>
        <v>['manufacture', 'feels',' feels', 'imagine', 'signal', 'internet', 'road', 'kemedia', 'consumer', 'report', 'service', 'Kominfo', ' negligence ',' service ',' consumer ',' tweet ',' technicians', 'Telkomsel', 'direct', 'region', 'underwater', 'ugly', 'the network', '']</v>
      </c>
      <c r="D3714" s="3">
        <v>1.0</v>
      </c>
    </row>
    <row r="3715" ht="15.75" customHeight="1">
      <c r="A3715" s="1">
        <v>3978.0</v>
      </c>
      <c r="B3715" s="3" t="s">
        <v>3567</v>
      </c>
      <c r="C3715" s="3" t="str">
        <f>IFERROR(__xludf.DUMMYFUNCTION("GOOGLETRANSLATE(B3715,""id"",""en"")"),"['Application', 'Good', 'Banggat', 'Trimakasi', 'Telkomsel']")</f>
        <v>['Application', 'Good', 'Banggat', 'Trimakasi', 'Telkomsel']</v>
      </c>
      <c r="D3715" s="3">
        <v>5.0</v>
      </c>
    </row>
    <row r="3716" ht="15.75" customHeight="1">
      <c r="A3716" s="1">
        <v>3979.0</v>
      </c>
      <c r="B3716" s="3" t="s">
        <v>3568</v>
      </c>
      <c r="C3716" s="3" t="str">
        <f>IFERROR(__xludf.DUMMYFUNCTION("GOOGLETRANSLATE(B3716,""id"",""en"")"),"['Good', 'price', 'package', 'expensive']")</f>
        <v>['Good', 'price', 'package', 'expensive']</v>
      </c>
      <c r="D3716" s="3">
        <v>4.0</v>
      </c>
    </row>
    <row r="3717" ht="15.75" customHeight="1">
      <c r="A3717" s="1">
        <v>3980.0</v>
      </c>
      <c r="B3717" s="3" t="s">
        <v>3569</v>
      </c>
      <c r="C3717" s="3" t="str">
        <f>IFERROR(__xludf.DUMMYFUNCTION("GOOGLETRANSLATE(B3717,""id"",""en"")"),"['steady', 'network']")</f>
        <v>['steady', 'network']</v>
      </c>
      <c r="D3717" s="3">
        <v>5.0</v>
      </c>
    </row>
    <row r="3718" ht="15.75" customHeight="1">
      <c r="A3718" s="1">
        <v>3981.0</v>
      </c>
      <c r="B3718" s="3" t="s">
        <v>1280</v>
      </c>
      <c r="C3718" s="3" t="str">
        <f>IFERROR(__xludf.DUMMYFUNCTION("GOOGLETRANSLATE(B3718,""id"",""en"")"),"['Telkomsel', 'steady']")</f>
        <v>['Telkomsel', 'steady']</v>
      </c>
      <c r="D3718" s="3">
        <v>5.0</v>
      </c>
    </row>
    <row r="3719" ht="15.75" customHeight="1">
      <c r="A3719" s="1">
        <v>3982.0</v>
      </c>
      <c r="B3719" s="3" t="s">
        <v>3570</v>
      </c>
      <c r="C3719" s="3" t="str">
        <f>IFERROR(__xludf.DUMMYFUNCTION("GOOGLETRANSLATE(B3719,""id"",""en"")"),"['right', 'buy', 'quota', 'said', 'pulse', 'right', 'pulse', 'base', 'emang', 'apk', 'gajelas',' gausah ',' Buy ',' Quotes', 'Credit', 'Telkomsel', 'oath', 'Raying', 'really', '']")</f>
        <v>['right', 'buy', 'quota', 'said', 'pulse', 'right', 'pulse', 'base', 'emang', 'apk', 'gajelas',' gausah ',' Buy ',' Quotes', 'Credit', 'Telkomsel', 'oath', 'Raying', 'really', '']</v>
      </c>
      <c r="D3719" s="3">
        <v>1.0</v>
      </c>
    </row>
    <row r="3720" ht="15.75" customHeight="1">
      <c r="A3720" s="1">
        <v>3983.0</v>
      </c>
      <c r="B3720" s="3" t="s">
        <v>3571</v>
      </c>
      <c r="C3720" s="3" t="str">
        <f>IFERROR(__xludf.DUMMYFUNCTION("GOOGLETRANSLATE(B3720,""id"",""en"")"),"['Fix', 'Service']")</f>
        <v>['Fix', 'Service']</v>
      </c>
      <c r="D3720" s="3">
        <v>5.0</v>
      </c>
    </row>
    <row r="3721" ht="15.75" customHeight="1">
      <c r="A3721" s="1">
        <v>3984.0</v>
      </c>
      <c r="B3721" s="3" t="s">
        <v>3572</v>
      </c>
      <c r="C3721" s="3" t="str">
        <f>IFERROR(__xludf.DUMMYFUNCTION("GOOGLETRANSLATE(B3721,""id"",""en"")"),"['Good', 'Package', 'Internet', 'Call', 'Cheap', 'Please', 'Increase', 'Signal', 'Telephon', 'Communication', 'Smooth', 'Disconnect', ' Disconnect ',' voice ',' miscommunication ',' talk ',' trims']")</f>
        <v>['Good', 'Package', 'Internet', 'Call', 'Cheap', 'Please', 'Increase', 'Signal', 'Telephon', 'Communication', 'Smooth', 'Disconnect', ' Disconnect ',' voice ',' miscommunication ',' talk ',' trims']</v>
      </c>
      <c r="D3721" s="3">
        <v>5.0</v>
      </c>
    </row>
    <row r="3722" ht="15.75" customHeight="1">
      <c r="A3722" s="1">
        <v>3985.0</v>
      </c>
      <c r="B3722" s="3" t="s">
        <v>3573</v>
      </c>
      <c r="C3722" s="3" t="str">
        <f>IFERROR(__xludf.DUMMYFUNCTION("GOOGLETRANSLATE(B3722,""id"",""en"")"),"['Service', 'Network', 'Good', 'Stay', 'Increase', 'Stabilan', 'THX', '']")</f>
        <v>['Service', 'Network', 'Good', 'Stay', 'Increase', 'Stabilan', 'THX', '']</v>
      </c>
      <c r="D3722" s="3">
        <v>5.0</v>
      </c>
    </row>
    <row r="3723" ht="15.75" customHeight="1">
      <c r="A3723" s="1">
        <v>3986.0</v>
      </c>
      <c r="B3723" s="3" t="s">
        <v>3574</v>
      </c>
      <c r="C3723" s="3" t="str">
        <f>IFERROR(__xludf.DUMMYFUNCTION("GOOGLETRANSLATE(B3723,""id"",""en"")"),"['like', 'promo']")</f>
        <v>['like', 'promo']</v>
      </c>
      <c r="D3723" s="3">
        <v>5.0</v>
      </c>
    </row>
    <row r="3724" ht="15.75" customHeight="1">
      <c r="A3724" s="1">
        <v>3987.0</v>
      </c>
      <c r="B3724" s="3" t="s">
        <v>3575</v>
      </c>
      <c r="C3724" s="3" t="str">
        <f>IFERROR(__xludf.DUMMYFUNCTION("GOOGLETRANSLATE(B3724,""id"",""en"")"),"['', 'star', 'represents', 'quality']")</f>
        <v>['', 'star', 'represents', 'quality']</v>
      </c>
      <c r="D3724" s="3">
        <v>3.0</v>
      </c>
    </row>
    <row r="3725" ht="15.75" customHeight="1">
      <c r="A3725" s="1">
        <v>3988.0</v>
      </c>
      <c r="B3725" s="3" t="s">
        <v>3576</v>
      </c>
      <c r="C3725" s="3" t="str">
        <f>IFERROR(__xludf.DUMMYFUNCTION("GOOGLETRANSLATE(B3725,""id"",""en"")"),"['', 'Deh', 'the application']")</f>
        <v>['', 'Deh', 'the application']</v>
      </c>
      <c r="D3725" s="3">
        <v>5.0</v>
      </c>
    </row>
    <row r="3726" ht="15.75" customHeight="1">
      <c r="A3726" s="1">
        <v>3989.0</v>
      </c>
      <c r="B3726" s="3" t="s">
        <v>3577</v>
      </c>
      <c r="C3726" s="3" t="str">
        <f>IFERROR(__xludf.DUMMYFUNCTION("GOOGLETRANSLATE(B3726,""id"",""en"")"),"['Sinyalll', 'Mantap', 'Kampung', 'Oada', 'wkwkwk']")</f>
        <v>['Sinyalll', 'Mantap', 'Kampung', 'Oada', 'wkwkwk']</v>
      </c>
      <c r="D3726" s="3">
        <v>5.0</v>
      </c>
    </row>
    <row r="3727" ht="15.75" customHeight="1">
      <c r="A3727" s="1">
        <v>3990.0</v>
      </c>
      <c r="B3727" s="3" t="s">
        <v>3578</v>
      </c>
      <c r="C3727" s="3" t="str">
        <f>IFERROR(__xludf.DUMMYFUNCTION("GOOGLETRANSLATE(B3727,""id"",""en"")"),"['Napa', 'Package', 'Combo', 'Sakti', 'apply']")</f>
        <v>['Napa', 'Package', 'Combo', 'Sakti', 'apply']</v>
      </c>
      <c r="D3727" s="3">
        <v>5.0</v>
      </c>
    </row>
    <row r="3728" ht="15.75" customHeight="1">
      <c r="A3728" s="1">
        <v>3991.0</v>
      </c>
      <c r="B3728" s="3" t="s">
        <v>3579</v>
      </c>
      <c r="C3728" s="3" t="str">
        <f>IFERROR(__xludf.DUMMYFUNCTION("GOOGLETRANSLATE(B3728,""id"",""en"")"),"['Since', 'entry', 'love', 'star']")</f>
        <v>['Since', 'entry', 'love', 'star']</v>
      </c>
      <c r="D3728" s="3">
        <v>4.0</v>
      </c>
    </row>
    <row r="3729" ht="15.75" customHeight="1">
      <c r="A3729" s="1">
        <v>3992.0</v>
      </c>
      <c r="B3729" s="3" t="s">
        <v>3580</v>
      </c>
      <c r="C3729" s="3" t="str">
        <f>IFERROR(__xludf.DUMMYFUNCTION("GOOGLETRANSLATE(B3729,""id"",""en"")"),"['Cool', 'Help']")</f>
        <v>['Cool', 'Help']</v>
      </c>
      <c r="D3729" s="3">
        <v>5.0</v>
      </c>
    </row>
    <row r="3730" ht="15.75" customHeight="1">
      <c r="A3730" s="1">
        <v>3993.0</v>
      </c>
      <c r="B3730" s="3" t="s">
        <v>3581</v>
      </c>
      <c r="C3730" s="3" t="str">
        <f>IFERROR(__xludf.DUMMYFUNCTION("GOOGLETRANSLATE(B3730,""id"",""en"")"),"['It's easy', 'users', 'Telkomsel', 'access', 'promo', 'package', 'quota', 'data', 'etc.']")</f>
        <v>['It's easy', 'users', 'Telkomsel', 'access', 'promo', 'package', 'quota', 'data', 'etc.']</v>
      </c>
      <c r="D3730" s="3">
        <v>5.0</v>
      </c>
    </row>
    <row r="3731" ht="15.75" customHeight="1">
      <c r="A3731" s="1">
        <v>3994.0</v>
      </c>
      <c r="B3731" s="3" t="s">
        <v>80</v>
      </c>
      <c r="C3731" s="3" t="str">
        <f>IFERROR(__xludf.DUMMYFUNCTION("GOOGLETRANSLATE(B3731,""id"",""en"")"),"['help', '']")</f>
        <v>['help', '']</v>
      </c>
      <c r="D3731" s="3">
        <v>5.0</v>
      </c>
    </row>
    <row r="3732" ht="15.75" customHeight="1">
      <c r="A3732" s="1">
        <v>3995.0</v>
      </c>
      <c r="B3732" s="3" t="s">
        <v>3582</v>
      </c>
      <c r="C3732" s="3" t="str">
        <f>IFERROR(__xludf.DUMMYFUNCTION("GOOGLETRANSLATE(B3732,""id"",""en"")"),"['Disappointed', 'Network', 'Sulawesi', 'Lalod', 'Skali', 'Padhal', 'Lncar', 'Jaya', 'Kyknya', 'Move', 'Loud']")</f>
        <v>['Disappointed', 'Network', 'Sulawesi', 'Lalod', 'Skali', 'Padhal', 'Lncar', 'Jaya', 'Kyknya', 'Move', 'Loud']</v>
      </c>
      <c r="D3732" s="3">
        <v>1.0</v>
      </c>
    </row>
    <row r="3733" ht="15.75" customHeight="1">
      <c r="A3733" s="1">
        <v>3996.0</v>
      </c>
      <c r="B3733" s="3" t="s">
        <v>3583</v>
      </c>
      <c r="C3733" s="3" t="str">
        <f>IFERROR(__xludf.DUMMYFUNCTION("GOOGLETRANSLATE(B3733,""id"",""en"")"),"['Good', 'just', 'confused', 'features', 'try', 'made easier', 'design']")</f>
        <v>['Good', 'just', 'confused', 'features', 'try', 'made easier', 'design']</v>
      </c>
      <c r="D3733" s="3">
        <v>5.0</v>
      </c>
    </row>
    <row r="3734" ht="15.75" customHeight="1">
      <c r="A3734" s="1">
        <v>3997.0</v>
      </c>
      <c r="B3734" s="3" t="s">
        <v>3584</v>
      </c>
      <c r="C3734" s="3" t="str">
        <f>IFERROR(__xludf.DUMMYFUNCTION("GOOGLETRANSLATE(B3734,""id"",""en"")"),"['Love', 'quota', 'super', 'price', 'cheap', 'annual', 'cook', 'see', 'quota', 'Telkomsel']")</f>
        <v>['Love', 'quota', 'super', 'price', 'cheap', 'annual', 'cook', 'see', 'quota', 'Telkomsel']</v>
      </c>
      <c r="D3734" s="3">
        <v>2.0</v>
      </c>
    </row>
    <row r="3735" ht="15.75" customHeight="1">
      <c r="A3735" s="1">
        <v>3998.0</v>
      </c>
      <c r="B3735" s="3" t="s">
        <v>3585</v>
      </c>
      <c r="C3735" s="3" t="str">
        <f>IFERROR(__xludf.DUMMYFUNCTION("GOOGLETRANSLATE(B3735,""id"",""en"")"),"['Mantul', 'Syaa', 'Package', 'Quota', 'Cheap']")</f>
        <v>['Mantul', 'Syaa', 'Package', 'Quota', 'Cheap']</v>
      </c>
      <c r="D3735" s="3">
        <v>5.0</v>
      </c>
    </row>
    <row r="3736" ht="15.75" customHeight="1">
      <c r="A3736" s="1">
        <v>3999.0</v>
      </c>
      <c r="B3736" s="3" t="s">
        <v>1015</v>
      </c>
      <c r="C3736" s="3" t="str">
        <f>IFERROR(__xludf.DUMMYFUNCTION("GOOGLETRANSLATE(B3736,""id"",""en"")"),"['easy', 'help']")</f>
        <v>['easy', 'help']</v>
      </c>
      <c r="D3736" s="3">
        <v>5.0</v>
      </c>
    </row>
    <row r="3737" ht="15.75" customHeight="1">
      <c r="A3737" s="1">
        <v>4000.0</v>
      </c>
      <c r="B3737" s="3" t="s">
        <v>3586</v>
      </c>
      <c r="C3737" s="3" t="str">
        <f>IFERROR(__xludf.DUMMYFUNCTION("GOOGLETRANSLATE(B3737,""id"",""en"")"),"['Not bad', 'network', 'lag', 'play', 'game', 'beg', 'repaired', 'dumped']")</f>
        <v>['Not bad', 'network', 'lag', 'play', 'game', 'beg', 'repaired', 'dumped']</v>
      </c>
      <c r="D3737" s="3">
        <v>4.0</v>
      </c>
    </row>
    <row r="3738" ht="15.75" customHeight="1">
      <c r="A3738" s="1">
        <v>4001.0</v>
      </c>
      <c r="B3738" s="3" t="s">
        <v>3587</v>
      </c>
      <c r="C3738" s="3" t="str">
        <f>IFERROR(__xludf.DUMMYFUNCTION("GOOGLETRANSLATE(B3738,""id"",""en"")"),"['After', 'Update', 'enter', 'knapa', '']")</f>
        <v>['After', 'Update', 'enter', 'knapa', '']</v>
      </c>
      <c r="D3738" s="3">
        <v>3.0</v>
      </c>
    </row>
    <row r="3739" ht="15.75" customHeight="1">
      <c r="A3739" s="1">
        <v>4002.0</v>
      </c>
      <c r="B3739" s="3" t="s">
        <v>3588</v>
      </c>
      <c r="C3739" s="3" t="str">
        <f>IFERROR(__xludf.DUMMYFUNCTION("GOOGLETRANSLATE(B3739,""id"",""en"")"),"['Help', 'user', 'Telkomsel']")</f>
        <v>['Help', 'user', 'Telkomsel']</v>
      </c>
      <c r="D3739" s="3">
        <v>5.0</v>
      </c>
    </row>
    <row r="3740" ht="15.75" customHeight="1">
      <c r="A3740" s="1">
        <v>4003.0</v>
      </c>
      <c r="B3740" s="3" t="s">
        <v>3589</v>
      </c>
      <c r="C3740" s="3" t="str">
        <f>IFERROR(__xludf.DUMMYFUNCTION("GOOGLETRANSLATE(B3740,""id"",""en"")"),"['It's easier for']")</f>
        <v>['It's easier for']</v>
      </c>
      <c r="D3740" s="3">
        <v>5.0</v>
      </c>
    </row>
    <row r="3741" ht="15.75" customHeight="1">
      <c r="A3741" s="1">
        <v>4004.0</v>
      </c>
      <c r="B3741" s="3" t="s">
        <v>3590</v>
      </c>
      <c r="C3741" s="3" t="str">
        <f>IFERROR(__xludf.DUMMYFUNCTION("GOOGLETRANSLATE(B3741,""id"",""en"")"),"['Good', 'like', 'please', 'love', 'promo', 'purchase', 'package', 'quota', 'standard', 'cheap', 'kls',' economy ',' BWH ',' ']")</f>
        <v>['Good', 'like', 'please', 'love', 'promo', 'purchase', 'package', 'quota', 'standard', 'cheap', 'kls',' economy ',' BWH ',' ']</v>
      </c>
      <c r="D3741" s="3">
        <v>5.0</v>
      </c>
    </row>
    <row r="3742" ht="15.75" customHeight="1">
      <c r="A3742" s="1">
        <v>4005.0</v>
      </c>
      <c r="B3742" s="3" t="s">
        <v>2628</v>
      </c>
      <c r="C3742" s="3" t="str">
        <f>IFERROR(__xludf.DUMMYFUNCTION("GOOGLETRANSLATE(B3742,""id"",""en"")"),"['Thank you', 'Telkomsel']")</f>
        <v>['Thank you', 'Telkomsel']</v>
      </c>
      <c r="D3742" s="3">
        <v>5.0</v>
      </c>
    </row>
    <row r="3743" ht="15.75" customHeight="1">
      <c r="A3743" s="1">
        <v>4006.0</v>
      </c>
      <c r="B3743" s="3" t="s">
        <v>3591</v>
      </c>
      <c r="C3743" s="3" t="str">
        <f>IFERROR(__xludf.DUMMYFUNCTION("GOOGLETRANSLATE(B3743,""id"",""en"")"),"['easy', 'buy', 'package']")</f>
        <v>['easy', 'buy', 'package']</v>
      </c>
      <c r="D3743" s="3">
        <v>5.0</v>
      </c>
    </row>
    <row r="3744" ht="15.75" customHeight="1">
      <c r="A3744" s="1">
        <v>4007.0</v>
      </c>
      <c r="B3744" s="3" t="s">
        <v>3592</v>
      </c>
      <c r="C3744" s="3" t="str">
        <f>IFERROR(__xludf.DUMMYFUNCTION("GOOGLETRANSLATE(B3744,""id"",""en"")"),"['pulse', 'data']")</f>
        <v>['pulse', 'data']</v>
      </c>
      <c r="D3744" s="3">
        <v>5.0</v>
      </c>
    </row>
    <row r="3745" ht="15.75" customHeight="1">
      <c r="A3745" s="1">
        <v>4008.0</v>
      </c>
      <c r="B3745" s="3" t="s">
        <v>3593</v>
      </c>
      <c r="C3745" s="3" t="str">
        <f>IFERROR(__xludf.DUMMYFUNCTION("GOOGLETRANSLATE(B3745,""id"",""en"")"),"['Nyoba', 'application', 'SKR', 'MDH', 'HEFORE']")</f>
        <v>['Nyoba', 'application', 'SKR', 'MDH', 'HEFORE']</v>
      </c>
      <c r="D3745" s="3">
        <v>5.0</v>
      </c>
    </row>
    <row r="3746" ht="15.75" customHeight="1">
      <c r="A3746" s="1">
        <v>4009.0</v>
      </c>
      <c r="B3746" s="3" t="s">
        <v>3594</v>
      </c>
      <c r="C3746" s="3" t="str">
        <f>IFERROR(__xludf.DUMMYFUNCTION("GOOGLETRANSLATE(B3746,""id"",""en"")"),"['expensive', 'dak', 'difficult', 'choose', 'package']")</f>
        <v>['expensive', 'dak', 'difficult', 'choose', 'package']</v>
      </c>
      <c r="D3746" s="3">
        <v>3.0</v>
      </c>
    </row>
    <row r="3747" ht="15.75" customHeight="1">
      <c r="A3747" s="1">
        <v>4010.0</v>
      </c>
      <c r="B3747" s="3" t="s">
        <v>3595</v>
      </c>
      <c r="C3747" s="3" t="str">
        <f>IFERROR(__xludf.DUMMYFUNCTION("GOOGLETRANSLATE(B3747,""id"",""en"")"),"['Buy', 'Package', 'Internet', 'Free', 'TLPN', 'All', 'Operator', 'Minutes',' Free ',' Tlpn ',' Tsel ',' Minutes', ' Credit ',' Reduced ',' Where ',' ']")</f>
        <v>['Buy', 'Package', 'Internet', 'Free', 'TLPN', 'All', 'Operator', 'Minutes',' Free ',' Tlpn ',' Tsel ',' Minutes', ' Credit ',' Reduced ',' Where ',' ']</v>
      </c>
      <c r="D3747" s="3">
        <v>1.0</v>
      </c>
    </row>
    <row r="3748" ht="15.75" customHeight="1">
      <c r="A3748" s="1">
        <v>4011.0</v>
      </c>
      <c r="B3748" s="3" t="s">
        <v>3596</v>
      </c>
      <c r="C3748" s="3" t="str">
        <f>IFERROR(__xludf.DUMMYFUNCTION("GOOGLETRANSLATE(B3748,""id"",""en"")"),"['Choice', 'Package', 'complete']")</f>
        <v>['Choice', 'Package', 'complete']</v>
      </c>
      <c r="D3748" s="3">
        <v>3.0</v>
      </c>
    </row>
    <row r="3749" ht="15.75" customHeight="1">
      <c r="A3749" s="1">
        <v>4012.0</v>
      </c>
      <c r="B3749" s="3" t="s">
        <v>3597</v>
      </c>
      <c r="C3749" s="3" t="str">
        <f>IFERROR(__xludf.DUMMYFUNCTION("GOOGLETRANSLATE(B3749,""id"",""en"")"),"['Satisfied', 'subscribe']")</f>
        <v>['Satisfied', 'subscribe']</v>
      </c>
      <c r="D3749" s="3">
        <v>4.0</v>
      </c>
    </row>
    <row r="3750" ht="15.75" customHeight="1">
      <c r="A3750" s="1">
        <v>4013.0</v>
      </c>
      <c r="B3750" s="3" t="s">
        <v>3598</v>
      </c>
      <c r="C3750" s="3" t="str">
        <f>IFERROR(__xludf.DUMMYFUNCTION("GOOGLETRANSLATE(B3750,""id"",""en"")"),"['Sorry', 'love', 'star', 'the application', 'already', 'update', 'Lagih']")</f>
        <v>['Sorry', 'love', 'star', 'the application', 'already', 'update', 'Lagih']</v>
      </c>
      <c r="D3750" s="3">
        <v>4.0</v>
      </c>
    </row>
    <row r="3751" ht="15.75" customHeight="1">
      <c r="A3751" s="1">
        <v>4014.0</v>
      </c>
      <c r="B3751" s="3" t="s">
        <v>3599</v>
      </c>
      <c r="C3751" s="3" t="str">
        <f>IFERROR(__xludf.DUMMYFUNCTION("GOOGLETRANSLATE(B3751,""id"",""en"")"),"['update', 'version', 'newest', 'compatible', 'device', 'should', 'berli', 'handpone', 'hikss']")</f>
        <v>['update', 'version', 'newest', 'compatible', 'device', 'should', 'berli', 'handpone', 'hikss']</v>
      </c>
      <c r="D3751" s="3">
        <v>1.0</v>
      </c>
    </row>
    <row r="3752" ht="15.75" customHeight="1">
      <c r="A3752" s="1">
        <v>4015.0</v>
      </c>
      <c r="B3752" s="3" t="s">
        <v>122</v>
      </c>
      <c r="C3752" s="3" t="str">
        <f>IFERROR(__xludf.DUMMYFUNCTION("GOOGLETRANSLATE(B3752,""id"",""en"")"),"['easy']")</f>
        <v>['easy']</v>
      </c>
      <c r="D3752" s="3">
        <v>5.0</v>
      </c>
    </row>
    <row r="3753" ht="15.75" customHeight="1">
      <c r="A3753" s="1">
        <v>4016.0</v>
      </c>
      <c r="B3753" s="3" t="s">
        <v>3600</v>
      </c>
      <c r="C3753" s="3" t="str">
        <f>IFERROR(__xludf.DUMMYFUNCTION("GOOGLETRANSLATE(B3753,""id"",""en"")"),"['Switch', 'Telkomsel', 'Karna', 'satisfying']")</f>
        <v>['Switch', 'Telkomsel', 'Karna', 'satisfying']</v>
      </c>
      <c r="D3753" s="3">
        <v>5.0</v>
      </c>
    </row>
    <row r="3754" ht="15.75" customHeight="1">
      <c r="A3754" s="1">
        <v>4017.0</v>
      </c>
      <c r="B3754" s="3" t="s">
        <v>3601</v>
      </c>
      <c r="C3754" s="3" t="str">
        <f>IFERROR(__xludf.DUMMYFUNCTION("GOOGLETRANSLATE(B3754,""id"",""en"")"),"['okay', 'choice', 'buy', 'package', 'internet', '']")</f>
        <v>['okay', 'choice', 'buy', 'package', 'internet', '']</v>
      </c>
      <c r="D3754" s="3">
        <v>4.0</v>
      </c>
    </row>
    <row r="3755" ht="15.75" customHeight="1">
      <c r="A3755" s="1">
        <v>4018.0</v>
      </c>
      <c r="B3755" s="3" t="s">
        <v>3602</v>
      </c>
      <c r="C3755" s="3" t="str">
        <f>IFERROR(__xludf.DUMMYFUNCTION("GOOGLETRANSLATE(B3755,""id"",""en"")"),"['Hello', 'Telkomsel', 'Purchase', 'Package', 'Telkomsel', 'Disruption', 'Yesterday', 'Purchase', 'Telkomsel', 'No', ""]")</f>
        <v>['Hello', 'Telkomsel', 'Purchase', 'Package', 'Telkomsel', 'Disruption', 'Yesterday', 'Purchase', 'Telkomsel', 'No', "]</v>
      </c>
      <c r="D3755" s="3">
        <v>4.0</v>
      </c>
    </row>
    <row r="3756" ht="15.75" customHeight="1">
      <c r="A3756" s="1">
        <v>4019.0</v>
      </c>
      <c r="B3756" s="3" t="s">
        <v>3603</v>
      </c>
      <c r="C3756" s="3" t="str">
        <f>IFERROR(__xludf.DUMMYFUNCTION("GOOGLETRANSLATE(B3756,""id"",""en"")"),"['stable', '']")</f>
        <v>['stable', '']</v>
      </c>
      <c r="D3756" s="3">
        <v>5.0</v>
      </c>
    </row>
    <row r="3757" ht="15.75" customHeight="1">
      <c r="A3757" s="1">
        <v>4020.0</v>
      </c>
      <c r="B3757" s="3" t="s">
        <v>3604</v>
      </c>
      <c r="C3757" s="3" t="str">
        <f>IFERROR(__xludf.DUMMYFUNCTION("GOOGLETRANSLATE(B3757,""id"",""en"")"),"['reallytttt', 'Helpfuluuuui']")</f>
        <v>['reallytttt', 'Helpfuluuuui']</v>
      </c>
      <c r="D3757" s="3">
        <v>5.0</v>
      </c>
    </row>
    <row r="3758" ht="15.75" customHeight="1">
      <c r="A3758" s="1">
        <v>4021.0</v>
      </c>
      <c r="B3758" s="3" t="s">
        <v>3605</v>
      </c>
      <c r="C3758" s="3" t="str">
        <f>IFERROR(__xludf.DUMMYFUNCTION("GOOGLETRANSLATE(B3758,""id"",""en"")"),"['Nomber', 'Aga', 'expensive', ""]")</f>
        <v>['Nomber', 'Aga', 'expensive', "]</v>
      </c>
      <c r="D3758" s="3">
        <v>4.0</v>
      </c>
    </row>
    <row r="3759" ht="15.75" customHeight="1">
      <c r="A3759" s="1">
        <v>4022.0</v>
      </c>
      <c r="B3759" s="3" t="s">
        <v>3606</v>
      </c>
      <c r="C3759" s="3" t="str">
        <f>IFERROR(__xludf.DUMMYFUNCTION("GOOGLETRANSLATE(B3759,""id"",""en"")"),"['Transfer', 'pulse', 'credit', 'sufficient', 'according to', 'conditions', 'provisions', 'Hadehhhhh']")</f>
        <v>['Transfer', 'pulse', 'credit', 'sufficient', 'according to', 'conditions', 'provisions', 'Hadehhhhh']</v>
      </c>
      <c r="D3759" s="3">
        <v>1.0</v>
      </c>
    </row>
    <row r="3760" ht="15.75" customHeight="1">
      <c r="A3760" s="1">
        <v>4023.0</v>
      </c>
      <c r="B3760" s="3" t="s">
        <v>3607</v>
      </c>
      <c r="C3760" s="3" t="str">
        <f>IFERROR(__xludf.DUMMYFUNCTION("GOOGLETRANSLATE(B3760,""id"",""en"")"),"['Please', 'network', 'signal', 'place', 'stay', 'repaired', 'address',' complex ',' rimera ',' tin ',' garden ',' road ',' Husin ',' Basri ',' Region ',' Housing ',' Stay ',' Difficulties', 'Signals',' Network ',' Internet ',' Stable ',' Network ',' Stro"&amp;"ng ',' Hard ' , 'represents', 'name', 'citizens', 'Please', 'assisted', 'believe', 'please', 'Lower', 'Team', 'field', 'check', 'truth']")</f>
        <v>['Please', 'network', 'signal', 'place', 'stay', 'repaired', 'address',' complex ',' rimera ',' tin ',' garden ',' road ',' Husin ',' Basri ',' Region ',' Housing ',' Stay ',' Difficulties', 'Signals',' Network ',' Internet ',' Stable ',' Network ',' Strong ',' Hard ' , 'represents', 'name', 'citizens', 'Please', 'assisted', 'believe', 'please', 'Lower', 'Team', 'field', 'check', 'truth']</v>
      </c>
      <c r="D3760" s="3">
        <v>2.0</v>
      </c>
    </row>
    <row r="3761" ht="15.75" customHeight="1">
      <c r="A3761" s="1">
        <v>4024.0</v>
      </c>
      <c r="B3761" s="3" t="s">
        <v>3608</v>
      </c>
      <c r="C3761" s="3" t="str">
        <f>IFERROR(__xludf.DUMMYFUNCTION("GOOGLETRANSLATE(B3761,""id"",""en"")"),"['Hope', 'really', 'GB', 'Hold', 'then', 'Need', 'Quota', 'Weekly', 'Daily', 'Quota', 'Heart', 'Heart', ' Need ',' GB ',' MB ',' Etc. ',' Sunday ',' Kyaknya ']")</f>
        <v>['Hope', 'really', 'GB', 'Hold', 'then', 'Need', 'Quota', 'Weekly', 'Daily', 'Quota', 'Heart', 'Heart', ' Need ',' GB ',' MB ',' Etc. ',' Sunday ',' Kyaknya ']</v>
      </c>
      <c r="D3761" s="3">
        <v>3.0</v>
      </c>
    </row>
    <row r="3762" ht="15.75" customHeight="1">
      <c r="A3762" s="1">
        <v>4025.0</v>
      </c>
      <c r="B3762" s="3" t="s">
        <v>3609</v>
      </c>
      <c r="C3762" s="3" t="str">
        <f>IFERROR(__xludf.DUMMYFUNCTION("GOOGLETRANSLATE(B3762,""id"",""en"")"),"['Sinyal', 'Severe', 'ugly', 'already', 'kyk', 'poor', 'replace', 'provider', '']")</f>
        <v>['Sinyal', 'Severe', 'ugly', 'already', 'kyk', 'poor', 'replace', 'provider', '']</v>
      </c>
      <c r="D3762" s="3">
        <v>1.0</v>
      </c>
    </row>
    <row r="3763" ht="15.75" customHeight="1">
      <c r="A3763" s="1">
        <v>4026.0</v>
      </c>
      <c r="B3763" s="3" t="s">
        <v>3610</v>
      </c>
      <c r="C3763" s="3" t="str">
        <f>IFERROR(__xludf.DUMMYFUNCTION("GOOGLETRANSLATE(B3763,""id"",""en"")"),"['Application', 'Large', 'Enter', 'Awaited', 'SMS', 'Link', 'Veronica', 'Strike', 'Work', 'Closed', ""]")</f>
        <v>['Application', 'Large', 'Enter', 'Awaited', 'SMS', 'Link', 'Veronica', 'Strike', 'Work', 'Closed', "]</v>
      </c>
      <c r="D3763" s="3">
        <v>1.0</v>
      </c>
    </row>
    <row r="3764" ht="15.75" customHeight="1">
      <c r="A3764" s="1">
        <v>4027.0</v>
      </c>
      <c r="B3764" s="3" t="s">
        <v>3611</v>
      </c>
      <c r="C3764" s="3" t="str">
        <f>IFERROR(__xludf.DUMMYFUNCTION("GOOGLETRANSLATE(B3764,""id"",""en"")"),"['Already', 'subscription', 'Telkomsel', 'Application', 'Trima', 'Kasih', 'MyTelkomsel', 'Easy', 'Looking', 'Info', 'Promo', 'Gift', ' ']")</f>
        <v>['Already', 'subscription', 'Telkomsel', 'Application', 'Trima', 'Kasih', 'MyTelkomsel', 'Easy', 'Looking', 'Info', 'Promo', 'Gift', ' ']</v>
      </c>
      <c r="D3764" s="3">
        <v>5.0</v>
      </c>
    </row>
    <row r="3765" ht="15.75" customHeight="1">
      <c r="A3765" s="1">
        <v>4028.0</v>
      </c>
      <c r="B3765" s="3" t="s">
        <v>3612</v>
      </c>
      <c r="C3765" s="3" t="str">
        <f>IFERROR(__xludf.DUMMYFUNCTION("GOOGLETRANSLATE(B3765,""id"",""en"")"),"['Blom', 'cheap']")</f>
        <v>['Blom', 'cheap']</v>
      </c>
      <c r="D3765" s="3">
        <v>5.0</v>
      </c>
    </row>
    <row r="3766" ht="15.75" customHeight="1">
      <c r="A3766" s="1">
        <v>4029.0</v>
      </c>
      <c r="B3766" s="3" t="s">
        <v>3613</v>
      </c>
      <c r="C3766" s="3" t="str">
        <f>IFERROR(__xludf.DUMMYFUNCTION("GOOGLETRANSLATE(B3766,""id"",""en"")"),"['signal', 'slow', 'nich']")</f>
        <v>['signal', 'slow', 'nich']</v>
      </c>
      <c r="D3766" s="3">
        <v>3.0</v>
      </c>
    </row>
    <row r="3767" ht="15.75" customHeight="1">
      <c r="A3767" s="1">
        <v>4030.0</v>
      </c>
      <c r="B3767" s="3" t="s">
        <v>3614</v>
      </c>
      <c r="C3767" s="3" t="str">
        <f>IFERROR(__xludf.DUMMYFUNCTION("GOOGLETRANSLATE(B3767,""id"",""en"")"),"['Sagat', 'removing']")</f>
        <v>['Sagat', 'removing']</v>
      </c>
      <c r="D3767" s="3">
        <v>5.0</v>
      </c>
    </row>
    <row r="3768" ht="15.75" customHeight="1">
      <c r="A3768" s="1">
        <v>4031.0</v>
      </c>
      <c r="B3768" s="3" t="s">
        <v>3615</v>
      </c>
      <c r="C3768" s="3" t="str">
        <f>IFERROR(__xludf.DUMMYFUNCTION("GOOGLETRANSLATE(B3768,""id"",""en"")"),"['', 'failed', 'understand', 'menu', 'bid', 'TEL', ""]")</f>
        <v>['', 'failed', 'understand', 'menu', 'bid', 'TEL', "]</v>
      </c>
      <c r="D3768" s="3">
        <v>3.0</v>
      </c>
    </row>
    <row r="3769" ht="15.75" customHeight="1">
      <c r="A3769" s="1">
        <v>4032.0</v>
      </c>
      <c r="B3769" s="3" t="s">
        <v>3616</v>
      </c>
      <c r="C3769" s="3" t="str">
        <f>IFERROR(__xludf.DUMMYFUNCTION("GOOGLETRANSLATE(B3769,""id"",""en"")"),"['Difficult', 'Open', 'MyTelkomsel', '']")</f>
        <v>['Difficult', 'Open', 'MyTelkomsel', '']</v>
      </c>
      <c r="D3769" s="3">
        <v>5.0</v>
      </c>
    </row>
    <row r="3770" ht="15.75" customHeight="1">
      <c r="A3770" s="1">
        <v>4033.0</v>
      </c>
      <c r="B3770" s="3" t="s">
        <v>3617</v>
      </c>
      <c r="C3770" s="3" t="str">
        <f>IFERROR(__xludf.DUMMYFUNCTION("GOOGLETRANSLATE(B3770,""id"",""en"")"),"['Riweh', 'Check', 'Results', 'works', 'BUMN', 'QUALITY', '']")</f>
        <v>['Riweh', 'Check', 'Results', 'works', 'BUMN', 'QUALITY', '']</v>
      </c>
      <c r="D3770" s="3">
        <v>1.0</v>
      </c>
    </row>
    <row r="3771" ht="15.75" customHeight="1">
      <c r="A3771" s="1">
        <v>4036.0</v>
      </c>
      <c r="B3771" s="3" t="s">
        <v>3618</v>
      </c>
      <c r="C3771" s="3" t="str">
        <f>IFERROR(__xludf.DUMMYFUNCTION("GOOGLETRANSLATE(B3771,""id"",""en"")"),"['signal', 'like', 'down', 'ugly', 'play', 'game', 'comfortable', '']")</f>
        <v>['signal', 'like', 'down', 'ugly', 'play', 'game', 'comfortable', '']</v>
      </c>
      <c r="D3771" s="3">
        <v>2.0</v>
      </c>
    </row>
    <row r="3772" ht="15.75" customHeight="1">
      <c r="A3772" s="1">
        <v>4037.0</v>
      </c>
      <c r="B3772" s="3" t="s">
        <v>3619</v>
      </c>
      <c r="C3772" s="3" t="str">
        <f>IFERROR(__xludf.DUMMYFUNCTION("GOOGLETRANSLATE(B3772,""id"",""en"")"),"['', 'get', 'SMS', 'pulse', 'access',' internet ',' non ',' package ',' quota ',' me ',' pulse ',' pull ',' min ',' Ngeselin ',' Bet ']")</f>
        <v>['', 'get', 'SMS', 'pulse', 'access',' internet ',' non ',' package ',' quota ',' me ',' pulse ',' pull ',' min ',' Ngeselin ',' Bet ']</v>
      </c>
      <c r="D3772" s="3">
        <v>1.0</v>
      </c>
    </row>
    <row r="3773" ht="15.75" customHeight="1">
      <c r="A3773" s="1">
        <v>4038.0</v>
      </c>
      <c r="B3773" s="3" t="s">
        <v>3620</v>
      </c>
      <c r="C3773" s="3" t="str">
        <f>IFERROR(__xludf.DUMMYFUNCTION("GOOGLETRANSLATE(B3773,""id"",""en"")"),"['buy', 'card', 'Telkomsel', 'network', 'slow', 'right', 'enter', 'application', 'Telkomsel', 'color', 'screen', 'white', ' Doank ',' Disappointed ',' Telkomsel ',' ']")</f>
        <v>['buy', 'card', 'Telkomsel', 'network', 'slow', 'right', 'enter', 'application', 'Telkomsel', 'color', 'screen', 'white', ' Doank ',' Disappointed ',' Telkomsel ',' ']</v>
      </c>
      <c r="D3773" s="3">
        <v>1.0</v>
      </c>
    </row>
    <row r="3774" ht="15.75" customHeight="1">
      <c r="A3774" s="1">
        <v>4039.0</v>
      </c>
      <c r="B3774" s="3" t="s">
        <v>3621</v>
      </c>
      <c r="C3774" s="3" t="str">
        <f>IFERROR(__xludf.DUMMYFUNCTION("GOOGLETRANSLATE(B3774,""id"",""en"")"),"['accusing']")</f>
        <v>['accusing']</v>
      </c>
      <c r="D3774" s="3">
        <v>4.0</v>
      </c>
    </row>
    <row r="3775" ht="15.75" customHeight="1">
      <c r="A3775" s="1">
        <v>4040.0</v>
      </c>
      <c r="B3775" s="3" t="s">
        <v>3622</v>
      </c>
      <c r="C3775" s="3" t="str">
        <f>IFERROR(__xludf.DUMMYFUNCTION("GOOGLETRANSLATE(B3775,""id"",""en"")"),"['Application', 'Error', 'No', 'Login', 'Disappointed', 'Login', 'Exchange', 'Points']")</f>
        <v>['Application', 'Error', 'No', 'Login', 'Disappointed', 'Login', 'Exchange', 'Points']</v>
      </c>
      <c r="D3775" s="3">
        <v>1.0</v>
      </c>
    </row>
    <row r="3776" ht="15.75" customHeight="1">
      <c r="A3776" s="1">
        <v>4041.0</v>
      </c>
      <c r="B3776" s="3" t="s">
        <v>3623</v>
      </c>
      <c r="C3776" s="3" t="str">
        <f>IFERROR(__xludf.DUMMYFUNCTION("GOOGLETRANSLATE(B3776,""id"",""en"")"),"['Charging', 'reset', 'package', 'call', 'package', 'internet']")</f>
        <v>['Charging', 'reset', 'package', 'call', 'package', 'internet']</v>
      </c>
      <c r="D3776" s="3">
        <v>5.0</v>
      </c>
    </row>
    <row r="3777" ht="15.75" customHeight="1">
      <c r="A3777" s="1">
        <v>4042.0</v>
      </c>
      <c r="B3777" s="3" t="s">
        <v>3624</v>
      </c>
      <c r="C3777" s="3" t="str">
        <f>IFERROR(__xludf.DUMMYFUNCTION("GOOGLETRANSLATE(B3777,""id"",""en"")"),"['Package', 'Kouta', 'Expensive', 'Compare', 'Previder', '']")</f>
        <v>['Package', 'Kouta', 'Expensive', 'Compare', 'Previder', '']</v>
      </c>
      <c r="D3777" s="3">
        <v>1.0</v>
      </c>
    </row>
    <row r="3778" ht="15.75" customHeight="1">
      <c r="A3778" s="1">
        <v>4043.0</v>
      </c>
      <c r="B3778" s="3" t="s">
        <v>3625</v>
      </c>
      <c r="C3778" s="3" t="str">
        <f>IFERROR(__xludf.DUMMYFUNCTION("GOOGLETRANSLATE(B3778,""id"",""en"")"),"['Good', 'Increase', 'Sousal', '']")</f>
        <v>['Good', 'Increase', 'Sousal', '']</v>
      </c>
      <c r="D3778" s="3">
        <v>5.0</v>
      </c>
    </row>
    <row r="3779" ht="15.75" customHeight="1">
      <c r="A3779" s="1">
        <v>4044.0</v>
      </c>
      <c r="B3779" s="3" t="s">
        <v>3626</v>
      </c>
      <c r="C3779" s="3" t="str">
        <f>IFERROR(__xludf.DUMMYFUNCTION("GOOGLETRANSLATE(B3779,""id"",""en"")"),"['Reduce', 'price', 'pulse', 'nya']")</f>
        <v>['Reduce', 'price', 'pulse', 'nya']</v>
      </c>
      <c r="D3779" s="3">
        <v>5.0</v>
      </c>
    </row>
    <row r="3780" ht="15.75" customHeight="1">
      <c r="A3780" s="1">
        <v>4045.0</v>
      </c>
      <c r="B3780" s="3" t="s">
        <v>3627</v>
      </c>
      <c r="C3780" s="3" t="str">
        <f>IFERROR(__xludf.DUMMYFUNCTION("GOOGLETRANSLATE(B3780,""id"",""en"")"),"['useful', 'it's easy', 'purchase', 'package', 'data']")</f>
        <v>['useful', 'it's easy', 'purchase', 'package', 'data']</v>
      </c>
      <c r="D3780" s="3">
        <v>5.0</v>
      </c>
    </row>
    <row r="3781" ht="15.75" customHeight="1">
      <c r="A3781" s="1">
        <v>4046.0</v>
      </c>
      <c r="B3781" s="3" t="s">
        <v>3628</v>
      </c>
      <c r="C3781" s="3" t="str">
        <f>IFERROR(__xludf.DUMMYFUNCTION("GOOGLETRANSLATE(B3781,""id"",""en"")"),"['Help', 'Communicate']")</f>
        <v>['Help', 'Communicate']</v>
      </c>
      <c r="D3781" s="3">
        <v>5.0</v>
      </c>
    </row>
    <row r="3782" ht="15.75" customHeight="1">
      <c r="A3782" s="1">
        <v>4047.0</v>
      </c>
      <c r="B3782" s="3" t="s">
        <v>3629</v>
      </c>
      <c r="C3782" s="3" t="str">
        <f>IFERROR(__xludf.DUMMYFUNCTION("GOOGLETRANSLATE(B3782,""id"",""en"")"),"['Bonus']")</f>
        <v>['Bonus']</v>
      </c>
      <c r="D3782" s="3">
        <v>4.0</v>
      </c>
    </row>
    <row r="3783" ht="15.75" customHeight="1">
      <c r="A3783" s="1">
        <v>4048.0</v>
      </c>
      <c r="B3783" s="3" t="s">
        <v>3630</v>
      </c>
      <c r="C3783" s="3" t="str">
        <f>IFERROR(__xludf.DUMMYFUNCTION("GOOGLETRANSLATE(B3783,""id"",""en"")"),"['', 'delicious', 'Telkomsel', 'Network', 'Full', 'Nge', 'lag', 'Mulu', 'disappointed', 'cave']")</f>
        <v>['', 'delicious', 'Telkomsel', 'Network', 'Full', 'Nge', 'lag', 'Mulu', 'disappointed', 'cave']</v>
      </c>
      <c r="D3783" s="3">
        <v>1.0</v>
      </c>
    </row>
    <row r="3784" ht="15.75" customHeight="1">
      <c r="A3784" s="1">
        <v>4049.0</v>
      </c>
      <c r="B3784" s="3" t="s">
        <v>3631</v>
      </c>
      <c r="C3784" s="3" t="str">
        <f>IFERROR(__xludf.DUMMYFUNCTION("GOOGLETRANSLATE(B3784,""id"",""en"")"),"['the free', '']")</f>
        <v>['the free', '']</v>
      </c>
      <c r="D3784" s="3">
        <v>5.0</v>
      </c>
    </row>
    <row r="3785" ht="15.75" customHeight="1">
      <c r="A3785" s="1">
        <v>4050.0</v>
      </c>
      <c r="B3785" s="3" t="s">
        <v>3632</v>
      </c>
      <c r="C3785" s="3" t="str">
        <f>IFERROR(__xludf.DUMMYFUNCTION("GOOGLETRANSLATE(B3785,""id"",""en"")"),"['color', 'screen', 'message', 'please', 'restore', 'color', 'message', 'screen', 'color', 'green', 'sharp', 'color', ' message ',' reply ',' color ',' white ',' thick ',' color ',' checklist ',' blue ',' please ',' restore ', ""]")</f>
        <v>['color', 'screen', 'message', 'please', 'restore', 'color', 'message', 'screen', 'color', 'green', 'sharp', 'color', ' message ',' reply ',' color ',' white ',' thick ',' color ',' checklist ',' blue ',' please ',' restore ', "]</v>
      </c>
      <c r="D3785" s="3">
        <v>5.0</v>
      </c>
    </row>
    <row r="3786" ht="15.75" customHeight="1">
      <c r="A3786" s="1">
        <v>4052.0</v>
      </c>
      <c r="B3786" s="3" t="s">
        <v>3633</v>
      </c>
      <c r="C3786" s="3" t="str">
        <f>IFERROR(__xludf.DUMMYFUNCTION("GOOGLETRANSLATE(B3786,""id"",""en"")"),"['Paketan', 'Telkomsel', 'Unlimited', 'GB', 'a month', 'quota', 'unlimited', 'a month', 'Full', 'quota', 'limit', 'Naturally', ' quota ',' limit ',' reasonable ']")</f>
        <v>['Paketan', 'Telkomsel', 'Unlimited', 'GB', 'a month', 'quota', 'unlimited', 'a month', 'Full', 'quota', 'limit', 'Naturally', ' quota ',' limit ',' reasonable ']</v>
      </c>
      <c r="D3786" s="3">
        <v>1.0</v>
      </c>
    </row>
    <row r="3787" ht="15.75" customHeight="1">
      <c r="A3787" s="1">
        <v>4053.0</v>
      </c>
      <c r="B3787" s="3" t="s">
        <v>3634</v>
      </c>
      <c r="C3787" s="3" t="str">
        <f>IFERROR(__xludf.DUMMYFUNCTION("GOOGLETRANSLATE(B3787,""id"",""en"")"),"['Gunain', 'App', 'Send', 'Gift', 'Min', 'Force', 'Close', 'yaa', 'Extreme']")</f>
        <v>['Gunain', 'App', 'Send', 'Gift', 'Min', 'Force', 'Close', 'yaa', 'Extreme']</v>
      </c>
      <c r="D3787" s="3">
        <v>4.0</v>
      </c>
    </row>
    <row r="3788" ht="15.75" customHeight="1">
      <c r="A3788" s="1">
        <v>4054.0</v>
      </c>
      <c r="B3788" s="3" t="s">
        <v>3635</v>
      </c>
      <c r="C3788" s="3" t="str">
        <f>IFERROR(__xludf.DUMMYFUNCTION("GOOGLETRANSLATE(B3788,""id"",""en"")"),"['Good', 'equipped', 'frequency', 'LTE', 'MHz', 'Region', 'Ngraho', 'Ngraho', 'Kab', 'Bojonegoro', 'Java', 'East']")</f>
        <v>['Good', 'equipped', 'frequency', 'LTE', 'MHz', 'Region', 'Ngraho', 'Ngraho', 'Kab', 'Bojonegoro', 'Java', 'East']</v>
      </c>
      <c r="D3788" s="3">
        <v>2.0</v>
      </c>
    </row>
    <row r="3789" ht="15.75" customHeight="1">
      <c r="A3789" s="1">
        <v>4055.0</v>
      </c>
      <c r="B3789" s="3" t="s">
        <v>3636</v>
      </c>
      <c r="C3789" s="3" t="str">
        <f>IFERROR(__xludf.DUMMYFUNCTION("GOOGLETRANSLATE(B3789,""id"",""en"")"),"['improvement', 'tariff', 'signal', 'region', 'sprti', 'mountain']")</f>
        <v>['improvement', 'tariff', 'signal', 'region', 'sprti', 'mountain']</v>
      </c>
      <c r="D3789" s="3">
        <v>5.0</v>
      </c>
    </row>
    <row r="3790" ht="15.75" customHeight="1">
      <c r="A3790" s="1">
        <v>4056.0</v>
      </c>
      <c r="B3790" s="3" t="s">
        <v>3637</v>
      </c>
      <c r="C3790" s="3" t="str">
        <f>IFERROR(__xludf.DUMMYFUNCTION("GOOGLETRANSLATE(B3790,""id"",""en"")"),"['Telkom', 'skrng', 'UDH', 'Different', 'bngt', 'sekrng', 'mah', 'lemott', 'forgiveness']")</f>
        <v>['Telkom', 'skrng', 'UDH', 'Different', 'bngt', 'sekrng', 'mah', 'lemott', 'forgiveness']</v>
      </c>
      <c r="D3790" s="3">
        <v>1.0</v>
      </c>
    </row>
    <row r="3791" ht="15.75" customHeight="1">
      <c r="A3791" s="1">
        <v>4057.0</v>
      </c>
      <c r="B3791" s="3" t="s">
        <v>3638</v>
      </c>
      <c r="C3791" s="3" t="str">
        <f>IFERROR(__xludf.DUMMYFUNCTION("GOOGLETRANSLATE(B3791,""id"",""en"")"),"['Good', 'safe']")</f>
        <v>['Good', 'safe']</v>
      </c>
      <c r="D3791" s="3">
        <v>5.0</v>
      </c>
    </row>
    <row r="3792" ht="15.75" customHeight="1">
      <c r="A3792" s="1">
        <v>4058.0</v>
      </c>
      <c r="B3792" s="3" t="s">
        <v>3639</v>
      </c>
      <c r="C3792" s="3" t="str">
        <f>IFERROR(__xludf.DUMMYFUNCTION("GOOGLETRANSLATE(B3792,""id"",""en"")"),"['Good', 'help', 'communication', 'promo', 'interesting', 'jya', 'Telkomsel', '']")</f>
        <v>['Good', 'help', 'communication', 'promo', 'interesting', 'jya', 'Telkomsel', '']</v>
      </c>
      <c r="D3792" s="3">
        <v>5.0</v>
      </c>
    </row>
    <row r="3793" ht="15.75" customHeight="1">
      <c r="A3793" s="1">
        <v>4059.0</v>
      </c>
      <c r="B3793" s="3" t="s">
        <v>3640</v>
      </c>
      <c r="C3793" s="3" t="str">
        <f>IFERROR(__xludf.DUMMYFUNCTION("GOOGLETRANSLATE(B3793,""id"",""en"")"),"['Please', 'Region', 'Villages', '35', 'Kandangerang', 'Kab', 'Pekalongan', 'BLM', 'Affordable', 'Signal', 'Stable', 'Telkomsel']")</f>
        <v>['Please', 'Region', 'Villages', '35', 'Kandangerang', 'Kab', 'Pekalongan', 'BLM', 'Affordable', 'Signal', 'Stable', 'Telkomsel']</v>
      </c>
      <c r="D3793" s="3">
        <v>5.0</v>
      </c>
    </row>
    <row r="3794" ht="15.75" customHeight="1">
      <c r="A3794" s="1">
        <v>4060.0</v>
      </c>
      <c r="B3794" s="3" t="s">
        <v>3641</v>
      </c>
      <c r="C3794" s="3" t="str">
        <f>IFERROR(__xludf.DUMMYFUNCTION("GOOGLETRANSLATE(B3794,""id"",""en"")"),"['Wear', 'pulse', 'Rp', 'access',' internet ',' non ',' package ',' buy ',' package ',' tsel ',' tsel ',' cicil ',' Credit ',' Data ',' SIM ',' SMS ',' Litu ',' ASOE ']")</f>
        <v>['Wear', 'pulse', 'Rp', 'access',' internet ',' non ',' package ',' buy ',' package ',' tsel ',' tsel ',' cicil ',' Credit ',' Data ',' SIM ',' SMS ',' Litu ',' ASOE ']</v>
      </c>
      <c r="D3794" s="3">
        <v>1.0</v>
      </c>
    </row>
    <row r="3795" ht="15.75" customHeight="1">
      <c r="A3795" s="1">
        <v>4061.0</v>
      </c>
      <c r="B3795" s="3" t="s">
        <v>3642</v>
      </c>
      <c r="C3795" s="3" t="str">
        <f>IFERROR(__xludf.DUMMYFUNCTION("GOOGLETRANSLATE(B3795,""id"",""en"")"),"['pulse', 'lost', 'reduced', 'Tampa', 'signal', 'ugly', 'klw', 'rain', 'quota', 'internet', 'divided', 'quota', ' Lost ',' Hangus', 'Disright', 'Consumers',' Disappointed ',' Bngt ',' Tlng ',' Notice ',' Complaints', 'Customer', 'Abandoned', 'Customer', '"&amp;"Shipments' , 'SMS', 'reduce', 'credit', 'customer', 'klw', 'pay', 'salary', 'employee', 'steal', 'pulse', 'customer', 'impose', ' customer']")</f>
        <v>['pulse', 'lost', 'reduced', 'Tampa', 'signal', 'ugly', 'klw', 'rain', 'quota', 'internet', 'divided', 'quota', ' Lost ',' Hangus', 'Disright', 'Consumers',' Disappointed ',' Bngt ',' Tlng ',' Notice ',' Complaints', 'Customer', 'Abandoned', 'Customer', 'Shipments' , 'SMS', 'reduce', 'credit', 'customer', 'klw', 'pay', 'salary', 'employee', 'steal', 'pulse', 'customer', 'impose', ' customer']</v>
      </c>
      <c r="D3795" s="3">
        <v>2.0</v>
      </c>
    </row>
    <row r="3796" ht="15.75" customHeight="1">
      <c r="A3796" s="1">
        <v>4062.0</v>
      </c>
      <c r="B3796" s="3" t="s">
        <v>3643</v>
      </c>
      <c r="C3796" s="3" t="str">
        <f>IFERROR(__xludf.DUMMYFUNCTION("GOOGLETRANSLATE(B3796,""id"",""en"")"),"['Internet', 'slow', 'level', 'speed', 'internet', 'acess',' internet ',' APK ',' MyTelkomsel ',' quota ',' run out ',' zero ',' Check ',' quota ',' buy ',' pulse ',' buy ',' package ',' severe ',' really ',' mytelkomsel ',' a month ',' error ',' mean ','"&amp;" DRIALIN ' , '']")</f>
        <v>['Internet', 'slow', 'level', 'speed', 'internet', 'acess',' internet ',' APK ',' MyTelkomsel ',' quota ',' run out ',' zero ',' Check ',' quota ',' buy ',' pulse ',' buy ',' package ',' severe ',' really ',' mytelkomsel ',' a month ',' error ',' mean ',' DRIALIN ' , '']</v>
      </c>
      <c r="D3796" s="3">
        <v>2.0</v>
      </c>
    </row>
    <row r="3797" ht="15.75" customHeight="1">
      <c r="A3797" s="1">
        <v>4064.0</v>
      </c>
      <c r="B3797" s="3" t="s">
        <v>3644</v>
      </c>
      <c r="C3797" s="3" t="str">
        <f>IFERROR(__xludf.DUMMYFUNCTION("GOOGLETRANSLATE(B3797,""id"",""en"")"),"['Help', 'users', 'Telkomsel']")</f>
        <v>['Help', 'users', 'Telkomsel']</v>
      </c>
      <c r="D3797" s="3">
        <v>5.0</v>
      </c>
    </row>
    <row r="3798" ht="15.75" customHeight="1">
      <c r="A3798" s="1">
        <v>4065.0</v>
      </c>
      <c r="B3798" s="3" t="s">
        <v>3645</v>
      </c>
      <c r="C3798" s="3" t="str">
        <f>IFERROR(__xludf.DUMMYFUNCTION("GOOGLETRANSLATE(B3798,""id"",""en"")"),"['Just', 'suggestion', 'package', 'combo', 'Sakti', 'quota', 'multimedia', 'empowered', 'access',' youtube ',' sosmed ',' pulled ',' Quota ',' multimedia ',' quota ',' main ',' bln ',' usage ',' out ',' quota ',' multimedian ',' used ',' used ',' quota ',"&amp;"' main ' , 'eliminated', 'quota', 'multimedia', 'quota', 'main', 'choice', 'menu', 'purchase', 'package', 'data', 'mytelkomsel', 'note', ' Decrease ',' price ',' package ',' ']")</f>
        <v>['Just', 'suggestion', 'package', 'combo', 'Sakti', 'quota', 'multimedia', 'empowered', 'access',' youtube ',' sosmed ',' pulled ',' Quota ',' multimedia ',' quota ',' main ',' bln ',' usage ',' out ',' quota ',' multimedian ',' used ',' used ',' quota ',' main ' , 'eliminated', 'quota', 'multimedia', 'quota', 'main', 'choice', 'menu', 'purchase', 'package', 'data', 'mytelkomsel', 'note', ' Decrease ',' price ',' package ',' ']</v>
      </c>
      <c r="D3798" s="3">
        <v>2.0</v>
      </c>
    </row>
    <row r="3799" ht="15.75" customHeight="1">
      <c r="A3799" s="1">
        <v>4066.0</v>
      </c>
      <c r="B3799" s="3" t="s">
        <v>3646</v>
      </c>
      <c r="C3799" s="3" t="str">
        <f>IFERROR(__xludf.DUMMYFUNCTION("GOOGLETRANSLATE(B3799,""id"",""en"")"),"['internet', 'slow', 'really']")</f>
        <v>['internet', 'slow', 'really']</v>
      </c>
      <c r="D3799" s="3">
        <v>1.0</v>
      </c>
    </row>
    <row r="3800" ht="15.75" customHeight="1">
      <c r="A3800" s="1">
        <v>4067.0</v>
      </c>
      <c r="B3800" s="3" t="s">
        <v>3647</v>
      </c>
      <c r="C3800" s="3" t="str">
        <f>IFERROR(__xludf.DUMMYFUNCTION("GOOGLETRANSLATE(B3800,""id"",""en"")"),"['Telkomsel', 'here', 'Quality', 'Bad', 'Network', 'Down', 'Sometimes',' Dead ',' Price ',' Expensive ',' Different ',' Different ',' Price ',' Network ',' Improved ',' BURIK ']")</f>
        <v>['Telkomsel', 'here', 'Quality', 'Bad', 'Network', 'Down', 'Sometimes',' Dead ',' Price ',' Expensive ',' Different ',' Different ',' Price ',' Network ',' Improved ',' BURIK ']</v>
      </c>
      <c r="D3800" s="3">
        <v>1.0</v>
      </c>
    </row>
    <row r="3801" ht="15.75" customHeight="1">
      <c r="A3801" s="1">
        <v>4068.0</v>
      </c>
      <c r="B3801" s="3" t="s">
        <v>3648</v>
      </c>
      <c r="C3801" s="3" t="str">
        <f>IFERROR(__xludf.DUMMYFUNCTION("GOOGLETRANSLATE(B3801,""id"",""en"")"),"['Maxut', 'Try', 'Points',' Exchange ',' buy ',' Kouta ',' Kalok ',' made ',' Points', 'Points',' Points', ' APK ',' fooling ']")</f>
        <v>['Maxut', 'Try', 'Points',' Exchange ',' buy ',' Kouta ',' Kalok ',' made ',' Points', 'Points',' Points', ' APK ',' fooling ']</v>
      </c>
      <c r="D3801" s="3">
        <v>1.0</v>
      </c>
    </row>
    <row r="3802" ht="15.75" customHeight="1">
      <c r="A3802" s="1">
        <v>4070.0</v>
      </c>
      <c r="B3802" s="3" t="s">
        <v>3649</v>
      </c>
      <c r="C3802" s="3" t="str">
        <f>IFERROR(__xludf.DUMMYFUNCTION("GOOGLETRANSLATE(B3802,""id"",""en"")"),"['Opened']")</f>
        <v>['Opened']</v>
      </c>
      <c r="D3802" s="3">
        <v>1.0</v>
      </c>
    </row>
    <row r="3803" ht="15.75" customHeight="1">
      <c r="A3803" s="1">
        <v>4071.0</v>
      </c>
      <c r="B3803" s="3" t="s">
        <v>3650</v>
      </c>
      <c r="C3803" s="3" t="str">
        <f>IFERROR(__xludf.DUMMYFUNCTION("GOOGLETRANSLATE(B3803,""id"",""en"")"),"['Points']")</f>
        <v>['Points']</v>
      </c>
      <c r="D3803" s="3">
        <v>3.0</v>
      </c>
    </row>
    <row r="3804" ht="15.75" customHeight="1">
      <c r="A3804" s="1">
        <v>4072.0</v>
      </c>
      <c r="B3804" s="3" t="s">
        <v>3651</v>
      </c>
      <c r="C3804" s="3" t="str">
        <f>IFERROR(__xludf.DUMMYFUNCTION("GOOGLETRANSLATE(B3804,""id"",""en"")"),"['What', 'help']")</f>
        <v>['What', 'help']</v>
      </c>
      <c r="D3804" s="3">
        <v>5.0</v>
      </c>
    </row>
    <row r="3805" ht="15.75" customHeight="1">
      <c r="A3805" s="1">
        <v>4073.0</v>
      </c>
      <c r="B3805" s="3" t="s">
        <v>3652</v>
      </c>
      <c r="C3805" s="3" t="str">
        <f>IFERROR(__xludf.DUMMYFUNCTION("GOOGLETRANSLATE(B3805,""id"",""en"")"),"['Good', 'fix', 'The network']")</f>
        <v>['Good', 'fix', 'The network']</v>
      </c>
      <c r="D3805" s="3">
        <v>5.0</v>
      </c>
    </row>
    <row r="3806" ht="15.75" customHeight="1">
      <c r="A3806" s="1">
        <v>4074.0</v>
      </c>
      <c r="B3806" s="3" t="s">
        <v>1498</v>
      </c>
      <c r="C3806" s="3" t="str">
        <f>IFERROR(__xludf.DUMMYFUNCTION("GOOGLETRANSLATE(B3806,""id"",""en"")"),"['Application', 'Helpful']")</f>
        <v>['Application', 'Helpful']</v>
      </c>
      <c r="D3806" s="3">
        <v>5.0</v>
      </c>
    </row>
    <row r="3807" ht="15.75" customHeight="1">
      <c r="A3807" s="1">
        <v>4075.0</v>
      </c>
      <c r="B3807" s="3" t="s">
        <v>3653</v>
      </c>
      <c r="C3807" s="3" t="str">
        <f>IFERROR(__xludf.DUMMYFUNCTION("GOOGLETRANSLATE(B3807,""id"",""en"")"),"['Cool', 'really', 'his application', 'hope', 'lucky', 'win', 'gift', 'car', 'motorcycle', 'money', 'cash']")</f>
        <v>['Cool', 'really', 'his application', 'hope', 'lucky', 'win', 'gift', 'car', 'motorcycle', 'money', 'cash']</v>
      </c>
      <c r="D3807" s="3">
        <v>5.0</v>
      </c>
    </row>
    <row r="3808" ht="15.75" customHeight="1">
      <c r="A3808" s="1">
        <v>4076.0</v>
      </c>
      <c r="B3808" s="3" t="s">
        <v>3654</v>
      </c>
      <c r="C3808" s="3" t="str">
        <f>IFERROR(__xludf.DUMMYFUNCTION("GOOGLETRANSLATE(B3808,""id"",""en"")"),"['Teaching', 'Dam']")</f>
        <v>['Teaching', 'Dam']</v>
      </c>
      <c r="D3808" s="3">
        <v>5.0</v>
      </c>
    </row>
    <row r="3809" ht="15.75" customHeight="1">
      <c r="A3809" s="1">
        <v>4077.0</v>
      </c>
      <c r="B3809" s="3" t="s">
        <v>3655</v>
      </c>
      <c r="C3809" s="3" t="str">
        <f>IFERROR(__xludf.DUMMYFUNCTION("GOOGLETRANSLATE(B3809,""id"",""en"")"),"['Good', 'bangetttttt', '']")</f>
        <v>['Good', 'bangetttttt', '']</v>
      </c>
      <c r="D3809" s="3">
        <v>5.0</v>
      </c>
    </row>
    <row r="3810" ht="15.75" customHeight="1">
      <c r="A3810" s="1">
        <v>4078.0</v>
      </c>
      <c r="B3810" s="3" t="s">
        <v>3656</v>
      </c>
      <c r="C3810" s="3" t="str">
        <f>IFERROR(__xludf.DUMMYFUNCTION("GOOGLETRANSLATE(B3810,""id"",""en"")"),"['Help', 'Cool']")</f>
        <v>['Help', 'Cool']</v>
      </c>
      <c r="D3810" s="3">
        <v>5.0</v>
      </c>
    </row>
    <row r="3811" ht="15.75" customHeight="1">
      <c r="A3811" s="1">
        <v>4079.0</v>
      </c>
      <c r="B3811" s="3" t="s">
        <v>3657</v>
      </c>
      <c r="C3811" s="3" t="str">
        <f>IFERROR(__xludf.DUMMYFUNCTION("GOOGLETRANSLATE(B3811,""id"",""en"")"),"['Confused', 'use', 'card', 'Hallo', 'use', 'TLP', 'fast', 'nominal', 'info', 'bill', 'please', 'SPE', ' Details', 'use', 'details',' global ',' thank you ',' concern ']")</f>
        <v>['Confused', 'use', 'card', 'Hallo', 'use', 'TLP', 'fast', 'nominal', 'info', 'bill', 'please', 'SPE', ' Details', 'use', 'details',' global ',' thank you ',' concern ']</v>
      </c>
      <c r="D3811" s="3">
        <v>1.0</v>
      </c>
    </row>
    <row r="3812" ht="15.75" customHeight="1">
      <c r="A3812" s="1">
        <v>4080.0</v>
      </c>
      <c r="B3812" s="3" t="s">
        <v>3658</v>
      </c>
      <c r="C3812" s="3" t="str">
        <f>IFERROR(__xludf.DUMMYFUNCTION("GOOGLETRANSLATE(B3812,""id"",""en"")"),"['Package', 'Doang', 'expensive', 'Network', 'Kek', 'Kont', 'Basic', 'Capitalist', 'Telkom', ""]")</f>
        <v>['Package', 'Doang', 'expensive', 'Network', 'Kek', 'Kont', 'Basic', 'Capitalist', 'Telkom', "]</v>
      </c>
      <c r="D3812" s="3">
        <v>1.0</v>
      </c>
    </row>
    <row r="3813" ht="15.75" customHeight="1">
      <c r="A3813" s="1">
        <v>4081.0</v>
      </c>
      <c r="B3813" s="3" t="s">
        <v>3659</v>
      </c>
      <c r="C3813" s="3" t="str">
        <f>IFERROR(__xludf.DUMMYFUNCTION("GOOGLETRANSLATE(B3813,""id"",""en"")"),"['Application', 'Force', 'Close', 'Android', '']")</f>
        <v>['Application', 'Force', 'Close', 'Android', '']</v>
      </c>
      <c r="D3813" s="3">
        <v>1.0</v>
      </c>
    </row>
    <row r="3814" ht="15.75" customHeight="1">
      <c r="A3814" s="1">
        <v>4082.0</v>
      </c>
      <c r="B3814" s="3" t="s">
        <v>3660</v>
      </c>
      <c r="C3814" s="3" t="str">
        <f>IFERROR(__xludf.DUMMYFUNCTION("GOOGLETRANSLATE(B3814,""id"",""en"")"),"['Sunguh', 'Good']")</f>
        <v>['Sunguh', 'Good']</v>
      </c>
      <c r="D3814" s="3">
        <v>5.0</v>
      </c>
    </row>
    <row r="3815" ht="15.75" customHeight="1">
      <c r="A3815" s="1">
        <v>4084.0</v>
      </c>
      <c r="B3815" s="3" t="s">
        <v>3661</v>
      </c>
      <c r="C3815" s="3" t="str">
        <f>IFERROR(__xludf.DUMMYFUNCTION("GOOGLETRANSLATE(B3815,""id"",""en"")"),"['', 'cheerful', 'love', 'Pampang', 'groceries', 'pingin', 'transaction', 'network', 'busy', 'nipu', 'lho', ""]")</f>
        <v>['', 'cheerful', 'love', 'Pampang', 'groceries', 'pingin', 'transaction', 'network', 'busy', 'nipu', 'lho', "]</v>
      </c>
      <c r="D3815" s="3">
        <v>1.0</v>
      </c>
    </row>
    <row r="3816" ht="15.75" customHeight="1">
      <c r="A3816" s="1">
        <v>4085.0</v>
      </c>
      <c r="B3816" s="3" t="s">
        <v>3662</v>
      </c>
      <c r="C3816" s="3" t="str">
        <f>IFERROR(__xludf.DUMMYFUNCTION("GOOGLETRANSLATE(B3816,""id"",""en"")"),"['Good', 'Best', 'Increase', 'Quality', '']")</f>
        <v>['Good', 'Best', 'Increase', 'Quality', '']</v>
      </c>
      <c r="D3816" s="3">
        <v>5.0</v>
      </c>
    </row>
    <row r="3817" ht="15.75" customHeight="1">
      <c r="A3817" s="1">
        <v>4086.0</v>
      </c>
      <c r="B3817" s="3" t="s">
        <v>3663</v>
      </c>
      <c r="C3817" s="3" t="str">
        <f>IFERROR(__xludf.DUMMYFUNCTION("GOOGLETRANSLATE(B3817,""id"",""en"")"),"['Service', 'Okay', '']")</f>
        <v>['Service', 'Okay', '']</v>
      </c>
      <c r="D3817" s="3">
        <v>4.0</v>
      </c>
    </row>
    <row r="3818" ht="15.75" customHeight="1">
      <c r="A3818" s="1">
        <v>4087.0</v>
      </c>
      <c r="B3818" s="3" t="s">
        <v>3664</v>
      </c>
      <c r="C3818" s="3" t="str">
        <f>IFERROR(__xludf.DUMMYFUNCTION("GOOGLETRANSLATE(B3818,""id"",""en"")"),"['Application', 'Gajelas', 'Do the' Purchase ',' Package ',' Internet ',' Night ',' Application ',' Payment ',' Through ',' Wallet ',' Balance ',' Cutting ',' Package ',' Data ',' enter ',' end ',' waste ',' reporting ',' poor ',' BUMN ']")</f>
        <v>['Application', 'Gajelas', 'Do the' Purchase ',' Package ',' Internet ',' Night ',' Application ',' Payment ',' Through ',' Wallet ',' Balance ',' Cutting ',' Package ',' Data ',' enter ',' end ',' waste ',' reporting ',' poor ',' BUMN ']</v>
      </c>
      <c r="D3818" s="3">
        <v>1.0</v>
      </c>
    </row>
    <row r="3819" ht="15.75" customHeight="1">
      <c r="A3819" s="1">
        <v>4088.0</v>
      </c>
      <c r="B3819" s="3" t="s">
        <v>3665</v>
      </c>
      <c r="C3819" s="3" t="str">
        <f>IFERROR(__xludf.DUMMYFUNCTION("GOOGLETRANSLATE(B3819,""id"",""en"")"),"['Patasa', 'Lost', 'Kayak', 'Yesterday', 'Rain', 'Remaining', 'Quota', 'Credit', 'Credit', 'Cutting', 'Remnant', 'Quota', ' Please, 'Return', 'Credit', 'Content', 'Credit', 'Use', 'Nukerin', 'Quota', 'GB', 'RB', 'Remnant', 'Credit', 'Please' , 'Please', '"&amp;"Restore', 'Credit', '']")</f>
        <v>['Patasa', 'Lost', 'Kayak', 'Yesterday', 'Rain', 'Remaining', 'Quota', 'Credit', 'Credit', 'Cutting', 'Remnant', 'Quota', ' Please, 'Return', 'Credit', 'Content', 'Credit', 'Use', 'Nukerin', 'Quota', 'GB', 'RB', 'Remnant', 'Credit', 'Please' , 'Please', 'Restore', 'Credit', '']</v>
      </c>
      <c r="D3819" s="3">
        <v>1.0</v>
      </c>
    </row>
    <row r="3820" ht="15.75" customHeight="1">
      <c r="A3820" s="1">
        <v>4089.0</v>
      </c>
      <c r="B3820" s="3" t="s">
        <v>3666</v>
      </c>
      <c r="C3820" s="3" t="str">
        <f>IFERROR(__xludf.DUMMYFUNCTION("GOOGLETRANSLATE(B3820,""id"",""en"")"),"['package', 'quota', 'unlimited', 'speed', 'according to', 'described', 'baldeug', 'slow', 'parahhh', 'price', 'doang', 'expensive', ' TPI ',' according to ', ""]")</f>
        <v>['package', 'quota', 'unlimited', 'speed', 'according to', 'described', 'baldeug', 'slow', 'parahhh', 'price', 'doang', 'expensive', ' TPI ',' according to ', "]</v>
      </c>
      <c r="D3820" s="3">
        <v>2.0</v>
      </c>
    </row>
    <row r="3821" ht="15.75" customHeight="1">
      <c r="A3821" s="1">
        <v>4090.0</v>
      </c>
      <c r="B3821" s="3" t="s">
        <v>3667</v>
      </c>
      <c r="C3821" s="3" t="str">
        <f>IFERROR(__xludf.DUMMYFUNCTION("GOOGLETRANSLATE(B3821,""id"",""en"")"),"['Telkomsel', 'Top', 'Network', 'Spacious', 'Top']")</f>
        <v>['Telkomsel', 'Top', 'Network', 'Spacious', 'Top']</v>
      </c>
      <c r="D3821" s="3">
        <v>5.0</v>
      </c>
    </row>
    <row r="3822" ht="15.75" customHeight="1">
      <c r="A3822" s="1">
        <v>4091.0</v>
      </c>
      <c r="B3822" s="3" t="s">
        <v>803</v>
      </c>
      <c r="C3822" s="3" t="str">
        <f>IFERROR(__xludf.DUMMYFUNCTION("GOOGLETRANSLATE(B3822,""id"",""en"")"),"['best']")</f>
        <v>['best']</v>
      </c>
      <c r="D3822" s="3">
        <v>5.0</v>
      </c>
    </row>
    <row r="3823" ht="15.75" customHeight="1">
      <c r="A3823" s="1">
        <v>4092.0</v>
      </c>
      <c r="B3823" s="3" t="s">
        <v>3668</v>
      </c>
      <c r="C3823" s="3" t="str">
        <f>IFERROR(__xludf.DUMMYFUNCTION("GOOGLETRANSLATE(B3823,""id"",""en"")"),"['signal', 'Lawas', 'made easy', 'gathering']")</f>
        <v>['signal', 'Lawas', 'made easy', 'gathering']</v>
      </c>
      <c r="D3823" s="3">
        <v>5.0</v>
      </c>
    </row>
    <row r="3824" ht="15.75" customHeight="1">
      <c r="A3824" s="1">
        <v>4093.0</v>
      </c>
      <c r="B3824" s="3" t="s">
        <v>3669</v>
      </c>
      <c r="C3824" s="3" t="str">
        <f>IFERROR(__xludf.DUMMYFUNCTION("GOOGLETRANSLATE(B3824,""id"",""en"")"),"['application', 'nge', 'bug', 'sometimes',' check ',' daily ',' response ',' error ',' pulse ',' like ',' suck ',' claim ',' The prize ',' Rupiah ',' Take ',' Remnant ',' Credit ',' Abis', 'On', 'Package', 'Free', 'Telkomsel', 'Lite', 'ilang', 'Credit' , "&amp;"'Costs',' Data ',' GPRS ',' Internet ',' quota ',' main ',' active ',' neglected ',' lol ',' pulse ',' tripe ',' lol ',' replaced ',' disappointed ',' gift ',' free ', ""]")</f>
        <v>['application', 'nge', 'bug', 'sometimes',' check ',' daily ',' response ',' error ',' pulse ',' like ',' suck ',' claim ',' The prize ',' Rupiah ',' Take ',' Remnant ',' Credit ',' Abis', 'On', 'Package', 'Free', 'Telkomsel', 'Lite', 'ilang', 'Credit' , 'Costs',' Data ',' GPRS ',' Internet ',' quota ',' main ',' active ',' neglected ',' lol ',' pulse ',' tripe ',' lol ',' replaced ',' disappointed ',' gift ',' free ', "]</v>
      </c>
      <c r="D3824" s="3">
        <v>1.0</v>
      </c>
    </row>
    <row r="3825" ht="15.75" customHeight="1">
      <c r="A3825" s="1">
        <v>4094.0</v>
      </c>
      <c r="B3825" s="3" t="s">
        <v>3670</v>
      </c>
      <c r="C3825" s="3" t="str">
        <f>IFERROR(__xludf.DUMMYFUNCTION("GOOGLETRANSLATE(B3825,""id"",""en"")"),"['network', 'internet', 'sad', 'really', 'ironic', 'contrast', 'price', 'quota', 'internet', 'expensive', 'really', 'network', ' Shargo ', ""]")</f>
        <v>['network', 'internet', 'sad', 'really', 'ironic', 'contrast', 'price', 'quota', 'internet', 'expensive', 'really', 'network', ' Shargo ', "]</v>
      </c>
      <c r="D3825" s="3">
        <v>1.0</v>
      </c>
    </row>
    <row r="3826" ht="15.75" customHeight="1">
      <c r="A3826" s="1">
        <v>4095.0</v>
      </c>
      <c r="B3826" s="3" t="s">
        <v>3671</v>
      </c>
      <c r="C3826" s="3" t="str">
        <f>IFERROR(__xludf.DUMMYFUNCTION("GOOGLETRANSLATE(B3826,""id"",""en"")"),"['Please', 'Fix', 'Network', 'Stable', 'APS', 'Troubled', 'Cnth', 'Buy', 'Package', 'Repeated', 'Credit', 'Cut', ' strange']")</f>
        <v>['Please', 'Fix', 'Network', 'Stable', 'APS', 'Troubled', 'Cnth', 'Buy', 'Package', 'Repeated', 'Credit', 'Cut', ' strange']</v>
      </c>
      <c r="D3826" s="3">
        <v>1.0</v>
      </c>
    </row>
    <row r="3827" ht="15.75" customHeight="1">
      <c r="A3827" s="1">
        <v>4096.0</v>
      </c>
      <c r="B3827" s="3" t="s">
        <v>3672</v>
      </c>
      <c r="C3827" s="3" t="str">
        <f>IFERROR(__xludf.DUMMYFUNCTION("GOOGLETRANSLATE(B3827,""id"",""en"")"),"['helped']")</f>
        <v>['helped']</v>
      </c>
      <c r="D3827" s="3">
        <v>5.0</v>
      </c>
    </row>
    <row r="3828" ht="15.75" customHeight="1">
      <c r="A3828" s="1">
        <v>4097.0</v>
      </c>
      <c r="B3828" s="3" t="s">
        <v>3673</v>
      </c>
      <c r="C3828" s="3" t="str">
        <f>IFERROR(__xludf.DUMMYFUNCTION("GOOGLETRANSLATE(B3828,""id"",""en"")"),"['Please', 'Enhanced', 'Promo']")</f>
        <v>['Please', 'Enhanced', 'Promo']</v>
      </c>
      <c r="D3828" s="3">
        <v>3.0</v>
      </c>
    </row>
    <row r="3829" ht="15.75" customHeight="1">
      <c r="A3829" s="1">
        <v>4098.0</v>
      </c>
      <c r="B3829" s="3" t="s">
        <v>3674</v>
      </c>
      <c r="C3829" s="3" t="str">
        <f>IFERROR(__xludf.DUMMYFUNCTION("GOOGLETRANSLATE(B3829,""id"",""en"")"),"['Change', 'card', 'Hallo', 'already', 'bills',' expensive ',' quality ',' network ',' ugly ',' migration ',' card ',' Hello ',' Kenceng ',' really ',' change ',' gini ',' disappointed ']")</f>
        <v>['Change', 'card', 'Hallo', 'already', 'bills',' expensive ',' quality ',' network ',' ugly ',' migration ',' card ',' Hello ',' Kenceng ',' really ',' change ',' gini ',' disappointed ']</v>
      </c>
      <c r="D3829" s="3">
        <v>1.0</v>
      </c>
    </row>
    <row r="3830" ht="15.75" customHeight="1">
      <c r="A3830" s="1">
        <v>4099.0</v>
      </c>
      <c r="B3830" s="3" t="s">
        <v>3675</v>
      </c>
      <c r="C3830" s="3" t="str">
        <f>IFERROR(__xludf.DUMMYFUNCTION("GOOGLETRANSLATE(B3830,""id"",""en"")"),"['Daily', 'Check', 'Sometimes',' Error ',' What's', 'Power', 'SNG', 'Hunter', 'quota', 'free', 'get', 'Kyk', ' Gini ']")</f>
        <v>['Daily', 'Check', 'Sometimes',' Error ',' What's', 'Power', 'SNG', 'Hunter', 'quota', 'free', 'get', 'Kyk', ' Gini ']</v>
      </c>
      <c r="D3830" s="3">
        <v>3.0</v>
      </c>
    </row>
    <row r="3831" ht="15.75" customHeight="1">
      <c r="A3831" s="1">
        <v>4100.0</v>
      </c>
      <c r="B3831" s="3" t="s">
        <v>3676</v>
      </c>
      <c r="C3831" s="3" t="str">
        <f>IFERROR(__xludf.DUMMYFUNCTION("GOOGLETRANSLATE(B3831,""id"",""en"")"),"['Sorry', 'min', 'quota', 'Ministry of Education and Culture', 'No', 'in', 'check', 'there', 'number', 'registered', 'enter']")</f>
        <v>['Sorry', 'min', 'quota', 'Ministry of Education and Culture', 'No', 'in', 'check', 'there', 'number', 'registered', 'enter']</v>
      </c>
      <c r="D3831" s="3">
        <v>3.0</v>
      </c>
    </row>
    <row r="3832" ht="15.75" customHeight="1">
      <c r="A3832" s="1">
        <v>4101.0</v>
      </c>
      <c r="B3832" s="3" t="s">
        <v>3677</v>
      </c>
      <c r="C3832" s="3" t="str">
        <f>IFERROR(__xludf.DUMMYFUNCTION("GOOGLETRANSLATE(B3832,""id"",""en"")"),"['woi', 'pig', 'check', 'daily', 'cave', 'gabisa', 'claimed', 'apk', 'anjeng']")</f>
        <v>['woi', 'pig', 'check', 'daily', 'cave', 'gabisa', 'claimed', 'apk', 'anjeng']</v>
      </c>
      <c r="D3832" s="3">
        <v>1.0</v>
      </c>
    </row>
    <row r="3833" ht="15.75" customHeight="1">
      <c r="A3833" s="1">
        <v>4102.0</v>
      </c>
      <c r="B3833" s="3" t="s">
        <v>3678</v>
      </c>
      <c r="C3833" s="3" t="str">
        <f>IFERROR(__xludf.DUMMYFUNCTION("GOOGLETRANSLATE(B3833,""id"",""en"")"),"['buy', 'pulses', 'already', 'pay', 'kga', 'enter', 'severe', ""]")</f>
        <v>['buy', 'pulses', 'already', 'pay', 'kga', 'enter', 'severe', "]</v>
      </c>
      <c r="D3833" s="3">
        <v>1.0</v>
      </c>
    </row>
    <row r="3834" ht="15.75" customHeight="1">
      <c r="A3834" s="1">
        <v>4103.0</v>
      </c>
      <c r="B3834" s="3" t="s">
        <v>3679</v>
      </c>
      <c r="C3834" s="3" t="str">
        <f>IFERROR(__xludf.DUMMYFUNCTION("GOOGLETRANSLATE(B3834,""id"",""en"")"),"['Star', 'collapsed', 'cook', 'buy', 'package', 'games',' mlbb ',' kagak ',' gabisa ',' used ',' loss', 'please', ' Repaired ',' Thank you ', ""]")</f>
        <v>['Star', 'collapsed', 'cook', 'buy', 'package', 'games',' mlbb ',' kagak ',' gabisa ',' used ',' loss', 'please', ' Repaired ',' Thank you ', "]</v>
      </c>
      <c r="D3834" s="3">
        <v>3.0</v>
      </c>
    </row>
    <row r="3835" ht="15.75" customHeight="1">
      <c r="A3835" s="1">
        <v>4104.0</v>
      </c>
      <c r="B3835" s="3" t="s">
        <v>3680</v>
      </c>
      <c r="C3835" s="3" t="str">
        <f>IFERROR(__xludf.DUMMYFUNCTION("GOOGLETRANSLATE(B3835,""id"",""en"")"),"['signal', 'like', 'ilang', 'changed', 'dead', 'lights', 'rain', 'etc.', 'sad']")</f>
        <v>['signal', 'like', 'ilang', 'changed', 'dead', 'lights', 'rain', 'etc.', 'sad']</v>
      </c>
      <c r="D3835" s="3">
        <v>1.0</v>
      </c>
    </row>
    <row r="3836" ht="15.75" customHeight="1">
      <c r="A3836" s="1">
        <v>4105.0</v>
      </c>
      <c r="B3836" s="3" t="s">
        <v>3681</v>
      </c>
      <c r="C3836" s="3" t="str">
        <f>IFERROR(__xludf.DUMMYFUNCTION("GOOGLETRANSLATE(B3836,""id"",""en"")"),"['hope', 'win', 'Allah', 'swt']")</f>
        <v>['hope', 'win', 'Allah', 'swt']</v>
      </c>
      <c r="D3836" s="3">
        <v>5.0</v>
      </c>
    </row>
    <row r="3837" ht="15.75" customHeight="1">
      <c r="A3837" s="1">
        <v>4106.0</v>
      </c>
      <c r="B3837" s="3" t="s">
        <v>3682</v>
      </c>
      <c r="C3837" s="3" t="str">
        <f>IFERROR(__xludf.DUMMYFUNCTION("GOOGLETRANSLATE(B3837,""id"",""en"")"),"['turn', 'chek', 'chek', 'bad', 'use', 'Telkomsel', 'experience', 'worst', 'use', 'Telkomsel']")</f>
        <v>['turn', 'chek', 'chek', 'bad', 'use', 'Telkomsel', 'experience', 'worst', 'use', 'Telkomsel']</v>
      </c>
      <c r="D3837" s="3">
        <v>1.0</v>
      </c>
    </row>
    <row r="3838" ht="15.75" customHeight="1">
      <c r="A3838" s="1">
        <v>4107.0</v>
      </c>
      <c r="B3838" s="3" t="s">
        <v>3683</v>
      </c>
      <c r="C3838" s="3" t="str">
        <f>IFERROR(__xludf.DUMMYFUNCTION("GOOGLETRANSLATE(B3838,""id"",""en"")"),"['Kirain', 'quota', 'daily', 'active', 'clock', 'active', 'clock', 'night', 'severe', 'bagusan', 'quota', 'daily', ' Indosat ',' compared to ',' Telkomsel ',' expensive ',' yes', 'satisfied', 'nggk']")</f>
        <v>['Kirain', 'quota', 'daily', 'active', 'clock', 'active', 'clock', 'night', 'severe', 'bagusan', 'quota', 'daily', ' Indosat ',' compared to ',' Telkomsel ',' expensive ',' yes', 'satisfied', 'nggk']</v>
      </c>
      <c r="D3838" s="3">
        <v>1.0</v>
      </c>
    </row>
    <row r="3839" ht="15.75" customHeight="1">
      <c r="A3839" s="1">
        <v>4108.0</v>
      </c>
      <c r="B3839" s="3" t="s">
        <v>3684</v>
      </c>
      <c r="C3839" s="3" t="str">
        <f>IFERROR(__xludf.DUMMYFUNCTION("GOOGLETRANSLATE(B3839,""id"",""en"")"),"['steady', 'already', 'chek', 'claims', 'love', 'direct', 'pretentious', 'pretentious', 'gave']")</f>
        <v>['steady', 'already', 'chek', 'claims', 'love', 'direct', 'pretentious', 'pretentious', 'gave']</v>
      </c>
      <c r="D3839" s="3">
        <v>1.0</v>
      </c>
    </row>
    <row r="3840" ht="15.75" customHeight="1">
      <c r="A3840" s="1">
        <v>4109.0</v>
      </c>
      <c r="B3840" s="3" t="s">
        <v>3685</v>
      </c>
      <c r="C3840" s="3" t="str">
        <f>IFERROR(__xludf.DUMMYFUNCTION("GOOGLETRANSLATE(B3840,""id"",""en"")"),"['Blm', 'Loading']")</f>
        <v>['Blm', 'Loading']</v>
      </c>
      <c r="D3840" s="3">
        <v>5.0</v>
      </c>
    </row>
    <row r="3841" ht="15.75" customHeight="1">
      <c r="A3841" s="1">
        <v>4110.0</v>
      </c>
      <c r="B3841" s="3" t="s">
        <v>3686</v>
      </c>
      <c r="C3841" s="3" t="str">
        <f>IFERROR(__xludf.DUMMYFUNCTION("GOOGLETRANSLATE(B3841,""id"",""en"")"),"['already', 'pulse', 'cave', 'taken', 'thousand', 'daily', 'check', 'claim', 'hadehhh']")</f>
        <v>['already', 'pulse', 'cave', 'taken', 'thousand', 'daily', 'check', 'claim', 'hadehhh']</v>
      </c>
      <c r="D3841" s="3">
        <v>1.0</v>
      </c>
    </row>
    <row r="3842" ht="15.75" customHeight="1">
      <c r="A3842" s="1">
        <v>4111.0</v>
      </c>
      <c r="B3842" s="3" t="s">
        <v>3687</v>
      </c>
      <c r="C3842" s="3" t="str">
        <f>IFERROR(__xludf.DUMMYFUNCTION("GOOGLETRANSLATE(B3842,""id"",""en"")"),"['veryttt', 'bembantu', 'application', 'kapadia', 'customer']")</f>
        <v>['veryttt', 'bembantu', 'application', 'kapadia', 'customer']</v>
      </c>
      <c r="D3842" s="3">
        <v>4.0</v>
      </c>
    </row>
    <row r="3843" ht="15.75" customHeight="1">
      <c r="A3843" s="1">
        <v>4112.0</v>
      </c>
      <c r="B3843" s="3" t="s">
        <v>3688</v>
      </c>
      <c r="C3843" s="3" t="str">
        <f>IFERROR(__xludf.DUMMYFUNCTION("GOOGLETRANSLATE(B3843,""id"",""en"")"),"['application', 'Loading', 'page', 'error', 'system', 'please', 'suggestion', 'min', 'love', 'star', ""]")</f>
        <v>['application', 'Loading', 'page', 'error', 'system', 'please', 'suggestion', 'min', 'love', 'star', "]</v>
      </c>
      <c r="D3843" s="3">
        <v>1.0</v>
      </c>
    </row>
    <row r="3844" ht="15.75" customHeight="1">
      <c r="A3844" s="1">
        <v>4113.0</v>
      </c>
      <c r="B3844" s="3" t="s">
        <v>3689</v>
      </c>
      <c r="C3844" s="3" t="str">
        <f>IFERROR(__xludf.DUMMYFUNCTION("GOOGLETRANSLATE(B3844,""id"",""en"")"),"['Please', 'Laah', 'Signal', 'Fix', 'Region', 'Region', 'Settlement', 'Enter', 'Gang', 'Gang', 'The Capital', 'Live', ' Jakarta ',' It feels', 'stay', 'forest', 'signal', 'lag', 'forgiveness',' play ',' game ',' expensive ',' expensive ',' buy ',' package"&amp;" ' , 'GameSmax', 'here', 'disappointing', 'price', 'package', 'data', 'classified', 'expensive']")</f>
        <v>['Please', 'Laah', 'Signal', 'Fix', 'Region', 'Region', 'Settlement', 'Enter', 'Gang', 'Gang', 'The Capital', 'Live', ' Jakarta ',' It feels', 'stay', 'forest', 'signal', 'lag', 'forgiveness',' play ',' game ',' expensive ',' expensive ',' buy ',' package ' , 'GameSmax', 'here', 'disappointing', 'price', 'package', 'data', 'classified', 'expensive']</v>
      </c>
      <c r="D3844" s="3">
        <v>1.0</v>
      </c>
    </row>
    <row r="3845" ht="15.75" customHeight="1">
      <c r="A3845" s="1">
        <v>4114.0</v>
      </c>
      <c r="B3845" s="3" t="s">
        <v>3690</v>
      </c>
      <c r="C3845" s="3" t="str">
        <f>IFERROR(__xludf.DUMMYFUNCTION("GOOGLETRANSLATE(B3845,""id"",""en"")"),"['Purchase', 'easy']")</f>
        <v>['Purchase', 'easy']</v>
      </c>
      <c r="D3845" s="3">
        <v>5.0</v>
      </c>
    </row>
    <row r="3846" ht="15.75" customHeight="1">
      <c r="A3846" s="1">
        <v>4115.0</v>
      </c>
      <c r="B3846" s="3" t="s">
        <v>3691</v>
      </c>
      <c r="C3846" s="3" t="str">
        <f>IFERROR(__xludf.DUMMYFUNCTION("GOOGLETRANSLATE(B3846,""id"",""en"")"),"['no', 'signal', 'min', 'sampei', 'bother', 'already', 'fill', 'quota', 'mlh', 'no', 'signal']")</f>
        <v>['no', 'signal', 'min', 'sampei', 'bother', 'already', 'fill', 'quota', 'mlh', 'no', 'signal']</v>
      </c>
      <c r="D3846" s="3">
        <v>1.0</v>
      </c>
    </row>
    <row r="3847" ht="15.75" customHeight="1">
      <c r="A3847" s="1">
        <v>4116.0</v>
      </c>
      <c r="B3847" s="3" t="s">
        <v>3692</v>
      </c>
      <c r="C3847" s="3" t="str">
        <f>IFERROR(__xludf.DUMMYFUNCTION("GOOGLETRANSLATE(B3847,""id"",""en"")"),"['Search', 'Package', 'Best']")</f>
        <v>['Search', 'Package', 'Best']</v>
      </c>
      <c r="D3847" s="3">
        <v>3.0</v>
      </c>
    </row>
    <row r="3848" ht="15.75" customHeight="1">
      <c r="A3848" s="1">
        <v>4117.0</v>
      </c>
      <c r="B3848" s="3" t="s">
        <v>3693</v>
      </c>
      <c r="C3848" s="3" t="str">
        <f>IFERROR(__xludf.DUMMYFUNCTION("GOOGLETRANSLATE(B3848,""id"",""en"")"),"['entry', 'the application', 'emng', 'cellphone', 'slow', ""]")</f>
        <v>['entry', 'the application', 'emng', 'cellphone', 'slow', "]</v>
      </c>
      <c r="D3848" s="3">
        <v>4.0</v>
      </c>
    </row>
    <row r="3849" ht="15.75" customHeight="1">
      <c r="A3849" s="1">
        <v>4118.0</v>
      </c>
      <c r="B3849" s="3" t="s">
        <v>3694</v>
      </c>
      <c r="C3849" s="3" t="str">
        <f>IFERROR(__xludf.DUMMYFUNCTION("GOOGLETRANSLATE(B3849,""id"",""en"")"),"['Please', 'Donk', 'repaired', 'connection', 'see', 'smooth', 'Jaya', 'Maen', 'game', 'kyk', 'already', 'stay', ' Linked ',' Forest ',' Tower ',' Weather ',' Good ',' ']")</f>
        <v>['Please', 'Donk', 'repaired', 'connection', 'see', 'smooth', 'Jaya', 'Maen', 'game', 'kyk', 'already', 'stay', ' Linked ',' Forest ',' Tower ',' Weather ',' Good ',' ']</v>
      </c>
      <c r="D3849" s="3">
        <v>1.0</v>
      </c>
    </row>
    <row r="3850" ht="15.75" customHeight="1">
      <c r="A3850" s="1">
        <v>4119.0</v>
      </c>
      <c r="B3850" s="3" t="s">
        <v>3695</v>
      </c>
      <c r="C3850" s="3" t="str">
        <f>IFERROR(__xludf.DUMMYFUNCTION("GOOGLETRANSLATE(B3850,""id"",""en"")"),"['Network', 'Nyah', 'Expand', 'Strengthen']")</f>
        <v>['Network', 'Nyah', 'Expand', 'Strengthen']</v>
      </c>
      <c r="D3850" s="3">
        <v>3.0</v>
      </c>
    </row>
    <row r="3851" ht="15.75" customHeight="1">
      <c r="A3851" s="1">
        <v>4120.0</v>
      </c>
      <c r="B3851" s="3" t="s">
        <v>3696</v>
      </c>
      <c r="C3851" s="3" t="str">
        <f>IFERROR(__xludf.DUMMYFUNCTION("GOOGLETRANSLATE(B3851,""id"",""en"")"),"['promo', 'loss', 'KLU', 'Download', 'APK']")</f>
        <v>['promo', 'loss', 'KLU', 'Download', 'APK']</v>
      </c>
      <c r="D3851" s="3">
        <v>5.0</v>
      </c>
    </row>
    <row r="3852" ht="15.75" customHeight="1">
      <c r="A3852" s="1">
        <v>4121.0</v>
      </c>
      <c r="B3852" s="3" t="s">
        <v>3697</v>
      </c>
      <c r="C3852" s="3" t="str">
        <f>IFERROR(__xludf.DUMMYFUNCTION("GOOGLETRANSLATE(B3852,""id"",""en"")"),"['Useful', 'Please', 'Price', 'Package', 'Quota', 'Permed']")</f>
        <v>['Useful', 'Please', 'Price', 'Package', 'Quota', 'Permed']</v>
      </c>
      <c r="D3852" s="3">
        <v>4.0</v>
      </c>
    </row>
    <row r="3853" ht="15.75" customHeight="1">
      <c r="A3853" s="1">
        <v>4122.0</v>
      </c>
      <c r="B3853" s="3" t="s">
        <v>3698</v>
      </c>
      <c r="C3853" s="3" t="str">
        <f>IFERROR(__xludf.DUMMYFUNCTION("GOOGLETRANSLATE(B3853,""id"",""en"")"),"['users',' Telkomsel ',' a month ',' network ',' internet ',' stable ',' sometimes', 'ilang', 'please', 'Telkomsel', 'fix', 'play', ' Game ',' lag ',' emotion ',' ']")</f>
        <v>['users',' Telkomsel ',' a month ',' network ',' internet ',' stable ',' sometimes', 'ilang', 'please', 'Telkomsel', 'fix', 'play', ' Game ',' lag ',' emotion ',' ']</v>
      </c>
      <c r="D3853" s="3">
        <v>1.0</v>
      </c>
    </row>
    <row r="3854" ht="15.75" customHeight="1">
      <c r="A3854" s="1">
        <v>4123.0</v>
      </c>
      <c r="B3854" s="3" t="s">
        <v>3699</v>
      </c>
      <c r="C3854" s="3" t="str">
        <f>IFERROR(__xludf.DUMMYFUNCTION("GOOGLETRANSLATE(B3854,""id"",""en"")"),"['Bagussss', 'LBH', 'Easy', 'Check', 'Balance', 'Telkomsel', 'Ribet', 'Increases', 'ContinationsSSSA']")</f>
        <v>['Bagussss', 'LBH', 'Easy', 'Check', 'Balance', 'Telkomsel', 'Ribet', 'Increases', 'ContinationsSSSA']</v>
      </c>
      <c r="D3854" s="3">
        <v>5.0</v>
      </c>
    </row>
    <row r="3855" ht="15.75" customHeight="1">
      <c r="A3855" s="1">
        <v>4124.0</v>
      </c>
      <c r="B3855" s="3" t="s">
        <v>3700</v>
      </c>
      <c r="C3855" s="3" t="str">
        <f>IFERROR(__xludf.DUMMYFUNCTION("GOOGLETRANSLATE(B3855,""id"",""en"")"),"['Telkomsel', 'Gajelas', 'Network', 'Ngeluh', 'Network', 'Telkomsel', 'Please', 'Fix', '']")</f>
        <v>['Telkomsel', 'Gajelas', 'Network', 'Ngeluh', 'Network', 'Telkomsel', 'Please', 'Fix', '']</v>
      </c>
      <c r="D3855" s="3">
        <v>2.0</v>
      </c>
    </row>
    <row r="3856" ht="15.75" customHeight="1">
      <c r="A3856" s="1">
        <v>4125.0</v>
      </c>
      <c r="B3856" s="3" t="s">
        <v>3701</v>
      </c>
      <c r="C3856" s="3" t="str">
        <f>IFERROR(__xludf.DUMMYFUNCTION("GOOGLETRANSLATE(B3856,""id"",""en"")"),"['Gini', 'Coo', 'buy', 'Kuto', 'game', 'right', 'use', 'slow', 'really', '']")</f>
        <v>['Gini', 'Coo', 'buy', 'Kuto', 'game', 'right', 'use', 'slow', 'really', '']</v>
      </c>
      <c r="D3856" s="3">
        <v>1.0</v>
      </c>
    </row>
    <row r="3857" ht="15.75" customHeight="1">
      <c r="A3857" s="1">
        <v>4126.0</v>
      </c>
      <c r="B3857" s="3" t="s">
        <v>3702</v>
      </c>
      <c r="C3857" s="3" t="str">
        <f>IFERROR(__xludf.DUMMYFUNCTION("GOOGLETRANSLATE(B3857,""id"",""en"")"),"['rain', 'wind', 'troble', 'annoying', 'bngt', 'btw', 'appny', 'good']")</f>
        <v>['rain', 'wind', 'troble', 'annoying', 'bngt', 'btw', 'appny', 'good']</v>
      </c>
      <c r="D3857" s="3">
        <v>5.0</v>
      </c>
    </row>
    <row r="3858" ht="15.75" customHeight="1">
      <c r="A3858" s="1">
        <v>4127.0</v>
      </c>
      <c r="B3858" s="3" t="s">
        <v>3703</v>
      </c>
      <c r="C3858" s="3" t="str">
        <f>IFERROR(__xludf.DUMMYFUNCTION("GOOGLETRANSLATE(B3858,""id"",""en"")"),"['Help', 'contents', 'package', 'data']")</f>
        <v>['Help', 'contents', 'package', 'data']</v>
      </c>
      <c r="D3858" s="3">
        <v>5.0</v>
      </c>
    </row>
    <row r="3859" ht="15.75" customHeight="1">
      <c r="A3859" s="1">
        <v>4128.0</v>
      </c>
      <c r="B3859" s="3" t="s">
        <v>3704</v>
      </c>
      <c r="C3859" s="3" t="str">
        <f>IFERROR(__xludf.DUMMYFUNCTION("GOOGLETRANSLATE(B3859,""id"",""en"")"),"['Network', 'Telkomsel', 'Mending', 'cave', 'willing', 'Pay', 'expensive', 'Telkomsel', 'Taii', 'network', 'already', 'expensive', ' DAK ',' Useful ',' lgi ']")</f>
        <v>['Network', 'Telkomsel', 'Mending', 'cave', 'willing', 'Pay', 'expensive', 'Telkomsel', 'Taii', 'network', 'already', 'expensive', ' DAK ',' Useful ',' lgi ']</v>
      </c>
      <c r="D3859" s="3">
        <v>1.0</v>
      </c>
    </row>
    <row r="3860" ht="15.75" customHeight="1">
      <c r="A3860" s="1">
        <v>4129.0</v>
      </c>
      <c r="B3860" s="3" t="s">
        <v>3705</v>
      </c>
      <c r="C3860" s="3" t="str">
        <f>IFERROR(__xludf.DUMMYFUNCTION("GOOGLETRANSLATE(B3860,""id"",""en"")"),"['Activating', 'Package', 'Data', 'Quota', 'Combo', 'Sakti', 'Abis', 'Min', 'Knp', 'cheat']")</f>
        <v>['Activating', 'Package', 'Data', 'Quota', 'Combo', 'Sakti', 'Abis', 'Min', 'Knp', 'cheat']</v>
      </c>
      <c r="D3860" s="3">
        <v>1.0</v>
      </c>
    </row>
    <row r="3861" ht="15.75" customHeight="1">
      <c r="A3861" s="1">
        <v>4130.0</v>
      </c>
      <c r="B3861" s="3" t="s">
        <v>3706</v>
      </c>
      <c r="C3861" s="3" t="str">
        <f>IFERROR(__xludf.DUMMYFUNCTION("GOOGLETRANSLATE(B3861,""id"",""en"")"),"['satisfying', 'application', 'Telkomsel', 'open', 'update', 'ttp', 'open', 'application', 'open', 'suggest', 'Telkomsel', 'open', ' Mending ',' Delete ',' Telkomsel ']")</f>
        <v>['satisfying', 'application', 'Telkomsel', 'open', 'update', 'ttp', 'open', 'application', 'open', 'suggest', 'Telkomsel', 'open', ' Mending ',' Delete ',' Telkomsel ']</v>
      </c>
      <c r="D3861" s="3">
        <v>1.0</v>
      </c>
    </row>
    <row r="3862" ht="15.75" customHeight="1">
      <c r="A3862" s="1">
        <v>4131.0</v>
      </c>
      <c r="B3862" s="3" t="s">
        <v>3707</v>
      </c>
      <c r="C3862" s="3" t="str">
        <f>IFERROR(__xludf.DUMMYFUNCTION("GOOGLETRANSLATE(B3862,""id"",""en"")"),"['connection', 'Nga', 'Bener', 'Nga', 'MLH', 'Nga', 'connection', 'internet']")</f>
        <v>['connection', 'Nga', 'Bener', 'Nga', 'MLH', 'Nga', 'connection', 'internet']</v>
      </c>
      <c r="D3862" s="3">
        <v>1.0</v>
      </c>
    </row>
    <row r="3863" ht="15.75" customHeight="1">
      <c r="A3863" s="1">
        <v>4132.0</v>
      </c>
      <c r="B3863" s="3" t="s">
        <v>3708</v>
      </c>
      <c r="C3863" s="3" t="str">
        <f>IFERROR(__xludf.DUMMYFUNCTION("GOOGLETRANSLATE(B3863,""id"",""en"")"),"['lei']")</f>
        <v>['lei']</v>
      </c>
      <c r="D3863" s="3">
        <v>5.0</v>
      </c>
    </row>
    <row r="3864" ht="15.75" customHeight="1">
      <c r="A3864" s="1">
        <v>4133.0</v>
      </c>
      <c r="B3864" s="3" t="s">
        <v>3709</v>
      </c>
      <c r="C3864" s="3" t="str">
        <f>IFERROR(__xludf.DUMMYFUNCTION("GOOGLETRANSLATE(B3864,""id"",""en"")"),"['enter', 'number', 'Telfon', 'Many "",' Try ',' Install ',' Tetep ']")</f>
        <v>['enter', 'number', 'Telfon', 'Many ",' Try ',' Install ',' Tetep ']</v>
      </c>
      <c r="D3864" s="3">
        <v>1.0</v>
      </c>
    </row>
    <row r="3865" ht="15.75" customHeight="1">
      <c r="A3865" s="1">
        <v>4134.0</v>
      </c>
      <c r="B3865" s="3" t="s">
        <v>3710</v>
      </c>
      <c r="C3865" s="3" t="str">
        <f>IFERROR(__xludf.DUMMYFUNCTION("GOOGLETRANSLATE(B3865,""id"",""en"")"),"['easy', 'service', 'Telkomsel', '']")</f>
        <v>['easy', 'service', 'Telkomsel', '']</v>
      </c>
      <c r="D3865" s="3">
        <v>5.0</v>
      </c>
    </row>
    <row r="3866" ht="15.75" customHeight="1">
      <c r="A3866" s="1">
        <v>4135.0</v>
      </c>
      <c r="B3866" s="3" t="s">
        <v>3711</v>
      </c>
      <c r="C3866" s="3" t="str">
        <f>IFERROR(__xludf.DUMMYFUNCTION("GOOGLETRANSLATE(B3866,""id"",""en"")"),"['TLKOMSEL', 'KNP', 'Network', 'slow', 'quota', 'expensive', 'network', 'disappointing', 'chaotic', 'chaoticaaaaaaaaaaaaaaaaaaaaaaaaaaaaaaaaaaaaaaaaaaaaaaaaaaaan")</f>
        <v>['TLKOMSEL', 'KNP', 'Network', 'slow', 'quota', 'expensive', 'network', 'disappointing', 'chaotic', 'chaoticaaaaaaaaaaaaaaaaaaaaaaaaaaaaaaaaaaaaaaaaaaaaaaaaaaaan</v>
      </c>
      <c r="D3866" s="3">
        <v>1.0</v>
      </c>
    </row>
    <row r="3867" ht="15.75" customHeight="1">
      <c r="A3867" s="1">
        <v>4136.0</v>
      </c>
      <c r="B3867" s="3" t="s">
        <v>3712</v>
      </c>
      <c r="C3867" s="3" t="str">
        <f>IFERROR(__xludf.DUMMYFUNCTION("GOOGLETRANSLATE(B3867,""id"",""en"")"),"['', 'Telkomsel', 'knpa', 'lost', 'problematic', 'kah', 'purchase', 'package', 'data', 'expect', 'signal', 'good', 'dahal ',' Mainya ',' ']")</f>
        <v>['', 'Telkomsel', 'knpa', 'lost', 'problematic', 'kah', 'purchase', 'package', 'data', 'expect', 'signal', 'good', 'dahal ',' Mainya ',' ']</v>
      </c>
      <c r="D3867" s="3">
        <v>2.0</v>
      </c>
    </row>
    <row r="3868" ht="15.75" customHeight="1">
      <c r="A3868" s="1">
        <v>4137.0</v>
      </c>
      <c r="B3868" s="3" t="s">
        <v>3713</v>
      </c>
      <c r="C3868" s="3" t="str">
        <f>IFERROR(__xludf.DUMMYFUNCTION("GOOGLETRANSLATE(B3868,""id"",""en"")"),"['signal', 'damn', 'slow', 'rich', 'conch']")</f>
        <v>['signal', 'damn', 'slow', 'rich', 'conch']</v>
      </c>
      <c r="D3868" s="3">
        <v>1.0</v>
      </c>
    </row>
    <row r="3869" ht="15.75" customHeight="1">
      <c r="A3869" s="1">
        <v>4138.0</v>
      </c>
      <c r="B3869" s="3" t="s">
        <v>3714</v>
      </c>
      <c r="C3869" s="3" t="str">
        <f>IFERROR(__xludf.DUMMYFUNCTION("GOOGLETRANSLATE(B3869,""id"",""en"")"),"['Good', 'smga', 'sya', 'win', 'lottery', 'exchange', 'point', 'aminn', 'yalloh']")</f>
        <v>['Good', 'smga', 'sya', 'win', 'lottery', 'exchange', 'point', 'aminn', 'yalloh']</v>
      </c>
      <c r="D3869" s="3">
        <v>4.0</v>
      </c>
    </row>
    <row r="3870" ht="15.75" customHeight="1">
      <c r="A3870" s="1">
        <v>4139.0</v>
      </c>
      <c r="B3870" s="3" t="s">
        <v>3715</v>
      </c>
      <c r="C3870" s="3" t="str">
        <f>IFERROR(__xludf.DUMMYFUNCTION("GOOGLETRANSLATE(B3870,""id"",""en"")"),"['Application', 'Berbntu', 'Bgus', '']")</f>
        <v>['Application', 'Berbntu', 'Bgus', '']</v>
      </c>
      <c r="D3870" s="3">
        <v>5.0</v>
      </c>
    </row>
    <row r="3871" ht="15.75" customHeight="1">
      <c r="A3871" s="1">
        <v>4140.0</v>
      </c>
      <c r="B3871" s="3" t="s">
        <v>3716</v>
      </c>
      <c r="C3871" s="3" t="str">
        <f>IFERROR(__xludf.DUMMYFUNCTION("GOOGLETRANSLATE(B3871,""id"",""en"")"),"['Please', 'sorry', 'internet', 'idiot', 'really', 'yak', 'turn', 'porn', 'smooth', 'turn', 'right', 'play', ' internet ',' Ngelag ',' Severe ',' yak ',' tlg ',' Telkomsel ']")</f>
        <v>['Please', 'sorry', 'internet', 'idiot', 'really', 'yak', 'turn', 'porn', 'smooth', 'turn', 'right', 'play', ' internet ',' Ngelag ',' Severe ',' yak ',' tlg ',' Telkomsel ']</v>
      </c>
      <c r="D3871" s="3">
        <v>5.0</v>
      </c>
    </row>
    <row r="3872" ht="15.75" customHeight="1">
      <c r="A3872" s="1">
        <v>4141.0</v>
      </c>
      <c r="B3872" s="3" t="s">
        <v>3717</v>
      </c>
      <c r="C3872" s="3" t="str">
        <f>IFERROR(__xludf.DUMMYFUNCTION("GOOGLETRANSLATE(B3872,""id"",""en"")"),"['Good', 'inside', 'room', 'slow']")</f>
        <v>['Good', 'inside', 'room', 'slow']</v>
      </c>
      <c r="D3872" s="3">
        <v>3.0</v>
      </c>
    </row>
    <row r="3873" ht="15.75" customHeight="1">
      <c r="A3873" s="1">
        <v>4142.0</v>
      </c>
      <c r="B3873" s="3" t="s">
        <v>3718</v>
      </c>
      <c r="C3873" s="3" t="str">
        <f>IFERROR(__xludf.DUMMYFUNCTION("GOOGLETRANSLATE(B3873,""id"",""en"")"),"['Service', '']")</f>
        <v>['Service', '']</v>
      </c>
      <c r="D3873" s="3">
        <v>5.0</v>
      </c>
    </row>
    <row r="3874" ht="15.75" customHeight="1">
      <c r="A3874" s="1">
        <v>4143.0</v>
      </c>
      <c r="B3874" s="3" t="s">
        <v>3719</v>
      </c>
      <c r="C3874" s="3" t="str">
        <f>IFERROR(__xludf.DUMMYFUNCTION("GOOGLETRANSLATE(B3874,""id"",""en"")"),"['good, thank you']")</f>
        <v>['good, thank you']</v>
      </c>
      <c r="D3874" s="3">
        <v>5.0</v>
      </c>
    </row>
    <row r="3875" ht="15.75" customHeight="1">
      <c r="A3875" s="1">
        <v>4144.0</v>
      </c>
      <c r="B3875" s="3" t="s">
        <v>3720</v>
      </c>
      <c r="C3875" s="3" t="str">
        <f>IFERROR(__xludf.DUMMYFUNCTION("GOOGLETRANSLATE(B3875,""id"",""en"")"),"['Telkomsel', 'Network', 'Best', 'Indonesia']")</f>
        <v>['Telkomsel', 'Network', 'Best', 'Indonesia']</v>
      </c>
      <c r="D3875" s="3">
        <v>5.0</v>
      </c>
    </row>
    <row r="3876" ht="15.75" customHeight="1">
      <c r="A3876" s="1">
        <v>4145.0</v>
      </c>
      <c r="B3876" s="3" t="s">
        <v>3721</v>
      </c>
      <c r="C3876" s="3" t="str">
        <f>IFERROR(__xludf.DUMMYFUNCTION("GOOGLETRANSLATE(B3876,""id"",""en"")"),"['Good', 'Easily', 'Charging', 'Quota', 'Ribet']")</f>
        <v>['Good', 'Easily', 'Charging', 'Quota', 'Ribet']</v>
      </c>
      <c r="D3876" s="3">
        <v>5.0</v>
      </c>
    </row>
    <row r="3877" ht="15.75" customHeight="1">
      <c r="A3877" s="1">
        <v>4146.0</v>
      </c>
      <c r="B3877" s="3" t="s">
        <v>3722</v>
      </c>
      <c r="C3877" s="3" t="str">
        <f>IFERROR(__xludf.DUMMYFUNCTION("GOOGLETRANSLATE(B3877,""id"",""en"")"),"['The name', 'here', 'bad', 'increases', 'decreases']")</f>
        <v>['The name', 'here', 'bad', 'increases', 'decreases']</v>
      </c>
      <c r="D3877" s="3">
        <v>1.0</v>
      </c>
    </row>
    <row r="3878" ht="15.75" customHeight="1">
      <c r="A3878" s="1">
        <v>4147.0</v>
      </c>
      <c r="B3878" s="3" t="s">
        <v>3723</v>
      </c>
      <c r="C3878" s="3" t="str">
        <f>IFERROR(__xludf.DUMMYFUNCTION("GOOGLETRANSLATE(B3878,""id"",""en"")"),"['Application', 'sophisticated']")</f>
        <v>['Application', 'sophisticated']</v>
      </c>
      <c r="D3878" s="3">
        <v>5.0</v>
      </c>
    </row>
    <row r="3879" ht="15.75" customHeight="1">
      <c r="A3879" s="1">
        <v>4148.0</v>
      </c>
      <c r="B3879" s="3" t="s">
        <v>3724</v>
      </c>
      <c r="C3879" s="3" t="str">
        <f>IFERROR(__xludf.DUMMYFUNCTION("GOOGLETRANSLATE(B3879,""id"",""en"")"),"['price', 'package', 'expensive', 'quality', 'network', 'comment', 'suggestion', 'play', 'store', 'replied', 'bot', 'operator', ' rubbish', '']")</f>
        <v>['price', 'package', 'expensive', 'quality', 'network', 'comment', 'suggestion', 'play', 'store', 'replied', 'bot', 'operator', ' rubbish', '']</v>
      </c>
      <c r="D3879" s="3">
        <v>1.0</v>
      </c>
    </row>
    <row r="3880" ht="15.75" customHeight="1">
      <c r="A3880" s="1">
        <v>4149.0</v>
      </c>
      <c r="B3880" s="3" t="s">
        <v>3725</v>
      </c>
      <c r="C3880" s="3" t="str">
        <f>IFERROR(__xludf.DUMMYFUNCTION("GOOGLETRANSLATE(B3880,""id"",""en"")"),"['Hadeh', 'difficult', 'entry', 'application', 'love', 'enter', 'can', 'code', 'tidk', 'box', 'verfaction', 'bgmn', ' Cofirms', 'love', 'star']")</f>
        <v>['Hadeh', 'difficult', 'entry', 'application', 'love', 'enter', 'can', 'code', 'tidk', 'box', 'verfaction', 'bgmn', ' Cofirms', 'love', 'star']</v>
      </c>
      <c r="D3880" s="3">
        <v>1.0</v>
      </c>
    </row>
    <row r="3881" ht="15.75" customHeight="1">
      <c r="A3881" s="1">
        <v>4150.0</v>
      </c>
      <c r="B3881" s="3" t="s">
        <v>3726</v>
      </c>
      <c r="C3881" s="3" t="str">
        <f>IFERROR(__xludf.DUMMYFUNCTION("GOOGLETRANSLATE(B3881,""id"",""en"")"),"['Paketan', 'expensive', 'anjk']")</f>
        <v>['Paketan', 'expensive', 'anjk']</v>
      </c>
      <c r="D3881" s="3">
        <v>1.0</v>
      </c>
    </row>
    <row r="3882" ht="15.75" customHeight="1">
      <c r="A3882" s="1">
        <v>4151.0</v>
      </c>
      <c r="B3882" s="3" t="s">
        <v>3727</v>
      </c>
      <c r="C3882" s="3" t="str">
        <f>IFERROR(__xludf.DUMMYFUNCTION("GOOGLETRANSLATE(B3882,""id"",""en"")"),"['fun', 'buy', 'package', 'application', 'Telkomsel']")</f>
        <v>['fun', 'buy', 'package', 'application', 'Telkomsel']</v>
      </c>
      <c r="D3882" s="3">
        <v>1.0</v>
      </c>
    </row>
    <row r="3883" ht="15.75" customHeight="1">
      <c r="A3883" s="1">
        <v>4152.0</v>
      </c>
      <c r="B3883" s="3" t="s">
        <v>3728</v>
      </c>
      <c r="C3883" s="3" t="str">
        <f>IFERROR(__xludf.DUMMYFUNCTION("GOOGLETRANSLATE(B3883,""id"",""en"")"),"['Application', 'MyTelkomsel', 'Good']")</f>
        <v>['Application', 'MyTelkomsel', 'Good']</v>
      </c>
      <c r="D3883" s="3">
        <v>5.0</v>
      </c>
    </row>
    <row r="3884" ht="15.75" customHeight="1">
      <c r="A3884" s="1">
        <v>4153.0</v>
      </c>
      <c r="B3884" s="3" t="s">
        <v>3729</v>
      </c>
      <c r="C3884" s="3" t="str">
        <f>IFERROR(__xludf.DUMMYFUNCTION("GOOGLETRANSLATE(B3884,""id"",""en"")"),"['steady', 'steady', 'LOTIN', 'PROMO', '']")</f>
        <v>['steady', 'steady', 'LOTIN', 'PROMO', '']</v>
      </c>
      <c r="D3884" s="3">
        <v>5.0</v>
      </c>
    </row>
    <row r="3885" ht="15.75" customHeight="1">
      <c r="A3885" s="1">
        <v>4155.0</v>
      </c>
      <c r="B3885" s="3" t="s">
        <v>3730</v>
      </c>
      <c r="C3885" s="3" t="str">
        <f>IFERROR(__xludf.DUMMYFUNCTION("GOOGLETRANSLATE(B3885,""id"",""en"")"),"['sick', 'use', 'Telkomsel', 'Network', 'slow', 'regret', 'buy', 'package', 'combo', 'corporate', '']")</f>
        <v>['sick', 'use', 'Telkomsel', 'Network', 'slow', 'regret', 'buy', 'package', 'combo', 'corporate', '']</v>
      </c>
      <c r="D3885" s="3">
        <v>1.0</v>
      </c>
    </row>
    <row r="3886" ht="15.75" customHeight="1">
      <c r="A3886" s="1">
        <v>4156.0</v>
      </c>
      <c r="B3886" s="3" t="s">
        <v>3731</v>
      </c>
      <c r="C3886" s="3" t="str">
        <f>IFERROR(__xludf.DUMMYFUNCTION("GOOGLETRANSLATE(B3886,""id"",""en"")"),"['crazy', 'crazy', 'crazy', 'all day', 'kaga', 'connection', 'area', 'cakung', 'sampe', 'indihome', 'notification', 'disorder', ' Technical ',' mah ',' boro ',' boro ']")</f>
        <v>['crazy', 'crazy', 'crazy', 'all day', 'kaga', 'connection', 'area', 'cakung', 'sampe', 'indihome', 'notification', 'disorder', ' Technical ',' mah ',' boro ',' boro ']</v>
      </c>
      <c r="D3886" s="3">
        <v>1.0</v>
      </c>
    </row>
    <row r="3887" ht="15.75" customHeight="1">
      <c r="A3887" s="1">
        <v>4157.0</v>
      </c>
      <c r="B3887" s="3" t="s">
        <v>3732</v>
      </c>
      <c r="C3887" s="3" t="str">
        <f>IFERROR(__xludf.DUMMYFUNCTION("GOOGLETRANSLATE(B3887,""id"",""en"")"),"['Telkomsel', 'pig', 'signal', 'mnding', 'IM', 'Ajalah', 'Senag', 'Maen', 'Game', 'Sinyal', 'Lost', 'Padahl', ' Oppo ',' Crazy ',' Telkomsel ',' Maaa ',' Ajinnnnng ', ""]")</f>
        <v>['Telkomsel', 'pig', 'signal', 'mnding', 'IM', 'Ajalah', 'Senag', 'Maen', 'Game', 'Sinyal', 'Lost', 'Padahl', ' Oppo ',' Crazy ',' Telkomsel ',' Maaa ',' Ajinnnnng ', "]</v>
      </c>
      <c r="D3887" s="3">
        <v>5.0</v>
      </c>
    </row>
    <row r="3888" ht="15.75" customHeight="1">
      <c r="A3888" s="1">
        <v>4158.0</v>
      </c>
      <c r="B3888" s="3" t="s">
        <v>3733</v>
      </c>
      <c r="C3888" s="3" t="str">
        <f>IFERROR(__xludf.DUMMYFUNCTION("GOOGLETRANSLATE(B3888,""id"",""en"")"),"['Congratulations', 'night', 'proposal', 'his proposal', 'how', 'Points', 'Telkomsel', 'Exchange', 'Diamond', 'Game']")</f>
        <v>['Congratulations', 'night', 'proposal', 'his proposal', 'how', 'Points', 'Telkomsel', 'Exchange', 'Diamond', 'Game']</v>
      </c>
      <c r="D3888" s="3">
        <v>5.0</v>
      </c>
    </row>
    <row r="3889" ht="15.75" customHeight="1">
      <c r="A3889" s="1">
        <v>4159.0</v>
      </c>
      <c r="B3889" s="3" t="s">
        <v>3734</v>
      </c>
      <c r="C3889" s="3" t="str">
        <f>IFERROR(__xludf.DUMMYFUNCTION("GOOGLETRANSLATE(B3889,""id"",""en"")"),"['Steady', 'APK']")</f>
        <v>['Steady', 'APK']</v>
      </c>
      <c r="D3889" s="3">
        <v>4.0</v>
      </c>
    </row>
    <row r="3890" ht="15.75" customHeight="1">
      <c r="A3890" s="1">
        <v>4160.0</v>
      </c>
      <c r="B3890" s="3" t="s">
        <v>3735</v>
      </c>
      <c r="C3890" s="3" t="str">
        <f>IFERROR(__xludf.DUMMYFUNCTION("GOOGLETRANSLATE(B3890,""id"",""en"")"),"['Contents', 'pulses', 'difficult', 'Argen']")</f>
        <v>['Contents', 'pulses', 'difficult', 'Argen']</v>
      </c>
      <c r="D3890" s="3">
        <v>1.0</v>
      </c>
    </row>
    <row r="3891" ht="15.75" customHeight="1">
      <c r="A3891" s="1">
        <v>4161.0</v>
      </c>
      <c r="B3891" s="3" t="s">
        <v>3736</v>
      </c>
      <c r="C3891" s="3" t="str">
        <f>IFERROR(__xludf.DUMMYFUNCTION("GOOGLETRANSLATE(B3891,""id"",""en"")"),"['Network', 'choice', 'main', 'sory', 'Telkomsel']")</f>
        <v>['Network', 'choice', 'main', 'sory', 'Telkomsel']</v>
      </c>
      <c r="D3891" s="3">
        <v>1.0</v>
      </c>
    </row>
    <row r="3892" ht="15.75" customHeight="1">
      <c r="A3892" s="1">
        <v>4162.0</v>
      </c>
      <c r="B3892" s="3" t="s">
        <v>3737</v>
      </c>
      <c r="C3892" s="3" t="str">
        <f>IFERROR(__xludf.DUMMYFUNCTION("GOOGLETRANSLATE(B3892,""id"",""en"")"),"['Price', 'Package', 'Doang', 'Expensive', 'Signal', 'Pekah', '']")</f>
        <v>['Price', 'Package', 'Doang', 'Expensive', 'Signal', 'Pekah', '']</v>
      </c>
      <c r="D3892" s="3">
        <v>1.0</v>
      </c>
    </row>
    <row r="3893" ht="15.75" customHeight="1">
      <c r="A3893" s="1">
        <v>4163.0</v>
      </c>
      <c r="B3893" s="3" t="s">
        <v>3738</v>
      </c>
      <c r="C3893" s="3" t="str">
        <f>IFERROR(__xludf.DUMMYFUNCTION("GOOGLETRANSLATE(B3893,""id"",""en"")"),"['internet', 'old']")</f>
        <v>['internet', 'old']</v>
      </c>
      <c r="D3893" s="3">
        <v>3.0</v>
      </c>
    </row>
    <row r="3894" ht="15.75" customHeight="1">
      <c r="A3894" s="1">
        <v>4164.0</v>
      </c>
      <c r="B3894" s="3" t="s">
        <v>3739</v>
      </c>
      <c r="C3894" s="3" t="str">
        <f>IFERROR(__xludf.DUMMYFUNCTION("GOOGLETRANSLATE(B3894,""id"",""en"")"),"['Network', 'severe', 'signal', 'full', 'slow', 'strange', 'cheat', 'name', 'card', 'abjing', 'name', 'Gara', ' the network is', 'destroyed', 'business',' taik ']")</f>
        <v>['Network', 'severe', 'signal', 'full', 'slow', 'strange', 'cheat', 'name', 'card', 'abjing', 'name', 'Gara', ' the network is', 'destroyed', 'business',' taik ']</v>
      </c>
      <c r="D3894" s="3">
        <v>1.0</v>
      </c>
    </row>
    <row r="3895" ht="15.75" customHeight="1">
      <c r="A3895" s="1">
        <v>4165.0</v>
      </c>
      <c r="B3895" s="3" t="s">
        <v>3740</v>
      </c>
      <c r="C3895" s="3" t="str">
        <f>IFERROR(__xludf.DUMMYFUNCTION("GOOGLETRANSLATE(B3895,""id"",""en"")"),"['card', 'signal', 'rich', 'Maen', 'Goa', 'price', 'package', 'expensive', 'exorbitant', 'signal', 'bilak', 'mending', ' Indosat ',' price ',' cheap ',' signal ',' as bad as', 'card', 'please', 'Benerin', 'signal', 'DABLEG', 'really', 'according to', 'pri"&amp;"ce' ]")</f>
        <v>['card', 'signal', 'rich', 'Maen', 'Goa', 'price', 'package', 'expensive', 'exorbitant', 'signal', 'bilak', 'mending', ' Indosat ',' price ',' cheap ',' signal ',' as bad as', 'card', 'please', 'Benerin', 'signal', 'DABLEG', 'really', 'according to', 'price' ]</v>
      </c>
      <c r="D3895" s="3">
        <v>1.0</v>
      </c>
    </row>
    <row r="3896" ht="15.75" customHeight="1">
      <c r="A3896" s="1">
        <v>4166.0</v>
      </c>
      <c r="B3896" s="3" t="s">
        <v>3741</v>
      </c>
      <c r="C3896" s="3" t="str">
        <f>IFERROR(__xludf.DUMMYFUNCTION("GOOGLETRANSLATE(B3896,""id"",""en"")"),"['Application', 'Update', 'Decline', 'signal', 'Stabilize', '']")</f>
        <v>['Application', 'Update', 'Decline', 'signal', 'Stabilize', '']</v>
      </c>
      <c r="D3896" s="3">
        <v>1.0</v>
      </c>
    </row>
    <row r="3897" ht="15.75" customHeight="1">
      <c r="A3897" s="1">
        <v>4167.0</v>
      </c>
      <c r="B3897" s="3" t="s">
        <v>3742</v>
      </c>
      <c r="C3897" s="3" t="str">
        <f>IFERROR(__xludf.DUMMYFUNCTION("GOOGLETRANSLATE(B3897,""id"",""en"")"),"['expensive', 'Doank', 'Network', 'Dissel', 'PKE', 'Telkomsel', 'Mnding', 'Switch', '']")</f>
        <v>['expensive', 'Doank', 'Network', 'Dissel', 'PKE', 'Telkomsel', 'Mnding', 'Switch', '']</v>
      </c>
      <c r="D3897" s="3">
        <v>1.0</v>
      </c>
    </row>
    <row r="3898" ht="15.75" customHeight="1">
      <c r="A3898" s="1">
        <v>4168.0</v>
      </c>
      <c r="B3898" s="3" t="s">
        <v>3743</v>
      </c>
      <c r="C3898" s="3" t="str">
        <f>IFERROR(__xludf.DUMMYFUNCTION("GOOGLETRANSLATE(B3898,""id"",""en"")"),"['Easy', 'Win']")</f>
        <v>['Easy', 'Win']</v>
      </c>
      <c r="D3898" s="3">
        <v>4.0</v>
      </c>
    </row>
    <row r="3899" ht="15.75" customHeight="1">
      <c r="A3899" s="1">
        <v>4169.0</v>
      </c>
      <c r="B3899" s="3" t="s">
        <v>3744</v>
      </c>
      <c r="C3899" s="3" t="str">
        <f>IFERROR(__xludf.DUMMYFUNCTION("GOOGLETRANSLATE(B3899,""id"",""en"")"),"['Telkomsel', 'open', 'application', 'oldaaaa', 'really', 'repeated', 'times', 'opened', 'and then', 'please', 'repair', ""]")</f>
        <v>['Telkomsel', 'open', 'application', 'oldaaaa', 'really', 'repeated', 'times', 'opened', 'and then', 'please', 'repair', "]</v>
      </c>
      <c r="D3899" s="3">
        <v>3.0</v>
      </c>
    </row>
    <row r="3900" ht="15.75" customHeight="1">
      <c r="A3900" s="1">
        <v>4170.0</v>
      </c>
      <c r="B3900" s="3" t="s">
        <v>3745</v>
      </c>
      <c r="C3900" s="3" t="str">
        <f>IFERROR(__xludf.DUMMYFUNCTION("GOOGLETRANSLATE(B3900,""id"",""en"")"),"['signal', 'tmpt', 'fierce', 'lost', 'direction', '']")</f>
        <v>['signal', 'tmpt', 'fierce', 'lost', 'direction', '']</v>
      </c>
      <c r="D3900" s="3">
        <v>1.0</v>
      </c>
    </row>
    <row r="3901" ht="15.75" customHeight="1">
      <c r="A3901" s="1">
        <v>4171.0</v>
      </c>
      <c r="B3901" s="3" t="s">
        <v>3746</v>
      </c>
      <c r="C3901" s="3" t="str">
        <f>IFERROR(__xludf.DUMMYFUNCTION("GOOGLETRANSLATE(B3901,""id"",""en"")"),"['Service', 'Telkomael', 'satisfying', 'Network', 'Best', 'Wherever', 'Thank you', 'Telkomsel', 'Indonesia']")</f>
        <v>['Service', 'Telkomael', 'satisfying', 'Network', 'Best', 'Wherever', 'Thank you', 'Telkomsel', 'Indonesia']</v>
      </c>
      <c r="D3901" s="3">
        <v>5.0</v>
      </c>
    </row>
    <row r="3902" ht="15.75" customHeight="1">
      <c r="A3902" s="1">
        <v>4172.0</v>
      </c>
      <c r="B3902" s="3" t="s">
        <v>3747</v>
      </c>
      <c r="C3902" s="3" t="str">
        <f>IFERROR(__xludf.DUMMYFUNCTION("GOOGLETRANSLATE(B3902,""id"",""en"")"),"['Telkomsel', 'The network', 'Severe', 'really', 'like', 'missing', '']")</f>
        <v>['Telkomsel', 'The network', 'Severe', 'really', 'like', 'missing', '']</v>
      </c>
      <c r="D3902" s="3">
        <v>1.0</v>
      </c>
    </row>
    <row r="3903" ht="15.75" customHeight="1">
      <c r="A3903" s="1">
        <v>4173.0</v>
      </c>
      <c r="B3903" s="3" t="s">
        <v>3748</v>
      </c>
      <c r="C3903" s="3" t="str">
        <f>IFERROR(__xludf.DUMMYFUNCTION("GOOGLETRANSLATE(B3903,""id"",""en"")"),"['ugly', 'ajah', 'your jargan', 'card', 'expensive', 'network', 'ugly', 'Telkomsel', ""]")</f>
        <v>['ugly', 'ajah', 'your jargan', 'card', 'expensive', 'network', 'ugly', 'Telkomsel', "]</v>
      </c>
      <c r="D3903" s="3">
        <v>1.0</v>
      </c>
    </row>
    <row r="3904" ht="15.75" customHeight="1">
      <c r="A3904" s="1">
        <v>4174.0</v>
      </c>
      <c r="B3904" s="3" t="s">
        <v>3749</v>
      </c>
      <c r="C3904" s="3" t="str">
        <f>IFERROR(__xludf.DUMMYFUNCTION("GOOGLETRANSLATE(B3904,""id"",""en"")"),"['Sometimes', 'signal', 'ilang']")</f>
        <v>['Sometimes', 'signal', 'ilang']</v>
      </c>
      <c r="D3904" s="3">
        <v>4.0</v>
      </c>
    </row>
    <row r="3905" ht="15.75" customHeight="1">
      <c r="A3905" s="1">
        <v>4175.0</v>
      </c>
      <c r="B3905" s="3" t="s">
        <v>3750</v>
      </c>
      <c r="C3905" s="3" t="str">
        <f>IFERROR(__xludf.DUMMYFUNCTION("GOOGLETRANSLATE(B3905,""id"",""en"")"),"['star', '']")</f>
        <v>['star', '']</v>
      </c>
      <c r="D3905" s="3">
        <v>3.0</v>
      </c>
    </row>
    <row r="3906" ht="15.75" customHeight="1">
      <c r="A3906" s="1">
        <v>4176.0</v>
      </c>
      <c r="B3906" s="3" t="s">
        <v>3751</v>
      </c>
      <c r="C3906" s="3" t="str">
        <f>IFERROR(__xludf.DUMMYFUNCTION("GOOGLETRANSLATE(B3906,""id"",""en"")"),"['', 'Telkomsel', 'buy', 'package', 'sosmed', 'scroll', 'tick', 'tok', 'reduced', 'package', 'main', 'hancok', 'package ',' Sosmed ',' Reduced ',' How ',' Tomlol ',' Telkomsel ']")</f>
        <v>['', 'Telkomsel', 'buy', 'package', 'sosmed', 'scroll', 'tick', 'tok', 'reduced', 'package', 'main', 'hancok', 'package ',' Sosmed ',' Reduced ',' How ',' Tomlol ',' Telkomsel ']</v>
      </c>
      <c r="D3906" s="3">
        <v>3.0</v>
      </c>
    </row>
    <row r="3907" ht="15.75" customHeight="1">
      <c r="A3907" s="1">
        <v>4177.0</v>
      </c>
      <c r="B3907" s="3" t="s">
        <v>3752</v>
      </c>
      <c r="C3907" s="3" t="str">
        <f>IFERROR(__xludf.DUMMYFUNCTION("GOOGLETRANSLATE(B3907,""id"",""en"")"),"['Customer', 'disappointed', 'skali', 'service', 'network', 'bad', 'tamiyang', 'kite', 'bartim', 'kalteng']")</f>
        <v>['Customer', 'disappointed', 'skali', 'service', 'network', 'bad', 'tamiyang', 'kite', 'bartim', 'kalteng']</v>
      </c>
      <c r="D3907" s="3">
        <v>1.0</v>
      </c>
    </row>
    <row r="3908" ht="15.75" customHeight="1">
      <c r="A3908" s="1">
        <v>4178.0</v>
      </c>
      <c r="B3908" s="3" t="s">
        <v>3753</v>
      </c>
      <c r="C3908" s="3" t="str">
        <f>IFERROR(__xludf.DUMMYFUNCTION("GOOGLETRANSLATE(B3908,""id"",""en"")"),"['Network', 'Telkomsel', 'Wilaya', 'Kab', 'Kep', 'Sangihe', 'Please', 'repaired', 'Enhanced', 'buy', 'package', 'expensive', ' The network is', 'error', '']")</f>
        <v>['Network', 'Telkomsel', 'Wilaya', 'Kab', 'Kep', 'Sangihe', 'Please', 'repaired', 'Enhanced', 'buy', 'package', 'expensive', ' The network is', 'error', '']</v>
      </c>
      <c r="D3908" s="3">
        <v>2.0</v>
      </c>
    </row>
    <row r="3909" ht="15.75" customHeight="1">
      <c r="A3909" s="1">
        <v>4179.0</v>
      </c>
      <c r="B3909" s="3" t="s">
        <v>3754</v>
      </c>
      <c r="C3909" s="3" t="str">
        <f>IFERROR(__xludf.DUMMYFUNCTION("GOOGLETRANSLATE(B3909,""id"",""en"")"),"['Package', 'card', 'expensive', 'Mahall', 'card', 'mah', 'murahhhhhhhh']")</f>
        <v>['Package', 'card', 'expensive', 'Mahall', 'card', 'mah', 'murahhhhhhhh']</v>
      </c>
      <c r="D3909" s="3">
        <v>1.0</v>
      </c>
    </row>
    <row r="3910" ht="15.75" customHeight="1">
      <c r="A3910" s="1">
        <v>4180.0</v>
      </c>
      <c r="B3910" s="3" t="s">
        <v>3755</v>
      </c>
      <c r="C3910" s="3" t="str">
        <f>IFERROR(__xludf.DUMMYFUNCTION("GOOGLETRANSLATE(B3910,""id"",""en"")"),"['quota', 'maxtream', 'kepake', 'karto', 'hello']")</f>
        <v>['quota', 'maxtream', 'kepake', 'karto', 'hello']</v>
      </c>
      <c r="D3910" s="3">
        <v>3.0</v>
      </c>
    </row>
    <row r="3911" ht="15.75" customHeight="1">
      <c r="A3911" s="1">
        <v>4181.0</v>
      </c>
      <c r="B3911" s="3" t="s">
        <v>3756</v>
      </c>
      <c r="C3911" s="3" t="str">
        <f>IFERROR(__xludf.DUMMYFUNCTION("GOOGLETRANSLATE(B3911,""id"",""en"")"),"['', 'Increases', 'Signal', 'internet', 'Village', 'Kalianget', 'Timur', 'Hamlet', 'Padurekso']")</f>
        <v>['', 'Increases', 'Signal', 'internet', 'Village', 'Kalianget', 'Timur', 'Hamlet', 'Padurekso']</v>
      </c>
      <c r="D3911" s="3">
        <v>5.0</v>
      </c>
    </row>
    <row r="3912" ht="15.75" customHeight="1">
      <c r="A3912" s="1">
        <v>4183.0</v>
      </c>
      <c r="B3912" s="3" t="s">
        <v>3757</v>
      </c>
      <c r="C3912" s="3" t="str">
        <f>IFERROR(__xludf.DUMMYFUNCTION("GOOGLETRANSLATE(B3912,""id"",""en"")"),"['APK', 'good', 'mkasi']")</f>
        <v>['APK', 'good', 'mkasi']</v>
      </c>
      <c r="D3912" s="3">
        <v>5.0</v>
      </c>
    </row>
    <row r="3913" ht="15.75" customHeight="1">
      <c r="A3913" s="1">
        <v>4184.0</v>
      </c>
      <c r="B3913" s="3" t="s">
        <v>3758</v>
      </c>
      <c r="C3913" s="3" t="str">
        <f>IFERROR(__xludf.DUMMYFUNCTION("GOOGLETRANSLATE(B3913,""id"",""en"")"),"['The network', 'severe', 'internet', 'slow', 'night', 'rain', 'internet', 'network', 'in the area', 'Tangerang', 'Sepatan', ' really ',' the network ',' please ',' repaired ']")</f>
        <v>['The network', 'severe', 'internet', 'slow', 'night', 'rain', 'internet', 'network', 'in the area', 'Tangerang', 'Sepatan', ' really ',' the network ',' please ',' repaired ']</v>
      </c>
      <c r="D3913" s="3">
        <v>1.0</v>
      </c>
    </row>
    <row r="3914" ht="15.75" customHeight="1">
      <c r="A3914" s="1">
        <v>4185.0</v>
      </c>
      <c r="B3914" s="3" t="s">
        <v>3759</v>
      </c>
      <c r="C3914" s="3" t="str">
        <f>IFERROR(__xludf.DUMMYFUNCTION("GOOGLETRANSLATE(B3914,""id"",""en"")"),"['Speed', 'signal', 'worth', 'price', 'expensive', 'disappointed']")</f>
        <v>['Speed', 'signal', 'worth', 'price', 'expensive', 'disappointed']</v>
      </c>
      <c r="D3914" s="3">
        <v>1.0</v>
      </c>
    </row>
    <row r="3915" ht="15.75" customHeight="1">
      <c r="A3915" s="1">
        <v>4186.0</v>
      </c>
      <c r="B3915" s="3" t="s">
        <v>3760</v>
      </c>
      <c r="C3915" s="3" t="str">
        <f>IFERROR(__xludf.DUMMYFUNCTION("GOOGLETRANSLATE(B3915,""id"",""en"")"),"['upgrade', 'card', 'car', 'mobile', 'Telkomsel', 'RB', 'upgrade', 'number', 'only', 'grapari', 'pay', 'rb', ' The quota ',' ']")</f>
        <v>['upgrade', 'card', 'car', 'mobile', 'Telkomsel', 'RB', 'upgrade', 'number', 'only', 'grapari', 'pay', 'rb', ' The quota ',' ']</v>
      </c>
      <c r="D3915" s="3">
        <v>2.0</v>
      </c>
    </row>
    <row r="3916" ht="15.75" customHeight="1">
      <c r="A3916" s="1">
        <v>4187.0</v>
      </c>
      <c r="B3916" s="3" t="s">
        <v>3761</v>
      </c>
      <c r="C3916" s="3" t="str">
        <f>IFERROR(__xludf.DUMMYFUNCTION("GOOGLETRANSLATE(B3916,""id"",""en"")"),"['min', 'gpp', 'min', 'ngeeleg', 'gpp', 'until', 'head', 'cave', 'dizzy', 'gara', 'gara', 'signal', ' strange ',' change ',' network ',' tsel ',' down ',' hmmmm ',' let ',' wait ']")</f>
        <v>['min', 'gpp', 'min', 'ngeeleg', 'gpp', 'until', 'head', 'cave', 'dizzy', 'gara', 'gara', 'signal', ' strange ',' change ',' network ',' tsel ',' down ',' hmmmm ',' let ',' wait ']</v>
      </c>
      <c r="D3916" s="3">
        <v>1.0</v>
      </c>
    </row>
    <row r="3917" ht="15.75" customHeight="1">
      <c r="A3917" s="1">
        <v>4188.0</v>
      </c>
      <c r="B3917" s="3" t="s">
        <v>3762</v>
      </c>
      <c r="C3917" s="3" t="str">
        <f>IFERROR(__xludf.DUMMYFUNCTION("GOOGLETRANSLATE(B3917,""id"",""en"")"),"['Disappointed', 'Quality', 'Network', 'Telkomsel', 'Apalgi', 'Play', 'Game', 'Please', 'As fast', 'Fix']")</f>
        <v>['Disappointed', 'Quality', 'Network', 'Telkomsel', 'Apalgi', 'Play', 'Game', 'Please', 'As fast', 'Fix']</v>
      </c>
      <c r="D3917" s="3">
        <v>1.0</v>
      </c>
    </row>
    <row r="3918" ht="15.75" customHeight="1">
      <c r="A3918" s="1">
        <v>4189.0</v>
      </c>
      <c r="B3918" s="3" t="s">
        <v>3763</v>
      </c>
      <c r="C3918" s="3" t="str">
        <f>IFERROR(__xludf.DUMMYFUNCTION("GOOGLETRANSLATE(B3918,""id"",""en"")"),"['Mereedem', 'Point', 'FAIL', '']")</f>
        <v>['Mereedem', 'Point', 'FAIL', '']</v>
      </c>
      <c r="D3918" s="3">
        <v>1.0</v>
      </c>
    </row>
    <row r="3919" ht="15.75" customHeight="1">
      <c r="A3919" s="1">
        <v>4190.0</v>
      </c>
      <c r="B3919" s="3" t="s">
        <v>3764</v>
      </c>
      <c r="C3919" s="3" t="str">
        <f>IFERROR(__xludf.DUMMYFUNCTION("GOOGLETRANSLATE(B3919,""id"",""en"")"),"['signal', 'area', 'Singaparna', 'ugly', 'yesterday', 'mah', 'good', 'the rest', 'mah', 'good']")</f>
        <v>['signal', 'area', 'Singaparna', 'ugly', 'yesterday', 'mah', 'good', 'the rest', 'mah', 'good']</v>
      </c>
      <c r="D3919" s="3">
        <v>5.0</v>
      </c>
    </row>
    <row r="3920" ht="15.75" customHeight="1">
      <c r="A3920" s="1">
        <v>4191.0</v>
      </c>
      <c r="B3920" s="3" t="s">
        <v>3765</v>
      </c>
      <c r="C3920" s="3" t="str">
        <f>IFERROR(__xludf.DUMMYFUNCTION("GOOGLETRANSLATE(B3920,""id"",""en"")"),"['Service', 'good', 'easy', '']")</f>
        <v>['Service', 'good', 'easy', '']</v>
      </c>
      <c r="D3920" s="3">
        <v>5.0</v>
      </c>
    </row>
    <row r="3921" ht="15.75" customHeight="1">
      <c r="A3921" s="1">
        <v>4192.0</v>
      </c>
      <c r="B3921" s="3" t="s">
        <v>3766</v>
      </c>
      <c r="C3921" s="3" t="str">
        <f>IFERROR(__xludf.DUMMYFUNCTION("GOOGLETRANSLATE(B3921,""id"",""en"")"),"['night', 'disorder', 'fix', 'napa', 'restart', 'mulu', '']")</f>
        <v>['night', 'disorder', 'fix', 'napa', 'restart', 'mulu', '']</v>
      </c>
      <c r="D3921" s="3">
        <v>1.0</v>
      </c>
    </row>
    <row r="3922" ht="15.75" customHeight="1">
      <c r="A3922" s="1">
        <v>4193.0</v>
      </c>
      <c r="B3922" s="3" t="s">
        <v>3767</v>
      </c>
      <c r="C3922" s="3" t="str">
        <f>IFERROR(__xludf.DUMMYFUNCTION("GOOGLETRANSLATE(B3922,""id"",""en"")"),"['Please', 'Benerin', 'Signal', 'Quota', 'Ngelag', ""]")</f>
        <v>['Please', 'Benerin', 'Signal', 'Quota', 'Ngelag', "]</v>
      </c>
      <c r="D3922" s="3">
        <v>2.0</v>
      </c>
    </row>
    <row r="3923" ht="15.75" customHeight="1">
      <c r="A3923" s="1">
        <v>4194.0</v>
      </c>
      <c r="B3923" s="3" t="s">
        <v>3768</v>
      </c>
      <c r="C3923" s="3" t="str">
        <f>IFERROR(__xludf.DUMMYFUNCTION("GOOGLETRANSLATE(B3923,""id"",""en"")"),"['What', 'love', 'star', 'open', 'apk', 'heavy', 'really', 'oa', 'like', 'logo', 'dlu', 'rather than']")</f>
        <v>['What', 'love', 'star', 'open', 'apk', 'heavy', 'really', 'oa', 'like', 'logo', 'dlu', 'rather than']</v>
      </c>
      <c r="D3923" s="3">
        <v>1.0</v>
      </c>
    </row>
    <row r="3924" ht="15.75" customHeight="1">
      <c r="A3924" s="1">
        <v>4195.0</v>
      </c>
      <c r="B3924" s="3" t="s">
        <v>3769</v>
      </c>
      <c r="C3924" s="3" t="str">
        <f>IFERROR(__xludf.DUMMYFUNCTION("GOOGLETRANSLATE(B3924,""id"",""en"")"),"['Good', 'convenience', 'buy', 'pulse', 'data', '']")</f>
        <v>['Good', 'convenience', 'buy', 'pulse', 'data', '']</v>
      </c>
      <c r="D3924" s="3">
        <v>5.0</v>
      </c>
    </row>
    <row r="3925" ht="15.75" customHeight="1">
      <c r="A3925" s="1">
        <v>4196.0</v>
      </c>
      <c r="B3925" s="3" t="s">
        <v>3770</v>
      </c>
      <c r="C3925" s="3" t="str">
        <f>IFERROR(__xludf.DUMMYFUNCTION("GOOGLETRANSLATE(B3925,""id"",""en"")"),"['Prizes', 'mantuuul']")</f>
        <v>['Prizes', 'mantuuul']</v>
      </c>
      <c r="D3925" s="3">
        <v>5.0</v>
      </c>
    </row>
    <row r="3926" ht="15.75" customHeight="1">
      <c r="A3926" s="1">
        <v>4198.0</v>
      </c>
      <c r="B3926" s="3" t="s">
        <v>3771</v>
      </c>
      <c r="C3926" s="3" t="str">
        <f>IFERROR(__xludf.DUMMYFUNCTION("GOOGLETRANSLATE(B3926,""id"",""en"")"),"['disturbance']")</f>
        <v>['disturbance']</v>
      </c>
      <c r="D3926" s="3">
        <v>5.0</v>
      </c>
    </row>
    <row r="3927" ht="15.75" customHeight="1">
      <c r="A3927" s="1">
        <v>4199.0</v>
      </c>
      <c r="B3927" s="3" t="s">
        <v>1344</v>
      </c>
      <c r="C3927" s="3" t="str">
        <f>IFERROR(__xludf.DUMMYFUNCTION("GOOGLETRANSLATE(B3927,""id"",""en"")"),"['Good', 'application']")</f>
        <v>['Good', 'application']</v>
      </c>
      <c r="D3927" s="3">
        <v>5.0</v>
      </c>
    </row>
    <row r="3928" ht="15.75" customHeight="1">
      <c r="A3928" s="1">
        <v>4200.0</v>
      </c>
      <c r="B3928" s="3" t="s">
        <v>3772</v>
      </c>
      <c r="C3928" s="3" t="str">
        <f>IFERROR(__xludf.DUMMYFUNCTION("GOOGLETRANSLATE(B3928,""id"",""en"")"),"['Jaringqn', 'Data', 'Stable', 'Area', 'Malangbong', 'Garut']")</f>
        <v>['Jaringqn', 'Data', 'Stable', 'Area', 'Malangbong', 'Garut']</v>
      </c>
      <c r="D3928" s="3">
        <v>4.0</v>
      </c>
    </row>
    <row r="3929" ht="15.75" customHeight="1">
      <c r="A3929" s="1">
        <v>4201.0</v>
      </c>
      <c r="B3929" s="3" t="s">
        <v>3773</v>
      </c>
      <c r="C3929" s="3" t="str">
        <f>IFERROR(__xludf.DUMMYFUNCTION("GOOGLETRANSLATE(B3929,""id"",""en"")"),"['thank', 'love', 'enjoy', 'convenience', 'mercy', 'buy', 'package', 'internet', 'enjoy', 'features',' Daily ',' check ',' ']")</f>
        <v>['thank', 'love', 'enjoy', 'convenience', 'mercy', 'buy', 'package', 'internet', 'enjoy', 'features',' Daily ',' check ',' ']</v>
      </c>
      <c r="D3929" s="3">
        <v>4.0</v>
      </c>
    </row>
    <row r="3930" ht="15.75" customHeight="1">
      <c r="A3930" s="1">
        <v>4202.0</v>
      </c>
      <c r="B3930" s="3" t="s">
        <v>3774</v>
      </c>
      <c r="C3930" s="3" t="str">
        <f>IFERROR(__xludf.DUMMYFUNCTION("GOOGLETRANSLATE(B3930,""id"",""en"")"),"['promotion', 'sympathy', 'awaited']")</f>
        <v>['promotion', 'sympathy', 'awaited']</v>
      </c>
      <c r="D3930" s="3">
        <v>5.0</v>
      </c>
    </row>
    <row r="3931" ht="15.75" customHeight="1">
      <c r="A3931" s="1">
        <v>4203.0</v>
      </c>
      <c r="B3931" s="3" t="s">
        <v>3775</v>
      </c>
      <c r="C3931" s="3" t="str">
        <f>IFERROR(__xludf.DUMMYFUNCTION("GOOGLETRANSLATE(B3931,""id"",""en"")"),"['Telkomsel', 'Severe', 'Network', 'Kuta', 'Mahalin', 'Lemoooooooooooot', 'Quality', 'really', ""]")</f>
        <v>['Telkomsel', 'Severe', 'Network', 'Kuta', 'Mahalin', 'Lemoooooooooooot', 'Quality', 'really', "]</v>
      </c>
      <c r="D3931" s="3">
        <v>1.0</v>
      </c>
    </row>
    <row r="3932" ht="15.75" customHeight="1">
      <c r="A3932" s="1">
        <v>4205.0</v>
      </c>
      <c r="B3932" s="3" t="s">
        <v>3776</v>
      </c>
      <c r="C3932" s="3" t="str">
        <f>IFERROR(__xludf.DUMMYFUNCTION("GOOGLETRANSLATE(B3932,""id"",""en"")"),"['Woy', 'bdh', 'buy', 'GB', 'NgeChat', 'GB', '']")</f>
        <v>['Woy', 'bdh', 'buy', 'GB', 'NgeChat', 'GB', '']</v>
      </c>
      <c r="D3932" s="3">
        <v>4.0</v>
      </c>
    </row>
    <row r="3933" ht="15.75" customHeight="1">
      <c r="A3933" s="1">
        <v>4206.0</v>
      </c>
      <c r="B3933" s="3" t="s">
        <v>3777</v>
      </c>
      <c r="C3933" s="3" t="str">
        <f>IFERROR(__xludf.DUMMYFUNCTION("GOOGLETRANSLATE(B3933,""id"",""en"")"),"['All', 'Mudaha', 'users', 'Telkomsel']")</f>
        <v>['All', 'Mudaha', 'users', 'Telkomsel']</v>
      </c>
      <c r="D3933" s="3">
        <v>5.0</v>
      </c>
    </row>
    <row r="3934" ht="15.75" customHeight="1">
      <c r="A3934" s="1">
        <v>4207.0</v>
      </c>
      <c r="B3934" s="3" t="s">
        <v>3778</v>
      </c>
      <c r="C3934" s="3" t="str">
        <f>IFERROR(__xludf.DUMMYFUNCTION("GOOGLETRANSLATE(B3934,""id"",""en"")"),"['buy', 'package', 'data', 'connection', 'slow', 'severe', 'gini', 'browsing', 'loading', 'internet', 'fast', 'telkomnet', ' instant ',' past ']")</f>
        <v>['buy', 'package', 'data', 'connection', 'slow', 'severe', 'gini', 'browsing', 'loading', 'internet', 'fast', 'telkomnet', ' instant ',' past ']</v>
      </c>
      <c r="D3934" s="3">
        <v>1.0</v>
      </c>
    </row>
    <row r="3935" ht="15.75" customHeight="1">
      <c r="A3935" s="1">
        <v>4208.0</v>
      </c>
      <c r="B3935" s="3" t="s">
        <v>3779</v>
      </c>
      <c r="C3935" s="3" t="str">
        <f>IFERROR(__xludf.DUMMYFUNCTION("GOOGLETRANSLATE(B3935,""id"",""en"")"),"['Hopefully', 'Helpful', 'Profitable', 'Min']")</f>
        <v>['Hopefully', 'Helpful', 'Profitable', 'Min']</v>
      </c>
      <c r="D3935" s="3">
        <v>5.0</v>
      </c>
    </row>
    <row r="3936" ht="15.75" customHeight="1">
      <c r="A3936" s="1">
        <v>4209.0</v>
      </c>
      <c r="B3936" s="3" t="s">
        <v>3780</v>
      </c>
      <c r="C3936" s="3" t="str">
        <f>IFERROR(__xludf.DUMMYFUNCTION("GOOGLETRANSLATE(B3936,""id"",""en"")"),"['Try', 'Good', 'Love', 'Full', 'Star']")</f>
        <v>['Try', 'Good', 'Love', 'Full', 'Star']</v>
      </c>
      <c r="D3936" s="3">
        <v>2.0</v>
      </c>
    </row>
    <row r="3937" ht="15.75" customHeight="1">
      <c r="A3937" s="1">
        <v>4210.0</v>
      </c>
      <c r="B3937" s="3" t="s">
        <v>3781</v>
      </c>
      <c r="C3937" s="3" t="str">
        <f>IFERROR(__xludf.DUMMYFUNCTION("GOOGLETRANSLATE(B3937,""id"",""en"")"),"['Telkomsel', 'smooth', 'communication']")</f>
        <v>['Telkomsel', 'smooth', 'communication']</v>
      </c>
      <c r="D3937" s="3">
        <v>5.0</v>
      </c>
    </row>
    <row r="3938" ht="15.75" customHeight="1">
      <c r="A3938" s="1">
        <v>4211.0</v>
      </c>
      <c r="B3938" s="3" t="s">
        <v>3782</v>
      </c>
      <c r="C3938" s="3" t="str">
        <f>IFERROR(__xludf.DUMMYFUNCTION("GOOGLETRANSLATE(B3938,""id"",""en"")"),"['network', 'broad', 'quality', 'network', 'bad']")</f>
        <v>['network', 'broad', 'quality', 'network', 'bad']</v>
      </c>
      <c r="D3938" s="3">
        <v>1.0</v>
      </c>
    </row>
    <row r="3939" ht="15.75" customHeight="1">
      <c r="A3939" s="1">
        <v>4212.0</v>
      </c>
      <c r="B3939" s="3" t="s">
        <v>3783</v>
      </c>
      <c r="C3939" s="3" t="str">
        <f>IFERROR(__xludf.DUMMYFUNCTION("GOOGLETRANSLATE(B3939,""id"",""en"")"),"['Trmksih', 'Telkomsel', 'krena', 'good', 'love', 'star', '']")</f>
        <v>['Trmksih', 'Telkomsel', 'krena', 'good', 'love', 'star', '']</v>
      </c>
      <c r="D3939" s="3">
        <v>5.0</v>
      </c>
    </row>
    <row r="3940" ht="15.75" customHeight="1">
      <c r="A3940" s="1">
        <v>4213.0</v>
      </c>
      <c r="B3940" s="3" t="s">
        <v>3784</v>
      </c>
      <c r="C3940" s="3" t="str">
        <f>IFERROR(__xludf.DUMMYFUNCTION("GOOGLETRANSLATE(B3940,""id"",""en"")"),"['Network', 'price', 'expensive', 'quality', 'not', 'good']")</f>
        <v>['Network', 'price', 'expensive', 'quality', 'not', 'good']</v>
      </c>
      <c r="D3940" s="3">
        <v>3.0</v>
      </c>
    </row>
    <row r="3941" ht="15.75" customHeight="1">
      <c r="A3941" s="1">
        <v>4214.0</v>
      </c>
      <c r="B3941" s="3" t="s">
        <v>3785</v>
      </c>
      <c r="C3941" s="3" t="str">
        <f>IFERROR(__xludf.DUMMYFUNCTION("GOOGLETRANSLATE(B3941,""id"",""en"")"),"['Network', 'Worst', 'History', 'World', 'Internet', 'Price', 'Expensive', 'Network', 'Leet', 'Severe', ""]")</f>
        <v>['Network', 'Worst', 'History', 'World', 'Internet', 'Price', 'Expensive', 'Network', 'Leet', 'Severe', "]</v>
      </c>
      <c r="D3941" s="3">
        <v>1.0</v>
      </c>
    </row>
    <row r="3942" ht="15.75" customHeight="1">
      <c r="A3942" s="1">
        <v>4215.0</v>
      </c>
      <c r="B3942" s="3" t="s">
        <v>3786</v>
      </c>
      <c r="C3942" s="3" t="str">
        <f>IFERROR(__xludf.DUMMYFUNCTION("GOOGLETRANSLATE(B3942,""id"",""en"")"),"['Cheap', 'Simple']")</f>
        <v>['Cheap', 'Simple']</v>
      </c>
      <c r="D3942" s="3">
        <v>5.0</v>
      </c>
    </row>
    <row r="3943" ht="15.75" customHeight="1">
      <c r="A3943" s="1">
        <v>4216.0</v>
      </c>
      <c r="B3943" s="3" t="s">
        <v>3787</v>
      </c>
      <c r="C3943" s="3" t="str">
        <f>IFERROR(__xludf.DUMMYFUNCTION("GOOGLETRANSLATE(B3943,""id"",""en"")"),"['Tikkomsel', 'Sya', 'easy', 'buy', 'quota', 'trimakasi', 'Telkomsel']")</f>
        <v>['Tikkomsel', 'Sya', 'easy', 'buy', 'quota', 'trimakasi', 'Telkomsel']</v>
      </c>
      <c r="D3943" s="3">
        <v>5.0</v>
      </c>
    </row>
    <row r="3944" ht="15.75" customHeight="1">
      <c r="A3944" s="1">
        <v>4217.0</v>
      </c>
      <c r="B3944" s="3" t="s">
        <v>3788</v>
      </c>
      <c r="C3944" s="3" t="str">
        <f>IFERROR(__xludf.DUMMYFUNCTION("GOOGLETRANSLATE(B3944,""id"",""en"")"),"['dead', 'lights',' signal ',' missing ',' Telkomsel ',' already ',' package ',' expensive ',' dead ',' lights', 'signal', 'missing', ' What ',' obstacles', 'please']")</f>
        <v>['dead', 'lights',' signal ',' missing ',' Telkomsel ',' already ',' package ',' expensive ',' dead ',' lights', 'signal', 'missing', ' What ',' obstacles', 'please']</v>
      </c>
      <c r="D3944" s="3">
        <v>1.0</v>
      </c>
    </row>
    <row r="3945" ht="15.75" customHeight="1">
      <c r="A3945" s="1">
        <v>4218.0</v>
      </c>
      <c r="B3945" s="3" t="s">
        <v>3789</v>
      </c>
      <c r="C3945" s="3" t="str">
        <f>IFERROR(__xludf.DUMMYFUNCTION("GOOGLETRANSLATE(B3945,""id"",""en"")"),"['signal', 'continuous', 'error']")</f>
        <v>['signal', 'continuous', 'error']</v>
      </c>
      <c r="D3945" s="3">
        <v>1.0</v>
      </c>
    </row>
    <row r="3946" ht="15.75" customHeight="1">
      <c r="A3946" s="1">
        <v>4219.0</v>
      </c>
      <c r="B3946" s="3" t="s">
        <v>3790</v>
      </c>
      <c r="C3946" s="3" t="str">
        <f>IFERROR(__xludf.DUMMYFUNCTION("GOOGLETRANSLATE(B3946,""id"",""en"")"),"['Please', 'Hold', 'Features', 'Credit', 'Safe', 'Quota', 'Out', 'Credit', 'No "",' Direct ',' Cut ',' Already ',' buy ',' daily ',' price ',' one thousand ',' right ',' already ',' run out ',' direct ',' cheek ',' rb ',' fast ',' fast ',' Matiin ' , 'Dat"&amp;"a', '']")</f>
        <v>['Please', 'Hold', 'Features', 'Credit', 'Safe', 'Quota', 'Out', 'Credit', 'No ",' Direct ',' Cut ',' Already ',' buy ',' daily ',' price ',' one thousand ',' right ',' already ',' run out ',' direct ',' cheek ',' rb ',' fast ',' fast ',' Matiin ' , 'Data', '']</v>
      </c>
      <c r="D3946" s="3">
        <v>3.0</v>
      </c>
    </row>
    <row r="3947" ht="15.75" customHeight="1">
      <c r="A3947" s="1">
        <v>4220.0</v>
      </c>
      <c r="B3947" s="3" t="s">
        <v>3791</v>
      </c>
      <c r="C3947" s="3" t="str">
        <f>IFERROR(__xludf.DUMMYFUNCTION("GOOGLETRANSLATE(B3947,""id"",""en"")"),"['Assalamualaikum', 'bang', 'please', 'kah', 'mabar', 'yanti', 'network', 'faster', 'area', 'kalteng', 'cross',' karaya ',' IKM ',' That's', 'Bang', 'Thank you']")</f>
        <v>['Assalamualaikum', 'bang', 'please', 'kah', 'mabar', 'yanti', 'network', 'faster', 'area', 'kalteng', 'cross',' karaya ',' IKM ',' That's', 'Bang', 'Thank you']</v>
      </c>
      <c r="D3947" s="3">
        <v>1.0</v>
      </c>
    </row>
    <row r="3948" ht="15.75" customHeight="1">
      <c r="A3948" s="1">
        <v>4221.0</v>
      </c>
      <c r="B3948" s="3" t="s">
        <v>3792</v>
      </c>
      <c r="C3948" s="3" t="str">
        <f>IFERROR(__xludf.DUMMYFUNCTION("GOOGLETRANSLATE(B3948,""id"",""en"")"),"['News', 'Story', 'Stay', 'Open', '']")</f>
        <v>['News', 'Story', 'Stay', 'Open', '']</v>
      </c>
      <c r="D3948" s="3">
        <v>4.0</v>
      </c>
    </row>
    <row r="3949" ht="15.75" customHeight="1">
      <c r="A3949" s="1">
        <v>4222.0</v>
      </c>
      <c r="B3949" s="3" t="s">
        <v>3793</v>
      </c>
      <c r="C3949" s="3" t="str">
        <f>IFERROR(__xludf.DUMMYFUNCTION("GOOGLETRANSLATE(B3949,""id"",""en"")"),"['Good', 'Restore', 'Customer', 'Service', 'Delicious', 'Invite', 'Talk']")</f>
        <v>['Good', 'Restore', 'Customer', 'Service', 'Delicious', 'Invite', 'Talk']</v>
      </c>
      <c r="D3949" s="3">
        <v>5.0</v>
      </c>
    </row>
    <row r="3950" ht="15.75" customHeight="1">
      <c r="A3950" s="1">
        <v>4223.0</v>
      </c>
      <c r="B3950" s="3" t="s">
        <v>3794</v>
      </c>
      <c r="C3950" s="3" t="str">
        <f>IFERROR(__xludf.DUMMYFUNCTION("GOOGLETRANSLATE(B3950,""id"",""en"")"),"['Buy', 'expensive', 'ngelaggg']")</f>
        <v>['Buy', 'expensive', 'ngelaggg']</v>
      </c>
      <c r="D3950" s="3">
        <v>1.0</v>
      </c>
    </row>
    <row r="3951" ht="15.75" customHeight="1">
      <c r="A3951" s="1">
        <v>4224.0</v>
      </c>
      <c r="B3951" s="3" t="s">
        <v>3795</v>
      </c>
      <c r="C3951" s="3" t="str">
        <f>IFERROR(__xludf.DUMMYFUNCTION("GOOGLETRANSLATE(B3951,""id"",""en"")"),"['Credit', 'buy', 'App', 'Telkomsel', 'Sampe', 'seconds',' BLM ',' entered ',' Yesterday ',' Morning ',' service ',' ugly ',' really ',' checks', 'natural', 'told', 'Tgg', 'hours',' ehh ',' changed ',' consistent ',' really ',' disappointed ',' really ','"&amp;" deh ' , 'app', 'Telkomsel', 'Telkomsel', 'guys', 'error', 'slow', 'service', 'ugly', 'really', 'becus', 'work', ""]")</f>
        <v>['Credit', 'buy', 'App', 'Telkomsel', 'Sampe', 'seconds',' BLM ',' entered ',' Yesterday ',' Morning ',' service ',' ugly ',' really ',' checks', 'natural', 'told', 'Tgg', 'hours',' ehh ',' changed ',' consistent ',' really ',' disappointed ',' really ',' deh ' , 'app', 'Telkomsel', 'Telkomsel', 'guys', 'error', 'slow', 'service', 'ugly', 'really', 'becus', 'work', "]</v>
      </c>
      <c r="D3951" s="3">
        <v>1.0</v>
      </c>
    </row>
    <row r="3952" ht="15.75" customHeight="1">
      <c r="A3952" s="1">
        <v>4225.0</v>
      </c>
      <c r="B3952" s="3" t="s">
        <v>3796</v>
      </c>
      <c r="C3952" s="3" t="str">
        <f>IFERROR(__xludf.DUMMYFUNCTION("GOOGLETRANSLATE(B3952,""id"",""en"")"),"['Good', 'Bangeeet']")</f>
        <v>['Good', 'Bangeeet']</v>
      </c>
      <c r="D3952" s="3">
        <v>5.0</v>
      </c>
    </row>
    <row r="3953" ht="15.75" customHeight="1">
      <c r="A3953" s="1">
        <v>4226.0</v>
      </c>
      <c r="B3953" s="3" t="s">
        <v>3797</v>
      </c>
      <c r="C3953" s="3" t="str">
        <f>IFERROR(__xludf.DUMMYFUNCTION("GOOGLETRANSLATE(B3953,""id"",""en"")"),"['Use', 'Package', 'Multimedia', 'Media', 'Buffering', 'Main', 'Game', 'Asuu', 'Provider']")</f>
        <v>['Use', 'Package', 'Multimedia', 'Media', 'Buffering', 'Main', 'Game', 'Asuu', 'Provider']</v>
      </c>
      <c r="D3953" s="3">
        <v>1.0</v>
      </c>
    </row>
    <row r="3954" ht="15.75" customHeight="1">
      <c r="A3954" s="1">
        <v>4227.0</v>
      </c>
      <c r="B3954" s="3" t="s">
        <v>3798</v>
      </c>
      <c r="C3954" s="3" t="str">
        <f>IFERROR(__xludf.DUMMYFUNCTION("GOOGLETRANSLATE(B3954,""id"",""en"")"),"['Signal', 'Telkomsel', 'Lemott', 'Kaliiiii', 'Maen', 'Game', 'Online', 'Lemott', 'FAST', 'Benerinn', 'Sinyal', 'Cash', ' Please, 'Benerin', 'account', 'Lahh', '']")</f>
        <v>['Signal', 'Telkomsel', 'Lemott', 'Kaliiiii', 'Maen', 'Game', 'Online', 'Lemott', 'FAST', 'Benerinn', 'Sinyal', 'Cash', ' Please, 'Benerin', 'account', 'Lahh', '']</v>
      </c>
      <c r="D3954" s="3">
        <v>1.0</v>
      </c>
    </row>
    <row r="3955" ht="15.75" customHeight="1">
      <c r="A3955" s="1">
        <v>4228.0</v>
      </c>
      <c r="B3955" s="3" t="s">
        <v>3799</v>
      </c>
      <c r="C3955" s="3" t="str">
        <f>IFERROR(__xludf.DUMMYFUNCTION("GOOGLETRANSLATE(B3955,""id"",""en"")"),"['signal', 'Telkomsel', 'lost', 'broke', 'connect', 'just', 'price', 'package', 'expensive', 'try', 'please', 'repaired', ' The service is']")</f>
        <v>['signal', 'Telkomsel', 'lost', 'broke', 'connect', 'just', 'price', 'package', 'expensive', 'try', 'please', 'repaired', ' The service is']</v>
      </c>
      <c r="D3955" s="3">
        <v>2.0</v>
      </c>
    </row>
    <row r="3956" ht="15.75" customHeight="1">
      <c r="A3956" s="1">
        <v>4229.0</v>
      </c>
      <c r="B3956" s="3" t="s">
        <v>3800</v>
      </c>
      <c r="C3956" s="3" t="str">
        <f>IFERROR(__xludf.DUMMYFUNCTION("GOOGLETRANSLATE(B3956,""id"",""en"")"),"['Want', 'Kubanting', 'Gara', 'Gara', 'Network', 'Internet', 'Lemot', 'Snail', ""]")</f>
        <v>['Want', 'Kubanting', 'Gara', 'Gara', 'Network', 'Internet', 'Lemot', 'Snail', "]</v>
      </c>
      <c r="D3956" s="3">
        <v>1.0</v>
      </c>
    </row>
    <row r="3957" ht="15.75" customHeight="1">
      <c r="A3957" s="1">
        <v>4230.0</v>
      </c>
      <c r="B3957" s="3" t="s">
        <v>3801</v>
      </c>
      <c r="C3957" s="3" t="str">
        <f>IFERROR(__xludf.DUMMYFUNCTION("GOOGLETRANSLATE(B3957,""id"",""en"")"),"['Assalamualaikum', 'Telkomsel', 'spirit', 'Werkudoro']")</f>
        <v>['Assalamualaikum', 'Telkomsel', 'spirit', 'Werkudoro']</v>
      </c>
      <c r="D3957" s="3">
        <v>5.0</v>
      </c>
    </row>
    <row r="3958" ht="15.75" customHeight="1">
      <c r="A3958" s="1">
        <v>4231.0</v>
      </c>
      <c r="B3958" s="3" t="s">
        <v>3802</v>
      </c>
      <c r="C3958" s="3" t="str">
        <f>IFERROR(__xludf.DUMMYFUNCTION("GOOGLETRANSLATE(B3958,""id"",""en"")"),"['card', 'expensive', 'quota', 'RbU', 'GB', 'RbU', 'pdhal', 'network', 'telkomsel', 'ngk', 'good', 'already', ' network ',' NGK ',' good ',' quota ',' internet ',' expensive ',' expensive ',' please ',' pay attention ',' klw ',' take ',' benefit ',' jngan"&amp;" ' , 'You', 'dies', 'people', 'Indonesia', ""]")</f>
        <v>['card', 'expensive', 'quota', 'RbU', 'GB', 'RbU', 'pdhal', 'network', 'telkomsel', 'ngk', 'good', 'already', ' network ',' NGK ',' good ',' quota ',' internet ',' expensive ',' expensive ',' please ',' pay attention ',' klw ',' take ',' benefit ',' jngan ' , 'You', 'dies', 'people', 'Indonesia', "]</v>
      </c>
      <c r="D3958" s="3">
        <v>1.0</v>
      </c>
    </row>
    <row r="3959" ht="15.75" customHeight="1">
      <c r="A3959" s="1">
        <v>4232.0</v>
      </c>
      <c r="B3959" s="3" t="s">
        <v>3803</v>
      </c>
      <c r="C3959" s="3" t="str">
        <f>IFERROR(__xludf.DUMMYFUNCTION("GOOGLETRANSLATE(B3959,""id"",""en"")"),"['quota', 'local']")</f>
        <v>['quota', 'local']</v>
      </c>
      <c r="D3959" s="3">
        <v>3.0</v>
      </c>
    </row>
    <row r="3960" ht="15.75" customHeight="1">
      <c r="A3960" s="1">
        <v>4233.0</v>
      </c>
      <c r="B3960" s="3" t="s">
        <v>3804</v>
      </c>
      <c r="C3960" s="3" t="str">
        <f>IFERROR(__xludf.DUMMYFUNCTION("GOOGLETRANSLATE(B3960,""id"",""en"")"),"['APK', 'NGK', 'PAKEK', 'RIBET', 'CEX', 'PACKAGE', 'MANTAP']")</f>
        <v>['APK', 'NGK', 'PAKEK', 'RIBET', 'CEX', 'PACKAGE', 'MANTAP']</v>
      </c>
      <c r="D3960" s="3">
        <v>5.0</v>
      </c>
    </row>
    <row r="3961" ht="15.75" customHeight="1">
      <c r="A3961" s="1">
        <v>4234.0</v>
      </c>
      <c r="B3961" s="3" t="s">
        <v>3805</v>
      </c>
      <c r="C3961" s="3" t="str">
        <f>IFERROR(__xludf.DUMMYFUNCTION("GOOGLETRANSLATE(B3961,""id"",""en"")"),"['Disappointed', 'Jaringn', 'Telkomsel', 'Sekaran', 'Udh', 'Expensive', 'Buy', 'Kuata', 'qualic', ""]")</f>
        <v>['Disappointed', 'Jaringn', 'Telkomsel', 'Sekaran', 'Udh', 'Expensive', 'Buy', 'Kuata', 'qualic', "]</v>
      </c>
      <c r="D3961" s="3">
        <v>1.0</v>
      </c>
    </row>
    <row r="3962" ht="15.75" customHeight="1">
      <c r="A3962" s="1">
        <v>4236.0</v>
      </c>
      <c r="B3962" s="3" t="s">
        <v>3806</v>
      </c>
      <c r="C3962" s="3" t="str">
        <f>IFERROR(__xludf.DUMMYFUNCTION("GOOGLETRANSLATE(B3962,""id"",""en"")"),"['buy', 'package', 'expensive', 'signal', 'Seamkin', '']")</f>
        <v>['buy', 'package', 'expensive', 'signal', 'Seamkin', '']</v>
      </c>
      <c r="D3962" s="3">
        <v>1.0</v>
      </c>
    </row>
    <row r="3963" ht="15.75" customHeight="1">
      <c r="A3963" s="1">
        <v>4237.0</v>
      </c>
      <c r="B3963" s="3" t="s">
        <v>3807</v>
      </c>
      <c r="C3963" s="3" t="str">
        <f>IFERROR(__xludf.DUMMYFUNCTION("GOOGLETRANSLATE(B3963,""id"",""en"")"),"['Alhamdulillah', 'customers',' loyal ',' Telkomsel ',' smg ',' telkomsel ',' lbh ',' enhanced ',' quality ',' price ',' package ',' quota ',' LBH ',' Affordable ',' all ',' groups', 'community', 'thank you']")</f>
        <v>['Alhamdulillah', 'customers',' loyal ',' Telkomsel ',' smg ',' telkomsel ',' lbh ',' enhanced ',' quality ',' price ',' package ',' quota ',' LBH ',' Affordable ',' all ',' groups', 'community', 'thank you']</v>
      </c>
      <c r="D3963" s="3">
        <v>5.0</v>
      </c>
    </row>
    <row r="3964" ht="15.75" customHeight="1">
      <c r="A3964" s="1">
        <v>4238.0</v>
      </c>
      <c r="B3964" s="3" t="s">
        <v>3808</v>
      </c>
      <c r="C3964" s="3" t="str">
        <f>IFERROR(__xludf.DUMMYFUNCTION("GOOGLETRANSLATE(B3964,""id"",""en"")"),"['Signal', 'Level', 'Stay', 'City', 'Kayak', 'Stay', 'Forest', 'Severe']")</f>
        <v>['Signal', 'Level', 'Stay', 'City', 'Kayak', 'Stay', 'Forest', 'Severe']</v>
      </c>
      <c r="D3964" s="3">
        <v>1.0</v>
      </c>
    </row>
    <row r="3965" ht="15.75" customHeight="1">
      <c r="A3965" s="1">
        <v>4239.0</v>
      </c>
      <c r="B3965" s="3" t="s">
        <v>3809</v>
      </c>
      <c r="C3965" s="3" t="str">
        <f>IFERROR(__xludf.DUMMYFUNCTION("GOOGLETRANSLATE(B3965,""id"",""en"")"),"['Description', 'Points', 'exchanged', 'Try', 'Truz', 'Can', 'SMS', 'Operator', 'Busy', 'Truz', ""]")</f>
        <v>['Description', 'Points', 'exchanged', 'Try', 'Truz', 'Can', 'SMS', 'Operator', 'Busy', 'Truz', "]</v>
      </c>
      <c r="D3965" s="3">
        <v>1.0</v>
      </c>
    </row>
    <row r="3966" ht="15.75" customHeight="1">
      <c r="A3966" s="1">
        <v>4240.0</v>
      </c>
      <c r="B3966" s="3" t="s">
        <v>3810</v>
      </c>
      <c r="C3966" s="3" t="str">
        <f>IFERROR(__xludf.DUMMYFUNCTION("GOOGLETRANSLATE(B3966,""id"",""en"")"),"['', 'Telkomsel', 'Cool']")</f>
        <v>['', 'Telkomsel', 'Cool']</v>
      </c>
      <c r="D3966" s="3">
        <v>5.0</v>
      </c>
    </row>
    <row r="3967" ht="15.75" customHeight="1">
      <c r="A3967" s="1">
        <v>4242.0</v>
      </c>
      <c r="B3967" s="3" t="s">
        <v>3811</v>
      </c>
      <c r="C3967" s="3" t="str">
        <f>IFERROR(__xludf.DUMMYFUNCTION("GOOGLETRANSLATE(B3967,""id"",""en"")"),"['Pay', 'Limited', 'TrnSer', 'Bank', 'Make Easy', 'Costumer']")</f>
        <v>['Pay', 'Limited', 'TrnSer', 'Bank', 'Make Easy', 'Costumer']</v>
      </c>
      <c r="D3967" s="3">
        <v>1.0</v>
      </c>
    </row>
    <row r="3968" ht="15.75" customHeight="1">
      <c r="A3968" s="1">
        <v>4243.0</v>
      </c>
      <c r="B3968" s="3" t="s">
        <v>3812</v>
      </c>
      <c r="C3968" s="3" t="str">
        <f>IFERROR(__xludf.DUMMYFUNCTION("GOOGLETRANSLATE(B3968,""id"",""en"")"),"['price', 'quota', 'expensive', 'expensive', 'quality', 'network', 'supports',' threat ',' quality ',' telkomsel ',' slam ',' finger ',' Mak ',' You ',' ']")</f>
        <v>['price', 'quota', 'expensive', 'expensive', 'quality', 'network', 'supports',' threat ',' quality ',' telkomsel ',' slam ',' finger ',' Mak ',' You ',' ']</v>
      </c>
      <c r="D3968" s="3">
        <v>1.0</v>
      </c>
    </row>
    <row r="3969" ht="15.75" customHeight="1">
      <c r="A3969" s="1">
        <v>4244.0</v>
      </c>
      <c r="B3969" s="3" t="s">
        <v>3813</v>
      </c>
      <c r="C3969" s="3" t="str">
        <f>IFERROR(__xludf.DUMMYFUNCTION("GOOGLETRANSLATE(B3969,""id"",""en"")"),"['Pay', 'quota', 'expensive', 'network', 'kayak', 'ugly', 'cell ""]")</f>
        <v>['Pay', 'quota', 'expensive', 'network', 'kayak', 'ugly', 'cell "]</v>
      </c>
      <c r="D3969" s="3">
        <v>1.0</v>
      </c>
    </row>
    <row r="3970" ht="15.75" customHeight="1">
      <c r="A3970" s="1">
        <v>4245.0</v>
      </c>
      <c r="B3970" s="3" t="s">
        <v>3814</v>
      </c>
      <c r="C3970" s="3" t="str">
        <f>IFERROR(__xludf.DUMMYFUNCTION("GOOGLETRANSLATE(B3970,""id"",""en"")"),"['', 'Telkomsel', 'here', 'hard', 'heavy', 'open', 'review', 'reset', 'buntang']")</f>
        <v>['', 'Telkomsel', 'here', 'hard', 'heavy', 'open', 'review', 'reset', 'buntang']</v>
      </c>
      <c r="D3970" s="3">
        <v>2.0</v>
      </c>
    </row>
    <row r="3971" ht="15.75" customHeight="1">
      <c r="A3971" s="1">
        <v>4246.0</v>
      </c>
      <c r="B3971" s="3" t="s">
        <v>3815</v>
      </c>
      <c r="C3971" s="3" t="str">
        <f>IFERROR(__xludf.DUMMYFUNCTION("GOOGLETRANSLATE(B3971,""id"",""en"")"),"['Katru', 'prime', 'times', 'era', 'person', 'his time', 'watch', 'youtub', 'muter', ""]")</f>
        <v>['Katru', 'prime', 'times', 'era', 'person', 'his time', 'watch', 'youtub', 'muter', "]</v>
      </c>
      <c r="D3971" s="3">
        <v>1.0</v>
      </c>
    </row>
    <row r="3972" ht="15.75" customHeight="1">
      <c r="A3972" s="1">
        <v>4247.0</v>
      </c>
      <c r="B3972" s="3" t="s">
        <v>3816</v>
      </c>
      <c r="C3972" s="3" t="str">
        <f>IFERROR(__xludf.DUMMYFUNCTION("GOOGLETRANSLATE(B3972,""id"",""en"")"),"['SMS', 'promo', 'annoying', 'appears', 'screen', 'calm', 'sms', 'promo', 'package', 'please', 'stop']")</f>
        <v>['SMS', 'promo', 'annoying', 'appears', 'screen', 'calm', 'sms', 'promo', 'package', 'please', 'stop']</v>
      </c>
      <c r="D3972" s="3">
        <v>2.0</v>
      </c>
    </row>
    <row r="3973" ht="15.75" customHeight="1">
      <c r="A3973" s="1">
        <v>4248.0</v>
      </c>
      <c r="B3973" s="3" t="s">
        <v>3817</v>
      </c>
      <c r="C3973" s="3" t="str">
        <f>IFERROR(__xludf.DUMMYFUNCTION("GOOGLETRANSLATE(B3973,""id"",""en"")"),"['Telkomsel', 'Plis',' Jangn ',' Permainin ',' Promo ',' Rp ',' a minute ',' already ',' lost ',' luck ',' buy ',' pulses', ' Anjink ',' Bener ', ""]")</f>
        <v>['Telkomsel', 'Plis',' Jangn ',' Permainin ',' Promo ',' Rp ',' a minute ',' already ',' lost ',' luck ',' buy ',' pulses', ' Anjink ',' Bener ', "]</v>
      </c>
      <c r="D3973" s="3">
        <v>1.0</v>
      </c>
    </row>
    <row r="3974" ht="15.75" customHeight="1">
      <c r="A3974" s="1">
        <v>4250.0</v>
      </c>
      <c r="B3974" s="3" t="s">
        <v>3818</v>
      </c>
      <c r="C3974" s="3" t="str">
        <f>IFERROR(__xludf.DUMMYFUNCTION("GOOGLETRANSLATE(B3974,""id"",""en"")"),"['hope', 'level', '']")</f>
        <v>['hope', 'level', '']</v>
      </c>
      <c r="D3974" s="3">
        <v>5.0</v>
      </c>
    </row>
    <row r="3975" ht="15.75" customHeight="1">
      <c r="A3975" s="1">
        <v>4251.0</v>
      </c>
      <c r="B3975" s="3" t="s">
        <v>3819</v>
      </c>
      <c r="C3975" s="3" t="str">
        <f>IFERROR(__xludf.DUMMYFUNCTION("GOOGLETRANSLATE(B3975,""id"",""en"")"),"['Service', 'good', 'signal', 'strong', 'complete', 'siip', 'dech']")</f>
        <v>['Service', 'good', 'signal', 'strong', 'complete', 'siip', 'dech']</v>
      </c>
      <c r="D3975" s="3">
        <v>5.0</v>
      </c>
    </row>
    <row r="3976" ht="15.75" customHeight="1">
      <c r="A3976" s="1">
        <v>4252.0</v>
      </c>
      <c r="B3976" s="3" t="s">
        <v>3820</v>
      </c>
      <c r="C3976" s="3" t="str">
        <f>IFERROR(__xludf.DUMMYFUNCTION("GOOGLETRANSLATE(B3976,""id"",""en"")"),"['expensive', 'Doang', 'Network', 'Kek', 'kntle']")</f>
        <v>['expensive', 'Doang', 'Network', 'Kek', 'kntle']</v>
      </c>
      <c r="D3976" s="3">
        <v>1.0</v>
      </c>
    </row>
    <row r="3977" ht="15.75" customHeight="1">
      <c r="A3977" s="1">
        <v>4253.0</v>
      </c>
      <c r="B3977" s="3" t="s">
        <v>3821</v>
      </c>
      <c r="C3977" s="3" t="str">
        <f>IFERROR(__xludf.DUMMYFUNCTION("GOOGLETRANSLATE(B3977,""id"",""en"")"),"['Provider', 'Expert', 'Scam']")</f>
        <v>['Provider', 'Expert', 'Scam']</v>
      </c>
      <c r="D3977" s="3">
        <v>1.0</v>
      </c>
    </row>
    <row r="3978" ht="15.75" customHeight="1">
      <c r="A3978" s="1">
        <v>4254.0</v>
      </c>
      <c r="B3978" s="3" t="s">
        <v>3822</v>
      </c>
      <c r="C3978" s="3" t="str">
        <f>IFERROR(__xludf.DUMMYFUNCTION("GOOGLETRANSLATE(B3978,""id"",""en"")"),"['LBH', 'fast', 'Nyari', 'promo', 'package']")</f>
        <v>['LBH', 'fast', 'Nyari', 'promo', 'package']</v>
      </c>
      <c r="D3978" s="3">
        <v>5.0</v>
      </c>
    </row>
    <row r="3979" ht="15.75" customHeight="1">
      <c r="A3979" s="1">
        <v>4255.0</v>
      </c>
      <c r="B3979" s="3" t="s">
        <v>3823</v>
      </c>
      <c r="C3979" s="3" t="str">
        <f>IFERROR(__xludf.DUMMYFUNCTION("GOOGLETRANSLATE(B3979,""id"",""en"")"),"['Login', 'Game', 'have', 'Kouta', 'main']")</f>
        <v>['Login', 'Game', 'have', 'Kouta', 'main']</v>
      </c>
      <c r="D3979" s="3">
        <v>1.0</v>
      </c>
    </row>
    <row r="3980" ht="15.75" customHeight="1">
      <c r="A3980" s="1">
        <v>4256.0</v>
      </c>
      <c r="B3980" s="3" t="s">
        <v>3824</v>
      </c>
      <c r="C3980" s="3" t="str">
        <f>IFERROR(__xludf.DUMMYFUNCTION("GOOGLETRANSLATE(B3980,""id"",""en"")"),"['application', 'ugly']")</f>
        <v>['application', 'ugly']</v>
      </c>
      <c r="D3980" s="3">
        <v>1.0</v>
      </c>
    </row>
    <row r="3981" ht="15.75" customHeight="1">
      <c r="A3981" s="1">
        <v>4258.0</v>
      </c>
      <c r="B3981" s="3" t="s">
        <v>3825</v>
      </c>
      <c r="C3981" s="3" t="str">
        <f>IFERROR(__xludf.DUMMYFUNCTION("GOOGLETRANSLATE(B3981,""id"",""en"")"),"['Telkomsel', 'like', 'log', 'network', 'tsel', 'use', 'mask', 'at home', 'all day', 'problem', 'network', 'Telkomsel', ' ']")</f>
        <v>['Telkomsel', 'like', 'log', 'network', 'tsel', 'use', 'mask', 'at home', 'all day', 'problem', 'network', 'Telkomsel', ' ']</v>
      </c>
      <c r="D3981" s="3">
        <v>1.0</v>
      </c>
    </row>
    <row r="3982" ht="15.75" customHeight="1">
      <c r="A3982" s="1">
        <v>4259.0</v>
      </c>
      <c r="B3982" s="3" t="s">
        <v>3826</v>
      </c>
      <c r="C3982" s="3" t="str">
        <f>IFERROR(__xludf.DUMMYFUNCTION("GOOGLETRANSLATE(B3982,""id"",""en"")"),"['Mantep', 'like']")</f>
        <v>['Mantep', 'like']</v>
      </c>
      <c r="D3982" s="3">
        <v>5.0</v>
      </c>
    </row>
    <row r="3983" ht="15.75" customHeight="1">
      <c r="A3983" s="1">
        <v>4260.0</v>
      </c>
      <c r="B3983" s="3" t="s">
        <v>3827</v>
      </c>
      <c r="C3983" s="3" t="str">
        <f>IFERROR(__xludf.DUMMYFUNCTION("GOOGLETRANSLATE(B3983,""id"",""en"")"),"['Help', 'makes it easy']")</f>
        <v>['Help', 'makes it easy']</v>
      </c>
      <c r="D3983" s="3">
        <v>4.0</v>
      </c>
    </row>
    <row r="3984" ht="15.75" customHeight="1">
      <c r="A3984" s="1">
        <v>4261.0</v>
      </c>
      <c r="B3984" s="3" t="s">
        <v>3828</v>
      </c>
      <c r="C3984" s="3" t="str">
        <f>IFERROR(__xludf.DUMMYFUNCTION("GOOGLETRANSLATE(B3984,""id"",""en"")"),"['Satisfied', 'Ceratice', 'Service', 'Telkomsel', 'Fast']")</f>
        <v>['Satisfied', 'Ceratice', 'Service', 'Telkomsel', 'Fast']</v>
      </c>
      <c r="D3984" s="3">
        <v>5.0</v>
      </c>
    </row>
    <row r="3985" ht="15.75" customHeight="1">
      <c r="A3985" s="1">
        <v>4262.0</v>
      </c>
      <c r="B3985" s="3" t="s">
        <v>3829</v>
      </c>
      <c r="C3985" s="3" t="str">
        <f>IFERROR(__xludf.DUMMYFUNCTION("GOOGLETRANSLATE(B3985,""id"",""en"")"),"['card', 'slow', 'internet', 'Telkomsel', '']")</f>
        <v>['card', 'slow', 'internet', 'Telkomsel', '']</v>
      </c>
      <c r="D3985" s="3">
        <v>1.0</v>
      </c>
    </row>
    <row r="3986" ht="15.75" customHeight="1">
      <c r="A3986" s="1">
        <v>4263.0</v>
      </c>
      <c r="B3986" s="3" t="s">
        <v>3830</v>
      </c>
      <c r="C3986" s="3" t="str">
        <f>IFERROR(__xludf.DUMMYFUNCTION("GOOGLETRANSLATE(B3986,""id"",""en"")"),"['Install', 'Many', 'download', 'finished', 'appears',' description ',' application ',' installed ',' appears', 'description', 'send', 'suggestion', ' Understand ',' Thanks', 'Love', 'Note', 'Device', 'Google', 'Pixel', 'OS', '']")</f>
        <v>['Install', 'Many', 'download', 'finished', 'appears',' description ',' application ',' installed ',' appears', 'description', 'send', 'suggestion', ' Understand ',' Thanks', 'Love', 'Note', 'Device', 'Google', 'Pixel', 'OS', '']</v>
      </c>
      <c r="D3986" s="3">
        <v>2.0</v>
      </c>
    </row>
    <row r="3987" ht="15.75" customHeight="1">
      <c r="A3987" s="1">
        <v>4264.0</v>
      </c>
      <c r="B3987" s="3" t="s">
        <v>3831</v>
      </c>
      <c r="C3987" s="3" t="str">
        <f>IFERROR(__xludf.DUMMYFUNCTION("GOOGLETRANSLATE(B3987,""id"",""en"")"),"['easy', 'purchase', 'package', 'promo']")</f>
        <v>['easy', 'purchase', 'package', 'promo']</v>
      </c>
      <c r="D3987" s="3">
        <v>5.0</v>
      </c>
    </row>
    <row r="3988" ht="15.75" customHeight="1">
      <c r="A3988" s="1">
        <v>4265.0</v>
      </c>
      <c r="B3988" s="3" t="s">
        <v>3832</v>
      </c>
      <c r="C3988" s="3" t="str">
        <f>IFERROR(__xludf.DUMMYFUNCTION("GOOGLETRANSLATE(B3988,""id"",""en"")"),"['sympathy', 'sekrng', 'slow', 'bngt', 'network']")</f>
        <v>['sympathy', 'sekrng', 'slow', 'bngt', 'network']</v>
      </c>
      <c r="D3988" s="3">
        <v>2.0</v>
      </c>
    </row>
    <row r="3989" ht="15.75" customHeight="1">
      <c r="A3989" s="1">
        <v>4266.0</v>
      </c>
      <c r="B3989" s="3" t="s">
        <v>3833</v>
      </c>
      <c r="C3989" s="3" t="str">
        <f>IFERROR(__xludf.DUMMYFUNCTION("GOOGLETRANSLATE(B3989,""id"",""en"")"),"['Please', 'Increase', 'Quality', 'Thanks']")</f>
        <v>['Please', 'Increase', 'Quality', 'Thanks']</v>
      </c>
      <c r="D3989" s="3">
        <v>4.0</v>
      </c>
    </row>
    <row r="3990" ht="15.75" customHeight="1">
      <c r="A3990" s="1">
        <v>4267.0</v>
      </c>
      <c r="B3990" s="3" t="s">
        <v>3834</v>
      </c>
      <c r="C3990" s="3" t="str">
        <f>IFERROR(__xludf.DUMMYFUNCTION("GOOGLETRANSLATE(B3990,""id"",""en"")"),"['Fill', 'pulse', 'contents',' reset ',' pulse ',' prayer ',' materialized ',' car ',' gift ',' point ',' fortune ',' car ',' Motor ',' cellphone ',' unit ',' proud ',' Telkomsel ',' ']")</f>
        <v>['Fill', 'pulse', 'contents',' reset ',' pulse ',' prayer ',' materialized ',' car ',' gift ',' point ',' fortune ',' car ',' Motor ',' cellphone ',' unit ',' proud ',' Telkomsel ',' ']</v>
      </c>
      <c r="D3990" s="3">
        <v>5.0</v>
      </c>
    </row>
    <row r="3991" ht="15.75" customHeight="1">
      <c r="A3991" s="1">
        <v>4268.0</v>
      </c>
      <c r="B3991" s="3" t="s">
        <v>3835</v>
      </c>
      <c r="C3991" s="3" t="str">
        <f>IFERROR(__xludf.DUMMYFUNCTION("GOOGLETRANSLATE(B3991,""id"",""en"")"),"['Hopefully', 'Win', 'Trimaxi', 'Telkomsel']")</f>
        <v>['Hopefully', 'Win', 'Trimaxi', 'Telkomsel']</v>
      </c>
      <c r="D3991" s="3">
        <v>5.0</v>
      </c>
    </row>
    <row r="3992" ht="15.75" customHeight="1">
      <c r="A3992" s="1">
        <v>4269.0</v>
      </c>
      <c r="B3992" s="3" t="s">
        <v>3836</v>
      </c>
      <c r="C3992" s="3" t="str">
        <f>IFERROR(__xludf.DUMMYFUNCTION("GOOGLETRANSLATE(B3992,""id"",""en"")"),"['', 'family', 'person', 'users', 'Telkomsel']")</f>
        <v>['', 'family', 'person', 'users', 'Telkomsel']</v>
      </c>
      <c r="D3992" s="3">
        <v>5.0</v>
      </c>
    </row>
    <row r="3993" ht="15.75" customHeight="1">
      <c r="A3993" s="1">
        <v>4270.0</v>
      </c>
      <c r="B3993" s="3" t="s">
        <v>3837</v>
      </c>
      <c r="C3993" s="3" t="str">
        <f>IFERROR(__xludf.DUMMYFUNCTION("GOOGLETRANSLATE(B3993,""id"",""en"")"),"['blessing', 'blessing']")</f>
        <v>['blessing', 'blessing']</v>
      </c>
      <c r="D3993" s="3">
        <v>5.0</v>
      </c>
    </row>
    <row r="3994" ht="15.75" customHeight="1">
      <c r="A3994" s="1">
        <v>4271.0</v>
      </c>
      <c r="B3994" s="3" t="s">
        <v>3838</v>
      </c>
      <c r="C3994" s="3" t="str">
        <f>IFERROR(__xludf.DUMMYFUNCTION("GOOGLETRANSLATE(B3994,""id"",""en"")"),"['Woy', 'gimanaa', 'signal', 'ilang', 'call', 'emergency']")</f>
        <v>['Woy', 'gimanaa', 'signal', 'ilang', 'call', 'emergency']</v>
      </c>
      <c r="D3994" s="3">
        <v>1.0</v>
      </c>
    </row>
    <row r="3995" ht="15.75" customHeight="1">
      <c r="A3995" s="1">
        <v>4272.0</v>
      </c>
      <c r="B3995" s="3" t="s">
        <v>3839</v>
      </c>
      <c r="C3995" s="3" t="str">
        <f>IFERROR(__xludf.DUMMYFUNCTION("GOOGLETRANSLATE(B3995,""id"",""en"")"),"['Promo', 'Different', 'User', 'Please', 'Clarification', '']")</f>
        <v>['Promo', 'Different', 'User', 'Please', 'Clarification', '']</v>
      </c>
      <c r="D3995" s="3">
        <v>4.0</v>
      </c>
    </row>
    <row r="3996" ht="15.75" customHeight="1">
      <c r="A3996" s="1">
        <v>4273.0</v>
      </c>
      <c r="B3996" s="3" t="s">
        <v>3840</v>
      </c>
      <c r="C3996" s="3" t="str">
        <f>IFERROR(__xludf.DUMMYFUNCTION("GOOGLETRANSLATE(B3996,""id"",""en"")"),"['Sya', 'pke', 'card', 'Telkomsel', 'lbh', 'package', 'internet', 'expensive', 'as low as',' child ',' sya ',' bru ',' PKE ',' card ',' Telkomsel ',' package ',' internet ',' cheap ']")</f>
        <v>['Sya', 'pke', 'card', 'Telkomsel', 'lbh', 'package', 'internet', 'expensive', 'as low as',' child ',' sya ',' bru ',' PKE ',' card ',' Telkomsel ',' package ',' internet ',' cheap ']</v>
      </c>
      <c r="D3996" s="3">
        <v>1.0</v>
      </c>
    </row>
    <row r="3997" ht="15.75" customHeight="1">
      <c r="A3997" s="1">
        <v>4274.0</v>
      </c>
      <c r="B3997" s="3" t="s">
        <v>3841</v>
      </c>
      <c r="C3997" s="3" t="str">
        <f>IFERROR(__xludf.DUMMYFUNCTION("GOOGLETRANSLATE(B3997,""id"",""en"")"),"['exchanges', 'Points', 'Karna', 'System', 'Busy', 'Sudan', 'Wait']")</f>
        <v>['exchanges', 'Points', 'Karna', 'System', 'Busy', 'Sudan', 'Wait']</v>
      </c>
      <c r="D3997" s="3">
        <v>1.0</v>
      </c>
    </row>
    <row r="3998" ht="15.75" customHeight="1">
      <c r="A3998" s="1">
        <v>4276.0</v>
      </c>
      <c r="B3998" s="3" t="s">
        <v>3842</v>
      </c>
      <c r="C3998" s="3" t="str">
        <f>IFERROR(__xludf.DUMMYFUNCTION("GOOGLETRANSLATE(B3998,""id"",""en"")"),"['Best', 'Star', 'Exchange', 'Points', 'Telkomsel', 'Menu', 'Gemes', ""]")</f>
        <v>['Best', 'Star', 'Exchange', 'Points', 'Telkomsel', 'Menu', 'Gemes', "]</v>
      </c>
      <c r="D3998" s="3">
        <v>5.0</v>
      </c>
    </row>
    <row r="3999" ht="15.75" customHeight="1">
      <c r="A3999" s="1">
        <v>4277.0</v>
      </c>
      <c r="B3999" s="3" t="s">
        <v>3843</v>
      </c>
      <c r="C3999" s="3" t="str">
        <f>IFERROR(__xludf.DUMMYFUNCTION("GOOGLETRANSLATE(B3999,""id"",""en"")"),"['Helpful', 'makes it easy', 'hope', 'prize', 'application', '']")</f>
        <v>['Helpful', 'makes it easy', 'hope', 'prize', 'application', '']</v>
      </c>
      <c r="D3999" s="3">
        <v>5.0</v>
      </c>
    </row>
    <row r="4000" ht="15.75" customHeight="1">
      <c r="A4000" s="1">
        <v>4278.0</v>
      </c>
      <c r="B4000" s="3" t="s">
        <v>3844</v>
      </c>
      <c r="C4000" s="3" t="str">
        <f>IFERROR(__xludf.DUMMYFUNCTION("GOOGLETRANSLATE(B4000,""id"",""en"")"),"['Network', 'lost', 'missing', 'buy', 'expensive', 'expensive', 'then', 'lag', 'idiot']")</f>
        <v>['Network', 'lost', 'missing', 'buy', 'expensive', 'expensive', 'then', 'lag', 'idiot']</v>
      </c>
      <c r="D4000" s="3">
        <v>1.0</v>
      </c>
    </row>
    <row r="4001" ht="15.75" customHeight="1">
      <c r="A4001" s="1">
        <v>4279.0</v>
      </c>
      <c r="B4001" s="3" t="s">
        <v>2299</v>
      </c>
      <c r="C4001" s="3" t="str">
        <f>IFERROR(__xludf.DUMMYFUNCTION("GOOGLETRANSLATE(B4001,""id"",""en"")"),"['Application', 'Help']")</f>
        <v>['Application', 'Help']</v>
      </c>
      <c r="D4001" s="3">
        <v>5.0</v>
      </c>
    </row>
    <row r="4002" ht="15.75" customHeight="1">
      <c r="A4002" s="1">
        <v>4280.0</v>
      </c>
      <c r="B4002" s="3" t="s">
        <v>3845</v>
      </c>
      <c r="C4002" s="3" t="str">
        <f>IFERROR(__xludf.DUMMYFUNCTION("GOOGLETRANSLATE(B4002,""id"",""en"")"),"['Sangan', '']")</f>
        <v>['Sangan', '']</v>
      </c>
      <c r="D4002" s="3">
        <v>5.0</v>
      </c>
    </row>
    <row r="4003" ht="15.75" customHeight="1">
      <c r="A4003" s="1">
        <v>4281.0</v>
      </c>
      <c r="B4003" s="3" t="s">
        <v>3846</v>
      </c>
      <c r="C4003" s="3" t="str">
        <f>IFERROR(__xludf.DUMMYFUNCTION("GOOGLETRANSLATE(B4003,""id"",""en"")"),"['hope', 'win', 'lottery', 'hope', 'win']")</f>
        <v>['hope', 'win', 'lottery', 'hope', 'win']</v>
      </c>
      <c r="D4003" s="3">
        <v>5.0</v>
      </c>
    </row>
    <row r="4004" ht="15.75" customHeight="1">
      <c r="A4004" s="1">
        <v>4282.0</v>
      </c>
      <c r="B4004" s="3" t="s">
        <v>3847</v>
      </c>
      <c r="C4004" s="3" t="str">
        <f>IFERROR(__xludf.DUMMYFUNCTION("GOOGLETRANSLATE(B4004,""id"",""en"")"),"['Open', 'App', 'Forced', 'Update', 'Update', 'Opened', 'Hadehhhh', 'Telkomsel', 'Indihome', 'Downgrade']")</f>
        <v>['Open', 'App', 'Forced', 'Update', 'Update', 'Opened', 'Hadehhhh', 'Telkomsel', 'Indihome', 'Downgrade']</v>
      </c>
      <c r="D4004" s="3">
        <v>1.0</v>
      </c>
    </row>
    <row r="4005" ht="15.75" customHeight="1">
      <c r="A4005" s="1">
        <v>4283.0</v>
      </c>
      <c r="B4005" s="3" t="s">
        <v>80</v>
      </c>
      <c r="C4005" s="3" t="str">
        <f>IFERROR(__xludf.DUMMYFUNCTION("GOOGLETRANSLATE(B4005,""id"",""en"")"),"['help', '']")</f>
        <v>['help', '']</v>
      </c>
      <c r="D4005" s="3">
        <v>4.0</v>
      </c>
    </row>
    <row r="4006" ht="15.75" customHeight="1">
      <c r="A4006" s="1">
        <v>4285.0</v>
      </c>
      <c r="B4006" s="3" t="s">
        <v>3848</v>
      </c>
      <c r="C4006" s="3" t="str">
        <f>IFERROR(__xludf.DUMMYFUNCTION("GOOGLETRANSLATE(B4006,""id"",""en"")"),"['Bags', 'Bett', 'APK']")</f>
        <v>['Bags', 'Bett', 'APK']</v>
      </c>
      <c r="D4006" s="3">
        <v>4.0</v>
      </c>
    </row>
    <row r="4007" ht="15.75" customHeight="1">
      <c r="A4007" s="1">
        <v>4286.0</v>
      </c>
      <c r="B4007" s="3" t="s">
        <v>3849</v>
      </c>
      <c r="C4007" s="3" t="str">
        <f>IFERROR(__xludf.DUMMYFUNCTION("GOOGLETRANSLATE(B4007,""id"",""en"")"),"['', 'disappointed', 'tariff', 'expensive', 'service', 'bad', 'signal', 'likes',' ilang ',' rigi ',' mentang ',' mentang ',' live ',' countryside ',' Attention ',' ']")</f>
        <v>['', 'disappointed', 'tariff', 'expensive', 'service', 'bad', 'signal', 'likes',' ilang ',' rigi ',' mentang ',' mentang ',' live ',' countryside ',' Attention ',' ']</v>
      </c>
      <c r="D4007" s="3">
        <v>1.0</v>
      </c>
    </row>
    <row r="4008" ht="15.75" customHeight="1">
      <c r="A4008" s="1">
        <v>4287.0</v>
      </c>
      <c r="B4008" s="3" t="s">
        <v>3850</v>
      </c>
      <c r="C4008" s="3" t="str">
        <f>IFERROR(__xludf.DUMMYFUNCTION("GOOGLETRANSLATE(B4008,""id"",""en"")"),"['', 'Tsel', 'makes it easy', 'transaction']")</f>
        <v>['', 'Tsel', 'makes it easy', 'transaction']</v>
      </c>
      <c r="D4008" s="3">
        <v>4.0</v>
      </c>
    </row>
    <row r="4009" ht="15.75" customHeight="1">
      <c r="A4009" s="1">
        <v>4288.0</v>
      </c>
      <c r="B4009" s="3" t="s">
        <v>3851</v>
      </c>
      <c r="C4009" s="3" t="str">
        <f>IFERROR(__xludf.DUMMYFUNCTION("GOOGLETRANSLATE(B4009,""id"",""en"")"),"['', 'moved', 'card', 'Alhamduli', 'free', 'bumpy', 'ngk', 'believe', 'read', 'complaints',' survive ',' expensive ',' blm ',' disturbing ',' credit ',' disappear ',' instead ',' satisfying ',' customer ',' change ',' brp ',' customer ',' harm ',' money '"&amp;",' disappear ', 'Tampa', 'solution', '']")</f>
        <v>['', 'moved', 'card', 'Alhamduli', 'free', 'bumpy', 'ngk', 'believe', 'read', 'complaints',' survive ',' expensive ',' blm ',' disturbing ',' credit ',' disappear ',' instead ',' satisfying ',' customer ',' change ',' brp ',' customer ',' harm ',' money ',' disappear ', 'Tampa', 'solution', '']</v>
      </c>
      <c r="D4009" s="3">
        <v>1.0</v>
      </c>
    </row>
    <row r="4010" ht="15.75" customHeight="1">
      <c r="A4010" s="1">
        <v>4289.0</v>
      </c>
      <c r="B4010" s="3" t="s">
        <v>3852</v>
      </c>
      <c r="C4010" s="3" t="str">
        <f>IFERROR(__xludf.DUMMYFUNCTION("GOOGLETRANSLATE(B4010,""id"",""en"")"),"['Hopefully', 'Win', 'Lottery']")</f>
        <v>['Hopefully', 'Win', 'Lottery']</v>
      </c>
      <c r="D4010" s="3">
        <v>5.0</v>
      </c>
    </row>
    <row r="4011" ht="15.75" customHeight="1">
      <c r="A4011" s="1">
        <v>4290.0</v>
      </c>
      <c r="B4011" s="3" t="s">
        <v>3853</v>
      </c>
      <c r="C4011" s="3" t="str">
        <f>IFERROR(__xludf.DUMMYFUNCTION("GOOGLETRANSLATE(B4011,""id"",""en"")"),"['', 'Try', 'Dlu', '']")</f>
        <v>['', 'Try', 'Dlu', '']</v>
      </c>
      <c r="D4011" s="3">
        <v>3.0</v>
      </c>
    </row>
    <row r="4012" ht="15.75" customHeight="1">
      <c r="A4012" s="1">
        <v>4291.0</v>
      </c>
      <c r="B4012" s="3" t="s">
        <v>3854</v>
      </c>
      <c r="C4012" s="3" t="str">
        <f>IFERROR(__xludf.DUMMYFUNCTION("GOOGLETRANSLATE(B4012,""id"",""en"")"),"['Good', 'Sometimes', 'slow', 'comfortable']")</f>
        <v>['Good', 'Sometimes', 'slow', 'comfortable']</v>
      </c>
      <c r="D4012" s="3">
        <v>5.0</v>
      </c>
    </row>
    <row r="4013" ht="15.75" customHeight="1">
      <c r="A4013" s="1">
        <v>4292.0</v>
      </c>
      <c r="B4013" s="3" t="s">
        <v>3855</v>
      </c>
      <c r="C4013" s="3" t="str">
        <f>IFERROR(__xludf.DUMMYFUNCTION("GOOGLETRANSLATE(B4013,""id"",""en"")"),"['Convenience', '']")</f>
        <v>['Convenience', '']</v>
      </c>
      <c r="D4013" s="3">
        <v>5.0</v>
      </c>
    </row>
    <row r="4014" ht="15.75" customHeight="1">
      <c r="A4014" s="1">
        <v>4293.0</v>
      </c>
      <c r="B4014" s="3" t="s">
        <v>3856</v>
      </c>
      <c r="C4014" s="3" t="str">
        <f>IFERROR(__xludf.DUMMYFUNCTION("GOOGLETRANSLATE(B4014,""id"",""en"")"),"['Klau', 'quota', 'run out', 'pulse', 'auto', 'eat', 'fit', 'contents',' pulse ',' then ',' want ',' buy ',' package ',' pulses', 'because', 'buy', 'package', 'application', 'need', 'network', 'idiot', 'system', 'oathma', 'emotion', ""]")</f>
        <v>['Klau', 'quota', 'run out', 'pulse', 'auto', 'eat', 'fit', 'contents',' pulse ',' then ',' want ',' buy ',' package ',' pulses', 'because', 'buy', 'package', 'application', 'need', 'network', 'idiot', 'system', 'oathma', 'emotion', "]</v>
      </c>
      <c r="D4014" s="3">
        <v>1.0</v>
      </c>
    </row>
    <row r="4015" ht="15.75" customHeight="1">
      <c r="A4015" s="1">
        <v>4294.0</v>
      </c>
      <c r="B4015" s="3" t="s">
        <v>3857</v>
      </c>
      <c r="C4015" s="3" t="str">
        <f>IFERROR(__xludf.DUMMYFUNCTION("GOOGLETRANSLATE(B4015,""id"",""en"")"),"['min', 'disappointed', 'Exchange', 'balance', 'link', 'thousand', 'entry', 'points', 'reduced', 'beg', 'follow', 'continue']")</f>
        <v>['min', 'disappointed', 'Exchange', 'balance', 'link', 'thousand', 'entry', 'points', 'reduced', 'beg', 'follow', 'continue']</v>
      </c>
      <c r="D4015" s="3">
        <v>1.0</v>
      </c>
    </row>
    <row r="4016" ht="15.75" customHeight="1">
      <c r="A4016" s="1">
        <v>4295.0</v>
      </c>
      <c r="B4016" s="3" t="s">
        <v>3858</v>
      </c>
      <c r="C4016" s="3" t="str">
        <f>IFERROR(__xludf.DUMMYFUNCTION("GOOGLETRANSLATE(B4016,""id"",""en"")"),"['Forward', 'Telkom']")</f>
        <v>['Forward', 'Telkom']</v>
      </c>
      <c r="D4016" s="3">
        <v>5.0</v>
      </c>
    </row>
    <row r="4017" ht="15.75" customHeight="1">
      <c r="A4017" s="1">
        <v>4296.0</v>
      </c>
      <c r="B4017" s="3" t="s">
        <v>3859</v>
      </c>
      <c r="C4017" s="3" t="str">
        <f>IFERROR(__xludf.DUMMYFUNCTION("GOOGLETRANSLATE(B4017,""id"",""en"")"),"['number', 'pulse', 'She', 'internet', 'data', 'data', 'active', 'used', 'first', 'stay', 'whole', 'after' some ',' kli ',' update ',' application ',' please ',' update ',' the application ',' ']")</f>
        <v>['number', 'pulse', 'She', 'internet', 'data', 'data', 'active', 'used', 'first', 'stay', 'whole', 'after' some ',' kli ',' update ',' application ',' please ',' update ',' the application ',' ']</v>
      </c>
      <c r="D4017" s="3">
        <v>1.0</v>
      </c>
    </row>
    <row r="4018" ht="15.75" customHeight="1">
      <c r="A4018" s="1">
        <v>4297.0</v>
      </c>
      <c r="B4018" s="3" t="s">
        <v>3860</v>
      </c>
      <c r="C4018" s="3" t="str">
        <f>IFERROR(__xludf.DUMMYFUNCTION("GOOGLETRANSLATE(B4018,""id"",""en"")"),"['Mksih', 'application', 'Nya', 'Good', 'bgettt']")</f>
        <v>['Mksih', 'application', 'Nya', 'Good', 'bgettt']</v>
      </c>
      <c r="D4018" s="3">
        <v>5.0</v>
      </c>
    </row>
    <row r="4019" ht="15.75" customHeight="1">
      <c r="A4019" s="1">
        <v>4298.0</v>
      </c>
      <c r="B4019" s="3" t="s">
        <v>3861</v>
      </c>
      <c r="C4019" s="3" t="str">
        <f>IFERROR(__xludf.DUMMYFUNCTION("GOOGLETRANSLATE(B4019,""id"",""en"")"),"['Decent', 'star', 'service', 'satisfying']")</f>
        <v>['Decent', 'star', 'service', 'satisfying']</v>
      </c>
      <c r="D4019" s="3">
        <v>5.0</v>
      </c>
    </row>
    <row r="4020" ht="15.75" customHeight="1">
      <c r="A4020" s="1">
        <v>4299.0</v>
      </c>
      <c r="B4020" s="3" t="s">
        <v>3862</v>
      </c>
      <c r="C4020" s="3" t="str">
        <f>IFERROR(__xludf.DUMMYFUNCTION("GOOGLETRANSLATE(B4020,""id"",""en"")"),"['poor', 'Telkomsel', 'poor', 'checked', 'pulse', 'a week', 'try', 'still', 'app', 'open', 'app', 'manual', ' ']")</f>
        <v>['poor', 'Telkomsel', 'poor', 'checked', 'pulse', 'a week', 'try', 'still', 'app', 'open', 'app', 'manual', ' ']</v>
      </c>
      <c r="D4020" s="3">
        <v>1.0</v>
      </c>
    </row>
    <row r="4021" ht="15.75" customHeight="1">
      <c r="A4021" s="1">
        <v>4300.0</v>
      </c>
      <c r="B4021" s="3" t="s">
        <v>3863</v>
      </c>
      <c r="C4021" s="3" t="str">
        <f>IFERROR(__xludf.DUMMYFUNCTION("GOOGLETRANSLATE(B4021,""id"",""en"")"),"['Help', 'selection', 'Package']")</f>
        <v>['Help', 'selection', 'Package']</v>
      </c>
      <c r="D4021" s="3">
        <v>5.0</v>
      </c>
    </row>
    <row r="4022" ht="15.75" customHeight="1">
      <c r="A4022" s="1">
        <v>4301.0</v>
      </c>
      <c r="B4022" s="3" t="s">
        <v>343</v>
      </c>
      <c r="C4022" s="3" t="str">
        <f>IFERROR(__xludf.DUMMYFUNCTION("GOOGLETRANSLATE(B4022,""id"",""en"")"),"['Good', 'like']")</f>
        <v>['Good', 'like']</v>
      </c>
      <c r="D4022" s="3">
        <v>3.0</v>
      </c>
    </row>
    <row r="4023" ht="15.75" customHeight="1">
      <c r="A4023" s="1">
        <v>4302.0</v>
      </c>
      <c r="B4023" s="3" t="s">
        <v>3864</v>
      </c>
      <c r="C4023" s="3" t="str">
        <f>IFERROR(__xludf.DUMMYFUNCTION("GOOGLETRANSLATE(B4023,""id"",""en"")"),"['Please', 'admin', 'YTH', 'connection', 'Condition', 'like', 'missing', 'price', 'doang', 'expensive', 'satisfaction']")</f>
        <v>['Please', 'admin', 'YTH', 'connection', 'Condition', 'like', 'missing', 'price', 'doang', 'expensive', 'satisfaction']</v>
      </c>
      <c r="D4023" s="3">
        <v>1.0</v>
      </c>
    </row>
    <row r="4024" ht="15.75" customHeight="1">
      <c r="A4024" s="1">
        <v>4303.0</v>
      </c>
      <c r="B4024" s="3" t="s">
        <v>3865</v>
      </c>
      <c r="C4024" s="3" t="str">
        <f>IFERROR(__xludf.DUMMYFUNCTION("GOOGLETRANSLATE(B4024,""id"",""en"")"),"['Telkomsel', 'great']")</f>
        <v>['Telkomsel', 'great']</v>
      </c>
      <c r="D4024" s="3">
        <v>4.0</v>
      </c>
    </row>
    <row r="4025" ht="15.75" customHeight="1">
      <c r="A4025" s="1">
        <v>4304.0</v>
      </c>
      <c r="B4025" s="3" t="s">
        <v>3866</v>
      </c>
      <c r="C4025" s="3" t="str">
        <f>IFERROR(__xludf.DUMMYFUNCTION("GOOGLETRANSLATE(B4025,""id"",""en"")"),"['Sangaaaa', 'disappointed', 'bgeeet', 'pulse', 'buy', 'quota', 'package', 'answer', 'disorder', 'then', 'wait', ' minutes', 'reset', 'then', 'TPI', 'then', 'gmn', 'pulse', 'abis',' klau ',' ndak ',' list ',' package ',' quota ' , 'payaaah', '']")</f>
        <v>['Sangaaaa', 'disappointed', 'bgeeet', 'pulse', 'buy', 'quota', 'package', 'answer', 'disorder', 'then', 'wait', ' minutes', 'reset', 'then', 'TPI', 'then', 'gmn', 'pulse', 'abis',' klau ',' ndak ',' list ',' package ',' quota ' , 'payaaah', '']</v>
      </c>
      <c r="D4025" s="3">
        <v>1.0</v>
      </c>
    </row>
    <row r="4026" ht="15.75" customHeight="1">
      <c r="A4026" s="1">
        <v>4305.0</v>
      </c>
      <c r="B4026" s="3" t="s">
        <v>3867</v>
      </c>
      <c r="C4026" s="3" t="str">
        <f>IFERROR(__xludf.DUMMYFUNCTION("GOOGLETRANSLATE(B4026,""id"",""en"")"),"['', 'Telkomsel', 'good', 'always', 'promotion', 'package', 'need']")</f>
        <v>['', 'Telkomsel', 'good', 'always', 'promotion', 'package', 'need']</v>
      </c>
      <c r="D4026" s="3">
        <v>4.0</v>
      </c>
    </row>
    <row r="4027" ht="15.75" customHeight="1">
      <c r="A4027" s="1">
        <v>4307.0</v>
      </c>
      <c r="B4027" s="3" t="s">
        <v>3868</v>
      </c>
      <c r="C4027" s="3" t="str">
        <f>IFERROR(__xludf.DUMMYFUNCTION("GOOGLETRANSLATE(B4027,""id"",""en"")"),"['Telkomsel', 'Joz']")</f>
        <v>['Telkomsel', 'Joz']</v>
      </c>
      <c r="D4027" s="3">
        <v>5.0</v>
      </c>
    </row>
    <row r="4028" ht="15.75" customHeight="1">
      <c r="A4028" s="1">
        <v>4308.0</v>
      </c>
      <c r="B4028" s="3" t="s">
        <v>3869</v>
      </c>
      <c r="C4028" s="3" t="str">
        <f>IFERROR(__xludf.DUMMYFUNCTION("GOOGLETRANSLATE(B4028,""id"",""en"")"),"['That's', 'Mending', 'Installed', 'Tower', 'Axis', 'Dri', 'Telkomsel', '']")</f>
        <v>['That's', 'Mending', 'Installed', 'Tower', 'Axis', 'Dri', 'Telkomsel', '']</v>
      </c>
      <c r="D4028" s="3">
        <v>1.0</v>
      </c>
    </row>
    <row r="4029" ht="15.75" customHeight="1">
      <c r="A4029" s="1">
        <v>4309.0</v>
      </c>
      <c r="B4029" s="3" t="s">
        <v>3870</v>
      </c>
      <c r="C4029" s="3" t="str">
        <f>IFERROR(__xludf.DUMMYFUNCTION("GOOGLETRANSLATE(B4029,""id"",""en"")"),"['report', 'area', 'pik', 'signal', 'lost', 'difficult', 'Please', 'repaired', 'The', 'Best']")</f>
        <v>['report', 'area', 'pik', 'signal', 'lost', 'difficult', 'Please', 'repaired', 'The', 'Best']</v>
      </c>
      <c r="D4029" s="3">
        <v>5.0</v>
      </c>
    </row>
    <row r="4030" ht="15.75" customHeight="1">
      <c r="A4030" s="1">
        <v>4310.0</v>
      </c>
      <c r="B4030" s="3" t="s">
        <v>3871</v>
      </c>
      <c r="C4030" s="3" t="str">
        <f>IFERROR(__xludf.DUMMYFUNCTION("GOOGLETRANSLATE(B4030,""id"",""en"")"),"['Telkomsel', 'pulse', 'truncated', 'quota', 'internet', 'loss', 'deh', 'change', 'loss', 'Telkomsel', ""]")</f>
        <v>['Telkomsel', 'pulse', 'truncated', 'quota', 'internet', 'loss', 'deh', 'change', 'loss', 'Telkomsel', "]</v>
      </c>
      <c r="D4030" s="3">
        <v>1.0</v>
      </c>
    </row>
    <row r="4031" ht="15.75" customHeight="1">
      <c r="A4031" s="1">
        <v>4312.0</v>
      </c>
      <c r="B4031" s="3" t="s">
        <v>3872</v>
      </c>
      <c r="C4031" s="3" t="str">
        <f>IFERROR(__xludf.DUMMYFUNCTION("GOOGLETRANSLATE(B4031,""id"",""en"")"),"['bad', 'heavy', 'open', 'slow', 'heavy', 'app', 'online', 'shop', '']")</f>
        <v>['bad', 'heavy', 'open', 'slow', 'heavy', 'app', 'online', 'shop', '']</v>
      </c>
      <c r="D4031" s="3">
        <v>1.0</v>
      </c>
    </row>
    <row r="4032" ht="15.75" customHeight="1">
      <c r="A4032" s="1">
        <v>4313.0</v>
      </c>
      <c r="B4032" s="3" t="s">
        <v>3873</v>
      </c>
      <c r="C4032" s="3" t="str">
        <f>IFERROR(__xludf.DUMMYFUNCTION("GOOGLETRANSLATE(B4032,""id"",""en"")"),"['Star', 'love', 'happy', 'klen', 'eat', 'salary', 'blind', 'already', 'bnr', 'pertamina', 'block', 'Rokan', ' Gini ',' signal ',' destroyed ',' night ',' dies', 'pulse', 'money', 'customer', 'fortune', 'name', ""]")</f>
        <v>['Star', 'love', 'happy', 'klen', 'eat', 'salary', 'blind', 'already', 'bnr', 'pertamina', 'block', 'Rokan', ' Gini ',' signal ',' destroyed ',' night ',' dies', 'pulse', 'money', 'customer', 'fortune', 'name', "]</v>
      </c>
      <c r="D4032" s="3">
        <v>1.0</v>
      </c>
    </row>
    <row r="4033" ht="15.75" customHeight="1">
      <c r="A4033" s="1">
        <v>4314.0</v>
      </c>
      <c r="B4033" s="3" t="s">
        <v>3874</v>
      </c>
      <c r="C4033" s="3" t="str">
        <f>IFERROR(__xludf.DUMMYFUNCTION("GOOGLETRANSLATE(B4033,""id"",""en"")"),"['signal', 'full', 'just', 'bar', 'watch', 'ytube', 'delay', 'udh', 'week', 'please', 'fix', 'trims']")</f>
        <v>['signal', 'full', 'just', 'bar', 'watch', 'ytube', 'delay', 'udh', 'week', 'please', 'fix', 'trims']</v>
      </c>
      <c r="D4033" s="3">
        <v>2.0</v>
      </c>
    </row>
    <row r="4034" ht="15.75" customHeight="1">
      <c r="A4034" s="1">
        <v>4315.0</v>
      </c>
      <c r="B4034" s="3" t="s">
        <v>3875</v>
      </c>
      <c r="C4034" s="3" t="str">
        <f>IFERROR(__xludf.DUMMYFUNCTION("GOOGLETRANSLATE(B4034,""id"",""en"")"),"['Buy', 'Package']")</f>
        <v>['Buy', 'Package']</v>
      </c>
      <c r="D4034" s="3">
        <v>5.0</v>
      </c>
    </row>
    <row r="4035" ht="15.75" customHeight="1">
      <c r="A4035" s="1">
        <v>4316.0</v>
      </c>
      <c r="B4035" s="3" t="s">
        <v>3876</v>
      </c>
      <c r="C4035" s="3" t="str">
        <f>IFERROR(__xludf.DUMMYFUNCTION("GOOGLETRANSLATE(B4035,""id"",""en"")"),"['Honey', 'Region', 'Cimahi', 'Javanese', 'West', 'Signal', 'Aga', 'Stable']")</f>
        <v>['Honey', 'Region', 'Cimahi', 'Javanese', 'West', 'Signal', 'Aga', 'Stable']</v>
      </c>
      <c r="D4035" s="3">
        <v>5.0</v>
      </c>
    </row>
    <row r="4036" ht="15.75" customHeight="1">
      <c r="A4036" s="1">
        <v>4317.0</v>
      </c>
      <c r="B4036" s="3" t="s">
        <v>3877</v>
      </c>
      <c r="C4036" s="3" t="str">
        <f>IFERROR(__xludf.DUMMYFUNCTION("GOOGLETRANSLATE(B4036,""id"",""en"")"),"['The network', 'Drop', 'Orderan', 'enter']")</f>
        <v>['The network', 'Drop', 'Orderan', 'enter']</v>
      </c>
      <c r="D4036" s="3">
        <v>1.0</v>
      </c>
    </row>
    <row r="4037" ht="15.75" customHeight="1">
      <c r="A4037" s="1">
        <v>4318.0</v>
      </c>
      <c r="B4037" s="3" t="s">
        <v>3878</v>
      </c>
      <c r="C4037" s="3" t="str">
        <f>IFERROR(__xludf.DUMMYFUNCTION("GOOGLETRANSLATE(B4037,""id"",""en"")"),"['please', 'suck', 'pulse', 'right', 'open', 'application', 'example', 'application', 'axis',' loss', 'student', 'contents',' Credit ',' Buy ',' Package ',' Student ',' Notification ',' Quota ',' Package ',' Bought ',' Pulses', 'Cut', 'When', 'Buy', 'Pake"&amp;"tan' , 'use', 'pulse', 'direct', 'notification', 'along with', 'package', 'active', 'detrimental', 'please', 'loss',' student ',' can ',' quota ',' Kemedikbud ',' TPI ',' BBR ',' quota ',' access', '']")</f>
        <v>['please', 'suck', 'pulse', 'right', 'open', 'application', 'example', 'application', 'axis',' loss', 'student', 'contents',' Credit ',' Buy ',' Package ',' Student ',' Notification ',' Quota ',' Package ',' Bought ',' Pulses', 'Cut', 'When', 'Buy', 'Paketan' , 'use', 'pulse', 'direct', 'notification', 'along with', 'package', 'active', 'detrimental', 'please', 'loss',' student ',' can ',' quota ',' Kemedikbud ',' TPI ',' BBR ',' quota ',' access', '']</v>
      </c>
      <c r="D4037" s="3">
        <v>1.0</v>
      </c>
    </row>
    <row r="4038" ht="15.75" customHeight="1">
      <c r="A4038" s="1">
        <v>4320.0</v>
      </c>
      <c r="B4038" s="3" t="s">
        <v>3879</v>
      </c>
      <c r="C4038" s="3" t="str">
        <f>IFERROR(__xludf.DUMMYFUNCTION("GOOGLETRANSLATE(B4038,""id"",""en"")"),"['Contents',' Credit ',' Points', 'Telkomsel', 'right', 'Nanya', 'Veronica', 'Busy', 'Help', 'APK', 'Signal', 'Telkomsel', ' slow']")</f>
        <v>['Contents',' Credit ',' Points', 'Telkomsel', 'right', 'Nanya', 'Veronica', 'Busy', 'Help', 'APK', 'Signal', 'Telkomsel', ' slow']</v>
      </c>
      <c r="D4038" s="3">
        <v>1.0</v>
      </c>
    </row>
    <row r="4039" ht="15.75" customHeight="1">
      <c r="A4039" s="1">
        <v>4321.0</v>
      </c>
      <c r="B4039" s="3" t="s">
        <v>3880</v>
      </c>
      <c r="C4039" s="3" t="str">
        <f>IFERROR(__xludf.DUMMYFUNCTION("GOOGLETRANSLATE(B4039,""id"",""en"")"),"['Hi', 'Sis', 'Belu', 'Quota', 'Education', 'Learning', 'Nidak', 'Use', '']")</f>
        <v>['Hi', 'Sis', 'Belu', 'Quota', 'Education', 'Learning', 'Nidak', 'Use', '']</v>
      </c>
      <c r="D4039" s="3">
        <v>1.0</v>
      </c>
    </row>
    <row r="4040" ht="15.75" customHeight="1">
      <c r="A4040" s="1">
        <v>4322.0</v>
      </c>
      <c r="B4040" s="3" t="s">
        <v>3881</v>
      </c>
      <c r="C4040" s="3" t="str">
        <f>IFERROR(__xludf.DUMMYFUNCTION("GOOGLETRANSLATE(B4040,""id"",""en"")"),"['knpa', 'slow', 'really', 'skrng', 'quota', 'expensive', 'network', 'slow', 'download', 'MB', 'clock', 'kyk', ' Gini ',' Telkomsel ',' abandoned ',' Maintain ',' Quality ',' ']")</f>
        <v>['knpa', 'slow', 'really', 'skrng', 'quota', 'expensive', 'network', 'slow', 'download', 'MB', 'clock', 'kyk', ' Gini ',' Telkomsel ',' abandoned ',' Maintain ',' Quality ',' ']</v>
      </c>
      <c r="D4040" s="3">
        <v>1.0</v>
      </c>
    </row>
    <row r="4041" ht="15.75" customHeight="1">
      <c r="A4041" s="1">
        <v>4323.0</v>
      </c>
      <c r="B4041" s="3" t="s">
        <v>3882</v>
      </c>
      <c r="C4041" s="3" t="str">
        <f>IFERROR(__xludf.DUMMYFUNCTION("GOOGLETRANSLATE(B4041,""id"",""en"")"),"['Kasi', 'star', 'because', 'like', 'Bangat', 'Ama', 'Telkomsel', 'Hopefully', 'Network', 'Good', 'Tight']")</f>
        <v>['Kasi', 'star', 'because', 'like', 'Bangat', 'Ama', 'Telkomsel', 'Hopefully', 'Network', 'Good', 'Tight']</v>
      </c>
      <c r="D4041" s="3">
        <v>5.0</v>
      </c>
    </row>
    <row r="4042" ht="15.75" customHeight="1">
      <c r="A4042" s="1">
        <v>4324.0</v>
      </c>
      <c r="B4042" s="3" t="s">
        <v>3883</v>
      </c>
      <c r="C4042" s="3" t="str">
        <f>IFERROR(__xludf.DUMMYFUNCTION("GOOGLETRANSLATE(B4042,""id"",""en"")"),"['Telkomsel', 'help']")</f>
        <v>['Telkomsel', 'help']</v>
      </c>
      <c r="D4042" s="3">
        <v>5.0</v>
      </c>
    </row>
    <row r="4043" ht="15.75" customHeight="1">
      <c r="A4043" s="1">
        <v>4325.0</v>
      </c>
      <c r="B4043" s="3" t="s">
        <v>3884</v>
      </c>
      <c r="C4043" s="3" t="str">
        <f>IFERROR(__xludf.DUMMYFUNCTION("GOOGLETRANSLATE(B4043,""id"",""en"")"),"['Telkomsel', 'please', 'accelerated', 'network', 'cook', 'lose', 'card']")</f>
        <v>['Telkomsel', 'please', 'accelerated', 'network', 'cook', 'lose', 'card']</v>
      </c>
      <c r="D4043" s="3">
        <v>1.0</v>
      </c>
    </row>
    <row r="4044" ht="15.75" customHeight="1">
      <c r="A4044" s="1">
        <v>4326.0</v>
      </c>
      <c r="B4044" s="3" t="s">
        <v>3885</v>
      </c>
      <c r="C4044" s="3" t="str">
        <f>IFERROR(__xludf.DUMMYFUNCTION("GOOGLETRANSLATE(B4044,""id"",""en"")"),"['Applikas', 'Quality']")</f>
        <v>['Applikas', 'Quality']</v>
      </c>
      <c r="D4044" s="3">
        <v>1.0</v>
      </c>
    </row>
    <row r="4045" ht="15.75" customHeight="1">
      <c r="A4045" s="1">
        <v>4327.0</v>
      </c>
      <c r="B4045" s="3" t="s">
        <v>3886</v>
      </c>
      <c r="C4045" s="3" t="str">
        <f>IFERROR(__xludf.DUMMYFUNCTION("GOOGLETRANSLATE(B4045,""id"",""en"")"),"['good', '']")</f>
        <v>['good', '']</v>
      </c>
      <c r="D4045" s="3">
        <v>5.0</v>
      </c>
    </row>
    <row r="4046" ht="15.75" customHeight="1">
      <c r="A4046" s="1">
        <v>4328.0</v>
      </c>
      <c r="B4046" s="3" t="s">
        <v>3589</v>
      </c>
      <c r="C4046" s="3" t="str">
        <f>IFERROR(__xludf.DUMMYFUNCTION("GOOGLETRANSLATE(B4046,""id"",""en"")"),"['It's easier for']")</f>
        <v>['It's easier for']</v>
      </c>
      <c r="D4046" s="3">
        <v>5.0</v>
      </c>
    </row>
    <row r="4047" ht="15.75" customHeight="1">
      <c r="A4047" s="1">
        <v>4329.0</v>
      </c>
      <c r="B4047" s="3" t="s">
        <v>3887</v>
      </c>
      <c r="C4047" s="3" t="str">
        <f>IFERROR(__xludf.DUMMYFUNCTION("GOOGLETRANSLATE(B4047,""id"",""en"")"),"['Price', 'according to', 'satisfaction', 'love']")</f>
        <v>['Price', 'according to', 'satisfaction', 'love']</v>
      </c>
      <c r="D4047" s="3">
        <v>1.0</v>
      </c>
    </row>
    <row r="4048" ht="15.75" customHeight="1">
      <c r="A4048" s="1">
        <v>4331.0</v>
      </c>
      <c r="B4048" s="3" t="s">
        <v>3888</v>
      </c>
      <c r="C4048" s="3" t="str">
        <f>IFERROR(__xludf.DUMMYFUNCTION("GOOGLETRANSLATE(B4048,""id"",""en"")"),"['lbih', 'improved', 'Quality', 'Network', 'Region', 'Plosok']")</f>
        <v>['lbih', 'improved', 'Quality', 'Network', 'Region', 'Plosok']</v>
      </c>
      <c r="D4048" s="3">
        <v>5.0</v>
      </c>
    </row>
    <row r="4049" ht="15.75" customHeight="1">
      <c r="A4049" s="1">
        <v>4332.0</v>
      </c>
      <c r="B4049" s="3" t="s">
        <v>3889</v>
      </c>
      <c r="C4049" s="3" t="str">
        <f>IFERROR(__xludf.DUMMYFUNCTION("GOOGLETRANSLATE(B4049,""id"",""en"")"),"['Package', 'Combo', 'Sakti', 'unlimited', 'Yesterday', 'buy', 'error', 'pulse', 'already', 'buy', 'package', 'yesterday', ' Buy ',' Error ',' System ',' Litu ',' ']")</f>
        <v>['Package', 'Combo', 'Sakti', 'unlimited', 'Yesterday', 'buy', 'error', 'pulse', 'already', 'buy', 'package', 'yesterday', ' Buy ',' Error ',' System ',' Litu ',' ']</v>
      </c>
      <c r="D4049" s="3">
        <v>1.0</v>
      </c>
    </row>
    <row r="4050" ht="15.75" customHeight="1">
      <c r="A4050" s="1">
        <v>4333.0</v>
      </c>
      <c r="B4050" s="3" t="s">
        <v>3890</v>
      </c>
      <c r="C4050" s="3" t="str">
        <f>IFERROR(__xludf.DUMMYFUNCTION("GOOGLETRANSLATE(B4050,""id"",""en"")"),"['Blm', 'Tuker', 'Points']")</f>
        <v>['Blm', 'Tuker', 'Points']</v>
      </c>
      <c r="D4050" s="3">
        <v>5.0</v>
      </c>
    </row>
    <row r="4051" ht="15.75" customHeight="1">
      <c r="A4051" s="1">
        <v>4334.0</v>
      </c>
      <c r="B4051" s="3" t="s">
        <v>3891</v>
      </c>
      <c r="C4051" s="3" t="str">
        <f>IFERROR(__xludf.DUMMYFUNCTION("GOOGLETRANSLATE(B4051,""id"",""en"")"),"['live', 'pekanbaru', 'network', 'Telkomsel', 'Severe', 'times',' internet ',' kayak ',' baby ',' crawling ',' provider ',' old ',' run out ',' package ',' card ',' nhe ',' moved ',' provider ',' a year ',' use ',' internet ',' severe ']")</f>
        <v>['live', 'pekanbaru', 'network', 'Telkomsel', 'Severe', 'times',' internet ',' kayak ',' baby ',' crawling ',' provider ',' old ',' run out ',' package ',' card ',' nhe ',' moved ',' provider ',' a year ',' use ',' internet ',' severe ']</v>
      </c>
      <c r="D4051" s="3">
        <v>1.0</v>
      </c>
    </row>
    <row r="4052" ht="15.75" customHeight="1">
      <c r="A4052" s="1">
        <v>4335.0</v>
      </c>
      <c r="B4052" s="3" t="s">
        <v>3892</v>
      </c>
      <c r="C4052" s="3" t="str">
        <f>IFERROR(__xludf.DUMMYFUNCTION("GOOGLETRANSLATE(B4052,""id"",""en"")"),"['satisfying', 'login', 'fast']")</f>
        <v>['satisfying', 'login', 'fast']</v>
      </c>
      <c r="D4052" s="3">
        <v>5.0</v>
      </c>
    </row>
    <row r="4053" ht="15.75" customHeight="1">
      <c r="A4053" s="1">
        <v>4336.0</v>
      </c>
      <c r="B4053" s="3" t="s">
        <v>3893</v>
      </c>
      <c r="C4053" s="3" t="str">
        <f>IFERROR(__xludf.DUMMYFUNCTION("GOOGLETRANSLATE(B4053,""id"",""en"")"),"['Application', 'Help', 'Forward', 'Telkomsel', '']")</f>
        <v>['Application', 'Help', 'Forward', 'Telkomsel', '']</v>
      </c>
      <c r="D4053" s="3">
        <v>5.0</v>
      </c>
    </row>
    <row r="4054" ht="15.75" customHeight="1">
      <c r="A4054" s="1">
        <v>4337.0</v>
      </c>
      <c r="B4054" s="3" t="s">
        <v>3894</v>
      </c>
      <c r="C4054" s="3" t="str">
        <f>IFERROR(__xludf.DUMMYFUNCTION("GOOGLETRANSLATE(B4054,""id"",""en"")"),"['The network']")</f>
        <v>['The network']</v>
      </c>
      <c r="D4054" s="3">
        <v>5.0</v>
      </c>
    </row>
    <row r="4055" ht="15.75" customHeight="1">
      <c r="A4055" s="1">
        <v>4338.0</v>
      </c>
      <c r="B4055" s="3" t="s">
        <v>134</v>
      </c>
      <c r="C4055" s="3" t="str">
        <f>IFERROR(__xludf.DUMMYFUNCTION("GOOGLETRANSLATE(B4055,""id"",""en"")"),"['cool']")</f>
        <v>['cool']</v>
      </c>
      <c r="D4055" s="3">
        <v>5.0</v>
      </c>
    </row>
    <row r="4056" ht="15.75" customHeight="1">
      <c r="A4056" s="1">
        <v>4339.0</v>
      </c>
      <c r="B4056" s="3" t="s">
        <v>3895</v>
      </c>
      <c r="C4056" s="3" t="str">
        <f>IFERROR(__xludf.DUMMYFUNCTION("GOOGLETRANSLATE(B4056,""id"",""en"")"),"['Disappointed', 'Network', 'Telkomsel', 'Telkomsel', 'Network', 'Lost', 'Network', 'Please', 'Network', 'Makserve', 'User', 'Star']")</f>
        <v>['Disappointed', 'Network', 'Telkomsel', 'Telkomsel', 'Network', 'Lost', 'Network', 'Please', 'Network', 'Makserve', 'User', 'Star']</v>
      </c>
      <c r="D4056" s="3">
        <v>2.0</v>
      </c>
    </row>
    <row r="4057" ht="15.75" customHeight="1">
      <c r="A4057" s="1">
        <v>4340.0</v>
      </c>
      <c r="B4057" s="3" t="s">
        <v>3896</v>
      </c>
      <c r="C4057" s="3" t="str">
        <f>IFERROR(__xludf.DUMMYFUNCTION("GOOGLETRANSLATE(B4057,""id"",""en"")"),"['APK', 'Sometimes', 'Difficult', 'Open']")</f>
        <v>['APK', 'Sometimes', 'Difficult', 'Open']</v>
      </c>
      <c r="D4057" s="3">
        <v>3.0</v>
      </c>
    </row>
    <row r="4058" ht="15.75" customHeight="1">
      <c r="A4058" s="1">
        <v>4341.0</v>
      </c>
      <c r="B4058" s="3" t="s">
        <v>3897</v>
      </c>
      <c r="C4058" s="3" t="str">
        <f>IFERROR(__xludf.DUMMYFUNCTION("GOOGLETRANSLATE(B4058,""id"",""en"")"),"['Min', 'ngelek', 'right', 'play', 'game', 'buy', 'package', 'please', 'fix', 'min', 'difficult', 'play', ' Game ']")</f>
        <v>['Min', 'ngelek', 'right', 'play', 'game', 'buy', 'package', 'please', 'fix', 'min', 'difficult', 'play', ' Game ']</v>
      </c>
      <c r="D4058" s="3">
        <v>1.0</v>
      </c>
    </row>
    <row r="4059" ht="15.75" customHeight="1">
      <c r="A4059" s="1">
        <v>4342.0</v>
      </c>
      <c r="B4059" s="3" t="s">
        <v>3898</v>
      </c>
      <c r="C4059" s="3" t="str">
        <f>IFERROR(__xludf.DUMMYFUNCTION("GOOGLETRANSLATE(B4059,""id"",""en"")"),"['Severe', 'Application', 'Open', 'Network', 'Telkomsel', 'Lemot']")</f>
        <v>['Severe', 'Application', 'Open', 'Network', 'Telkomsel', 'Lemot']</v>
      </c>
      <c r="D4059" s="3">
        <v>2.0</v>
      </c>
    </row>
    <row r="4060" ht="15.75" customHeight="1">
      <c r="A4060" s="1">
        <v>4343.0</v>
      </c>
      <c r="B4060" s="3" t="s">
        <v>3899</v>
      </c>
      <c r="C4060" s="3" t="str">
        <f>IFERROR(__xludf.DUMMYFUNCTION("GOOGLETRANSLATE(B4060,""id"",""en"")"),"['Contents', 'Kouta', 'Vuocher', 'Masah', 'active', 'voucher', 'run out', 'right', 'fill', 'voucher', 'run out', 'please' repair']")</f>
        <v>['Contents', 'Kouta', 'Vuocher', 'Masah', 'active', 'voucher', 'run out', 'right', 'fill', 'voucher', 'run out', 'please' repair']</v>
      </c>
      <c r="D4060" s="3">
        <v>5.0</v>
      </c>
    </row>
    <row r="4061" ht="15.75" customHeight="1">
      <c r="A4061" s="1">
        <v>4344.0</v>
      </c>
      <c r="B4061" s="3" t="s">
        <v>3900</v>
      </c>
      <c r="C4061" s="3" t="str">
        <f>IFERROR(__xludf.DUMMYFUNCTION("GOOGLETRANSLATE(B4061,""id"",""en"")"),"['user', 'mytelkomsel', 'good', 'bnyak', 'vitur', 'dalma', 'trims', 'apk', 'telkomsel']")</f>
        <v>['user', 'mytelkomsel', 'good', 'bnyak', 'vitur', 'dalma', 'trims', 'apk', 'telkomsel']</v>
      </c>
      <c r="D4061" s="3">
        <v>5.0</v>
      </c>
    </row>
    <row r="4062" ht="15.75" customHeight="1">
      <c r="A4062" s="1">
        <v>4345.0</v>
      </c>
      <c r="B4062" s="3" t="s">
        <v>3901</v>
      </c>
      <c r="C4062" s="3" t="str">
        <f>IFERROR(__xludf.DUMMYFUNCTION("GOOGLETRANSLATE(B4062,""id"",""en"")"),"['Network', 'Telkomsel', 'County', 'Malang', 'Kecamatan', 'Kasembon', 'Bener', 'Juelek', 'TLFN', 'Difficult', 'Data', 'LTE', ' Signal ',' internet ',' Edge ',' Please ',' Bagusin ',' Establishing ',' Tower ',' GTU ',' Difficult ',' Child ',' Pas', 'Online"&amp;"', 'Nebeng' , 'neighbors',' Mulu ',' shame ',' sorry ',' sya ',' ksih ',' dlu ',' nnti ',' good ',' signal ',' telkomsel ',' bru ',' Sya ']")</f>
        <v>['Network', 'Telkomsel', 'County', 'Malang', 'Kecamatan', 'Kasembon', 'Bener', 'Juelek', 'TLFN', 'Difficult', 'Data', 'LTE', ' Signal ',' internet ',' Edge ',' Please ',' Bagusin ',' Establishing ',' Tower ',' GTU ',' Difficult ',' Child ',' Pas', 'Online', 'Nebeng' , 'neighbors',' Mulu ',' shame ',' sorry ',' sya ',' ksih ',' dlu ',' nnti ',' good ',' signal ',' telkomsel ',' bru ',' Sya ']</v>
      </c>
      <c r="D4062" s="3">
        <v>3.0</v>
      </c>
    </row>
    <row r="4063" ht="15.75" customHeight="1">
      <c r="A4063" s="1">
        <v>4346.0</v>
      </c>
      <c r="B4063" s="3" t="s">
        <v>3902</v>
      </c>
      <c r="C4063" s="3" t="str">
        <f>IFERROR(__xludf.DUMMYFUNCTION("GOOGLETRANSLATE(B4063,""id"",""en"")"),"['Internet', 'home']")</f>
        <v>['Internet', 'home']</v>
      </c>
      <c r="D4063" s="3">
        <v>5.0</v>
      </c>
    </row>
    <row r="4064" ht="15.75" customHeight="1">
      <c r="A4064" s="1">
        <v>4347.0</v>
      </c>
      <c r="B4064" s="3" t="s">
        <v>3903</v>
      </c>
      <c r="C4064" s="3" t="str">
        <f>IFERROR(__xludf.DUMMYFUNCTION("GOOGLETRANSLATE(B4064,""id"",""en"")"),"['Useful', 'really', 'application', 'thanks', 'Telkomsel']")</f>
        <v>['Useful', 'really', 'application', 'thanks', 'Telkomsel']</v>
      </c>
      <c r="D4064" s="3">
        <v>5.0</v>
      </c>
    </row>
    <row r="4065" ht="15.75" customHeight="1">
      <c r="A4065" s="1">
        <v>4348.0</v>
      </c>
      <c r="B4065" s="3" t="s">
        <v>3904</v>
      </c>
      <c r="C4065" s="3" t="str">
        <f>IFERROR(__xludf.DUMMYFUNCTION("GOOGLETRANSLATE(B4065,""id"",""en"")"),"['Service', 'offer', 'quota', 'internet', 'cheap', 'quality', 'network', 'steady', 'really', 'communicating', 'smooth', 'thank you', ' Success', 'Telkomsell', 'Hopefully', 'Considerate', 'Growing', 'Leading', 'Greetings',' Warm ',' User ',' Your Setia ', "&amp;"""]")</f>
        <v>['Service', 'offer', 'quota', 'internet', 'cheap', 'quality', 'network', 'steady', 'really', 'communicating', 'smooth', 'thank you', ' Success', 'Telkomsell', 'Hopefully', 'Considerate', 'Growing', 'Leading', 'Greetings',' Warm ',' User ',' Your Setia ', "]</v>
      </c>
      <c r="D4065" s="3">
        <v>5.0</v>
      </c>
    </row>
    <row r="4066" ht="15.75" customHeight="1">
      <c r="A4066" s="1">
        <v>4349.0</v>
      </c>
      <c r="B4066" s="3" t="s">
        <v>3905</v>
      </c>
      <c r="C4066" s="3" t="str">
        <f>IFERROR(__xludf.DUMMYFUNCTION("GOOGLETRANSLATE(B4066,""id"",""en"")"),"['AJG', 'APKEnet', 'watch', 'ICT', 'Tok', 'Lanjar', 'Jaya', 'Pakek', 'Main', 'Game', 'Ajg', 'Really' COK ',' Manyakin ',' sin ',' anjg ']")</f>
        <v>['AJG', 'APKEnet', 'watch', 'ICT', 'Tok', 'Lanjar', 'Jaya', 'Pakek', 'Main', 'Game', 'Ajg', 'Really' COK ',' Manyakin ',' sin ',' anjg ']</v>
      </c>
      <c r="D4066" s="3">
        <v>1.0</v>
      </c>
    </row>
    <row r="4067" ht="15.75" customHeight="1">
      <c r="A4067" s="1">
        <v>4350.0</v>
      </c>
      <c r="B4067" s="3" t="s">
        <v>3906</v>
      </c>
      <c r="C4067" s="3" t="str">
        <f>IFERROR(__xludf.DUMMYFUNCTION("GOOGLETRANSLATE(B4067,""id"",""en"")"),"['APK', 'Good', '']")</f>
        <v>['APK', 'Good', '']</v>
      </c>
      <c r="D4067" s="3">
        <v>5.0</v>
      </c>
    </row>
    <row r="4068" ht="15.75" customHeight="1">
      <c r="A4068" s="1">
        <v>4351.0</v>
      </c>
      <c r="B4068" s="3" t="s">
        <v>3907</v>
      </c>
      <c r="C4068" s="3" t="str">
        <f>IFERROR(__xludf.DUMMYFUNCTION("GOOGLETRANSLATE(B4068,""id"",""en"")"),"['Bagis', 'easy', 'smooth']")</f>
        <v>['Bagis', 'easy', 'smooth']</v>
      </c>
      <c r="D4068" s="3">
        <v>5.0</v>
      </c>
    </row>
    <row r="4069" ht="15.75" customHeight="1">
      <c r="A4069" s="1">
        <v>4352.0</v>
      </c>
      <c r="B4069" s="3" t="s">
        <v>3908</v>
      </c>
      <c r="C4069" s="3" t="str">
        <f>IFERROR(__xludf.DUMMYFUNCTION("GOOGLETRANSLATE(B4069,""id"",""en"")"),"['The network', 'Good']")</f>
        <v>['The network', 'Good']</v>
      </c>
      <c r="D4069" s="3">
        <v>5.0</v>
      </c>
    </row>
    <row r="4070" ht="15.75" customHeight="1">
      <c r="A4070" s="1">
        <v>4353.0</v>
      </c>
      <c r="B4070" s="3" t="s">
        <v>3909</v>
      </c>
      <c r="C4070" s="3" t="str">
        <f>IFERROR(__xludf.DUMMYFUNCTION("GOOGLETRANSLATE(B4070,""id"",""en"")"),"['fast', 'process']")</f>
        <v>['fast', 'process']</v>
      </c>
      <c r="D4070" s="3">
        <v>5.0</v>
      </c>
    </row>
    <row r="4071" ht="15.75" customHeight="1">
      <c r="A4071" s="1">
        <v>4354.0</v>
      </c>
      <c r="B4071" s="3" t="s">
        <v>3910</v>
      </c>
      <c r="C4071" s="3" t="str">
        <f>IFERROR(__xludf.DUMMYFUNCTION("GOOGLETRANSLATE(B4071,""id"",""en"")"),"['Sanagat', 'Beguna']")</f>
        <v>['Sanagat', 'Beguna']</v>
      </c>
      <c r="D4071" s="3">
        <v>5.0</v>
      </c>
    </row>
    <row r="4072" ht="15.75" customHeight="1">
      <c r="A4072" s="1">
        <v>4355.0</v>
      </c>
      <c r="B4072" s="3" t="s">
        <v>3911</v>
      </c>
      <c r="C4072" s="3" t="str">
        <f>IFERROR(__xludf.DUMMYFUNCTION("GOOGLETRANSLATE(B4072,""id"",""en"")"),"['signal', 'Nge', 'lag', 'like', 'move', 'operator', 'Benerin', 'the network']")</f>
        <v>['signal', 'Nge', 'lag', 'like', 'move', 'operator', 'Benerin', 'the network']</v>
      </c>
      <c r="D4072" s="3">
        <v>1.0</v>
      </c>
    </row>
    <row r="4073" ht="15.75" customHeight="1">
      <c r="A4073" s="1">
        <v>4356.0</v>
      </c>
      <c r="B4073" s="3" t="s">
        <v>3912</v>
      </c>
      <c r="C4073" s="3" t="str">
        <f>IFERROR(__xludf.DUMMYFUNCTION("GOOGLETRANSLATE(B4073,""id"",""en"")"),"['Application', 'Mantab', 'package', 'internet', 'choice', 'affordable', 'network', 'like', 'error', 'maintenance', 'no', 'understand', ' run out ',' no ',' information ',' tks', 'Telkomsel']")</f>
        <v>['Application', 'Mantab', 'package', 'internet', 'choice', 'affordable', 'network', 'like', 'error', 'maintenance', 'no', 'understand', ' run out ',' no ',' information ',' tks', 'Telkomsel']</v>
      </c>
      <c r="D4073" s="3">
        <v>5.0</v>
      </c>
    </row>
    <row r="4074" ht="15.75" customHeight="1">
      <c r="A4074" s="1">
        <v>4357.0</v>
      </c>
      <c r="B4074" s="3" t="s">
        <v>3913</v>
      </c>
      <c r="C4074" s="3" t="str">
        <f>IFERROR(__xludf.DUMMYFUNCTION("GOOGLETRANSLATE(B4074,""id"",""en"")"),"['What', 'Network', 'slow', 'UDH', 'comment', 'Many', 'forgiveness',' UDH ',' package ',' expensive ',' forgiveness', 'signal', ' ugly ',' severe ',' ']")</f>
        <v>['What', 'Network', 'slow', 'UDH', 'comment', 'Many', 'forgiveness',' UDH ',' package ',' expensive ',' forgiveness', 'signal', ' ugly ',' severe ',' ']</v>
      </c>
      <c r="D4074" s="3">
        <v>1.0</v>
      </c>
    </row>
    <row r="4075" ht="15.75" customHeight="1">
      <c r="A4075" s="1">
        <v>4358.0</v>
      </c>
      <c r="B4075" s="3" t="s">
        <v>3914</v>
      </c>
      <c r="C4075" s="3" t="str">
        <f>IFERROR(__xludf.DUMMYFUNCTION("GOOGLETRANSLATE(B4075,""id"",""en"")"),"['signal', 'here', 'severe', 'bad', 'kayak', 'taex', ""]")</f>
        <v>['signal', 'here', 'severe', 'bad', 'kayak', 'taex', "]</v>
      </c>
      <c r="D4075" s="3">
        <v>1.0</v>
      </c>
    </row>
    <row r="4076" ht="15.75" customHeight="1">
      <c r="A4076" s="1">
        <v>4359.0</v>
      </c>
      <c r="B4076" s="3" t="s">
        <v>3915</v>
      </c>
      <c r="C4076" s="3" t="str">
        <f>IFERROR(__xludf.DUMMYFUNCTION("GOOGLETRANSLATE(B4076,""id"",""en"")"),"['Good', 'makes it easy', 'see', 'Information']")</f>
        <v>['Good', 'makes it easy', 'see', 'Information']</v>
      </c>
      <c r="D4076" s="3">
        <v>5.0</v>
      </c>
    </row>
    <row r="4077" ht="15.75" customHeight="1">
      <c r="A4077" s="1">
        <v>4360.0</v>
      </c>
      <c r="B4077" s="3" t="s">
        <v>3916</v>
      </c>
      <c r="C4077" s="3" t="str">
        <f>IFERROR(__xludf.DUMMYFUNCTION("GOOGLETRANSLATE(B4077,""id"",""en"")"),"['', 'Help', 'users', 'Telkomsel', '']")</f>
        <v>['', 'Help', 'users', 'Telkomsel', '']</v>
      </c>
      <c r="D4077" s="3">
        <v>5.0</v>
      </c>
    </row>
    <row r="4078" ht="15.75" customHeight="1">
      <c r="A4078" s="1">
        <v>4361.0</v>
      </c>
      <c r="B4078" s="3" t="s">
        <v>3917</v>
      </c>
      <c r="C4078" s="3" t="str">
        <f>IFERROR(__xludf.DUMMYFUNCTION("GOOGLETRANSLATE(B4078,""id"",""en"")"),"['Enter', 'Hackha', 'SMPUN', '']")</f>
        <v>['Enter', 'Hackha', 'SMPUN', '']</v>
      </c>
      <c r="D4078" s="3">
        <v>2.0</v>
      </c>
    </row>
    <row r="4079" ht="15.75" customHeight="1">
      <c r="A4079" s="1">
        <v>4362.0</v>
      </c>
      <c r="B4079" s="3" t="s">
        <v>3918</v>
      </c>
      <c r="C4079" s="3" t="str">
        <f>IFERROR(__xludf.DUMMYFUNCTION("GOOGLETRANSLATE(B4079,""id"",""en"")"),"['move', 'home', 'search', 'signal', 'good', '']")</f>
        <v>['move', 'home', 'search', 'signal', 'good', '']</v>
      </c>
      <c r="D4079" s="3">
        <v>3.0</v>
      </c>
    </row>
    <row r="4080" ht="15.75" customHeight="1">
      <c r="A4080" s="1">
        <v>4363.0</v>
      </c>
      <c r="B4080" s="3" t="s">
        <v>2019</v>
      </c>
      <c r="C4080" s="3" t="str">
        <f>IFERROR(__xludf.DUMMYFUNCTION("GOOGLETRANSLATE(B4080,""id"",""en"")"),"['Telkomsel', 'good']")</f>
        <v>['Telkomsel', 'good']</v>
      </c>
      <c r="D4080" s="3">
        <v>5.0</v>
      </c>
    </row>
    <row r="4081" ht="15.75" customHeight="1">
      <c r="A4081" s="1">
        <v>4364.0</v>
      </c>
      <c r="B4081" s="3" t="s">
        <v>3919</v>
      </c>
      <c r="C4081" s="3" t="str">
        <f>IFERROR(__xludf.DUMMYFUNCTION("GOOGLETRANSLATE(B4081,""id"",""en"")"),"['Seneng', 'promo', 'barokallahu', 'fiik']")</f>
        <v>['Seneng', 'promo', 'barokallahu', 'fiik']</v>
      </c>
      <c r="D4081" s="3">
        <v>5.0</v>
      </c>
    </row>
    <row r="4082" ht="15.75" customHeight="1">
      <c r="A4082" s="1">
        <v>4365.0</v>
      </c>
      <c r="B4082" s="3" t="s">
        <v>3920</v>
      </c>
      <c r="C4082" s="3" t="str">
        <f>IFERROR(__xludf.DUMMYFUNCTION("GOOGLETRANSLATE(B4082,""id"",""en"")"),"['signal', 'severe', 'already', 'week', 'replace', 'card']")</f>
        <v>['signal', 'severe', 'already', 'week', 'replace', 'card']</v>
      </c>
      <c r="D4082" s="3">
        <v>1.0</v>
      </c>
    </row>
    <row r="4083" ht="15.75" customHeight="1">
      <c r="A4083" s="1">
        <v>4366.0</v>
      </c>
      <c r="B4083" s="3" t="s">
        <v>3921</v>
      </c>
      <c r="C4083" s="3" t="str">
        <f>IFERROR(__xludf.DUMMYFUNCTION("GOOGLETRANSLATE(B4083,""id"",""en"")"),"['Good', 'Telkomsel', 'Fast', 'Easy', 'Layday', 'Undi', 'Hepi', 'FAILURE', 'TERX', 'Points',' Hundreds', 'hundred', ' exchanged ',' hope ',' times', 'sustenance', '']")</f>
        <v>['Good', 'Telkomsel', 'Fast', 'Easy', 'Layday', 'Undi', 'Hepi', 'FAILURE', 'TERX', 'Points',' Hundreds', 'hundred', ' exchanged ',' hope ',' times', 'sustenance', '']</v>
      </c>
      <c r="D4083" s="3">
        <v>5.0</v>
      </c>
    </row>
    <row r="4084" ht="15.75" customHeight="1">
      <c r="A4084" s="1">
        <v>4367.0</v>
      </c>
      <c r="B4084" s="3" t="s">
        <v>3922</v>
      </c>
      <c r="C4084" s="3" t="str">
        <f>IFERROR(__xludf.DUMMYFUNCTION("GOOGLETRANSLATE(B4084,""id"",""en"")"),"['network', 'tekomsel', 'ugly', 'rich', 'severe', 'really', 'his web']")</f>
        <v>['network', 'tekomsel', 'ugly', 'rich', 'severe', 'really', 'his web']</v>
      </c>
      <c r="D4084" s="3">
        <v>1.0</v>
      </c>
    </row>
    <row r="4085" ht="15.75" customHeight="1">
      <c r="A4085" s="1">
        <v>4368.0</v>
      </c>
      <c r="B4085" s="3" t="s">
        <v>3923</v>
      </c>
      <c r="C4085" s="3" t="str">
        <f>IFERROR(__xludf.DUMMYFUNCTION("GOOGLETRANSLATE(B4085,""id"",""en"")"),"['easy', 'cheap']")</f>
        <v>['easy', 'cheap']</v>
      </c>
      <c r="D4085" s="3">
        <v>5.0</v>
      </c>
    </row>
    <row r="4086" ht="15.75" customHeight="1">
      <c r="A4086" s="1">
        <v>4369.0</v>
      </c>
      <c r="B4086" s="3" t="s">
        <v>3924</v>
      </c>
      <c r="C4086" s="3" t="str">
        <f>IFERROR(__xludf.DUMMYFUNCTION("GOOGLETRANSLATE(B4086,""id"",""en"")"),"['Price', 'Different', 'My friend', 'Get', 'Kombo', 'Sakti', 'Cheap']")</f>
        <v>['Price', 'Different', 'My friend', 'Get', 'Kombo', 'Sakti', 'Cheap']</v>
      </c>
      <c r="D4086" s="3">
        <v>3.0</v>
      </c>
    </row>
    <row r="4087" ht="15.75" customHeight="1">
      <c r="A4087" s="1">
        <v>4370.0</v>
      </c>
      <c r="B4087" s="3" t="s">
        <v>3925</v>
      </c>
      <c r="C4087" s="3" t="str">
        <f>IFERROR(__xludf.DUMMYFUNCTION("GOOGLETRANSLATE(B4087,""id"",""en"")"),"['Application', 'Best', '']")</f>
        <v>['Application', 'Best', '']</v>
      </c>
      <c r="D4087" s="3">
        <v>4.0</v>
      </c>
    </row>
    <row r="4088" ht="15.75" customHeight="1">
      <c r="A4088" s="1">
        <v>4371.0</v>
      </c>
      <c r="B4088" s="3" t="s">
        <v>3926</v>
      </c>
      <c r="C4088" s="3" t="str">
        <f>IFERROR(__xludf.DUMMYFUNCTION("GOOGLETRANSLATE(B4088,""id"",""en"")"),"['With you', 'Telkomsel', 'quota', 'expensive', 'card', 'signal', 'severe', 'gini', 'price', 'quality']")</f>
        <v>['With you', 'Telkomsel', 'quota', 'expensive', 'card', 'signal', 'severe', 'gini', 'price', 'quality']</v>
      </c>
      <c r="D4088" s="3">
        <v>1.0</v>
      </c>
    </row>
    <row r="4089" ht="15.75" customHeight="1">
      <c r="A4089" s="1">
        <v>4372.0</v>
      </c>
      <c r="B4089" s="3" t="s">
        <v>3927</v>
      </c>
      <c r="C4089" s="3" t="str">
        <f>IFERROR(__xludf.DUMMYFUNCTION("GOOGLETRANSLATE(B4089,""id"",""en"")"),"['giman', 'min', 'udh', 'buy', 'package', 'unlimited', 'youtube', 'sucked', 'kouta', 'main', 'pulse', 'sumps']")</f>
        <v>['giman', 'min', 'udh', 'buy', 'package', 'unlimited', 'youtube', 'sucked', 'kouta', 'main', 'pulse', 'sumps']</v>
      </c>
      <c r="D4089" s="3">
        <v>1.0</v>
      </c>
    </row>
    <row r="4090" ht="15.75" customHeight="1">
      <c r="A4090" s="1">
        <v>4373.0</v>
      </c>
      <c r="B4090" s="3" t="s">
        <v>2719</v>
      </c>
      <c r="C4090" s="3" t="str">
        <f>IFERROR(__xludf.DUMMYFUNCTION("GOOGLETRANSLATE(B4090,""id"",""en"")"),"['Lally', 'promo']")</f>
        <v>['Lally', 'promo']</v>
      </c>
      <c r="D4090" s="3">
        <v>5.0</v>
      </c>
    </row>
    <row r="4091" ht="15.75" customHeight="1">
      <c r="A4091" s="1">
        <v>4374.0</v>
      </c>
      <c r="B4091" s="3" t="s">
        <v>3928</v>
      </c>
      <c r="C4091" s="3" t="str">
        <f>IFERROR(__xludf.DUMMYFUNCTION("GOOGLETRANSLATE(B4091,""id"",""en"")"),"['Good', 'mmbantu']")</f>
        <v>['Good', 'mmbantu']</v>
      </c>
      <c r="D4091" s="3">
        <v>5.0</v>
      </c>
    </row>
    <row r="4092" ht="15.75" customHeight="1">
      <c r="A4092" s="1">
        <v>4375.0</v>
      </c>
      <c r="B4092" s="3" t="s">
        <v>3929</v>
      </c>
      <c r="C4092" s="3" t="str">
        <f>IFERROR(__xludf.DUMMYFUNCTION("GOOGLETRANSLATE(B4092,""id"",""en"")"),"['Network', 'good', 'disconnected', 'broke', 'trs', 'kalu', 'tilpon']")</f>
        <v>['Network', 'good', 'disconnected', 'broke', 'trs', 'kalu', 'tilpon']</v>
      </c>
      <c r="D4092" s="3">
        <v>1.0</v>
      </c>
    </row>
    <row r="4093" ht="15.75" customHeight="1">
      <c r="A4093" s="1">
        <v>4376.0</v>
      </c>
      <c r="B4093" s="3" t="s">
        <v>3930</v>
      </c>
      <c r="C4093" s="3" t="str">
        <f>IFERROR(__xludf.DUMMYFUNCTION("GOOGLETRANSLATE(B4093,""id"",""en"")"),"['mantaaap', 'package']")</f>
        <v>['mantaaap', 'package']</v>
      </c>
      <c r="D4093" s="3">
        <v>5.0</v>
      </c>
    </row>
    <row r="4094" ht="15.75" customHeight="1">
      <c r="A4094" s="1">
        <v>4377.0</v>
      </c>
      <c r="B4094" s="3" t="s">
        <v>3931</v>
      </c>
      <c r="C4094" s="3" t="str">
        <f>IFERROR(__xludf.DUMMYFUNCTION("GOOGLETRANSLATE(B4094,""id"",""en"")"),"['application', 'good', 'really', 'promo', 'interesting', 'thanks', 'telkomsel', 'hope', 'fore', 'user']")</f>
        <v>['application', 'good', 'really', 'promo', 'interesting', 'thanks', 'telkomsel', 'hope', 'fore', 'user']</v>
      </c>
      <c r="D4094" s="3">
        <v>5.0</v>
      </c>
    </row>
    <row r="4095" ht="15.75" customHeight="1">
      <c r="A4095" s="1">
        <v>4378.0</v>
      </c>
      <c r="B4095" s="3" t="s">
        <v>3932</v>
      </c>
      <c r="C4095" s="3" t="str">
        <f>IFERROR(__xludf.DUMMYFUNCTION("GOOGLETRANSLATE(B4095,""id"",""en"")"),"['It's easy', 'buy', 'package', 'data']")</f>
        <v>['It's easy', 'buy', 'package', 'data']</v>
      </c>
      <c r="D4095" s="3">
        <v>5.0</v>
      </c>
    </row>
    <row r="4096" ht="15.75" customHeight="1">
      <c r="A4096" s="1">
        <v>4379.0</v>
      </c>
      <c r="B4096" s="3" t="s">
        <v>3933</v>
      </c>
      <c r="C4096" s="3" t="str">
        <f>IFERROR(__xludf.DUMMYFUNCTION("GOOGLETRANSLATE(B4096,""id"",""en"")"),"['Disappointed', 'Package', 'Combo', 'Sakti', 'Distribution', 'evenly', 'quota', 'main', 'quota', 'sosmet', 'sdgkan', 'quota', ' main ',' priority ',' HBS ',' Dluan ',' Open ',' YouTube ',' Kcptan ',' smpe ',' kbps', 'road', 'road', 'video', 'kyk' , 'slow"&amp;"ed', 'conflict', 'slow', 'lbh', 'choose', 'buy', 'rbbi', 'pmbgian', 'wlupn', 'unlimited', 'kenceng', 'star', ' ']")</f>
        <v>['Disappointed', 'Package', 'Combo', 'Sakti', 'Distribution', 'evenly', 'quota', 'main', 'quota', 'sosmet', 'sdgkan', 'quota', ' main ',' priority ',' HBS ',' Dluan ',' Open ',' YouTube ',' Kcptan ',' smpe ',' kbps', 'road', 'road', 'video', 'kyk' , 'slowed', 'conflict', 'slow', 'lbh', 'choose', 'buy', 'rbbi', 'pmbgian', 'wlupn', 'unlimited', 'kenceng', 'star', ' ']</v>
      </c>
      <c r="D4096" s="3">
        <v>3.0</v>
      </c>
    </row>
    <row r="4097" ht="15.75" customHeight="1">
      <c r="A4097" s="1">
        <v>4380.0</v>
      </c>
      <c r="B4097" s="3" t="s">
        <v>3934</v>
      </c>
      <c r="C4097" s="3" t="str">
        <f>IFERROR(__xludf.DUMMYFUNCTION("GOOGLETRANSLATE(B4097,""id"",""en"")"),"['Good', 'Increase']")</f>
        <v>['Good', 'Increase']</v>
      </c>
      <c r="D4097" s="3">
        <v>5.0</v>
      </c>
    </row>
    <row r="4098" ht="15.75" customHeight="1">
      <c r="A4098" s="1">
        <v>4381.0</v>
      </c>
      <c r="B4098" s="3" t="s">
        <v>3935</v>
      </c>
      <c r="C4098" s="3" t="str">
        <f>IFERROR(__xludf.DUMMYFUNCTION("GOOGLETRANSLATE(B4098,""id"",""en"")"),"['Install', 'MyTelkomsel', 'Pixel', 'Android', 'installed']")</f>
        <v>['Install', 'MyTelkomsel', 'Pixel', 'Android', 'installed']</v>
      </c>
      <c r="D4098" s="3">
        <v>3.0</v>
      </c>
    </row>
    <row r="4099" ht="15.75" customHeight="1">
      <c r="A4099" s="1">
        <v>4382.0</v>
      </c>
      <c r="B4099" s="3" t="s">
        <v>3936</v>
      </c>
      <c r="C4099" s="3" t="str">
        <f>IFERROR(__xludf.DUMMYFUNCTION("GOOGLETRANSLATE(B4099,""id"",""en"")"),"['Hello', 'package', 'night', 'function', 'because' sometimes ',' package ',' clock ',' drained ',' use ',' clock ',' night ',' Kalai ',' clock ',' night ',' cut ',' package ',' night ',' please ',' clarity ']")</f>
        <v>['Hello', 'package', 'night', 'function', 'because' sometimes ',' package ',' clock ',' drained ',' use ',' clock ',' night ',' Kalai ',' clock ',' night ',' cut ',' package ',' night ',' please ',' clarity ']</v>
      </c>
      <c r="D4099" s="3">
        <v>1.0</v>
      </c>
    </row>
    <row r="4100" ht="15.75" customHeight="1">
      <c r="A4100" s="1">
        <v>4383.0</v>
      </c>
      <c r="B4100" s="3" t="s">
        <v>2019</v>
      </c>
      <c r="C4100" s="3" t="str">
        <f>IFERROR(__xludf.DUMMYFUNCTION("GOOGLETRANSLATE(B4100,""id"",""en"")"),"['Telkomsel', 'good']")</f>
        <v>['Telkomsel', 'good']</v>
      </c>
      <c r="D4100" s="3">
        <v>5.0</v>
      </c>
    </row>
    <row r="4101" ht="15.75" customHeight="1">
      <c r="A4101" s="1">
        <v>4384.0</v>
      </c>
      <c r="B4101" s="3" t="s">
        <v>3937</v>
      </c>
      <c r="C4101" s="3" t="str">
        <f>IFERROR(__xludf.DUMMYFUNCTION("GOOGLETRANSLATE(B4101,""id"",""en"")"),"['Network', 'best']")</f>
        <v>['Network', 'best']</v>
      </c>
      <c r="D4101" s="3">
        <v>5.0</v>
      </c>
    </row>
    <row r="4102" ht="15.75" customHeight="1">
      <c r="A4102" s="1">
        <v>4385.0</v>
      </c>
      <c r="B4102" s="3" t="s">
        <v>3938</v>
      </c>
      <c r="C4102" s="3" t="str">
        <f>IFERROR(__xludf.DUMMYFUNCTION("GOOGLETRANSLATE(B4102,""id"",""en"")"),"['network', 'internet', 'at home', 'stay', 'kel', 'rantau', 'kec', 'tumbai', 'west', 'package', 'hope', 'Telkomsel', ' "", 'fix', 'obstacle', 'tks']")</f>
        <v>['network', 'internet', 'at home', 'stay', 'kel', 'rantau', 'kec', 'tumbai', 'west', 'package', 'hope', 'Telkomsel', ' ", 'fix', 'obstacle', 'tks']</v>
      </c>
      <c r="D4102" s="3">
        <v>5.0</v>
      </c>
    </row>
    <row r="4103" ht="15.75" customHeight="1">
      <c r="A4103" s="1">
        <v>4386.0</v>
      </c>
      <c r="B4103" s="3" t="s">
        <v>3939</v>
      </c>
      <c r="C4103" s="3" t="str">
        <f>IFERROR(__xludf.DUMMYFUNCTION("GOOGLETRANSLATE(B4103,""id"",""en"")"),"['users',' Telkomsel ',' Thun ',' if ',' network ',' make sure ',' tomorrow ',' change ',' card ',' darling ',' network ',' Telkomsel ',' Telkomsel ',' Win ',' Movers', 'Manjadi', 'Choice', 'Cook', 'Network', 'Soon', 'Error', 'TDAK', 'Card', 'Telkomsel', "&amp;"'Paketan' , 'cheap', 'network', 'class', 'teri', 'please', 'fix', 'person', 'move', 'wifi']")</f>
        <v>['users',' Telkomsel ',' Thun ',' if ',' network ',' make sure ',' tomorrow ',' change ',' card ',' darling ',' network ',' Telkomsel ',' Telkomsel ',' Win ',' Movers', 'Manjadi', 'Choice', 'Cook', 'Network', 'Soon', 'Error', 'TDAK', 'Card', 'Telkomsel', 'Paketan' , 'cheap', 'network', 'class', 'teri', 'please', 'fix', 'person', 'move', 'wifi']</v>
      </c>
      <c r="D4103" s="3">
        <v>1.0</v>
      </c>
    </row>
    <row r="4104" ht="15.75" customHeight="1">
      <c r="A4104" s="1">
        <v>4387.0</v>
      </c>
      <c r="B4104" s="3" t="s">
        <v>3397</v>
      </c>
      <c r="C4104" s="3" t="str">
        <f>IFERROR(__xludf.DUMMYFUNCTION("GOOGLETRANSLATE(B4104,""id"",""en"")"),"['like']")</f>
        <v>['like']</v>
      </c>
      <c r="D4104" s="3">
        <v>5.0</v>
      </c>
    </row>
    <row r="4105" ht="15.75" customHeight="1">
      <c r="A4105" s="1">
        <v>4388.0</v>
      </c>
      <c r="B4105" s="3" t="s">
        <v>3940</v>
      </c>
      <c r="C4105" s="3" t="str">
        <f>IFERROR(__xludf.DUMMYFUNCTION("GOOGLETRANSLATE(B4105,""id"",""en"")"),"['The network', 'Normal']")</f>
        <v>['The network', 'Normal']</v>
      </c>
      <c r="D4105" s="3">
        <v>3.0</v>
      </c>
    </row>
    <row r="4106" ht="15.75" customHeight="1">
      <c r="A4106" s="1">
        <v>4389.0</v>
      </c>
      <c r="B4106" s="3" t="s">
        <v>3941</v>
      </c>
      <c r="C4106" s="3" t="str">
        <f>IFERROR(__xludf.DUMMYFUNCTION("GOOGLETRANSLATE(B4106,""id"",""en"")"),"['Want', 'Hat', ""]")</f>
        <v>['Want', 'Hat', "]</v>
      </c>
      <c r="D4106" s="3">
        <v>5.0</v>
      </c>
    </row>
    <row r="4107" ht="15.75" customHeight="1">
      <c r="A4107" s="1">
        <v>4390.0</v>
      </c>
      <c r="B4107" s="3" t="s">
        <v>3942</v>
      </c>
      <c r="C4107" s="3" t="str">
        <f>IFERROR(__xludf.DUMMYFUNCTION("GOOGLETRANSLATE(B4107,""id"",""en"")"),"['Please', 'signal', 'remote', 'increase', 'fix', 'sya', 'yrs', 'dlalu', 'Telkomsel']")</f>
        <v>['Please', 'signal', 'remote', 'increase', 'fix', 'sya', 'yrs', 'dlalu', 'Telkomsel']</v>
      </c>
      <c r="D4107" s="3">
        <v>5.0</v>
      </c>
    </row>
    <row r="4108" ht="15.75" customHeight="1">
      <c r="A4108" s="1">
        <v>4391.0</v>
      </c>
      <c r="B4108" s="3" t="s">
        <v>3943</v>
      </c>
      <c r="C4108" s="3" t="str">
        <f>IFERROR(__xludf.DUMMYFUNCTION("GOOGLETRANSLATE(B4108,""id"",""en"")"),"['package', 'internet', 'telephone', 'expensive']")</f>
        <v>['package', 'internet', 'telephone', 'expensive']</v>
      </c>
      <c r="D4108" s="3">
        <v>3.0</v>
      </c>
    </row>
    <row r="4109" ht="15.75" customHeight="1">
      <c r="A4109" s="1">
        <v>4392.0</v>
      </c>
      <c r="B4109" s="3" t="s">
        <v>3944</v>
      </c>
      <c r="C4109" s="3" t="str">
        <f>IFERROR(__xludf.DUMMYFUNCTION("GOOGLETRANSLATE(B4109,""id"",""en"")"),"['application', 'KNTL', 'quota', 'unlimited', 'wasteful', 'really', 'open', 'facebook', 'little', 'drained', ""]")</f>
        <v>['application', 'KNTL', 'quota', 'unlimited', 'wasteful', 'really', 'open', 'facebook', 'little', 'drained', "]</v>
      </c>
      <c r="D4109" s="3">
        <v>1.0</v>
      </c>
    </row>
    <row r="4110" ht="15.75" customHeight="1">
      <c r="A4110" s="1">
        <v>4393.0</v>
      </c>
      <c r="B4110" s="3" t="s">
        <v>3945</v>
      </c>
      <c r="C4110" s="3" t="str">
        <f>IFERROR(__xludf.DUMMYFUNCTION("GOOGLETRANSLATE(B4110,""id"",""en"")"),"['satisfaction', 'user', 'Telkomsel']")</f>
        <v>['satisfaction', 'user', 'Telkomsel']</v>
      </c>
      <c r="D4110" s="3">
        <v>4.0</v>
      </c>
    </row>
    <row r="4111" ht="15.75" customHeight="1">
      <c r="A4111" s="1">
        <v>4394.0</v>
      </c>
      <c r="B4111" s="3" t="s">
        <v>122</v>
      </c>
      <c r="C4111" s="3" t="str">
        <f>IFERROR(__xludf.DUMMYFUNCTION("GOOGLETRANSLATE(B4111,""id"",""en"")"),"['easy']")</f>
        <v>['easy']</v>
      </c>
      <c r="D4111" s="3">
        <v>5.0</v>
      </c>
    </row>
    <row r="4112" ht="15.75" customHeight="1">
      <c r="A4112" s="1">
        <v>4395.0</v>
      </c>
      <c r="B4112" s="3" t="s">
        <v>3946</v>
      </c>
      <c r="C4112" s="3" t="str">
        <f>IFERROR(__xludf.DUMMYFUNCTION("GOOGLETRANSLATE(B4112,""id"",""en"")"),"['Please', 'BANT', 'Telkomsel', 'Give', 'Signal', 'Jan', 'Slow', 'Game', 'Liat', 'Hard', 'Buy', 'Quota', ' expensive ',' signal ',' slow ',' please ',' fix ',' signal ',' Telkomsel ', ""]")</f>
        <v>['Please', 'BANT', 'Telkomsel', 'Give', 'Signal', 'Jan', 'Slow', 'Game', 'Liat', 'Hard', 'Buy', 'Quota', ' expensive ',' signal ',' slow ',' please ',' fix ',' signal ',' Telkomsel ', "]</v>
      </c>
      <c r="D4112" s="3">
        <v>1.0</v>
      </c>
    </row>
    <row r="4113" ht="15.75" customHeight="1">
      <c r="A4113" s="1">
        <v>4396.0</v>
      </c>
      <c r="B4113" s="3" t="s">
        <v>3947</v>
      </c>
      <c r="C4113" s="3" t="str">
        <f>IFERROR(__xludf.DUMMYFUNCTION("GOOGLETRANSLATE(B4113,""id"",""en"")"),"['Good', 'like']")</f>
        <v>['Good', 'like']</v>
      </c>
      <c r="D4113" s="3">
        <v>5.0</v>
      </c>
    </row>
    <row r="4114" ht="15.75" customHeight="1">
      <c r="A4114" s="1">
        <v>4397.0</v>
      </c>
      <c r="B4114" s="3" t="s">
        <v>3948</v>
      </c>
      <c r="C4114" s="3" t="str">
        <f>IFERROR(__xludf.DUMMYFUNCTION("GOOGLETRANSLATE(B4114,""id"",""en"")"),"['told', 'update', 'signal', 'smooth', 'right', 'open', 'rich', 'kecottt', 'signal', 'down', 'keep', 'fix', ' Your signal ',' Telkomsell ',' ']")</f>
        <v>['told', 'update', 'signal', 'smooth', 'right', 'open', 'rich', 'kecottt', 'signal', 'down', 'keep', 'fix', ' Your signal ',' Telkomsell ',' ']</v>
      </c>
      <c r="D4114" s="3">
        <v>1.0</v>
      </c>
    </row>
    <row r="4115" ht="15.75" customHeight="1">
      <c r="A4115" s="1">
        <v>4398.0</v>
      </c>
      <c r="B4115" s="3" t="s">
        <v>3949</v>
      </c>
      <c r="C4115" s="3" t="str">
        <f>IFERROR(__xludf.DUMMYFUNCTION("GOOGLETRANSLATE(B4115,""id"",""en"")"),"['Telkomsel', 'signal', 'ugly', 'Different', 'signal', 'stable', 'missing', 'package', 'use', ""]")</f>
        <v>['Telkomsel', 'signal', 'ugly', 'Different', 'signal', 'stable', 'missing', 'package', 'use', "]</v>
      </c>
      <c r="D4115" s="3">
        <v>1.0</v>
      </c>
    </row>
    <row r="4116" ht="15.75" customHeight="1">
      <c r="A4116" s="1">
        <v>4399.0</v>
      </c>
      <c r="B4116" s="3" t="s">
        <v>3950</v>
      </c>
      <c r="C4116" s="3" t="str">
        <f>IFERROR(__xludf.DUMMYFUNCTION("GOOGLETRANSLATE(B4116,""id"",""en"")"),"['card', 'cool', 'in my opinion', 'good', 'cheap', 'cheap', 'get', 'really', 'like', 'staying up']")</f>
        <v>['card', 'cool', 'in my opinion', 'good', 'cheap', 'cheap', 'get', 'really', 'like', 'staying up']</v>
      </c>
      <c r="D4116" s="3">
        <v>5.0</v>
      </c>
    </row>
    <row r="4117" ht="15.75" customHeight="1">
      <c r="A4117" s="1">
        <v>4400.0</v>
      </c>
      <c r="B4117" s="3" t="s">
        <v>3951</v>
      </c>
      <c r="C4117" s="3" t="str">
        <f>IFERROR(__xludf.DUMMYFUNCTION("GOOGLETRANSLATE(B4117,""id"",""en"")"),"['right', 'vertification', 'enter', 'gmail', 'gabisa', 'say it', 'link', 'page', 'tisak', 'found']")</f>
        <v>['right', 'vertification', 'enter', 'gmail', 'gabisa', 'say it', 'link', 'page', 'tisak', 'found']</v>
      </c>
      <c r="D4117" s="3">
        <v>1.0</v>
      </c>
    </row>
    <row r="4118" ht="15.75" customHeight="1">
      <c r="A4118" s="1">
        <v>4401.0</v>
      </c>
      <c r="B4118" s="3" t="s">
        <v>3952</v>
      </c>
      <c r="C4118" s="3" t="str">
        <f>IFERROR(__xludf.DUMMYFUNCTION("GOOGLETRANSLATE(B4118,""id"",""en"")"),"['Disappointed', 'Telkomsel', 'Buy', 'Package', 'Kombo', 'Sakti', 'Quota', 'Sosmed', 'Game', 'Open', ""]")</f>
        <v>['Disappointed', 'Telkomsel', 'Buy', 'Package', 'Kombo', 'Sakti', 'Quota', 'Sosmed', 'Game', 'Open', "]</v>
      </c>
      <c r="D4118" s="3">
        <v>1.0</v>
      </c>
    </row>
    <row r="4119" ht="15.75" customHeight="1">
      <c r="A4119" s="1">
        <v>4402.0</v>
      </c>
      <c r="B4119" s="3" t="s">
        <v>3953</v>
      </c>
      <c r="C4119" s="3" t="str">
        <f>IFERROR(__xludf.DUMMYFUNCTION("GOOGLETRANSLATE(B4119,""id"",""en"")"),"['Buy', 'Package', 'KNPA', 'Browsing', 'YouTube', 'Play', 'Store', 'Game', 'WhatsApp']")</f>
        <v>['Buy', 'Package', 'KNPA', 'Browsing', 'YouTube', 'Play', 'Store', 'Game', 'WhatsApp']</v>
      </c>
      <c r="D4119" s="3">
        <v>5.0</v>
      </c>
    </row>
    <row r="4120" ht="15.75" customHeight="1">
      <c r="A4120" s="1">
        <v>4403.0</v>
      </c>
      <c r="B4120" s="3" t="s">
        <v>3954</v>
      </c>
      <c r="C4120" s="3" t="str">
        <f>IFERROR(__xludf.DUMMYFUNCTION("GOOGLETRANSLATE(B4120,""id"",""en"")"),"['Give', 'Koutaa', 'Free', 'Cheap']")</f>
        <v>['Give', 'Koutaa', 'Free', 'Cheap']</v>
      </c>
      <c r="D4120" s="3">
        <v>1.0</v>
      </c>
    </row>
    <row r="4121" ht="15.75" customHeight="1">
      <c r="A4121" s="1">
        <v>4404.0</v>
      </c>
      <c r="B4121" s="3" t="s">
        <v>3955</v>
      </c>
      <c r="C4121" s="3" t="str">
        <f>IFERROR(__xludf.DUMMYFUNCTION("GOOGLETRANSLATE(B4121,""id"",""en"")"),"['Lemot', 'Severe', 'Move', 'Next', '']")</f>
        <v>['Lemot', 'Severe', 'Move', 'Next', '']</v>
      </c>
      <c r="D4121" s="3">
        <v>1.0</v>
      </c>
    </row>
    <row r="4122" ht="15.75" customHeight="1">
      <c r="A4122" s="1">
        <v>4405.0</v>
      </c>
      <c r="B4122" s="3" t="s">
        <v>3956</v>
      </c>
      <c r="C4122" s="3" t="str">
        <f>IFERROR(__xludf.DUMMYFUNCTION("GOOGLETRANSLATE(B4122,""id"",""en"")"),"['love', 'star', 'coz', 'skrg', 'signal', 'internet', 'siring', 'missing', '']")</f>
        <v>['love', 'star', 'coz', 'skrg', 'signal', 'internet', 'siring', 'missing', '']</v>
      </c>
      <c r="D4122" s="3">
        <v>3.0</v>
      </c>
    </row>
    <row r="4123" ht="15.75" customHeight="1">
      <c r="A4123" s="1">
        <v>4406.0</v>
      </c>
      <c r="B4123" s="3" t="s">
        <v>3957</v>
      </c>
      <c r="C4123" s="3" t="str">
        <f>IFERROR(__xludf.DUMMYFUNCTION("GOOGLETRANSLATE(B4123,""id"",""en"")"),"['Network', 'like', 'lag']")</f>
        <v>['Network', 'like', 'lag']</v>
      </c>
      <c r="D4123" s="3">
        <v>5.0</v>
      </c>
    </row>
    <row r="4124" ht="15.75" customHeight="1">
      <c r="A4124" s="1">
        <v>4407.0</v>
      </c>
      <c r="B4124" s="3" t="s">
        <v>3958</v>
      </c>
      <c r="C4124" s="3" t="str">
        <f>IFERROR(__xludf.DUMMYFUNCTION("GOOGLETRANSLATE(B4124,""id"",""en"")"),"['Disappointed', 'heavy', 'price', 'exorbitant', 'quality', 'medit', 'quota', 'divided', 'application', 'use', 'tsel', 'times',' Nastyain ',' disappointed ',' Severe ',' since 'since the' office ',' center ',' BAKAKAR ',' QUALITY ',' Signal ',' Tsel ',' C"&amp;"hange ',' Prov ']")</f>
        <v>['Disappointed', 'heavy', 'price', 'exorbitant', 'quality', 'medit', 'quota', 'divided', 'application', 'use', 'tsel', 'times',' Nastyain ',' disappointed ',' Severe ',' since 'since the' office ',' center ',' BAKAKAR ',' QUALITY ',' Signal ',' Tsel ',' Change ',' Prov ']</v>
      </c>
      <c r="D4124" s="3">
        <v>1.0</v>
      </c>
    </row>
    <row r="4125" ht="15.75" customHeight="1">
      <c r="A4125" s="1">
        <v>4408.0</v>
      </c>
      <c r="B4125" s="3" t="s">
        <v>3959</v>
      </c>
      <c r="C4125" s="3" t="str">
        <f>IFERROR(__xludf.DUMMYFUNCTION("GOOGLETRANSLATE(B4125,""id"",""en"")"),"['thanks',' love ',' Telkomsel ',' quota ',' government ',' pulse ',' sumps', 'thousands',' stay ',' thousand ',' pulse ',' internet ',' For a moment ',' Direct ',' appears', 'SMS', 'Kekeke', 'RB', 'appears',' SMS ',' late ',' send ',' thank ',' love ',' "&amp;"Telkomsel ' , 'thank', 'love', 'quota', 'government', 'briefly', 'moved', 'dadah', 'muah', 'muah', 'ngakak', 'see', 'comment', ' people ',' sumps', 'pulsany', 'hilarious',' smpe ',' skrng ',' prevention ',' hmmm ',' cool ',' steady ',' bye ']")</f>
        <v>['thanks',' love ',' Telkomsel ',' quota ',' government ',' pulse ',' sumps', 'thousands',' stay ',' thousand ',' pulse ',' internet ',' For a moment ',' Direct ',' appears', 'SMS', 'Kekeke', 'RB', 'appears',' SMS ',' late ',' send ',' thank ',' love ',' Telkomsel ' , 'thank', 'love', 'quota', 'government', 'briefly', 'moved', 'dadah', 'muah', 'muah', 'ngakak', 'see', 'comment', ' people ',' sumps', 'pulsany', 'hilarious',' smpe ',' skrng ',' prevention ',' hmmm ',' cool ',' steady ',' bye ']</v>
      </c>
      <c r="D4125" s="3">
        <v>1.0</v>
      </c>
    </row>
    <row r="4126" ht="15.75" customHeight="1">
      <c r="A4126" s="1">
        <v>4409.0</v>
      </c>
      <c r="B4126" s="3" t="s">
        <v>3960</v>
      </c>
      <c r="C4126" s="3" t="str">
        <f>IFERROR(__xludf.DUMMYFUNCTION("GOOGLETRANSLATE(B4126,""id"",""en"")"),"['sarangheee', 'makes it easy', ""]")</f>
        <v>['sarangheee', 'makes it easy', "]</v>
      </c>
      <c r="D4126" s="3">
        <v>5.0</v>
      </c>
    </row>
    <row r="4127" ht="15.75" customHeight="1">
      <c r="A4127" s="1">
        <v>4410.0</v>
      </c>
      <c r="B4127" s="3" t="s">
        <v>3961</v>
      </c>
      <c r="C4127" s="3" t="str">
        <f>IFERROR(__xludf.DUMMYFUNCTION("GOOGLETRANSLATE(B4127,""id"",""en"")"),"['satisfying', 'makes it easy', 'in', 'transaction', 'purchase', 'data']")</f>
        <v>['satisfying', 'makes it easy', 'in', 'transaction', 'purchase', 'data']</v>
      </c>
      <c r="D4127" s="3">
        <v>5.0</v>
      </c>
    </row>
    <row r="4128" ht="15.75" customHeight="1">
      <c r="A4128" s="1">
        <v>4411.0</v>
      </c>
      <c r="B4128" s="3" t="s">
        <v>3962</v>
      </c>
      <c r="C4128" s="3" t="str">
        <f>IFERROR(__xludf.DUMMYFUNCTION("GOOGLETRANSLATE(B4128,""id"",""en"")"),"['UDH', 'Fill', 'reset', 'buy', 'package', 'TPI', 'DIAPP', 'his information', 'tdak', 'entered', 'pdahl', 'sudh', ' Success', 'please', 'repaired', '']")</f>
        <v>['UDH', 'Fill', 'reset', 'buy', 'package', 'TPI', 'DIAPP', 'his information', 'tdak', 'entered', 'pdahl', 'sudh', ' Success', 'please', 'repaired', '']</v>
      </c>
      <c r="D4128" s="3">
        <v>5.0</v>
      </c>
    </row>
    <row r="4129" ht="15.75" customHeight="1">
      <c r="A4129" s="1">
        <v>4412.0</v>
      </c>
      <c r="B4129" s="3" t="s">
        <v>3963</v>
      </c>
      <c r="C4129" s="3" t="str">
        <f>IFERROR(__xludf.DUMMYFUNCTION("GOOGLETRANSLATE(B4129,""id"",""en"")"),"['Help', 'JDI', 'Easy', 'Telkomsel', 'The', 'Best']")</f>
        <v>['Help', 'JDI', 'Easy', 'Telkomsel', 'The', 'Best']</v>
      </c>
      <c r="D4129" s="3">
        <v>5.0</v>
      </c>
    </row>
    <row r="4130" ht="15.75" customHeight="1">
      <c r="A4130" s="1">
        <v>4413.0</v>
      </c>
      <c r="B4130" s="3" t="s">
        <v>3964</v>
      </c>
      <c r="C4130" s="3" t="str">
        <f>IFERROR(__xludf.DUMMYFUNCTION("GOOGLETRANSLATE(B4130,""id"",""en"")"),"['Sis',' Network ',' Telkom ',' Troble ',' Indonesia ',' Signal ',' Good ',' Gapernah ',' Telkom ',' Normal ',' Signal ',' at home ',' ugly ',' at home ',' friend ',' ama ',' at school ',' signal ',' good ',' home ',' ugly ',' signal ',' buy ',' quota ','"&amp;" enter it ' , 'really', 'already', 'reset', 'enter', 'PPAS', 'take', 'counternya', 'directly', 'enter', 'try', 'home', 'signal', ' Gada ']")</f>
        <v>['Sis',' Network ',' Telkom ',' Troble ',' Indonesia ',' Signal ',' Good ',' Gapernah ',' Telkom ',' Normal ',' Signal ',' at home ',' ugly ',' at home ',' friend ',' ama ',' at school ',' signal ',' good ',' home ',' ugly ',' signal ',' buy ',' quota ',' enter it ' , 'really', 'already', 'reset', 'enter', 'PPAS', 'take', 'counternya', 'directly', 'enter', 'try', 'home', 'signal', ' Gada ']</v>
      </c>
      <c r="D4130" s="3">
        <v>2.0</v>
      </c>
    </row>
    <row r="4131" ht="15.75" customHeight="1">
      <c r="A4131" s="1">
        <v>4414.0</v>
      </c>
      <c r="B4131" s="3" t="s">
        <v>3965</v>
      </c>
      <c r="C4131" s="3" t="str">
        <f>IFERROR(__xludf.DUMMYFUNCTION("GOOGLETRANSLATE(B4131,""id"",""en"")"),"['menu', 'package', 'available', 'expensive', 'dri', 'PDA', 'menu', 'package', '']")</f>
        <v>['menu', 'package', 'available', 'expensive', 'dri', 'PDA', 'menu', 'package', '']</v>
      </c>
      <c r="D4131" s="3">
        <v>5.0</v>
      </c>
    </row>
    <row r="4132" ht="15.75" customHeight="1">
      <c r="A4132" s="1">
        <v>4415.0</v>
      </c>
      <c r="B4132" s="3" t="s">
        <v>669</v>
      </c>
      <c r="C4132" s="3" t="str">
        <f>IFERROR(__xludf.DUMMYFUNCTION("GOOGLETRANSLATE(B4132,""id"",""en"")"),"['good']")</f>
        <v>['good']</v>
      </c>
      <c r="D4132" s="3">
        <v>5.0</v>
      </c>
    </row>
    <row r="4133" ht="15.75" customHeight="1">
      <c r="A4133" s="1">
        <v>4416.0</v>
      </c>
      <c r="B4133" s="3" t="s">
        <v>3966</v>
      </c>
      <c r="C4133" s="3" t="str">
        <f>IFERROR(__xludf.DUMMYFUNCTION("GOOGLETRANSLATE(B4133,""id"",""en"")"),"['Times', 'use', 'Longkomsel', 'buy', 'package', 'call', 'Alhamdulillah', 'direct', 'satisfying', 'Mkseh', 'Telkomsel', ""]")</f>
        <v>['Times', 'use', 'Longkomsel', 'buy', 'package', 'call', 'Alhamdulillah', 'direct', 'satisfying', 'Mkseh', 'Telkomsel', "]</v>
      </c>
      <c r="D4133" s="3">
        <v>5.0</v>
      </c>
    </row>
    <row r="4134" ht="15.75" customHeight="1">
      <c r="A4134" s="1">
        <v>4417.0</v>
      </c>
      <c r="B4134" s="3" t="s">
        <v>3967</v>
      </c>
      <c r="C4134" s="3" t="str">
        <f>IFERROR(__xludf.DUMMYFUNCTION("GOOGLETRANSLATE(B4134,""id"",""en"")"),"['steady', 'pisan', 'pokonmah']")</f>
        <v>['steady', 'pisan', 'pokonmah']</v>
      </c>
      <c r="D4134" s="3">
        <v>5.0</v>
      </c>
    </row>
    <row r="4135" ht="15.75" customHeight="1">
      <c r="A4135" s="1">
        <v>4418.0</v>
      </c>
      <c r="B4135" s="3" t="s">
        <v>3968</v>
      </c>
      <c r="C4135" s="3" t="str">
        <f>IFERROR(__xludf.DUMMYFUNCTION("GOOGLETRANSLATE(B4135,""id"",""en"")"),"['Satisfied', 'Dngan', 'APK']")</f>
        <v>['Satisfied', 'Dngan', 'APK']</v>
      </c>
      <c r="D4135" s="3">
        <v>5.0</v>
      </c>
    </row>
    <row r="4136" ht="15.75" customHeight="1">
      <c r="A4136" s="1">
        <v>4419.0</v>
      </c>
      <c r="B4136" s="3" t="s">
        <v>3969</v>
      </c>
      <c r="C4136" s="3" t="str">
        <f>IFERROR(__xludf.DUMMYFUNCTION("GOOGLETRANSLATE(B4136,""id"",""en"")"),"['Times',' Telkomsel ',' Service ',' Facilitates', 'Features',' Help ',' Purchase ',' Credit ',' Fund ',' Ovo ',' Success', 'Telkomsel', ' hopefully']")</f>
        <v>['Times',' Telkomsel ',' Service ',' Facilitates', 'Features',' Help ',' Purchase ',' Credit ',' Fund ',' Ovo ',' Success', 'Telkomsel', ' hopefully']</v>
      </c>
      <c r="D4136" s="3">
        <v>5.0</v>
      </c>
    </row>
    <row r="4137" ht="15.75" customHeight="1">
      <c r="A4137" s="1">
        <v>4420.0</v>
      </c>
      <c r="B4137" s="3" t="s">
        <v>3970</v>
      </c>
      <c r="C4137" s="3" t="str">
        <f>IFERROR(__xludf.DUMMYFUNCTION("GOOGLETRANSLATE(B4137,""id"",""en"")"),"['friend', 'skrg', 'wear', 'Jaringn', 'Telkomsel', 'Mending', 'skrg', 'moved', 'Telkomsel', 'Telkomsel', 'smakin', 'bnyk', ' Wear ',' arrogant ',' see ',' skrg ',' nets', 'smooth', 'nets',' Telkomsel ',' skrg ',' weak ',' regret ',' lives', 'life' , 'use'"&amp;", 'Telkomsel', 'Jaringn', 'Bagus', 'Telkomsel', 'Jaringn', 'ugly']")</f>
        <v>['friend', 'skrg', 'wear', 'Jaringn', 'Telkomsel', 'Mending', 'skrg', 'moved', 'Telkomsel', 'Telkomsel', 'smakin', 'bnyk', ' Wear ',' arrogant ',' see ',' skrg ',' nets', 'smooth', 'nets',' Telkomsel ',' skrg ',' weak ',' regret ',' lives', 'life' , 'use', 'Telkomsel', 'Jaringn', 'Bagus', 'Telkomsel', 'Jaringn', 'ugly']</v>
      </c>
      <c r="D4137" s="3">
        <v>1.0</v>
      </c>
    </row>
    <row r="4138" ht="15.75" customHeight="1">
      <c r="A4138" s="1">
        <v>4421.0</v>
      </c>
      <c r="B4138" s="3" t="s">
        <v>3971</v>
      </c>
      <c r="C4138" s="3" t="str">
        <f>IFERROR(__xludf.DUMMYFUNCTION("GOOGLETRANSLATE(B4138,""id"",""en"")"),"['expensive', 'bat', 'stress', 'quota', 'abis', 'suck', 'pulse', 'automatic']")</f>
        <v>['expensive', 'bat', 'stress', 'quota', 'abis', 'suck', 'pulse', 'automatic']</v>
      </c>
      <c r="D4138" s="3">
        <v>1.0</v>
      </c>
    </row>
    <row r="4139" ht="15.75" customHeight="1">
      <c r="A4139" s="1">
        <v>4422.0</v>
      </c>
      <c r="B4139" s="3" t="s">
        <v>3972</v>
      </c>
      <c r="C4139" s="3" t="str">
        <f>IFERROR(__xludf.DUMMYFUNCTION("GOOGLETRANSLATE(B4139,""id"",""en"")"),"['convenience', 'dlm', 'pelatant']")</f>
        <v>['convenience', 'dlm', 'pelatant']</v>
      </c>
      <c r="D4139" s="3">
        <v>5.0</v>
      </c>
    </row>
    <row r="4140" ht="15.75" customHeight="1">
      <c r="A4140" s="1">
        <v>4423.0</v>
      </c>
      <c r="B4140" s="3" t="s">
        <v>3973</v>
      </c>
      <c r="C4140" s="3" t="str">
        <f>IFERROR(__xludf.DUMMYFUNCTION("GOOGLETRANSLATE(B4140,""id"",""en"")"),"['zzz', 'UDH', 'expensive', 'lag', 'smooth', 'rare', 'gini', 'mending', 'replace', 'provider', 'Ajalah']")</f>
        <v>['zzz', 'UDH', 'expensive', 'lag', 'smooth', 'rare', 'gini', 'mending', 'replace', 'provider', 'Ajalah']</v>
      </c>
      <c r="D4140" s="3">
        <v>1.0</v>
      </c>
    </row>
    <row r="4141" ht="15.75" customHeight="1">
      <c r="A4141" s="1">
        <v>4424.0</v>
      </c>
      <c r="B4141" s="3" t="s">
        <v>3974</v>
      </c>
      <c r="C4141" s="3" t="str">
        <f>IFERROR(__xludf.DUMMYFUNCTION("GOOGLETRANSLATE(B4141,""id"",""en"")"),"['open', '']")</f>
        <v>['open', '']</v>
      </c>
      <c r="D4141" s="3">
        <v>1.0</v>
      </c>
    </row>
    <row r="4142" ht="15.75" customHeight="1">
      <c r="A4142" s="1">
        <v>4425.0</v>
      </c>
      <c r="B4142" s="3" t="s">
        <v>3975</v>
      </c>
      <c r="C4142" s="3" t="str">
        <f>IFERROR(__xludf.DUMMYFUNCTION("GOOGLETRANSLATE(B4142,""id"",""en"")"),"['Congratulations',' Morning ',' optimistic ',' progress', 'technology', 'propeder', 'how', 'promo', 'cheap', 'network', 'fast', 'propeder', ' Can't ',' Telkomsel ']")</f>
        <v>['Congratulations',' Morning ',' optimistic ',' progress', 'technology', 'propeder', 'how', 'promo', 'cheap', 'network', 'fast', 'propeder', ' Can't ',' Telkomsel ']</v>
      </c>
      <c r="D4142" s="3">
        <v>5.0</v>
      </c>
    </row>
    <row r="4143" ht="15.75" customHeight="1">
      <c r="A4143" s="1">
        <v>4427.0</v>
      </c>
      <c r="B4143" s="3" t="s">
        <v>3976</v>
      </c>
      <c r="C4143" s="3" t="str">
        <f>IFERROR(__xludf.DUMMYFUNCTION("GOOGLETRANSLATE(B4143,""id"",""en"")"),"['Bintang', 'LIAT']")</f>
        <v>['Bintang', 'LIAT']</v>
      </c>
      <c r="D4143" s="3">
        <v>1.0</v>
      </c>
    </row>
    <row r="4144" ht="15.75" customHeight="1">
      <c r="A4144" s="1">
        <v>4428.0</v>
      </c>
      <c r="B4144" s="3" t="s">
        <v>3977</v>
      </c>
      <c r="C4144" s="3" t="str">
        <f>IFERROR(__xludf.DUMMYFUNCTION("GOOGLETRANSLATE(B4144,""id"",""en"")"),"['Kah', 'BNR', 'Cool']")</f>
        <v>['Kah', 'BNR', 'Cool']</v>
      </c>
      <c r="D4144" s="3">
        <v>4.0</v>
      </c>
    </row>
    <row r="4145" ht="15.75" customHeight="1">
      <c r="A4145" s="1">
        <v>4429.0</v>
      </c>
      <c r="B4145" s="3" t="s">
        <v>3978</v>
      </c>
      <c r="C4145" s="3" t="str">
        <f>IFERROR(__xludf.DUMMYFUNCTION("GOOGLETRANSLATE(B4145,""id"",""en"")"),"['God willing', 'Allah', 'Application', 'Best', 'Purchase', 'Package', 'Data', 'Credit']")</f>
        <v>['God willing', 'Allah', 'Application', 'Best', 'Purchase', 'Package', 'Data', 'Credit']</v>
      </c>
      <c r="D4145" s="3">
        <v>5.0</v>
      </c>
    </row>
    <row r="4146" ht="15.75" customHeight="1">
      <c r="A4146" s="1">
        <v>4431.0</v>
      </c>
      <c r="B4146" s="3" t="s">
        <v>3979</v>
      </c>
      <c r="C4146" s="3" t="str">
        <f>IFERROR(__xludf.DUMMYFUNCTION("GOOGLETRANSLATE(B4146,""id"",""en"")"),"['Nomer', 'Different', 'Different', 'Min', 'Package', 'Quota', 'Combony']")</f>
        <v>['Nomer', 'Different', 'Different', 'Min', 'Package', 'Quota', 'Combony']</v>
      </c>
      <c r="D4146" s="3">
        <v>1.0</v>
      </c>
    </row>
    <row r="4147" ht="15.75" customHeight="1">
      <c r="A4147" s="1">
        <v>4432.0</v>
      </c>
      <c r="B4147" s="3" t="s">
        <v>3980</v>
      </c>
      <c r="C4147" s="3" t="str">
        <f>IFERROR(__xludf.DUMMYFUNCTION("GOOGLETRANSLATE(B4147,""id"",""en"")"),"['Eliminate', 'Package', 'Extra', 'Anlimitit']")</f>
        <v>['Eliminate', 'Package', 'Extra', 'Anlimitit']</v>
      </c>
      <c r="D4147" s="3">
        <v>1.0</v>
      </c>
    </row>
    <row r="4148" ht="15.75" customHeight="1">
      <c r="A4148" s="1">
        <v>4433.0</v>
      </c>
      <c r="B4148" s="3" t="s">
        <v>3981</v>
      </c>
      <c r="C4148" s="3" t="str">
        <f>IFERROR(__xludf.DUMMYFUNCTION("GOOGLETRANSLATE(B4148,""id"",""en"")"),"['Update', 'difficult', 'slow', 'Log', 'Telkomsel', 'Network', 'Good', 'Log', 'Slow', 'Please', 'Genahi', ""]")</f>
        <v>['Update', 'difficult', 'slow', 'Log', 'Telkomsel', 'Network', 'Good', 'Log', 'Slow', 'Please', 'Genahi', "]</v>
      </c>
      <c r="D4148" s="3">
        <v>1.0</v>
      </c>
    </row>
    <row r="4149" ht="15.75" customHeight="1">
      <c r="A4149" s="1">
        <v>4434.0</v>
      </c>
      <c r="B4149" s="3" t="s">
        <v>3529</v>
      </c>
      <c r="C4149" s="3" t="str">
        <f>IFERROR(__xludf.DUMMYFUNCTION("GOOGLETRANSLATE(B4149,""id"",""en"")"),"['easy', '']")</f>
        <v>['easy', '']</v>
      </c>
      <c r="D4149" s="3">
        <v>5.0</v>
      </c>
    </row>
    <row r="4150" ht="15.75" customHeight="1">
      <c r="A4150" s="1">
        <v>4435.0</v>
      </c>
      <c r="B4150" s="3" t="s">
        <v>3982</v>
      </c>
      <c r="C4150" s="3" t="str">
        <f>IFERROR(__xludf.DUMMYFUNCTION("GOOGLETRANSLATE(B4150,""id"",""en"")"),"['Tingktkan', 'service']")</f>
        <v>['Tingktkan', 'service']</v>
      </c>
      <c r="D4150" s="3">
        <v>4.0</v>
      </c>
    </row>
    <row r="4151" ht="15.75" customHeight="1">
      <c r="A4151" s="1">
        <v>4436.0</v>
      </c>
      <c r="B4151" s="3" t="s">
        <v>3983</v>
      </c>
      <c r="C4151" s="3" t="str">
        <f>IFERROR(__xludf.DUMMYFUNCTION("GOOGLETRANSLATE(B4151,""id"",""en"")"),"['happy', 'wrong', 'customer', 'loyal', 'Telkomsel', 'comfortable', 'comfortable', 'hope', 'in the future', ""]")</f>
        <v>['happy', 'wrong', 'customer', 'loyal', 'Telkomsel', 'comfortable', 'comfortable', 'hope', 'in the future', "]</v>
      </c>
      <c r="D4151" s="3">
        <v>5.0</v>
      </c>
    </row>
    <row r="4152" ht="15.75" customHeight="1">
      <c r="A4152" s="1">
        <v>4437.0</v>
      </c>
      <c r="B4152" s="3" t="s">
        <v>3984</v>
      </c>
      <c r="C4152" s="3" t="str">
        <f>IFERROR(__xludf.DUMMYFUNCTION("GOOGLETRANSLATE(B4152,""id"",""en"")"),"['Application', 'satisfying']")</f>
        <v>['Application', 'satisfying']</v>
      </c>
      <c r="D4152" s="3">
        <v>5.0</v>
      </c>
    </row>
    <row r="4153" ht="15.75" customHeight="1">
      <c r="A4153" s="1">
        <v>4438.0</v>
      </c>
      <c r="B4153" s="3" t="s">
        <v>3985</v>
      </c>
      <c r="C4153" s="3" t="str">
        <f>IFERROR(__xludf.DUMMYFUNCTION("GOOGLETRANSLATE(B4153,""id"",""en"")"),"['Info', 'promo', 'help']")</f>
        <v>['Info', 'promo', 'help']</v>
      </c>
      <c r="D4153" s="3">
        <v>5.0</v>
      </c>
    </row>
    <row r="4154" ht="15.75" customHeight="1">
      <c r="A4154" s="1">
        <v>4439.0</v>
      </c>
      <c r="B4154" s="3" t="s">
        <v>3986</v>
      </c>
      <c r="C4154" s="3" t="str">
        <f>IFERROR(__xludf.DUMMYFUNCTION("GOOGLETRANSLATE(B4154,""id"",""en"")"),"['Singnal', 'ngak', 'according to', 'price', 'package', 'lemoot']")</f>
        <v>['Singnal', 'ngak', 'according to', 'price', 'package', 'lemoot']</v>
      </c>
      <c r="D4154" s="3">
        <v>1.0</v>
      </c>
    </row>
    <row r="4155" ht="15.75" customHeight="1">
      <c r="A4155" s="1">
        <v>4440.0</v>
      </c>
      <c r="B4155" s="3" t="s">
        <v>3987</v>
      </c>
      <c r="C4155" s="3" t="str">
        <f>IFERROR(__xludf.DUMMYFUNCTION("GOOGLETRANSLATE(B4155,""id"",""en"")"),"['buy', 'unlimited', 'youtube', 'data', 'drained', 'ugly', 'Telkomsel']")</f>
        <v>['buy', 'unlimited', 'youtube', 'data', 'drained', 'ugly', 'Telkomsel']</v>
      </c>
      <c r="D4155" s="3">
        <v>1.0</v>
      </c>
    </row>
    <row r="4156" ht="15.75" customHeight="1">
      <c r="A4156" s="1">
        <v>4441.0</v>
      </c>
      <c r="B4156" s="3" t="s">
        <v>3988</v>
      </c>
      <c r="C4156" s="3" t="str">
        <f>IFERROR(__xludf.DUMMYFUNCTION("GOOGLETRANSLATE(B4156,""id"",""en"")"),"['Application', 'good', 'darling', 'Sometimes', 'heavy', 'open', 'APKIKIKAN', '']")</f>
        <v>['Application', 'good', 'darling', 'Sometimes', 'heavy', 'open', 'APKIKIKAN', '']</v>
      </c>
      <c r="D4156" s="3">
        <v>5.0</v>
      </c>
    </row>
    <row r="4157" ht="15.75" customHeight="1">
      <c r="A4157" s="1">
        <v>4442.0</v>
      </c>
      <c r="B4157" s="3" t="s">
        <v>3989</v>
      </c>
      <c r="C4157" s="3" t="str">
        <f>IFERROR(__xludf.DUMMYFUNCTION("GOOGLETRANSLATE(B4157,""id"",""en"")"),"['Hopefully', 'Lottery']")</f>
        <v>['Hopefully', 'Lottery']</v>
      </c>
      <c r="D4157" s="3">
        <v>5.0</v>
      </c>
    </row>
    <row r="4158" ht="15.75" customHeight="1">
      <c r="A4158" s="1">
        <v>4443.0</v>
      </c>
      <c r="B4158" s="3" t="s">
        <v>3990</v>
      </c>
      <c r="C4158" s="3" t="str">
        <f>IFERROR(__xludf.DUMMYFUNCTION("GOOGLETRANSLATE(B4158,""id"",""en"")"),"['Steady', 'help', 'broooo']")</f>
        <v>['Steady', 'help', 'broooo']</v>
      </c>
      <c r="D4158" s="3">
        <v>5.0</v>
      </c>
    </row>
    <row r="4159" ht="15.75" customHeight="1">
      <c r="A4159" s="1">
        <v>4444.0</v>
      </c>
      <c r="B4159" s="3" t="s">
        <v>3991</v>
      </c>
      <c r="C4159" s="3" t="str">
        <f>IFERROR(__xludf.DUMMYFUNCTION("GOOGLETRANSLATE(B4159,""id"",""en"")"),"['please', 'Telkomsel', 'pay attention', 'package', 'buy', 'customer', 'because', 'package', 'buy', 'expensive', 'TPI', 'the application', ' App ',' Video ',' App ',' Game ',' Free ',' Fire ',' Application ',' Please ',' Notice ',' Fix ',' Thank you ']")</f>
        <v>['please', 'Telkomsel', 'pay attention', 'package', 'buy', 'customer', 'because', 'package', 'buy', 'expensive', 'TPI', 'the application', ' App ',' Video ',' App ',' Game ',' Free ',' Fire ',' Application ',' Please ',' Notice ',' Fix ',' Thank you ']</v>
      </c>
      <c r="D4159" s="3">
        <v>1.0</v>
      </c>
    </row>
    <row r="4160" ht="15.75" customHeight="1">
      <c r="A4160" s="1">
        <v>4445.0</v>
      </c>
      <c r="B4160" s="3" t="s">
        <v>3992</v>
      </c>
      <c r="C4160" s="3" t="str">
        <f>IFERROR(__xludf.DUMMYFUNCTION("GOOGLETRANSLATE(B4160,""id"",""en"")"),"['easy', 'complicated', 'contents', 'data']")</f>
        <v>['easy', 'complicated', 'contents', 'data']</v>
      </c>
      <c r="D4160" s="3">
        <v>5.0</v>
      </c>
    </row>
    <row r="4161" ht="15.75" customHeight="1">
      <c r="A4161" s="1">
        <v>4446.0</v>
      </c>
      <c r="B4161" s="3" t="s">
        <v>3993</v>
      </c>
      <c r="C4161" s="3" t="str">
        <f>IFERROR(__xludf.DUMMYFUNCTION("GOOGLETRANSLATE(B4161,""id"",""en"")"),"['expensive', 'ugly', 'signal']")</f>
        <v>['expensive', 'ugly', 'signal']</v>
      </c>
      <c r="D4161" s="3">
        <v>5.0</v>
      </c>
    </row>
    <row r="4162" ht="15.75" customHeight="1">
      <c r="A4162" s="1">
        <v>4447.0</v>
      </c>
      <c r="B4162" s="3" t="s">
        <v>3994</v>
      </c>
      <c r="C4162" s="3" t="str">
        <f>IFERROR(__xludf.DUMMYFUNCTION("GOOGLETRANSLATE(B4162,""id"",""en"")"),"['Payment', 'Link', 'Available', 'Help', 'Credit', 'Remnant', 'Purchase', 'Quota', 'Sucked']")</f>
        <v>['Payment', 'Link', 'Available', 'Help', 'Credit', 'Remnant', 'Purchase', 'Quota', 'Sucked']</v>
      </c>
      <c r="D4162" s="3">
        <v>3.0</v>
      </c>
    </row>
    <row r="4163" ht="15.75" customHeight="1">
      <c r="A4163" s="1">
        <v>4448.0</v>
      </c>
      <c r="B4163" s="3" t="s">
        <v>3995</v>
      </c>
      <c r="C4163" s="3" t="str">
        <f>IFERROR(__xludf.DUMMYFUNCTION("GOOGLETRANSLATE(B4163,""id"",""en"")"),"['Knp', 'Telkomsel', 'slow', 'Mulu', 'comfortable', 'really', 'use', 'Telkomsel', 'already', ""]")</f>
        <v>['Knp', 'Telkomsel', 'slow', 'Mulu', 'comfortable', 'really', 'use', 'Telkomsel', 'already', "]</v>
      </c>
      <c r="D4163" s="3">
        <v>3.0</v>
      </c>
    </row>
    <row r="4164" ht="15.75" customHeight="1">
      <c r="A4164" s="1">
        <v>4449.0</v>
      </c>
      <c r="B4164" s="3" t="s">
        <v>3996</v>
      </c>
      <c r="C4164" s="3" t="str">
        <f>IFERROR(__xludf.DUMMYFUNCTION("GOOGLETRANSLATE(B4164,""id"",""en"")"),"['petrified']")</f>
        <v>['petrified']</v>
      </c>
      <c r="D4164" s="3">
        <v>5.0</v>
      </c>
    </row>
    <row r="4165" ht="15.75" customHeight="1">
      <c r="A4165" s="1">
        <v>4450.0</v>
      </c>
      <c r="B4165" s="3" t="s">
        <v>3997</v>
      </c>
      <c r="C4165" s="3" t="str">
        <f>IFERROR(__xludf.DUMMYFUNCTION("GOOGLETRANSLATE(B4165,""id"",""en"")"),"['Simple', 'easy', 'understood']")</f>
        <v>['Simple', 'easy', 'understood']</v>
      </c>
      <c r="D4165" s="3">
        <v>5.0</v>
      </c>
    </row>
    <row r="4166" ht="15.75" customHeight="1">
      <c r="A4166" s="1">
        <v>4451.0</v>
      </c>
      <c r="B4166" s="3" t="s">
        <v>3998</v>
      </c>
      <c r="C4166" s="3" t="str">
        <f>IFERROR(__xludf.DUMMYFUNCTION("GOOGLETRANSLATE(B4166,""id"",""en"")"),"['Good', 'service', 'ksh']")</f>
        <v>['Good', 'service', 'ksh']</v>
      </c>
      <c r="D4166" s="3">
        <v>5.0</v>
      </c>
    </row>
    <row r="4167" ht="15.75" customHeight="1">
      <c r="A4167" s="1">
        <v>4453.0</v>
      </c>
      <c r="B4167" s="3" t="s">
        <v>3999</v>
      </c>
      <c r="C4167" s="3" t="str">
        <f>IFERROR(__xludf.DUMMYFUNCTION("GOOGLETRANSLATE(B4167,""id"",""en"")"),"['Telkomsel', 'crazy', 'anjeeeeng']")</f>
        <v>['Telkomsel', 'crazy', 'anjeeeeng']</v>
      </c>
      <c r="D4167" s="3">
        <v>1.0</v>
      </c>
    </row>
    <row r="4168" ht="15.75" customHeight="1">
      <c r="A4168" s="1">
        <v>4454.0</v>
      </c>
      <c r="B4168" s="3" t="s">
        <v>289</v>
      </c>
      <c r="C4168" s="3" t="str">
        <f>IFERROR(__xludf.DUMMYFUNCTION("GOOGLETRANSLATE(B4168,""id"",""en"")"),"['Good', 'help']")</f>
        <v>['Good', 'help']</v>
      </c>
      <c r="D4168" s="3">
        <v>5.0</v>
      </c>
    </row>
    <row r="4169" ht="15.75" customHeight="1">
      <c r="A4169" s="1">
        <v>4455.0</v>
      </c>
      <c r="B4169" s="3" t="s">
        <v>4000</v>
      </c>
      <c r="C4169" s="3" t="str">
        <f>IFERROR(__xludf.DUMMYFUNCTION("GOOGLETRANSLATE(B4169,""id"",""en"")"),"['Love', 'Reward', '']")</f>
        <v>['Love', 'Reward', '']</v>
      </c>
      <c r="D4169" s="3">
        <v>5.0</v>
      </c>
    </row>
    <row r="4170" ht="15.75" customHeight="1">
      <c r="A4170" s="1">
        <v>4456.0</v>
      </c>
      <c r="B4170" s="3" t="s">
        <v>4001</v>
      </c>
      <c r="C4170" s="3" t="str">
        <f>IFERROR(__xludf.DUMMYFUNCTION("GOOGLETRANSLATE(B4170,""id"",""en"")"),"['down', 'star', 'sya', 'doang', 'nge', 'check', 'pulse', 'data', 'lewa', 'the website', 'broken', 'nge', ' Check ',' written ',' Card ',' Network ',' Telkomsel ',' Open ',' App ',' How ',' Telkomsel ',' website ',' APK ',' Sikronisma ',' Severe ' , 'real"&amp;"ly', 'repay', 'website', 'kesa', 'me', 'already', 'refresh', 'delete', 'ttp', '']")</f>
        <v>['down', 'star', 'sya', 'doang', 'nge', 'check', 'pulse', 'data', 'lewa', 'the website', 'broken', 'nge', ' Check ',' written ',' Card ',' Network ',' Telkomsel ',' Open ',' App ',' How ',' Telkomsel ',' website ',' APK ',' Sikronisma ',' Severe ' , 'really', 'repay', 'website', 'kesa', 'me', 'already', 'refresh', 'delete', 'ttp', '']</v>
      </c>
      <c r="D4170" s="3">
        <v>3.0</v>
      </c>
    </row>
    <row r="4171" ht="15.75" customHeight="1">
      <c r="A4171" s="1">
        <v>4457.0</v>
      </c>
      <c r="B4171" s="3" t="s">
        <v>4002</v>
      </c>
      <c r="C4171" s="3" t="str">
        <f>IFERROR(__xludf.DUMMYFUNCTION("GOOGLETRANSLATE(B4171,""id"",""en"")"),"['Satisfied', 'Redeem', 'Points']")</f>
        <v>['Satisfied', 'Redeem', 'Points']</v>
      </c>
      <c r="D4171" s="3">
        <v>1.0</v>
      </c>
    </row>
    <row r="4172" ht="15.75" customHeight="1">
      <c r="A4172" s="1">
        <v>4459.0</v>
      </c>
      <c r="B4172" s="3" t="s">
        <v>4003</v>
      </c>
      <c r="C4172" s="3" t="str">
        <f>IFERROR(__xludf.DUMMYFUNCTION("GOOGLETRANSLATE(B4172,""id"",""en"")"),"['The application', 'Good', 'Sebel', 'Credit', 'Sucked', 'Please', 'Telkomsel', 'Update', 'Application', 'Make', 'Lock', ' pulses', 'internet', 'stop', 'quota', 'run out', 'internet', 'ttp', 'walk', 'pulse', 'sucked', 'thank', 'love', 'please' , 'Review',"&amp;" 'Consider', 'Respond']")</f>
        <v>['The application', 'Good', 'Sebel', 'Credit', 'Sucked', 'Please', 'Telkomsel', 'Update', 'Application', 'Make', 'Lock', ' pulses', 'internet', 'stop', 'quota', 'run out', 'internet', 'ttp', 'walk', 'pulse', 'sucked', 'thank', 'love', 'please' , 'Review', 'Consider', 'Respond']</v>
      </c>
      <c r="D4172" s="3">
        <v>3.0</v>
      </c>
    </row>
    <row r="4173" ht="15.75" customHeight="1">
      <c r="A4173" s="1">
        <v>4460.0</v>
      </c>
      <c r="B4173" s="3" t="s">
        <v>4004</v>
      </c>
      <c r="C4173" s="3" t="str">
        <f>IFERROR(__xludf.DUMMYFUNCTION("GOOGLETRANSLATE(B4173,""id"",""en"")"),"['easy', 'fast', 'ttp', 'slow', 'gmn', 'fix', 'move', 'use', 'thank you']")</f>
        <v>['easy', 'fast', 'ttp', 'slow', 'gmn', 'fix', 'move', 'use', 'thank you']</v>
      </c>
      <c r="D4173" s="3">
        <v>5.0</v>
      </c>
    </row>
    <row r="4174" ht="15.75" customHeight="1">
      <c r="A4174" s="1">
        <v>4461.0</v>
      </c>
      <c r="B4174" s="3" t="s">
        <v>3554</v>
      </c>
      <c r="C4174" s="3" t="str">
        <f>IFERROR(__xludf.DUMMYFUNCTION("GOOGLETRANSLATE(B4174,""id"",""en"")"),"['Hopefully', 'application', 'help', '']")</f>
        <v>['Hopefully', 'application', 'help', '']</v>
      </c>
      <c r="D4174" s="3">
        <v>5.0</v>
      </c>
    </row>
    <row r="4175" ht="15.75" customHeight="1">
      <c r="A4175" s="1">
        <v>4462.0</v>
      </c>
      <c r="B4175" s="3" t="s">
        <v>4005</v>
      </c>
      <c r="C4175" s="3" t="str">
        <f>IFERROR(__xludf.DUMMYFUNCTION("GOOGLETRANSLATE(B4175,""id"",""en"")"),"['Internet', 'lemooot', 'skrang', 'mah', 'gwa', 'switch', ""]")</f>
        <v>['Internet', 'lemooot', 'skrang', 'mah', 'gwa', 'switch', "]</v>
      </c>
      <c r="D4175" s="3">
        <v>1.0</v>
      </c>
    </row>
    <row r="4176" ht="15.75" customHeight="1">
      <c r="A4176" s="1">
        <v>4463.0</v>
      </c>
      <c r="B4176" s="3" t="s">
        <v>4006</v>
      </c>
      <c r="C4176" s="3" t="str">
        <f>IFERROR(__xludf.DUMMYFUNCTION("GOOGLETRANSLATE(B4176,""id"",""en"")"),"['Please', 'Fix', 'Network', 'yaa', 'wahaii', 'Telkomsel']")</f>
        <v>['Please', 'Fix', 'Network', 'yaa', 'wahaii', 'Telkomsel']</v>
      </c>
      <c r="D4176" s="3">
        <v>1.0</v>
      </c>
    </row>
    <row r="4177" ht="15.75" customHeight="1">
      <c r="A4177" s="1">
        <v>4465.0</v>
      </c>
      <c r="B4177" s="3" t="s">
        <v>4007</v>
      </c>
      <c r="C4177" s="3" t="str">
        <f>IFERROR(__xludf.DUMMYFUNCTION("GOOGLETRANSLATE(B4177,""id"",""en"")"),"['sip', 'service', 'fast', 'effsyient']")</f>
        <v>['sip', 'service', 'fast', 'effsyient']</v>
      </c>
      <c r="D4177" s="3">
        <v>5.0</v>
      </c>
    </row>
    <row r="4178" ht="15.75" customHeight="1">
      <c r="A4178" s="1">
        <v>4466.0</v>
      </c>
      <c r="B4178" s="3" t="s">
        <v>4008</v>
      </c>
      <c r="C4178" s="3" t="str">
        <f>IFERROR(__xludf.DUMMYFUNCTION("GOOGLETRANSLATE(B4178,""id"",""en"")"),"['', 'Region', 'Kecamatan', 'Boyolali', 'County', 'Boyolali', 'Village', 'Pengung', 'Please', 'Repaired', 'Village', 'Network', 'Telkomsel ',' Error ',' Thanks', ""]")</f>
        <v>['', 'Region', 'Kecamatan', 'Boyolali', 'County', 'Boyolali', 'Village', 'Pengung', 'Please', 'Repaired', 'Village', 'Network', 'Telkomsel ',' Error ',' Thanks', "]</v>
      </c>
      <c r="D4178" s="3">
        <v>1.0</v>
      </c>
    </row>
    <row r="4179" ht="15.75" customHeight="1">
      <c r="A4179" s="1">
        <v>4467.0</v>
      </c>
      <c r="B4179" s="3" t="s">
        <v>4009</v>
      </c>
      <c r="C4179" s="3" t="str">
        <f>IFERROR(__xludf.DUMMYFUNCTION("GOOGLETRANSLATE(B4179,""id"",""en"")"),"['Package', 'my computer', 'enter', 'sense']")</f>
        <v>['Package', 'my computer', 'enter', 'sense']</v>
      </c>
      <c r="D4179" s="3">
        <v>1.0</v>
      </c>
    </row>
    <row r="4180" ht="15.75" customHeight="1">
      <c r="A4180" s="1">
        <v>4468.0</v>
      </c>
      <c r="B4180" s="3" t="s">
        <v>4010</v>
      </c>
      <c r="C4180" s="3" t="str">
        <f>IFERROR(__xludf.DUMMYFUNCTION("GOOGLETRANSLATE(B4180,""id"",""en"")"),"['promo', 'lngkap', 'klw', 'contents', 'quota', 'data', 'expensive', 'then', 'change', 'number', '']")</f>
        <v>['promo', 'lngkap', 'klw', 'contents', 'quota', 'data', 'expensive', 'then', 'change', 'number', '']</v>
      </c>
      <c r="D4180" s="3">
        <v>5.0</v>
      </c>
    </row>
    <row r="4181" ht="15.75" customHeight="1">
      <c r="A4181" s="1">
        <v>4469.0</v>
      </c>
      <c r="B4181" s="3" t="s">
        <v>4011</v>
      </c>
      <c r="C4181" s="3" t="str">
        <f>IFERROR(__xludf.DUMMYFUNCTION("GOOGLETRANSLATE(B4181,""id"",""en"")"),"['complicated', 'like', 'Telkomsel', 'ane', 'card', 'already', 'check', 'darling', 'disappointed', '']")</f>
        <v>['complicated', 'like', 'Telkomsel', 'ane', 'card', 'already', 'check', 'darling', 'disappointed', '']</v>
      </c>
      <c r="D4181" s="3">
        <v>2.0</v>
      </c>
    </row>
    <row r="4182" ht="15.75" customHeight="1">
      <c r="A4182" s="1">
        <v>4470.0</v>
      </c>
      <c r="B4182" s="3" t="s">
        <v>4012</v>
      </c>
      <c r="C4182" s="3" t="str">
        <f>IFERROR(__xludf.DUMMYFUNCTION("GOOGLETRANSLATE(B4182,""id"",""en"")"),"['Not bad', 'fast', 'information', 'tgg', 'update']")</f>
        <v>['Not bad', 'fast', 'information', 'tgg', 'update']</v>
      </c>
      <c r="D4182" s="3">
        <v>4.0</v>
      </c>
    </row>
    <row r="4183" ht="15.75" customHeight="1">
      <c r="A4183" s="1">
        <v>4471.0</v>
      </c>
      <c r="B4183" s="3" t="s">
        <v>4013</v>
      </c>
      <c r="C4183" s="3" t="str">
        <f>IFERROR(__xludf.DUMMYFUNCTION("GOOGLETRANSLATE(B4183,""id"",""en"")"),"['France', 'Error', 'Please', 'Increase', 'Service', 'internet']")</f>
        <v>['France', 'Error', 'Please', 'Increase', 'Service', 'internet']</v>
      </c>
      <c r="D4183" s="3">
        <v>3.0</v>
      </c>
    </row>
    <row r="4184" ht="15.75" customHeight="1">
      <c r="A4184" s="1">
        <v>4472.0</v>
      </c>
      <c r="B4184" s="3" t="s">
        <v>4014</v>
      </c>
      <c r="C4184" s="3" t="str">
        <f>IFERROR(__xludf.DUMMYFUNCTION("GOOGLETRANSLATE(B4184,""id"",""en"")"),"['Apdet', 'Telkomsel', 'Sometimes',' Sometimes', 'Like', 'Season', 'Ribet', 'Sometimes',' Errr ',' Sometimes', 'Sometimes',' Good ',' Honey ',' gave ',' star ',' confused ',' Lau ',' love ',' star ',' sometimes', 'semosin', ""]")</f>
        <v>['Apdet', 'Telkomsel', 'Sometimes',' Sometimes', 'Like', 'Season', 'Ribet', 'Sometimes',' Errr ',' Sometimes', 'Sometimes',' Good ',' Honey ',' gave ',' star ',' confused ',' Lau ',' love ',' star ',' sometimes', 'semosin', "]</v>
      </c>
      <c r="D4184" s="3">
        <v>2.0</v>
      </c>
    </row>
    <row r="4185" ht="15.75" customHeight="1">
      <c r="A4185" s="1">
        <v>4473.0</v>
      </c>
      <c r="B4185" s="3" t="s">
        <v>4015</v>
      </c>
      <c r="C4185" s="3" t="str">
        <f>IFERROR(__xludf.DUMMYFUNCTION("GOOGLETRANSLATE(B4185,""id"",""en"")"),"['Current', 'Disruption']")</f>
        <v>['Current', 'Disruption']</v>
      </c>
      <c r="D4185" s="3">
        <v>5.0</v>
      </c>
    </row>
    <row r="4186" ht="15.75" customHeight="1">
      <c r="A4186" s="1">
        <v>4474.0</v>
      </c>
      <c r="B4186" s="3" t="s">
        <v>4016</v>
      </c>
      <c r="C4186" s="3" t="str">
        <f>IFERROR(__xludf.DUMMYFUNCTION("GOOGLETRANSLATE(B4186,""id"",""en"")"),"['Operator', 'satisfying', 'network', 'best']")</f>
        <v>['Operator', 'satisfying', 'network', 'best']</v>
      </c>
      <c r="D4186" s="3">
        <v>5.0</v>
      </c>
    </row>
    <row r="4187" ht="15.75" customHeight="1">
      <c r="A4187" s="1">
        <v>4476.0</v>
      </c>
      <c r="B4187" s="3" t="s">
        <v>4017</v>
      </c>
      <c r="C4187" s="3" t="str">
        <f>IFERROR(__xludf.DUMMYFUNCTION("GOOGLETRANSLATE(B4187,""id"",""en"")"),"['Not bad', 'manya', 'love', 'star', ""]")</f>
        <v>['Not bad', 'manya', 'love', 'star', "]</v>
      </c>
      <c r="D4187" s="3">
        <v>4.0</v>
      </c>
    </row>
    <row r="4188" ht="15.75" customHeight="1">
      <c r="A4188" s="1">
        <v>4477.0</v>
      </c>
      <c r="B4188" s="3" t="s">
        <v>4018</v>
      </c>
      <c r="C4188" s="3" t="str">
        <f>IFERROR(__xludf.DUMMYFUNCTION("GOOGLETRANSLATE(B4188,""id"",""en"")"),"['It's easy', 'checks', 'data']")</f>
        <v>['It's easy', 'checks', 'data']</v>
      </c>
      <c r="D4188" s="3">
        <v>5.0</v>
      </c>
    </row>
    <row r="4189" ht="15.75" customHeight="1">
      <c r="A4189" s="1">
        <v>4478.0</v>
      </c>
      <c r="B4189" s="3" t="s">
        <v>4019</v>
      </c>
      <c r="C4189" s="3" t="str">
        <f>IFERROR(__xludf.DUMMYFUNCTION("GOOGLETRANSLATE(B4189,""id"",""en"")"),"['quota', 'internet', 'run out', 'srmara', 'quota', 'sosmed', 'chat', 'etc.', 'left', 'brlum', 'used', 'condition', ' Network ',' slow ',' satisfying ', ""]")</f>
        <v>['quota', 'internet', 'run out', 'srmara', 'quota', 'sosmed', 'chat', 'etc.', 'left', 'brlum', 'used', 'condition', ' Network ',' slow ',' satisfying ', "]</v>
      </c>
      <c r="D4189" s="3">
        <v>2.0</v>
      </c>
    </row>
    <row r="4190" ht="15.75" customHeight="1">
      <c r="A4190" s="1">
        <v>4479.0</v>
      </c>
      <c r="B4190" s="3" t="s">
        <v>4020</v>
      </c>
      <c r="C4190" s="3" t="str">
        <f>IFERROR(__xludf.DUMMYFUNCTION("GOOGLETRANSLATE(B4190,""id"",""en"")"),"['Setia', 'Telkomsel', 'Signal', 'Nothing', 'Both', 'Top']")</f>
        <v>['Setia', 'Telkomsel', 'Signal', 'Nothing', 'Both', 'Top']</v>
      </c>
      <c r="D4190" s="3">
        <v>5.0</v>
      </c>
    </row>
    <row r="4191" ht="15.75" customHeight="1">
      <c r="A4191" s="1">
        <v>4480.0</v>
      </c>
      <c r="B4191" s="3" t="s">
        <v>4021</v>
      </c>
      <c r="C4191" s="3" t="str">
        <f>IFERROR(__xludf.DUMMYFUNCTION("GOOGLETRANSLATE(B4191,""id"",""en"")"),"['App', 'scammer', 'cave', 'already', 'sediain', 'pulse', 'buy', 'pulse', 'night', 'GB', 'price', 'just', ' said ',' pulse ',' sufficient ',' strange ',' tetep ',' pulse ',' cave ',' abis', 'pulse', 'cave', 'then', 'the rest', 'dikemanain' , 'Woyy', 'Cred"&amp;"it', 'Cave', 'Cman', 'Remnant', 'Love', 'Bintang', 'APP', 'APP', 'Strange', ""]")</f>
        <v>['App', 'scammer', 'cave', 'already', 'sediain', 'pulse', 'buy', 'pulse', 'night', 'GB', 'price', 'just', ' said ',' pulse ',' sufficient ',' strange ',' tetep ',' pulse ',' cave ',' abis', 'pulse', 'cave', 'then', 'the rest', 'dikemanain' , 'Woyy', 'Credit', 'Cave', 'Cman', 'Remnant', 'Love', 'Bintang', 'APP', 'APP', 'Strange', "]</v>
      </c>
      <c r="D4191" s="3">
        <v>1.0</v>
      </c>
    </row>
    <row r="4192" ht="15.75" customHeight="1">
      <c r="A4192" s="1">
        <v>4481.0</v>
      </c>
      <c r="B4192" s="3" t="s">
        <v>4022</v>
      </c>
      <c r="C4192" s="3" t="str">
        <f>IFERROR(__xludf.DUMMYFUNCTION("GOOGLETRANSLATE(B4192,""id"",""en"")"),"['Telkom', 'cell', 'enga', 'use', 'apalcasi']")</f>
        <v>['Telkom', 'cell', 'enga', 'use', 'apalcasi']</v>
      </c>
      <c r="D4192" s="3">
        <v>5.0</v>
      </c>
    </row>
    <row r="4193" ht="15.75" customHeight="1">
      <c r="A4193" s="1">
        <v>4483.0</v>
      </c>
      <c r="B4193" s="3" t="s">
        <v>4023</v>
      </c>
      <c r="C4193" s="3" t="str">
        <f>IFERROR(__xludf.DUMMYFUNCTION("GOOGLETRANSLATE(B4193,""id"",""en"")"),"['Help']")</f>
        <v>['Help']</v>
      </c>
      <c r="D4193" s="3">
        <v>5.0</v>
      </c>
    </row>
    <row r="4194" ht="15.75" customHeight="1">
      <c r="A4194" s="1">
        <v>4484.0</v>
      </c>
      <c r="B4194" s="3" t="s">
        <v>4024</v>
      </c>
      <c r="C4194" s="3" t="str">
        <f>IFERROR(__xludf.DUMMYFUNCTION("GOOGLETRANSLATE(B4194,""id"",""en"")"),"['quota', 'free', 'login', 'enter', 'written', 'Considered', 'disappointed', 'senggu', ""]")</f>
        <v>['quota', 'free', 'login', 'enter', 'written', 'Considered', 'disappointed', 'senggu', "]</v>
      </c>
      <c r="D4194" s="3">
        <v>1.0</v>
      </c>
    </row>
    <row r="4195" ht="15.75" customHeight="1">
      <c r="A4195" s="1">
        <v>4485.0</v>
      </c>
      <c r="B4195" s="3" t="s">
        <v>4025</v>
      </c>
      <c r="C4195" s="3" t="str">
        <f>IFERROR(__xludf.DUMMYFUNCTION("GOOGLETRANSLATE(B4195,""id"",""en"")"),"['Satisfied', 'Service', 'Telkomsel', 'Disruption']")</f>
        <v>['Satisfied', 'Service', 'Telkomsel', 'Disruption']</v>
      </c>
      <c r="D4195" s="3">
        <v>5.0</v>
      </c>
    </row>
    <row r="4196" ht="15.75" customHeight="1">
      <c r="A4196" s="1">
        <v>4486.0</v>
      </c>
      <c r="B4196" s="3" t="s">
        <v>4026</v>
      </c>
      <c r="C4196" s="3" t="str">
        <f>IFERROR(__xludf.DUMMYFUNCTION("GOOGLETRANSLATE(B4196,""id"",""en"")"),"['application', 'sqngat', 'help', 'top', 'really', 'deh']")</f>
        <v>['application', 'sqngat', 'help', 'top', 'really', 'deh']</v>
      </c>
      <c r="D4196" s="3">
        <v>5.0</v>
      </c>
    </row>
    <row r="4197" ht="15.75" customHeight="1">
      <c r="A4197" s="1">
        <v>4488.0</v>
      </c>
      <c r="B4197" s="3" t="s">
        <v>4027</v>
      </c>
      <c r="C4197" s="3" t="str">
        <f>IFERROR(__xludf.DUMMYFUNCTION("GOOGLETRANSLATE(B4197,""id"",""en"")"),"['why', 'Telkomsel', 'Maket', 'Tomorrow', 'already', 'expired', 'disappointed', 'already', 'times',' Mingu ',' Sunday ',' already ',' Expired ',' Writing ',' Day ',' Disappointed ',' Sakali ',' Telkomsel ',' Please ',' Fix ',' ']")</f>
        <v>['why', 'Telkomsel', 'Maket', 'Tomorrow', 'already', 'expired', 'disappointed', 'already', 'times',' Mingu ',' Sunday ',' already ',' Expired ',' Writing ',' Day ',' Disappointed ',' Sakali ',' Telkomsel ',' Please ',' Fix ',' ']</v>
      </c>
      <c r="D4197" s="3">
        <v>1.0</v>
      </c>
    </row>
    <row r="4198" ht="15.75" customHeight="1">
      <c r="A4198" s="1">
        <v>4489.0</v>
      </c>
      <c r="B4198" s="3" t="s">
        <v>4028</v>
      </c>
      <c r="C4198" s="3" t="str">
        <f>IFERROR(__xludf.DUMMYFUNCTION("GOOGLETRANSLATE(B4198,""id"",""en"")"),"['Winner', 'Period', 'Appears', 'Applicable', 'MyTelkomsel', 'How', 'Carax', 'Winner', ""]")</f>
        <v>['Winner', 'Period', 'Appears', 'Applicable', 'MyTelkomsel', 'How', 'Carax', 'Winner', "]</v>
      </c>
      <c r="D4198" s="3">
        <v>5.0</v>
      </c>
    </row>
    <row r="4199" ht="15.75" customHeight="1">
      <c r="A4199" s="1">
        <v>4490.0</v>
      </c>
      <c r="B4199" s="3" t="s">
        <v>4029</v>
      </c>
      <c r="C4199" s="3" t="str">
        <f>IFERROR(__xludf.DUMMYFUNCTION("GOOGLETRANSLATE(B4199,""id"",""en"")"),"['Signal', 'Good', '']")</f>
        <v>['Signal', 'Good', '']</v>
      </c>
      <c r="D4199" s="3">
        <v>5.0</v>
      </c>
    </row>
    <row r="4200" ht="15.75" customHeight="1">
      <c r="A4200" s="1">
        <v>4491.0</v>
      </c>
      <c r="B4200" s="3" t="s">
        <v>4030</v>
      </c>
      <c r="C4200" s="3" t="str">
        <f>IFERROR(__xludf.DUMMYFUNCTION("GOOGLETRANSLATE(B4200,""id"",""en"")"),"['Package', 'Internet', 'expensive', 'signal', 'ugly']")</f>
        <v>['Package', 'Internet', 'expensive', 'signal', 'ugly']</v>
      </c>
      <c r="D4200" s="3">
        <v>2.0</v>
      </c>
    </row>
    <row r="4201" ht="15.75" customHeight="1">
      <c r="A4201" s="1">
        <v>4492.0</v>
      </c>
      <c r="B4201" s="3" t="s">
        <v>4031</v>
      </c>
      <c r="C4201" s="3" t="str">
        <f>IFERROR(__xludf.DUMMYFUNCTION("GOOGLETRANSLATE(B4201,""id"",""en"")"),"['Telkomsel', 'Signal', 'Defense']")</f>
        <v>['Telkomsel', 'Signal', 'Defense']</v>
      </c>
      <c r="D4201" s="3">
        <v>5.0</v>
      </c>
    </row>
    <row r="4202" ht="15.75" customHeight="1">
      <c r="A4202" s="1">
        <v>4493.0</v>
      </c>
      <c r="B4202" s="3" t="s">
        <v>4032</v>
      </c>
      <c r="C4202" s="3" t="str">
        <f>IFERROR(__xludf.DUMMYFUNCTION("GOOGLETRANSLATE(B4202,""id"",""en"")"),"['kouta', 'free', 'gave', 'star', 'kalok', 'kouta', 'free', 'kouta', 'free', 'love', 'star', '']")</f>
        <v>['kouta', 'free', 'gave', 'star', 'kalok', 'kouta', 'free', 'kouta', 'free', 'love', 'star', '']</v>
      </c>
      <c r="D4202" s="3">
        <v>1.0</v>
      </c>
    </row>
    <row r="4203" ht="15.75" customHeight="1">
      <c r="A4203" s="1">
        <v>4494.0</v>
      </c>
      <c r="B4203" s="3" t="s">
        <v>4033</v>
      </c>
      <c r="C4203" s="3" t="str">
        <f>IFERROR(__xludf.DUMMYFUNCTION("GOOGLETRANSLATE(B4203,""id"",""en"")"),"['Help', 'thank', 'love']")</f>
        <v>['Help', 'thank', 'love']</v>
      </c>
      <c r="D4203" s="3">
        <v>5.0</v>
      </c>
    </row>
    <row r="4204" ht="15.75" customHeight="1">
      <c r="A4204" s="1">
        <v>4495.0</v>
      </c>
      <c r="B4204" s="3" t="s">
        <v>4034</v>
      </c>
      <c r="C4204" s="3" t="str">
        <f>IFERROR(__xludf.DUMMYFUNCTION("GOOGLETRANSLATE(B4204,""id"",""en"")"),"['application', 'opened', 'use', 'connection', 'internet', 'Telkomsel', '']")</f>
        <v>['application', 'opened', 'use', 'connection', 'internet', 'Telkomsel', '']</v>
      </c>
      <c r="D4204" s="3">
        <v>1.0</v>
      </c>
    </row>
    <row r="4205" ht="15.75" customHeight="1">
      <c r="A4205" s="1">
        <v>4496.0</v>
      </c>
      <c r="B4205" s="3" t="s">
        <v>4035</v>
      </c>
      <c r="C4205" s="3" t="str">
        <f>IFERROR(__xludf.DUMMYFUNCTION("GOOGLETRANSLATE(B4205,""id"",""en"")"),"['Come', 'price', 'package', 'expensive']")</f>
        <v>['Come', 'price', 'package', 'expensive']</v>
      </c>
      <c r="D4205" s="3">
        <v>2.0</v>
      </c>
    </row>
    <row r="4206" ht="15.75" customHeight="1">
      <c r="A4206" s="1">
        <v>4497.0</v>
      </c>
      <c r="B4206" s="3" t="s">
        <v>4036</v>
      </c>
      <c r="C4206" s="3" t="str">
        <f>IFERROR(__xludf.DUMMYFUNCTION("GOOGLETRANSLATE(B4206,""id"",""en"")"),"['Get', 'Package', 'Free']")</f>
        <v>['Get', 'Package', 'Free']</v>
      </c>
      <c r="D4206" s="3">
        <v>5.0</v>
      </c>
    </row>
    <row r="4207" ht="15.75" customHeight="1">
      <c r="A4207" s="1">
        <v>4498.0</v>
      </c>
      <c r="B4207" s="3" t="s">
        <v>4037</v>
      </c>
      <c r="C4207" s="3" t="str">
        <f>IFERROR(__xludf.DUMMYFUNCTION("GOOGLETRANSLATE(B4207,""id"",""en"")"),"['cunning', 'really', 'Telkomsel', 'Makai', 'pull', 'pulses', 'BUMN', 'SELICIK', '']")</f>
        <v>['cunning', 'really', 'Telkomsel', 'Makai', 'pull', 'pulses', 'BUMN', 'SELICIK', '']</v>
      </c>
      <c r="D4207" s="3">
        <v>1.0</v>
      </c>
    </row>
    <row r="4208" ht="15.75" customHeight="1">
      <c r="A4208" s="1">
        <v>4499.0</v>
      </c>
      <c r="B4208" s="3" t="s">
        <v>4038</v>
      </c>
      <c r="C4208" s="3" t="str">
        <f>IFERROR(__xludf.DUMMYFUNCTION("GOOGLETRANSLATE(B4208,""id"",""en"")"),"['appl', 'good']")</f>
        <v>['appl', 'good']</v>
      </c>
      <c r="D4208" s="3">
        <v>5.0</v>
      </c>
    </row>
    <row r="4209" ht="15.75" customHeight="1">
      <c r="A4209" s="1">
        <v>4500.0</v>
      </c>
      <c r="B4209" s="3" t="s">
        <v>4039</v>
      </c>
      <c r="C4209" s="3" t="str">
        <f>IFERROR(__xludf.DUMMYFUNCTION("GOOGLETRANSLATE(B4209,""id"",""en"")"),"['package', 'price', 'network', 'ugly', 'high', 'doang', 'kaga', 'quality', 'rain', 'network', 'ilang', 'rain', ' Current ',' Kaga ',' slow ']")</f>
        <v>['package', 'price', 'network', 'ugly', 'high', 'doang', 'kaga', 'quality', 'rain', 'network', 'ilang', 'rain', ' Current ',' Kaga ',' slow ']</v>
      </c>
      <c r="D4209" s="3">
        <v>1.0</v>
      </c>
    </row>
    <row r="4210" ht="15.75" customHeight="1">
      <c r="A4210" s="1">
        <v>4501.0</v>
      </c>
      <c r="B4210" s="3" t="s">
        <v>2018</v>
      </c>
      <c r="C4210" s="3" t="str">
        <f>IFERROR(__xludf.DUMMYFUNCTION("GOOGLETRANSLATE(B4210,""id"",""en"")"),"['Service', 'Good']")</f>
        <v>['Service', 'Good']</v>
      </c>
      <c r="D4210" s="3">
        <v>5.0</v>
      </c>
    </row>
    <row r="4211" ht="15.75" customHeight="1">
      <c r="A4211" s="1">
        <v>4502.0</v>
      </c>
      <c r="B4211" s="3" t="s">
        <v>4040</v>
      </c>
      <c r="C4211" s="3" t="str">
        <f>IFERROR(__xludf.DUMMYFUNCTION("GOOGLETRANSLATE(B4211,""id"",""en"")"),"['aspect', 'signal', 'UDH', 'good', 'just', 'price', 'package', 'quota', 'expensive', 'claim', 'reward', 'check', ' pulse']")</f>
        <v>['aspect', 'signal', 'UDH', 'good', 'just', 'price', 'package', 'quota', 'expensive', 'claim', 'reward', 'check', ' pulse']</v>
      </c>
      <c r="D4211" s="3">
        <v>1.0</v>
      </c>
    </row>
    <row r="4212" ht="15.75" customHeight="1">
      <c r="A4212" s="1">
        <v>4503.0</v>
      </c>
      <c r="B4212" s="3" t="s">
        <v>4041</v>
      </c>
      <c r="C4212" s="3" t="str">
        <f>IFERROR(__xludf.DUMMYFUNCTION("GOOGLETRANSLATE(B4212,""id"",""en"")"),"['Okay', 'Cool']")</f>
        <v>['Okay', 'Cool']</v>
      </c>
      <c r="D4212" s="3">
        <v>5.0</v>
      </c>
    </row>
    <row r="4213" ht="15.75" customHeight="1">
      <c r="A4213" s="1">
        <v>4504.0</v>
      </c>
      <c r="B4213" s="3" t="s">
        <v>4042</v>
      </c>
      <c r="C4213" s="3" t="str">
        <f>IFERROR(__xludf.DUMMYFUNCTION("GOOGLETRANSLATE(B4213,""id"",""en"")"),"['It's easy', 'purchase', 'Package', 'Telkomsel', 'Tampa', 'Outlet', 'Telkomsel']")</f>
        <v>['It's easy', 'purchase', 'Package', 'Telkomsel', 'Tampa', 'Outlet', 'Telkomsel']</v>
      </c>
      <c r="D4213" s="3">
        <v>5.0</v>
      </c>
    </row>
    <row r="4214" ht="15.75" customHeight="1">
      <c r="A4214" s="1">
        <v>4505.0</v>
      </c>
      <c r="B4214" s="3" t="s">
        <v>4043</v>
      </c>
      <c r="C4214" s="3" t="str">
        <f>IFERROR(__xludf.DUMMYFUNCTION("GOOGLETRANSLATE(B4214,""id"",""en"")"),"['Telkomsel', 'Joss', 'Internet', 'Call', 'Where', 'Sinyal', 'No', 'Disconnect', 'Disconnect', 'Mantap', ""]")</f>
        <v>['Telkomsel', 'Joss', 'Internet', 'Call', 'Where', 'Sinyal', 'No', 'Disconnect', 'Disconnect', 'Mantap', "]</v>
      </c>
      <c r="D4214" s="3">
        <v>5.0</v>
      </c>
    </row>
    <row r="4215" ht="15.75" customHeight="1">
      <c r="A4215" s="1">
        <v>4506.0</v>
      </c>
      <c r="B4215" s="3" t="s">
        <v>4044</v>
      </c>
      <c r="C4215" s="3" t="str">
        <f>IFERROR(__xludf.DUMMYFUNCTION("GOOGLETRANSLATE(B4215,""id"",""en"")"),"['Simple', 'informative']")</f>
        <v>['Simple', 'informative']</v>
      </c>
      <c r="D4215" s="3">
        <v>5.0</v>
      </c>
    </row>
    <row r="4216" ht="15.75" customHeight="1">
      <c r="A4216" s="1">
        <v>4508.0</v>
      </c>
      <c r="B4216" s="3" t="s">
        <v>4045</v>
      </c>
      <c r="C4216" s="3" t="str">
        <f>IFERROR(__xludf.DUMMYFUNCTION("GOOGLETRANSLATE(B4216,""id"",""en"")"),"['Signal', 'Internet', 'Sometimes', 'Like', 'Lemot']")</f>
        <v>['Signal', 'Internet', 'Sometimes', 'Like', 'Lemot']</v>
      </c>
      <c r="D4216" s="3">
        <v>3.0</v>
      </c>
    </row>
    <row r="4217" ht="15.75" customHeight="1">
      <c r="A4217" s="1">
        <v>4509.0</v>
      </c>
      <c r="B4217" s="3" t="s">
        <v>4046</v>
      </c>
      <c r="C4217" s="3" t="str">
        <f>IFERROR(__xludf.DUMMYFUNCTION("GOOGLETRANSLATE(B4217,""id"",""en"")"),"['application', 'Simple', 'light', 'ngambit', 'quality', 'awake', 'continue']")</f>
        <v>['application', 'Simple', 'light', 'ngambit', 'quality', 'awake', 'continue']</v>
      </c>
      <c r="D4217" s="3">
        <v>5.0</v>
      </c>
    </row>
    <row r="4218" ht="15.75" customHeight="1">
      <c r="A4218" s="1">
        <v>4510.0</v>
      </c>
      <c r="B4218" s="3" t="s">
        <v>4047</v>
      </c>
      <c r="C4218" s="3" t="str">
        <f>IFERROR(__xludf.DUMMYFUNCTION("GOOGLETRANSLATE(B4218,""id"",""en"")"),"['hi', 'Telkomsel', 'ask', 'gift', 'exchange', 'point', 'suppose', 'contact', '']")</f>
        <v>['hi', 'Telkomsel', 'ask', 'gift', 'exchange', 'point', 'suppose', 'contact', '']</v>
      </c>
      <c r="D4218" s="3">
        <v>5.0</v>
      </c>
    </row>
    <row r="4219" ht="15.75" customHeight="1">
      <c r="A4219" s="1">
        <v>4511.0</v>
      </c>
      <c r="B4219" s="3" t="s">
        <v>4048</v>
      </c>
      <c r="C4219" s="3" t="str">
        <f>IFERROR(__xludf.DUMMYFUNCTION("GOOGLETRANSLATE(B4219,""id"",""en"")"),"['buy', 'quota', 'local', 'region', 'banyuasin', 'active', 'region', 'palembang', 'already', 'right', 'no', 'events',' Gini ',' Wrong ',' Doly Hula ',' Region ',' Palembang ',' Pas', 'Definition', 'Doly Hula', 'Region', 'Banyuasin', 'Sucked', 'Quota', 'Na"&amp;"tional' , 'right', 'Dipalembang', 'quota', 'local', 'strange', 'buy', 'quota', 'deed', 'cheat', 'fix', 'emang', 'error', ' Technical ',' deed ',' cheat ', ""]")</f>
        <v>['buy', 'quota', 'local', 'region', 'banyuasin', 'active', 'region', 'palembang', 'already', 'right', 'no', 'events',' Gini ',' Wrong ',' Doly Hula ',' Region ',' Palembang ',' Pas', 'Definition', 'Doly Hula', 'Region', 'Banyuasin', 'Sucked', 'Quota', 'National' , 'right', 'Dipalembang', 'quota', 'local', 'strange', 'buy', 'quota', 'deed', 'cheat', 'fix', 'emang', 'error', ' Technical ',' deed ',' cheat ', "]</v>
      </c>
      <c r="D4219" s="3">
        <v>1.0</v>
      </c>
    </row>
    <row r="4220" ht="15.75" customHeight="1">
      <c r="A4220" s="1">
        <v>4512.0</v>
      </c>
      <c r="B4220" s="3" t="s">
        <v>4049</v>
      </c>
      <c r="C4220" s="3" t="str">
        <f>IFERROR(__xludf.DUMMYFUNCTION("GOOGLETRANSLATE(B4220,""id"",""en"")"),"['Program', 'Reward', 'Daily', 'Check', 'Prize', 'Voucher', 'Informative', 'Mechanism "",' ']")</f>
        <v>['Program', 'Reward', 'Daily', 'Check', 'Prize', 'Voucher', 'Informative', 'Mechanism ",' ']</v>
      </c>
      <c r="D4220" s="3">
        <v>4.0</v>
      </c>
    </row>
    <row r="4221" ht="15.75" customHeight="1">
      <c r="A4221" s="1">
        <v>4513.0</v>
      </c>
      <c r="B4221" s="3" t="s">
        <v>4050</v>
      </c>
      <c r="C4221" s="3" t="str">
        <f>IFERROR(__xludf.DUMMYFUNCTION("GOOGLETRANSLATE(B4221,""id"",""en"")"),"['Move', 'lure', 'for me', 'Telkomsel', 'best', 'signal', 'jozzz', 'service', 'friendly', 'satisfying', 'trima', 'love', ' Telkomsel ',' Hope ',' Success', 'Jaya']")</f>
        <v>['Move', 'lure', 'for me', 'Telkomsel', 'best', 'signal', 'jozzz', 'service', 'friendly', 'satisfying', 'trima', 'love', ' Telkomsel ',' Hope ',' Success', 'Jaya']</v>
      </c>
      <c r="D4221" s="3">
        <v>5.0</v>
      </c>
    </row>
    <row r="4222" ht="15.75" customHeight="1">
      <c r="A4222" s="1">
        <v>4514.0</v>
      </c>
      <c r="B4222" s="3" t="s">
        <v>4051</v>
      </c>
      <c r="C4222" s="3" t="str">
        <f>IFERROR(__xludf.DUMMYFUNCTION("GOOGLETRANSLATE(B4222,""id"",""en"")"),"['Watch', 'YouTube', 'all day', 'satisfied']")</f>
        <v>['Watch', 'YouTube', 'all day', 'satisfied']</v>
      </c>
      <c r="D4222" s="3">
        <v>5.0</v>
      </c>
    </row>
    <row r="4223" ht="15.75" customHeight="1">
      <c r="A4223" s="1">
        <v>4515.0</v>
      </c>
      <c r="B4223" s="3" t="s">
        <v>4052</v>
      </c>
      <c r="C4223" s="3" t="str">
        <f>IFERROR(__xludf.DUMMYFUNCTION("GOOGLETRANSLATE(B4223,""id"",""en"")"),"['Mantap', 'promo']")</f>
        <v>['Mantap', 'promo']</v>
      </c>
      <c r="D4223" s="3">
        <v>5.0</v>
      </c>
    </row>
    <row r="4224" ht="15.75" customHeight="1">
      <c r="A4224" s="1">
        <v>4516.0</v>
      </c>
      <c r="B4224" s="3" t="s">
        <v>4053</v>
      </c>
      <c r="C4224" s="3" t="str">
        <f>IFERROR(__xludf.DUMMYFUNCTION("GOOGLETRANSLATE(B4224,""id"",""en"")"),"['Network', 'Telkomsel', 'mantaaap', '']")</f>
        <v>['Network', 'Telkomsel', 'mantaaap', '']</v>
      </c>
      <c r="D4224" s="3">
        <v>5.0</v>
      </c>
    </row>
    <row r="4225" ht="15.75" customHeight="1">
      <c r="A4225" s="1">
        <v>4517.0</v>
      </c>
      <c r="B4225" s="3" t="s">
        <v>4054</v>
      </c>
      <c r="C4225" s="3" t="str">
        <f>IFERROR(__xludf.DUMMYFUNCTION("GOOGLETRANSLATE(B4225,""id"",""en"")"),"['TLH', 'use', 'Telkomsel', 'yrs', 'products', 'tlg', 'level', 'network', 'region', 'Java', 'west', '']")</f>
        <v>['TLH', 'use', 'Telkomsel', 'yrs', 'products', 'tlg', 'level', 'network', 'region', 'Java', 'west', '']</v>
      </c>
      <c r="D4225" s="3">
        <v>4.0</v>
      </c>
    </row>
    <row r="4226" ht="15.75" customHeight="1">
      <c r="A4226" s="1">
        <v>4518.0</v>
      </c>
      <c r="B4226" s="3" t="s">
        <v>4055</v>
      </c>
      <c r="C4226" s="3" t="str">
        <f>IFERROR(__xludf.DUMMYFUNCTION("GOOGLETRANSLATE(B4226,""id"",""en"")"),"['Price', 'cheap', 'hope', 'tissue', 'fast', 'laload']")</f>
        <v>['Price', 'cheap', 'hope', 'tissue', 'fast', 'laload']</v>
      </c>
      <c r="D4226" s="3">
        <v>5.0</v>
      </c>
    </row>
    <row r="4227" ht="15.75" customHeight="1">
      <c r="A4227" s="1">
        <v>4519.0</v>
      </c>
      <c r="B4227" s="3" t="s">
        <v>4056</v>
      </c>
      <c r="C4227" s="3" t="str">
        <f>IFERROR(__xludf.DUMMYFUNCTION("GOOGLETRANSLATE(B4227,""id"",""en"")"),"['Easy', 'Practical', 'Simple']")</f>
        <v>['Easy', 'Practical', 'Simple']</v>
      </c>
      <c r="D4227" s="3">
        <v>5.0</v>
      </c>
    </row>
    <row r="4228" ht="15.75" customHeight="1">
      <c r="A4228" s="1">
        <v>4520.0</v>
      </c>
      <c r="B4228" s="3" t="s">
        <v>4057</v>
      </c>
      <c r="C4228" s="3" t="str">
        <f>IFERROR(__xludf.DUMMYFUNCTION("GOOGLETRANSLATE(B4228,""id"",""en"")"),"['application', 'good', 'bnget']")</f>
        <v>['application', 'good', 'bnget']</v>
      </c>
      <c r="D4228" s="3">
        <v>5.0</v>
      </c>
    </row>
    <row r="4229" ht="15.75" customHeight="1">
      <c r="A4229" s="1">
        <v>4521.0</v>
      </c>
      <c r="B4229" s="3" t="s">
        <v>4058</v>
      </c>
      <c r="C4229" s="3" t="str">
        <f>IFERROR(__xludf.DUMMYFUNCTION("GOOGLETRANSLATE(B4229,""id"",""en"")"),"['Buy', 'Package', 'YouTube', 'Muter', 'Muter']")</f>
        <v>['Buy', 'Package', 'YouTube', 'Muter', 'Muter']</v>
      </c>
      <c r="D4229" s="3">
        <v>1.0</v>
      </c>
    </row>
    <row r="4230" ht="15.75" customHeight="1">
      <c r="A4230" s="1">
        <v>4522.0</v>
      </c>
      <c r="B4230" s="3" t="s">
        <v>4059</v>
      </c>
      <c r="C4230" s="3" t="str">
        <f>IFERROR(__xludf.DUMMYFUNCTION("GOOGLETRANSLATE(B4230,""id"",""en"")"),"['The package', 'SRG', 'jammed', 'rich', 'right', 'Need', 'quota', 'lap', 'appears',' Ostaining ',' already ',' refesh ',' Many ',' overall ',' good ',' just ',' oaketnya ',' srg ',' what ',' that's']")</f>
        <v>['The package', 'SRG', 'jammed', 'rich', 'right', 'Need', 'quota', 'lap', 'appears',' Ostaining ',' already ',' refesh ',' Many ',' overall ',' good ',' just ',' oaketnya ',' srg ',' what ',' that's']</v>
      </c>
      <c r="D4230" s="3">
        <v>4.0</v>
      </c>
    </row>
    <row r="4231" ht="15.75" customHeight="1">
      <c r="A4231" s="1">
        <v>4524.0</v>
      </c>
      <c r="B4231" s="3" t="s">
        <v>4060</v>
      </c>
      <c r="C4231" s="3" t="str">
        <f>IFERROR(__xludf.DUMMYFUNCTION("GOOGLETRANSLATE(B4231,""id"",""en"")"),"['offer', 'package', 'monthly', 'cheap']")</f>
        <v>['offer', 'package', 'monthly', 'cheap']</v>
      </c>
      <c r="D4231" s="3">
        <v>5.0</v>
      </c>
    </row>
    <row r="4232" ht="15.75" customHeight="1">
      <c r="A4232" s="1">
        <v>4525.0</v>
      </c>
      <c r="B4232" s="3" t="s">
        <v>4061</v>
      </c>
      <c r="C4232" s="3" t="str">
        <f>IFERROR(__xludf.DUMMYFUNCTION("GOOGLETRANSLATE(B4232,""id"",""en"")"),"['Mea', 'like', 'application', 'Telkomsel', 'Where', 'application', 'makes it easy', 'transact', 'credit', 'data', 'telephone', ""]")</f>
        <v>['Mea', 'like', 'application', 'Telkomsel', 'Where', 'application', 'makes it easy', 'transact', 'credit', 'data', 'telephone', "]</v>
      </c>
      <c r="D4232" s="3">
        <v>4.0</v>
      </c>
    </row>
    <row r="4233" ht="15.75" customHeight="1">
      <c r="A4233" s="1">
        <v>4527.0</v>
      </c>
      <c r="B4233" s="3" t="s">
        <v>4062</v>
      </c>
      <c r="C4233" s="3" t="str">
        <f>IFERROR(__xludf.DUMMYFUNCTION("GOOGLETRANSLATE(B4233,""id"",""en"")"),"['Lally', 'promo', 'package', 'data', 'exchange', 'point', 'interesting', 'customer', 'join', ""]")</f>
        <v>['Lally', 'promo', 'package', 'data', 'exchange', 'point', 'interesting', 'customer', 'join', "]</v>
      </c>
      <c r="D4233" s="3">
        <v>5.0</v>
      </c>
    </row>
    <row r="4234" ht="15.75" customHeight="1">
      <c r="A4234" s="1">
        <v>4528.0</v>
      </c>
      <c r="B4234" s="3" t="s">
        <v>4063</v>
      </c>
      <c r="C4234" s="3" t="str">
        <f>IFERROR(__xludf.DUMMYFUNCTION("GOOGLETRANSLATE(B4234,""id"",""en"")"),"['apk', 'Telkomsel', 'kek', 'animal', 'bark', 'times', 'open', 'apk', 'delete', 'data', 'apk', 'open']")</f>
        <v>['apk', 'Telkomsel', 'kek', 'animal', 'bark', 'times', 'open', 'apk', 'delete', 'data', 'apk', 'open']</v>
      </c>
      <c r="D4234" s="3">
        <v>1.0</v>
      </c>
    </row>
    <row r="4235" ht="15.75" customHeight="1">
      <c r="A4235" s="1">
        <v>4529.0</v>
      </c>
      <c r="B4235" s="3" t="s">
        <v>4064</v>
      </c>
      <c r="C4235" s="3" t="str">
        <f>IFERROR(__xludf.DUMMYFUNCTION("GOOGLETRANSLATE(B4235,""id"",""en"")"),"['System', 'Network', 'Telkomsel', 'Ngecewain', 'Sunday', 'really', 'Error', 'Signal', 'Telkomsel', 'Ampe', 'GAJ', 'Network', ' Please, 'repaired', 'ngeluarin', 'price', 'quota', 'expensive', 'expensive', 'error', 'disappointing', 'name', ""]")</f>
        <v>['System', 'Network', 'Telkomsel', 'Ngecewain', 'Sunday', 'really', 'Error', 'Signal', 'Telkomsel', 'Ampe', 'GAJ', 'Network', ' Please, 'repaired', 'ngeluarin', 'price', 'quota', 'expensive', 'expensive', 'error', 'disappointing', 'name', "]</v>
      </c>
      <c r="D4235" s="3">
        <v>3.0</v>
      </c>
    </row>
    <row r="4236" ht="15.75" customHeight="1">
      <c r="A4236" s="1">
        <v>4530.0</v>
      </c>
      <c r="B4236" s="3" t="s">
        <v>4065</v>
      </c>
      <c r="C4236" s="3" t="str">
        <f>IFERROR(__xludf.DUMMYFUNCTION("GOOGLETRANSLATE(B4236,""id"",""en"")"),"['kereeeeeennn', 'easy', 'access', 'help']")</f>
        <v>['kereeeeeennn', 'easy', 'access', 'help']</v>
      </c>
      <c r="D4236" s="3">
        <v>5.0</v>
      </c>
    </row>
    <row r="4237" ht="15.75" customHeight="1">
      <c r="A4237" s="1">
        <v>4531.0</v>
      </c>
      <c r="B4237" s="3" t="s">
        <v>669</v>
      </c>
      <c r="C4237" s="3" t="str">
        <f>IFERROR(__xludf.DUMMYFUNCTION("GOOGLETRANSLATE(B4237,""id"",""en"")"),"['good']")</f>
        <v>['good']</v>
      </c>
      <c r="D4237" s="3">
        <v>5.0</v>
      </c>
    </row>
    <row r="4238" ht="15.75" customHeight="1">
      <c r="A4238" s="1">
        <v>4532.0</v>
      </c>
      <c r="B4238" s="3" t="s">
        <v>4066</v>
      </c>
      <c r="C4238" s="3" t="str">
        <f>IFERROR(__xludf.DUMMYFUNCTION("GOOGLETRANSLATE(B4238,""id"",""en"")"),"['APK', 'okay']")</f>
        <v>['APK', 'okay']</v>
      </c>
      <c r="D4238" s="3">
        <v>5.0</v>
      </c>
    </row>
    <row r="4239" ht="15.75" customHeight="1">
      <c r="A4239" s="1">
        <v>4534.0</v>
      </c>
      <c r="B4239" s="3" t="s">
        <v>4067</v>
      </c>
      <c r="C4239" s="3" t="str">
        <f>IFERROR(__xludf.DUMMYFUNCTION("GOOGLETRANSLATE(B4239,""id"",""en"")"),"['Alhmdulillah', 'hope', 'best']")</f>
        <v>['Alhmdulillah', 'hope', 'best']</v>
      </c>
      <c r="D4239" s="3">
        <v>4.0</v>
      </c>
    </row>
    <row r="4240" ht="15.75" customHeight="1">
      <c r="A4240" s="1">
        <v>4535.0</v>
      </c>
      <c r="B4240" s="3" t="s">
        <v>4068</v>
      </c>
      <c r="C4240" s="3" t="str">
        <f>IFERROR(__xludf.DUMMYFUNCTION("GOOGLETRANSLATE(B4240,""id"",""en"")"),"['buy', 'quota', 'expensive', 'signal', 'in the city', 'always',' jlk ',' pulse ',' slalu ',' chopped ',' notification ',' ngerugin ',' Users', 'Doang', 'Dubarin', 'Mending', 'PRANUE', '']")</f>
        <v>['buy', 'quota', 'expensive', 'signal', 'in the city', 'always',' jlk ',' pulse ',' slalu ',' chopped ',' notification ',' ngerugin ',' Users', 'Doang', 'Dubarin', 'Mending', 'PRANUE', '']</v>
      </c>
      <c r="D4240" s="3">
        <v>1.0</v>
      </c>
    </row>
    <row r="4241" ht="15.75" customHeight="1">
      <c r="A4241" s="1">
        <v>4536.0</v>
      </c>
      <c r="B4241" s="3" t="s">
        <v>4069</v>
      </c>
      <c r="C4241" s="3" t="str">
        <f>IFERROR(__xludf.DUMMYFUNCTION("GOOGLETRANSLATE(B4241,""id"",""en"")"),"['friend', 'Mari', 'crowded', 'moved', 'provider', 'Telkomsel', 'ugly', 'expensive', 'network', 'stable', 'logo', 'ugly', ' try']")</f>
        <v>['friend', 'Mari', 'crowded', 'moved', 'provider', 'Telkomsel', 'ugly', 'expensive', 'network', 'stable', 'logo', 'ugly', ' try']</v>
      </c>
      <c r="D4241" s="3">
        <v>1.0</v>
      </c>
    </row>
    <row r="4242" ht="15.75" customHeight="1">
      <c r="A4242" s="1">
        <v>4537.0</v>
      </c>
      <c r="B4242" s="3" t="s">
        <v>4070</v>
      </c>
      <c r="C4242" s="3" t="str">
        <f>IFERROR(__xludf.DUMMYFUNCTION("GOOGLETRANSLATE(B4242,""id"",""en"")"),"['Telkomsel', 'signal', 'gajelas',' signal ',' like ',' ilang ',' play ',' game ',' ugly ',' mulu ',' the network ',' gajelas', ' poko ',' mah ',' expensive ',' doang ',' package ',' network ',' satisfying ',' ']")</f>
        <v>['Telkomsel', 'signal', 'gajelas',' signal ',' like ',' ilang ',' play ',' game ',' ugly ',' mulu ',' the network ',' gajelas', ' poko ',' mah ',' expensive ',' doang ',' package ',' network ',' satisfying ',' ']</v>
      </c>
      <c r="D4242" s="3">
        <v>1.0</v>
      </c>
    </row>
    <row r="4243" ht="15.75" customHeight="1">
      <c r="A4243" s="1">
        <v>4538.0</v>
      </c>
      <c r="B4243" s="3" t="s">
        <v>4071</v>
      </c>
      <c r="C4243" s="3" t="str">
        <f>IFERROR(__xludf.DUMMYFUNCTION("GOOGLETRANSLATE(B4243,""id"",""en"")"),"['Telkomsel', 'acting', 'Anying', 'signal', 'ilang', 'mulu', 'cape', 'acting', 'mulu', 'replace', 'defecate']")</f>
        <v>['Telkomsel', 'acting', 'Anying', 'signal', 'ilang', 'mulu', 'cape', 'acting', 'mulu', 'replace', 'defecate']</v>
      </c>
      <c r="D4243" s="3">
        <v>1.0</v>
      </c>
    </row>
    <row r="4244" ht="15.75" customHeight="1">
      <c r="A4244" s="1">
        <v>4539.0</v>
      </c>
      <c r="B4244" s="3" t="s">
        <v>4072</v>
      </c>
      <c r="C4244" s="3" t="str">
        <f>IFERROR(__xludf.DUMMYFUNCTION("GOOGLETRANSLATE(B4244,""id"",""en"")"),"['Package', 'Doang', 'expensive', 'signal', 'mah', 'ugly']")</f>
        <v>['Package', 'Doang', 'expensive', 'signal', 'mah', 'ugly']</v>
      </c>
      <c r="D4244" s="3">
        <v>1.0</v>
      </c>
    </row>
    <row r="4245" ht="15.75" customHeight="1">
      <c r="A4245" s="1">
        <v>4540.0</v>
      </c>
      <c r="B4245" s="3" t="s">
        <v>4073</v>
      </c>
      <c r="C4245" s="3" t="str">
        <f>IFERROR(__xludf.DUMMYFUNCTION("GOOGLETRANSLATE(B4245,""id"",""en"")"),"['Sorry', 'Reduce', 'Credit', 'Reduced', 'Package', 'Reduced']")</f>
        <v>['Sorry', 'Reduce', 'Credit', 'Reduced', 'Package', 'Reduced']</v>
      </c>
      <c r="D4245" s="3">
        <v>3.0</v>
      </c>
    </row>
    <row r="4246" ht="15.75" customHeight="1">
      <c r="A4246" s="1">
        <v>4541.0</v>
      </c>
      <c r="B4246" s="3" t="s">
        <v>4074</v>
      </c>
      <c r="C4246" s="3" t="str">
        <f>IFERROR(__xludf.DUMMYFUNCTION("GOOGLETRANSLATE(B4246,""id"",""en"")"),"['petrified', 'Bangget', 'application', 'easy', 'okay']")</f>
        <v>['petrified', 'Bangget', 'application', 'easy', 'okay']</v>
      </c>
      <c r="D4246" s="3">
        <v>5.0</v>
      </c>
    </row>
    <row r="4247" ht="15.75" customHeight="1">
      <c r="A4247" s="1">
        <v>4542.0</v>
      </c>
      <c r="B4247" s="3" t="s">
        <v>4075</v>
      </c>
      <c r="C4247" s="3" t="str">
        <f>IFERROR(__xludf.DUMMYFUNCTION("GOOGLETRANSLATE(B4247,""id"",""en"")"),"['Notice', 'data', 'internet', 'consumer', 'run out', 'automatic', 'pulse', 'dies',' run out ',' example ',' provider ',' sort ',' Data ',' quota ',' pulses', 'personal', 'consumers',' shy ',' consumers', 'apakh', 'company', 'BUMN', 'greedy']")</f>
        <v>['Notice', 'data', 'internet', 'consumer', 'run out', 'automatic', 'pulse', 'dies',' run out ',' example ',' provider ',' sort ',' Data ',' quota ',' pulses', 'personal', 'consumers',' shy ',' consumers', 'apakh', 'company', 'BUMN', 'greedy']</v>
      </c>
      <c r="D4247" s="3">
        <v>1.0</v>
      </c>
    </row>
    <row r="4248" ht="15.75" customHeight="1">
      <c r="A4248" s="1">
        <v>4543.0</v>
      </c>
      <c r="B4248" s="3" t="s">
        <v>2645</v>
      </c>
      <c r="C4248" s="3" t="str">
        <f>IFERROR(__xludf.DUMMYFUNCTION("GOOGLETRANSLATE(B4248,""id"",""en"")"),"['Help', 'thank you']")</f>
        <v>['Help', 'thank you']</v>
      </c>
      <c r="D4248" s="3">
        <v>5.0</v>
      </c>
    </row>
    <row r="4249" ht="15.75" customHeight="1">
      <c r="A4249" s="1">
        <v>4544.0</v>
      </c>
      <c r="B4249" s="3" t="s">
        <v>4076</v>
      </c>
      <c r="C4249" s="3" t="str">
        <f>IFERROR(__xludf.DUMMYFUNCTION("GOOGLETRANSLATE(B4249,""id"",""en"")"),"['Comfortable', 'used', 'good']")</f>
        <v>['Comfortable', 'used', 'good']</v>
      </c>
      <c r="D4249" s="3">
        <v>5.0</v>
      </c>
    </row>
    <row r="4250" ht="15.75" customHeight="1">
      <c r="A4250" s="1">
        <v>4545.0</v>
      </c>
      <c r="B4250" s="3" t="s">
        <v>4077</v>
      </c>
      <c r="C4250" s="3" t="str">
        <f>IFERROR(__xludf.DUMMYFUNCTION("GOOGLETRANSLATE(B4250,""id"",""en"")"),"['Ooh', 'Sayangkan', 'SYAKALI', 'Exchange', 'Points',' Telkom ',' Exchange ',' Points', 'Packages',' Internet ',' reasoned ',' Mohan ',' Sorry ',' system ',' busy ',' Try ',' Minutes', 'Harm', 'users',' Telkomsel ',' exchange ',' Points']")</f>
        <v>['Ooh', 'Sayangkan', 'SYAKALI', 'Exchange', 'Points',' Telkom ',' Exchange ',' Points', 'Packages',' Internet ',' reasoned ',' Mohan ',' Sorry ',' system ',' busy ',' Try ',' Minutes', 'Harm', 'users',' Telkomsel ',' exchange ',' Points']</v>
      </c>
      <c r="D4250" s="3">
        <v>1.0</v>
      </c>
    </row>
    <row r="4251" ht="15.75" customHeight="1">
      <c r="A4251" s="1">
        <v>4546.0</v>
      </c>
      <c r="B4251" s="3" t="s">
        <v>4078</v>
      </c>
      <c r="C4251" s="3" t="str">
        <f>IFERROR(__xludf.DUMMYFUNCTION("GOOGLETRANSLATE(B4251,""id"",""en"")"),"['Network', 'ilang', 'night']")</f>
        <v>['Network', 'ilang', 'night']</v>
      </c>
      <c r="D4251" s="3">
        <v>5.0</v>
      </c>
    </row>
    <row r="4252" ht="15.75" customHeight="1">
      <c r="A4252" s="1">
        <v>4547.0</v>
      </c>
      <c r="B4252" s="3" t="s">
        <v>4079</v>
      </c>
      <c r="C4252" s="3" t="str">
        <f>IFERROR(__xludf.DUMMYFUNCTION("GOOGLETRANSLATE(B4252,""id"",""en"")"),"['Come', 'Rich', 'Pig']")</f>
        <v>['Come', 'Rich', 'Pig']</v>
      </c>
      <c r="D4252" s="3">
        <v>1.0</v>
      </c>
    </row>
    <row r="4253" ht="15.75" customHeight="1">
      <c r="A4253" s="1">
        <v>4548.0</v>
      </c>
      <c r="B4253" s="3" t="s">
        <v>4080</v>
      </c>
      <c r="C4253" s="3" t="str">
        <f>IFERROR(__xludf.DUMMYFUNCTION("GOOGLETRANSLATE(B4253,""id"",""en"")"),"['steady', 'price']")</f>
        <v>['steady', 'price']</v>
      </c>
      <c r="D4253" s="3">
        <v>5.0</v>
      </c>
    </row>
    <row r="4254" ht="15.75" customHeight="1">
      <c r="A4254" s="1">
        <v>4549.0</v>
      </c>
      <c r="B4254" s="3" t="s">
        <v>4081</v>
      </c>
      <c r="C4254" s="3" t="str">
        <f>IFERROR(__xludf.DUMMYFUNCTION("GOOGLETRANSLATE(B4254,""id"",""en"")"),"['oath', 'sad', 'sad', 'expensive', 'me', 'Bela', 'buy', 'OMG', 'subscription', 'YouTube', 'via', 'Telkomsel', ' Tetep ',' Service ',' Bad ',' Burik ',' Dilapidated ',' Clock ',' Gue ',' Game ',' Online ',' Denger ',' YouTube ',' Shut ',' Down ' , 'Gaje',"&amp;" 'I', 'Customer', 'loyal', 'card', 'I', 'Taon', 'Jebot', 'Udh', 'Upgrade', 'Tetep', 'Hot', ' network ',' Disconnect ',' Fix ',' The ',' Bugs', '']")</f>
        <v>['oath', 'sad', 'sad', 'expensive', 'me', 'Bela', 'buy', 'OMG', 'subscription', 'YouTube', 'via', 'Telkomsel', ' Tetep ',' Service ',' Bad ',' Burik ',' Dilapidated ',' Clock ',' Gue ',' Game ',' Online ',' Denger ',' YouTube ',' Shut ',' Down ' , 'Gaje', 'I', 'Customer', 'loyal', 'card', 'I', 'Taon', 'Jebot', 'Udh', 'Upgrade', 'Tetep', 'Hot', ' network ',' Disconnect ',' Fix ',' The ',' Bugs', '']</v>
      </c>
      <c r="D4254" s="3">
        <v>1.0</v>
      </c>
    </row>
    <row r="4255" ht="15.75" customHeight="1">
      <c r="A4255" s="1">
        <v>4550.0</v>
      </c>
      <c r="B4255" s="3" t="s">
        <v>4082</v>
      </c>
      <c r="C4255" s="3" t="str">
        <f>IFERROR(__xludf.DUMMYFUNCTION("GOOGLETRANSLATE(B4255,""id"",""en"")"),"['Telkomsel', 'package', 'expensive', 'expensive', 'please', 'kayak', 'card', 'card', 'prime', 'package', 'cheap', 'cheap', ' ']")</f>
        <v>['Telkomsel', 'package', 'expensive', 'expensive', 'please', 'kayak', 'card', 'card', 'prime', 'package', 'cheap', 'cheap', ' ']</v>
      </c>
      <c r="D4255" s="3">
        <v>2.0</v>
      </c>
    </row>
    <row r="4256" ht="15.75" customHeight="1">
      <c r="A4256" s="1">
        <v>4551.0</v>
      </c>
      <c r="B4256" s="3" t="s">
        <v>4083</v>
      </c>
      <c r="C4256" s="3" t="str">
        <f>IFERROR(__xludf.DUMMYFUNCTION("GOOGLETRANSLATE(B4256,""id"",""en"")"),"['signal', 'ugly', 'cook', 'building', 'missing', 'signal', 'city', 'then', 'pulse', 'missing', ""]")</f>
        <v>['signal', 'ugly', 'cook', 'building', 'missing', 'signal', 'city', 'then', 'pulse', 'missing', "]</v>
      </c>
      <c r="D4256" s="3">
        <v>1.0</v>
      </c>
    </row>
    <row r="4257" ht="15.75" customHeight="1">
      <c r="A4257" s="1">
        <v>4552.0</v>
      </c>
      <c r="B4257" s="3" t="s">
        <v>4084</v>
      </c>
      <c r="C4257" s="3" t="str">
        <f>IFERROR(__xludf.DUMMYFUNCTION("GOOGLETRANSLATE(B4257,""id"",""en"")"),"['Please', 'fix', 'network', 'expensive', 'sometimes', 'network', 'disappointed']")</f>
        <v>['Please', 'fix', 'network', 'expensive', 'sometimes', 'network', 'disappointed']</v>
      </c>
      <c r="D4257" s="3">
        <v>1.0</v>
      </c>
    </row>
    <row r="4258" ht="15.75" customHeight="1">
      <c r="A4258" s="1">
        <v>4553.0</v>
      </c>
      <c r="B4258" s="3" t="s">
        <v>4085</v>
      </c>
      <c r="C4258" s="3" t="str">
        <f>IFERROR(__xludf.DUMMYFUNCTION("GOOGLETRANSLATE(B4258,""id"",""en"")"),"['Network', 'NOT', 'Making', 'Good', 'ugly', ""]")</f>
        <v>['Network', 'NOT', 'Making', 'Good', 'ugly', "]</v>
      </c>
      <c r="D4258" s="3">
        <v>2.0</v>
      </c>
    </row>
    <row r="4259" ht="15.75" customHeight="1">
      <c r="A4259" s="1">
        <v>4555.0</v>
      </c>
      <c r="B4259" s="3" t="s">
        <v>4086</v>
      </c>
      <c r="C4259" s="3" t="str">
        <f>IFERROR(__xludf.DUMMYFUNCTION("GOOGLETRANSLATE(B4259,""id"",""en"")"),"['forward', 'then', 'Tsel', 'CPII', 'all', 'remote']")</f>
        <v>['forward', 'then', 'Tsel', 'CPII', 'all', 'remote']</v>
      </c>
      <c r="D4259" s="3">
        <v>5.0</v>
      </c>
    </row>
    <row r="4260" ht="15.75" customHeight="1">
      <c r="A4260" s="1">
        <v>4556.0</v>
      </c>
      <c r="B4260" s="3" t="s">
        <v>137</v>
      </c>
      <c r="C4260" s="3" t="str">
        <f>IFERROR(__xludf.DUMMYFUNCTION("GOOGLETRANSLATE(B4260,""id"",""en"")"),"Of course")</f>
        <v>Of course</v>
      </c>
      <c r="D4260" s="3">
        <v>5.0</v>
      </c>
    </row>
    <row r="4261" ht="15.75" customHeight="1">
      <c r="A4261" s="1">
        <v>4557.0</v>
      </c>
      <c r="B4261" s="3" t="s">
        <v>1268</v>
      </c>
      <c r="C4261" s="3" t="str">
        <f>IFERROR(__xludf.DUMMYFUNCTION("GOOGLETRANSLATE(B4261,""id"",""en"")"),"['Success', 'Telkomsel']")</f>
        <v>['Success', 'Telkomsel']</v>
      </c>
      <c r="D4261" s="3">
        <v>5.0</v>
      </c>
    </row>
    <row r="4262" ht="15.75" customHeight="1">
      <c r="A4262" s="1">
        <v>4558.0</v>
      </c>
      <c r="B4262" s="3" t="s">
        <v>4087</v>
      </c>
      <c r="C4262" s="3" t="str">
        <f>IFERROR(__xludf.DUMMYFUNCTION("GOOGLETRANSLATE(B4262,""id"",""en"")"),"['expensive', 'doang', 'package', 'quwaliatas', 'kaga', 'good', 'good', '']")</f>
        <v>['expensive', 'doang', 'package', 'quwaliatas', 'kaga', 'good', 'good', '']</v>
      </c>
      <c r="D4262" s="3">
        <v>1.0</v>
      </c>
    </row>
    <row r="4263" ht="15.75" customHeight="1">
      <c r="A4263" s="1">
        <v>4559.0</v>
      </c>
      <c r="B4263" s="3" t="s">
        <v>4088</v>
      </c>
      <c r="C4263" s="3" t="str">
        <f>IFERROR(__xludf.DUMMYFUNCTION("GOOGLETRANSLATE(B4263,""id"",""en"")"),"['Telkomsel', 'chaotic', 'buy', 'package', 'internet', 'notification', 'quota', 'enter', 'play', 'game', 'ngelag', 'pulse', ' Sumpot ',' Package ',' Lost ',' Pekah ',' ']")</f>
        <v>['Telkomsel', 'chaotic', 'buy', 'package', 'internet', 'notification', 'quota', 'enter', 'play', 'game', 'ngelag', 'pulse', ' Sumpot ',' Package ',' Lost ',' Pekah ',' ']</v>
      </c>
      <c r="D4263" s="3">
        <v>1.0</v>
      </c>
    </row>
    <row r="4264" ht="15.75" customHeight="1">
      <c r="A4264" s="1">
        <v>4560.0</v>
      </c>
      <c r="B4264" s="3" t="s">
        <v>4089</v>
      </c>
      <c r="C4264" s="3" t="str">
        <f>IFERROR(__xludf.DUMMYFUNCTION("GOOGLETRANSLATE(B4264,""id"",""en"")"),"['Thank you', 'Telkomsel', 'Event', 'Extra', 'Kouta', 'Seneng', 'Exchange', 'Points',' Rp ',' Get ',' Kouta ',' Telkomsel ',' Success', 'Telkomsel', 'Amin', 'Wasallam', 'Muhammad', 'Henry', ""]")</f>
        <v>['Thank you', 'Telkomsel', 'Event', 'Extra', 'Kouta', 'Seneng', 'Exchange', 'Points',' Rp ',' Get ',' Kouta ',' Telkomsel ',' Success', 'Telkomsel', 'Amin', 'Wasallam', 'Muhammad', 'Henry', "]</v>
      </c>
      <c r="D4264" s="3">
        <v>5.0</v>
      </c>
    </row>
    <row r="4265" ht="15.75" customHeight="1">
      <c r="A4265" s="1">
        <v>4561.0</v>
      </c>
      <c r="B4265" s="3" t="s">
        <v>4090</v>
      </c>
      <c r="C4265" s="3" t="str">
        <f>IFERROR(__xludf.DUMMYFUNCTION("GOOGLETRANSLATE(B4265,""id"",""en"")"),"['Tone', 'Open', 'Application', 'Dead', 'Life', 'Disturbing']")</f>
        <v>['Tone', 'Open', 'Application', 'Dead', 'Life', 'Disturbing']</v>
      </c>
      <c r="D4265" s="3">
        <v>2.0</v>
      </c>
    </row>
    <row r="4266" ht="15.75" customHeight="1">
      <c r="A4266" s="1">
        <v>4562.0</v>
      </c>
      <c r="B4266" s="3" t="s">
        <v>4091</v>
      </c>
      <c r="C4266" s="3" t="str">
        <f>IFERROR(__xludf.DUMMYFUNCTION("GOOGLETRANSLATE(B4266,""id"",""en"")"),"['APK', 'ugly', 'TPI', 'Boong', 'Hayoo', 'PAL', 'PALI', 'PAL', 'Pali', 'Bacia', 'Cidau', 'Maddidau', ' ']")</f>
        <v>['APK', 'ugly', 'TPI', 'Boong', 'Hayoo', 'PAL', 'PALI', 'PAL', 'Pali', 'Bacia', 'Cidau', 'Maddidau', ' ']</v>
      </c>
      <c r="D4266" s="3">
        <v>5.0</v>
      </c>
    </row>
    <row r="4267" ht="15.75" customHeight="1">
      <c r="A4267" s="1">
        <v>4563.0</v>
      </c>
      <c r="B4267" s="3" t="s">
        <v>4092</v>
      </c>
      <c r="C4267" s="3" t="str">
        <f>IFERROR(__xludf.DUMMYFUNCTION("GOOGLETRANSLATE(B4267,""id"",""en"")"),"['Belik', 'Package', 'Free', 'Tampa', 'post', '']")</f>
        <v>['Belik', 'Package', 'Free', 'Tampa', 'post', '']</v>
      </c>
      <c r="D4267" s="3">
        <v>1.0</v>
      </c>
    </row>
    <row r="4268" ht="15.75" customHeight="1">
      <c r="A4268" s="1">
        <v>4564.0</v>
      </c>
      <c r="B4268" s="3" t="s">
        <v>4093</v>
      </c>
      <c r="C4268" s="3" t="str">
        <f>IFERROR(__xludf.DUMMYFUNCTION("GOOGLETRANSLATE(B4268,""id"",""en"")"),"['buy', 'package', 'unlimited', 'youtube', 'week', 'used', 'quota', 'main', 'hadehhhh', 'buy', 'expensive', 'expensive', ' streaming ',' youtube ',' nonstop ',' sumps', 'main', 'please', 'repaired', 'usage', 'quota', 'loss',' buy ',' expensive ',' expensi"&amp;"ve ' , 'Kekeke', 'quota']")</f>
        <v>['buy', 'package', 'unlimited', 'youtube', 'week', 'used', 'quota', 'main', 'hadehhhh', 'buy', 'expensive', 'expensive', ' streaming ',' youtube ',' nonstop ',' sumps', 'main', 'please', 'repaired', 'usage', 'quota', 'loss',' buy ',' expensive ',' expensive ' , 'Kekeke', 'quota']</v>
      </c>
      <c r="D4268" s="3">
        <v>1.0</v>
      </c>
    </row>
    <row r="4269" ht="15.75" customHeight="1">
      <c r="A4269" s="1">
        <v>4565.0</v>
      </c>
      <c r="B4269" s="3" t="s">
        <v>4094</v>
      </c>
      <c r="C4269" s="3" t="str">
        <f>IFERROR(__xludf.DUMMYFUNCTION("GOOGLETRANSLATE(B4269,""id"",""en"")"),"['', 'Bintang', 'Progression']")</f>
        <v>['', 'Bintang', 'Progression']</v>
      </c>
      <c r="D4269" s="3">
        <v>3.0</v>
      </c>
    </row>
    <row r="4270" ht="15.75" customHeight="1">
      <c r="A4270" s="1">
        <v>4566.0</v>
      </c>
      <c r="B4270" s="3" t="s">
        <v>4095</v>
      </c>
      <c r="C4270" s="3" t="str">
        <f>IFERROR(__xludf.DUMMYFUNCTION("GOOGLETRANSLATE(B4270,""id"",""en"")"),"['Making', 'Telkomsel']")</f>
        <v>['Making', 'Telkomsel']</v>
      </c>
      <c r="D4270" s="3">
        <v>1.0</v>
      </c>
    </row>
    <row r="4271" ht="15.75" customHeight="1">
      <c r="A4271" s="1">
        <v>4567.0</v>
      </c>
      <c r="B4271" s="3" t="s">
        <v>4096</v>
      </c>
      <c r="C4271" s="3" t="str">
        <f>IFERROR(__xludf.DUMMYFUNCTION("GOOGLETRANSLATE(B4271,""id"",""en"")"),"['Package', 'Unlimited', 'Social', 'Media', 'Game', 'Main', 'Game', 'Pubg', 'Time', 'Out', 'What', 'Package', ' Please, 'Fix', 'Out', 'Buy', 'Package', 'Nyari', 'Money', 'Difficult', 'Gini']")</f>
        <v>['Package', 'Unlimited', 'Social', 'Media', 'Game', 'Main', 'Game', 'Pubg', 'Time', 'Out', 'What', 'Package', ' Please, 'Fix', 'Out', 'Buy', 'Package', 'Nyari', 'Money', 'Difficult', 'Gini']</v>
      </c>
      <c r="D4271" s="3">
        <v>1.0</v>
      </c>
    </row>
    <row r="4272" ht="15.75" customHeight="1">
      <c r="A4272" s="1">
        <v>4568.0</v>
      </c>
      <c r="B4272" s="3" t="s">
        <v>4097</v>
      </c>
      <c r="C4272" s="3" t="str">
        <f>IFERROR(__xludf.DUMMYFUNCTION("GOOGLETRANSLATE(B4272,""id"",""en"")"),"['', 'Network', 'slow', 'package', 'expensive', 'usage', 'quota', 'according to', 'right', 'given', 'comment', 'gamau', 'Divert ',' Have ',' Anu ',' Anu ', ""]")</f>
        <v>['', 'Network', 'slow', 'package', 'expensive', 'usage', 'quota', 'according to', 'right', 'given', 'comment', 'gamau', 'Divert ',' Have ',' Anu ',' Anu ', "]</v>
      </c>
      <c r="D4272" s="3">
        <v>1.0</v>
      </c>
    </row>
    <row r="4273" ht="15.75" customHeight="1">
      <c r="A4273" s="1">
        <v>4569.0</v>
      </c>
      <c r="B4273" s="3" t="s">
        <v>4098</v>
      </c>
      <c r="C4273" s="3" t="str">
        <f>IFERROR(__xludf.DUMMYFUNCTION("GOOGLETRANSLATE(B4273,""id"",""en"")"),"['Kecewe', 'cave', 'card', 'Telkomsel', 'package', 'expensive', 'signal', 'nyh', 'ngeleg', 'mulu', 'rich', 'cave', ' Nyesek ',' buy ',' package ',' thousand ',' kepake ',' because ',' Gara ',' ngeleg ',' please ',' Telkomsel ',' right ',' add ',' add ' , "&amp;"'Paketan', 'Mulu', 'Benerin', 'Signal', 'Nyh', 'Sorry', 'Gara', 'Gara', 'buy', 'Paketan', 'expensive', ' She ',' due to ',' ngeleg ',' please ',' Telkomsel ',' cave ',' disappointed ',' ']")</f>
        <v>['Kecewe', 'cave', 'card', 'Telkomsel', 'package', 'expensive', 'signal', 'nyh', 'ngeleg', 'mulu', 'rich', 'cave', ' Nyesek ',' buy ',' package ',' thousand ',' kepake ',' because ',' Gara ',' ngeleg ',' please ',' Telkomsel ',' right ',' add ',' add ' , 'Paketan', 'Mulu', 'Benerin', 'Signal', 'Nyh', 'Sorry', 'Gara', 'Gara', 'buy', 'Paketan', 'expensive', ' She ',' due to ',' ngeleg ',' please ',' Telkomsel ',' cave ',' disappointed ',' ']</v>
      </c>
      <c r="D4273" s="3">
        <v>1.0</v>
      </c>
    </row>
    <row r="4274" ht="15.75" customHeight="1">
      <c r="A4274" s="1">
        <v>4570.0</v>
      </c>
      <c r="B4274" s="3" t="s">
        <v>3771</v>
      </c>
      <c r="C4274" s="3" t="str">
        <f>IFERROR(__xludf.DUMMYFUNCTION("GOOGLETRANSLATE(B4274,""id"",""en"")"),"['disturbance']")</f>
        <v>['disturbance']</v>
      </c>
      <c r="D4274" s="3">
        <v>1.0</v>
      </c>
    </row>
    <row r="4275" ht="15.75" customHeight="1">
      <c r="A4275" s="1">
        <v>4571.0</v>
      </c>
      <c r="B4275" s="3" t="s">
        <v>4099</v>
      </c>
      <c r="C4275" s="3" t="str">
        <f>IFERROR(__xludf.DUMMYFUNCTION("GOOGLETRANSLATE(B4275,""id"",""en"")"),"['', 'application', 'chat', 'agent', 'auto', 'reply', 'doank']")</f>
        <v>['', 'application', 'chat', 'agent', 'auto', 'reply', 'doank']</v>
      </c>
      <c r="D4275" s="3">
        <v>1.0</v>
      </c>
    </row>
    <row r="4276" ht="15.75" customHeight="1">
      <c r="A4276" s="1">
        <v>4572.0</v>
      </c>
      <c r="B4276" s="3" t="s">
        <v>4100</v>
      </c>
      <c r="C4276" s="3" t="str">
        <f>IFERROR(__xludf.DUMMYFUNCTION("GOOGLETRANSLATE(B4276,""id"",""en"")"),"['gave', 'free', 'tens',' right ',' download ',' Cut ',' quota ',' main ',' profit ',' loss', 'quota', 'main', ' Customers', 'loyal', 'cheated', 'robbed', 'expensive', 'corruption', 'quota', 'people', 'yaudah', 'sin']")</f>
        <v>['gave', 'free', 'tens',' right ',' download ',' Cut ',' quota ',' main ',' profit ',' loss', 'quota', 'main', ' Customers', 'loyal', 'cheated', 'robbed', 'expensive', 'corruption', 'quota', 'people', 'yaudah', 'sin']</v>
      </c>
      <c r="D4276" s="3">
        <v>1.0</v>
      </c>
    </row>
    <row r="4277" ht="15.75" customHeight="1">
      <c r="A4277" s="1">
        <v>4573.0</v>
      </c>
      <c r="B4277" s="3" t="s">
        <v>4101</v>
      </c>
      <c r="C4277" s="3" t="str">
        <f>IFERROR(__xludf.DUMMYFUNCTION("GOOGLETRANSLATE(B4277,""id"",""en"")"),"['package', 'expensive']")</f>
        <v>['package', 'expensive']</v>
      </c>
      <c r="D4277" s="3">
        <v>1.0</v>
      </c>
    </row>
    <row r="4278" ht="15.75" customHeight="1">
      <c r="A4278" s="1">
        <v>4574.0</v>
      </c>
      <c r="B4278" s="3" t="s">
        <v>4102</v>
      </c>
      <c r="C4278" s="3" t="str">
        <f>IFERROR(__xludf.DUMMYFUNCTION("GOOGLETRANSLATE(B4278,""id"",""en"")"),"['Network', 'Hurrederr', 'according to', 'quality', 'price', 'quota']")</f>
        <v>['Network', 'Hurrederr', 'according to', 'quality', 'price', 'quota']</v>
      </c>
      <c r="D4278" s="3">
        <v>1.0</v>
      </c>
    </row>
    <row r="4279" ht="15.75" customHeight="1">
      <c r="A4279" s="1">
        <v>4575.0</v>
      </c>
      <c r="B4279" s="3" t="s">
        <v>4103</v>
      </c>
      <c r="C4279" s="3" t="str">
        <f>IFERROR(__xludf.DUMMYFUNCTION("GOOGLETRANSLATE(B4279,""id"",""en"")"),"['The application', 'steady']")</f>
        <v>['The application', 'steady']</v>
      </c>
      <c r="D4279" s="3">
        <v>5.0</v>
      </c>
    </row>
    <row r="4280" ht="15.75" customHeight="1">
      <c r="A4280" s="1">
        <v>4576.0</v>
      </c>
      <c r="B4280" s="3" t="s">
        <v>4104</v>
      </c>
      <c r="C4280" s="3" t="str">
        <f>IFERROR(__xludf.DUMMYFUNCTION("GOOGLETRANSLATE(B4280,""id"",""en"")"),"['network', 'card', 'neighbor', 'expensive', 'doang', 'network', 'poor', ""]")</f>
        <v>['network', 'card', 'neighbor', 'expensive', 'doang', 'network', 'poor', "]</v>
      </c>
      <c r="D4280" s="3">
        <v>2.0</v>
      </c>
    </row>
    <row r="4281" ht="15.75" customHeight="1">
      <c r="A4281" s="1">
        <v>4577.0</v>
      </c>
      <c r="B4281" s="3" t="s">
        <v>4105</v>
      </c>
      <c r="C4281" s="3" t="str">
        <f>IFERROR(__xludf.DUMMYFUNCTION("GOOGLETRANSLATE(B4281,""id"",""en"")"),"['LGI', 'LGI', 'Package', 'Internet', 'cheap', 'expensive']")</f>
        <v>['LGI', 'LGI', 'Package', 'Internet', 'cheap', 'expensive']</v>
      </c>
      <c r="D4281" s="3">
        <v>4.0</v>
      </c>
    </row>
    <row r="4282" ht="15.75" customHeight="1">
      <c r="A4282" s="1">
        <v>4578.0</v>
      </c>
      <c r="B4282" s="3" t="s">
        <v>4106</v>
      </c>
      <c r="C4282" s="3" t="str">
        <f>IFERROR(__xludf.DUMMYFUNCTION("GOOGLETRANSLATE(B4282,""id"",""en"")"),"['Network', 'internet', 'slow']")</f>
        <v>['Network', 'internet', 'slow']</v>
      </c>
      <c r="D4282" s="3">
        <v>2.0</v>
      </c>
    </row>
    <row r="4283" ht="15.75" customHeight="1">
      <c r="A4283" s="1">
        <v>4579.0</v>
      </c>
      <c r="B4283" s="3" t="s">
        <v>4107</v>
      </c>
      <c r="C4283" s="3" t="str">
        <f>IFERROR(__xludf.DUMMYFUNCTION("GOOGLETRANSLATE(B4283,""id"",""en"")"),"['Asikk', 'help']")</f>
        <v>['Asikk', 'help']</v>
      </c>
      <c r="D4283" s="3">
        <v>5.0</v>
      </c>
    </row>
    <row r="4284" ht="15.75" customHeight="1">
      <c r="A4284" s="1">
        <v>4580.0</v>
      </c>
      <c r="B4284" s="3" t="s">
        <v>4108</v>
      </c>
      <c r="C4284" s="3" t="str">
        <f>IFERROR(__xludf.DUMMYFUNCTION("GOOGLETRANSLATE(B4284,""id"",""en"")"),"['difficult', 'open', 'update', 'nga', 'change', 'learn', 'provider', 'next door']")</f>
        <v>['difficult', 'open', 'update', 'nga', 'change', 'learn', 'provider', 'next door']</v>
      </c>
      <c r="D4284" s="3">
        <v>1.0</v>
      </c>
    </row>
    <row r="4285" ht="15.75" customHeight="1">
      <c r="A4285" s="1">
        <v>4581.0</v>
      </c>
      <c r="B4285" s="3" t="s">
        <v>4109</v>
      </c>
      <c r="C4285" s="3" t="str">
        <f>IFERROR(__xludf.DUMMYFUNCTION("GOOGLETRANSLATE(B4285,""id"",""en"")"),"['pls', 'package', 'prioritasin', 'run out', 'briefly', 'package', 'bln', 'remaining', 'come on', 'loss', 'customer']")</f>
        <v>['pls', 'package', 'prioritasin', 'run out', 'briefly', 'package', 'bln', 'remaining', 'come on', 'loss', 'customer']</v>
      </c>
      <c r="D4285" s="3">
        <v>1.0</v>
      </c>
    </row>
    <row r="4286" ht="15.75" customHeight="1">
      <c r="A4286" s="1">
        <v>4582.0</v>
      </c>
      <c r="B4286" s="3" t="s">
        <v>4110</v>
      </c>
      <c r="C4286" s="3" t="str">
        <f>IFERROR(__xludf.DUMMYFUNCTION("GOOGLETRANSLATE(B4286,""id"",""en"")"),"['natural', 'run', 'wading', 'life', 'work', 'factory', 'sales',' marketing ',' agent ',' card ',' credit ',' BNI ',' Card ',' Agent ',' Insurance ',' Installation ',' Wartel ',' Installation ',' PABX ',' Marketing ',' Network ',' Phone ',' Home ',' Marke"&amp;"ting ',' Phone ' , 'Flexi', 'distributor', 'milk', 'soybean', 'cigarettes',' herbs', 'sin', 'field', 'politics',' chairman ',' twigs', 'party', ' Chairperson ',' PAC ',' Memcalonkn ',' Members', 'Board', 'County', 'Mengannkn', 'Choices',' Kades', 'Members"&amp;"',' BPD ',' Position ',' Waka ' , 'msh', 'byk', 'penglmn', '']")</f>
        <v>['natural', 'run', 'wading', 'life', 'work', 'factory', 'sales',' marketing ',' agent ',' card ',' credit ',' BNI ',' Card ',' Agent ',' Insurance ',' Installation ',' Wartel ',' Installation ',' PABX ',' Marketing ',' Network ',' Phone ',' Home ',' Marketing ',' Phone ' , 'Flexi', 'distributor', 'milk', 'soybean', 'cigarettes',' herbs', 'sin', 'field', 'politics',' chairman ',' twigs', 'party', ' Chairperson ',' PAC ',' Memcalonkn ',' Members', 'Board', 'County', 'Mengannkn', 'Choices',' Kades', 'Members',' BPD ',' Position ',' Waka ' , 'msh', 'byk', 'penglmn', '']</v>
      </c>
      <c r="D4286" s="3">
        <v>1.0</v>
      </c>
    </row>
    <row r="4287" ht="15.75" customHeight="1">
      <c r="A4287" s="1">
        <v>4583.0</v>
      </c>
      <c r="B4287" s="3" t="s">
        <v>4111</v>
      </c>
      <c r="C4287" s="3" t="str">
        <f>IFERROR(__xludf.DUMMYFUNCTION("GOOGLETRANSLATE(B4287,""id"",""en"")"),"['used', 'the application']")</f>
        <v>['used', 'the application']</v>
      </c>
      <c r="D4287" s="3">
        <v>1.0</v>
      </c>
    </row>
    <row r="4288" ht="15.75" customHeight="1">
      <c r="A4288" s="1">
        <v>4584.0</v>
      </c>
      <c r="B4288" s="3" t="s">
        <v>4112</v>
      </c>
      <c r="C4288" s="3" t="str">
        <f>IFERROR(__xludf.DUMMYFUNCTION("GOOGLETRANSLATE(B4288,""id"",""en"")"),"['Please', 'program', 'point', 'Exchange', 'pulse', 'package', 'internet', 'card', 'Telkomsel', 'sympathy', 'different', 'purchase', ' quota ',' number ',' price ',' highest ',' thank ',' love ', ""]")</f>
        <v>['Please', 'program', 'point', 'Exchange', 'pulse', 'package', 'internet', 'card', 'Telkomsel', 'sympathy', 'different', 'purchase', ' quota ',' number ',' price ',' highest ',' thank ',' love ', "]</v>
      </c>
      <c r="D4288" s="3">
        <v>4.0</v>
      </c>
    </row>
    <row r="4289" ht="15.75" customHeight="1">
      <c r="A4289" s="1">
        <v>4585.0</v>
      </c>
      <c r="B4289" s="3" t="s">
        <v>4113</v>
      </c>
      <c r="C4289" s="3" t="str">
        <f>IFERROR(__xludf.DUMMYFUNCTION("GOOGLETRANSLATE(B4289,""id"",""en"")"),"['Opportunity', 'gift']")</f>
        <v>['Opportunity', 'gift']</v>
      </c>
      <c r="D4289" s="3">
        <v>5.0</v>
      </c>
    </row>
    <row r="4290" ht="15.75" customHeight="1">
      <c r="A4290" s="1">
        <v>4586.0</v>
      </c>
      <c r="B4290" s="3" t="s">
        <v>4114</v>
      </c>
      <c r="C4290" s="3" t="str">
        <f>IFERROR(__xludf.DUMMYFUNCTION("GOOGLETRANSLATE(B4290,""id"",""en"")"),"['Good', 'really', 'application', 'buy', 'package', 'data', 'ngepain', 'see', 'down', 'uda', 'bialng', 'application', ' good', '']")</f>
        <v>['Good', 'really', 'application', 'buy', 'package', 'data', 'ngepain', 'see', 'down', 'uda', 'bialng', 'application', ' good', '']</v>
      </c>
      <c r="D4290" s="3">
        <v>5.0</v>
      </c>
    </row>
    <row r="4291" ht="15.75" customHeight="1">
      <c r="A4291" s="1">
        <v>4587.0</v>
      </c>
      <c r="B4291" s="3" t="s">
        <v>4115</v>
      </c>
      <c r="C4291" s="3" t="str">
        <f>IFERROR(__xludf.DUMMYFUNCTION("GOOGLETRANSLATE(B4291,""id"",""en"")"),"['Love', 'exchanges', 'Point', 'Telkomsel', 'Direct', 'Donk', 'Have', 'Points', 'tired']")</f>
        <v>['Love', 'exchanges', 'Point', 'Telkomsel', 'Direct', 'Donk', 'Have', 'Points', 'tired']</v>
      </c>
      <c r="D4291" s="3">
        <v>3.0</v>
      </c>
    </row>
    <row r="4292" ht="15.75" customHeight="1">
      <c r="A4292" s="1">
        <v>4589.0</v>
      </c>
      <c r="B4292" s="3" t="s">
        <v>4116</v>
      </c>
      <c r="C4292" s="3" t="str">
        <f>IFERROR(__xludf.DUMMYFUNCTION("GOOGLETRANSLATE(B4292,""id"",""en"")"),"['anjink', 'anjink', 'anjink', 'Nggk', 'Worth', 'Telkom', 'ngentod']")</f>
        <v>['anjink', 'anjink', 'anjink', 'Nggk', 'Worth', 'Telkom', 'ngentod']</v>
      </c>
      <c r="D4292" s="3">
        <v>1.0</v>
      </c>
    </row>
    <row r="4293" ht="15.75" customHeight="1">
      <c r="A4293" s="1">
        <v>4590.0</v>
      </c>
      <c r="B4293" s="3" t="s">
        <v>4117</v>
      </c>
      <c r="C4293" s="3" t="str">
        <f>IFERROR(__xludf.DUMMYFUNCTION("GOOGLETRANSLATE(B4293,""id"",""en"")"),"['AHIR', 'Network', 'setabilia', 'Kouta', 'signal', 'full', 'Kouta', 'expensive']")</f>
        <v>['AHIR', 'Network', 'setabilia', 'Kouta', 'signal', 'full', 'Kouta', 'expensive']</v>
      </c>
      <c r="D4293" s="3">
        <v>2.0</v>
      </c>
    </row>
    <row r="4294" ht="15.75" customHeight="1">
      <c r="A4294" s="1">
        <v>4591.0</v>
      </c>
      <c r="B4294" s="3" t="s">
        <v>4118</v>
      </c>
      <c r="C4294" s="3" t="str">
        <f>IFERROR(__xludf.DUMMYFUNCTION("GOOGLETRANSLATE(B4294,""id"",""en"")"),"['confused', 'skrg', 'Telkomsel', 'quota', 'network', 'rich', 'conch', 'chat', 'pending', 'game', 'Jda', 'Crack', ' Bagusan ',' Telkomsel ',' network ',' skrg ',' sophisticated ',' improved ',' declined ',' price ',' quota ',' udh ',' expensive ',' turn '"&amp;",' rich ' , 'Gini', 'Honest', 'Disappointed', 'Very', 'Original', 'Rich', 'Gini', 'all', '']")</f>
        <v>['confused', 'skrg', 'Telkomsel', 'quota', 'network', 'rich', 'conch', 'chat', 'pending', 'game', 'Jda', 'Crack', ' Bagusan ',' Telkomsel ',' network ',' skrg ',' sophisticated ',' improved ',' declined ',' price ',' quota ',' udh ',' expensive ',' turn ',' rich ' , 'Gini', 'Honest', 'Disappointed', 'Very', 'Original', 'Rich', 'Gini', 'all', '']</v>
      </c>
      <c r="D4294" s="3">
        <v>1.0</v>
      </c>
    </row>
    <row r="4295" ht="15.75" customHeight="1">
      <c r="A4295" s="1">
        <v>4592.0</v>
      </c>
      <c r="B4295" s="3" t="s">
        <v>4119</v>
      </c>
      <c r="C4295" s="3" t="str">
        <f>IFERROR(__xludf.DUMMYFUNCTION("GOOGLETRANSLATE(B4295,""id"",""en"")"),"['Application', 'Shargo', '']")</f>
        <v>['Application', 'Shargo', '']</v>
      </c>
      <c r="D4295" s="3">
        <v>1.0</v>
      </c>
    </row>
    <row r="4296" ht="15.75" customHeight="1">
      <c r="A4296" s="1">
        <v>4593.0</v>
      </c>
      <c r="B4296" s="3" t="s">
        <v>4120</v>
      </c>
      <c r="C4296" s="3" t="str">
        <f>IFERROR(__xludf.DUMMYFUNCTION("GOOGLETRANSLATE(B4296,""id"",""en"")"),"['Emnag', 'Best']")</f>
        <v>['Emnag', 'Best']</v>
      </c>
      <c r="D4296" s="3">
        <v>5.0</v>
      </c>
    </row>
    <row r="4297" ht="15.75" customHeight="1">
      <c r="A4297" s="1">
        <v>4594.0</v>
      </c>
      <c r="B4297" s="3" t="s">
        <v>4121</v>
      </c>
      <c r="C4297" s="3" t="str">
        <f>IFERROR(__xludf.DUMMYFUNCTION("GOOGLETRANSLATE(B4297,""id"",""en"")"),"['Jaringn', 'internet', 'Errol', 'Rain', 'little', 'Jaringn', 'Internet', 'LOL', 'Reach', 'Extensive', 'Internet', 'LOL', ' BGS ',' Smart ',' Jaringn ']")</f>
        <v>['Jaringn', 'internet', 'Errol', 'Rain', 'little', 'Jaringn', 'Internet', 'LOL', 'Reach', 'Extensive', 'Internet', 'LOL', ' BGS ',' Smart ',' Jaringn ']</v>
      </c>
      <c r="D4297" s="3">
        <v>1.0</v>
      </c>
    </row>
    <row r="4298" ht="15.75" customHeight="1">
      <c r="A4298" s="1">
        <v>4595.0</v>
      </c>
      <c r="B4298" s="3" t="s">
        <v>4122</v>
      </c>
      <c r="C4298" s="3" t="str">
        <f>IFERROR(__xludf.DUMMYFUNCTION("GOOGLETRANSLATE(B4298,""id"",""en"")"),"['disappointed', 'service', 'Telkomsel', 'user', 'loyal', 'Telkomsel', 'card', 'service', 'disappointing', 'buy', 'package', 'internet', ' Telkomsel ',' use ',' SMS ',' notification ',' pulse ',' truncated ',' has', 'package', 'Akti', ""]")</f>
        <v>['disappointed', 'service', 'Telkomsel', 'user', 'loyal', 'Telkomsel', 'card', 'service', 'disappointing', 'buy', 'package', 'internet', ' Telkomsel ',' use ',' SMS ',' notification ',' pulse ',' truncated ',' has', 'package', 'Akti', "]</v>
      </c>
      <c r="D4298" s="3">
        <v>1.0</v>
      </c>
    </row>
    <row r="4299" ht="15.75" customHeight="1">
      <c r="A4299" s="1">
        <v>4596.0</v>
      </c>
      <c r="B4299" s="3" t="s">
        <v>4123</v>
      </c>
      <c r="C4299" s="3" t="str">
        <f>IFERROR(__xludf.DUMMYFUNCTION("GOOGLETRANSLATE(B4299,""id"",""en"")"),"['Please', 'your signal', 'repaired', 'package', 'ajaa', 'expensive']")</f>
        <v>['Please', 'your signal', 'repaired', 'package', 'ajaa', 'expensive']</v>
      </c>
      <c r="D4299" s="3">
        <v>3.0</v>
      </c>
    </row>
    <row r="4300" ht="15.75" customHeight="1">
      <c r="A4300" s="1">
        <v>4597.0</v>
      </c>
      <c r="B4300" s="3" t="s">
        <v>4124</v>
      </c>
      <c r="C4300" s="3" t="str">
        <f>IFERROR(__xludf.DUMMYFUNCTION("GOOGLETRANSLATE(B4300,""id"",""en"")"),"['Telkom', 'no', 'healthy']")</f>
        <v>['Telkom', 'no', 'healthy']</v>
      </c>
      <c r="D4300" s="3">
        <v>1.0</v>
      </c>
    </row>
    <row r="4301" ht="15.75" customHeight="1">
      <c r="A4301" s="1">
        <v>4598.0</v>
      </c>
      <c r="B4301" s="3" t="s">
        <v>4125</v>
      </c>
      <c r="C4301" s="3" t="str">
        <f>IFERROR(__xludf.DUMMYFUNCTION("GOOGLETRANSLATE(B4301,""id"",""en"")"),"['Features', 'Quality', 'Network', 'Good', '']")</f>
        <v>['Features', 'Quality', 'Network', 'Good', '']</v>
      </c>
      <c r="D4301" s="3">
        <v>1.0</v>
      </c>
    </row>
    <row r="4302" ht="15.75" customHeight="1">
      <c r="A4302" s="1">
        <v>4599.0</v>
      </c>
      <c r="B4302" s="3" t="s">
        <v>4126</v>
      </c>
      <c r="C4302" s="3" t="str">
        <f>IFERROR(__xludf.DUMMYFUNCTION("GOOGLETRANSLATE(B4302,""id"",""en"")"),"['network', 'signal', 'exhaust', 'severe', 'slow', 'really', 'stable']")</f>
        <v>['network', 'signal', 'exhaust', 'severe', 'slow', 'really', 'stable']</v>
      </c>
      <c r="D4302" s="3">
        <v>1.0</v>
      </c>
    </row>
    <row r="4303" ht="15.75" customHeight="1">
      <c r="A4303" s="1">
        <v>4601.0</v>
      </c>
      <c r="B4303" s="3" t="s">
        <v>4127</v>
      </c>
      <c r="C4303" s="3" t="str">
        <f>IFERROR(__xludf.DUMMYFUNCTION("GOOGLETRANSLATE(B4303,""id"",""en"")"),"['Ngennttooott', 'signal', 'Telkomsel', 'Rich', 'Jancokkk', 'oath', 'Paketan', 'expensive', 'signal', 'Kek', 'Kontoll', 'Memermkkkk', ' Asuu ',' Telkomsel ',' Asuuuu ',' restart ',' network ',' no ',' ngentoddd ',' Telkomsel ',' asuuuuu ',' pig ',' warrié"&amp;" ',' nanjisss', 'cuihh' , 'IUUU', 'NGENDODDD', 'Telkomsel', 'Jancokkkk', ""]")</f>
        <v>['Ngennttooott', 'signal', 'Telkomsel', 'Rich', 'Jancokkk', 'oath', 'Paketan', 'expensive', 'signal', 'Kek', 'Kontoll', 'Memermkkkk', ' Asuu ',' Telkomsel ',' Asuuuu ',' restart ',' network ',' no ',' ngentoddd ',' Telkomsel ',' asuuuuu ',' pig ',' warrié ',' nanjisss', 'cuihh' , 'IUUU', 'NGENDODDD', 'Telkomsel', 'Jancokkkk', "]</v>
      </c>
      <c r="D4303" s="3">
        <v>1.0</v>
      </c>
    </row>
    <row r="4304" ht="15.75" customHeight="1">
      <c r="A4304" s="1">
        <v>4602.0</v>
      </c>
      <c r="B4304" s="3" t="s">
        <v>4128</v>
      </c>
      <c r="C4304" s="3" t="str">
        <f>IFERROR(__xludf.DUMMYFUNCTION("GOOGLETRANSLATE(B4304,""id"",""en"")"),"['YTH', 'Telkomsel', 'Network', 'Deli', 'Serdang', 'Stable', 'Knp', 'Open', 'Video', 'Facebook', 'LEG', 'Package', ' Data ',' ']")</f>
        <v>['YTH', 'Telkomsel', 'Network', 'Deli', 'Serdang', 'Stable', 'Knp', 'Open', 'Video', 'Facebook', 'LEG', 'Package', ' Data ',' ']</v>
      </c>
      <c r="D4304" s="3">
        <v>1.0</v>
      </c>
    </row>
    <row r="4305" ht="15.75" customHeight="1">
      <c r="A4305" s="1">
        <v>4603.0</v>
      </c>
      <c r="B4305" s="3" t="s">
        <v>4129</v>
      </c>
      <c r="C4305" s="3" t="str">
        <f>IFERROR(__xludf.DUMMYFUNCTION("GOOGLETRANSLATE(B4305,""id"",""en"")"),"['Knp', 'Telkomsel', 'buy', 'Kouta', 'price', 'TPI', 'KNP', 'my computer', 'enter', 'pulse', 'sumps',' Kyk ',' Gini ',' times', 'comfortable', 'APK']")</f>
        <v>['Knp', 'Telkomsel', 'buy', 'Kouta', 'price', 'TPI', 'KNP', 'my computer', 'enter', 'pulse', 'sumps',' Kyk ',' Gini ',' times', 'comfortable', 'APK']</v>
      </c>
      <c r="D4305" s="3">
        <v>1.0</v>
      </c>
    </row>
    <row r="4306" ht="15.75" customHeight="1">
      <c r="A4306" s="1">
        <v>4604.0</v>
      </c>
      <c r="B4306" s="3" t="s">
        <v>4130</v>
      </c>
      <c r="C4306" s="3" t="str">
        <f>IFERROR(__xludf.DUMMYFUNCTION("GOOGLETRANSLATE(B4306,""id"",""en"")"),"['Network', 'Telkomsel', 'ugly', 'me', 'buy', 'package', 'expensive', 'ngelek', 'good', 'network', 'smartfren', 'taik', ' Telkomsel ']")</f>
        <v>['Network', 'Telkomsel', 'ugly', 'me', 'buy', 'package', 'expensive', 'ngelek', 'good', 'network', 'smartfren', 'taik', ' Telkomsel ']</v>
      </c>
      <c r="D4306" s="3">
        <v>1.0</v>
      </c>
    </row>
    <row r="4307" ht="15.75" customHeight="1">
      <c r="A4307" s="1">
        <v>4605.0</v>
      </c>
      <c r="B4307" s="3" t="s">
        <v>4131</v>
      </c>
      <c r="C4307" s="3" t="str">
        <f>IFERROR(__xludf.DUMMYFUNCTION("GOOGLETRANSLATE(B4307,""id"",""en"")"),"['pretty good']")</f>
        <v>['pretty good']</v>
      </c>
      <c r="D4307" s="3">
        <v>5.0</v>
      </c>
    </row>
    <row r="4308" ht="15.75" customHeight="1">
      <c r="A4308" s="1">
        <v>4606.0</v>
      </c>
      <c r="B4308" s="3" t="s">
        <v>4132</v>
      </c>
      <c r="C4308" s="3" t="str">
        <f>IFERROR(__xludf.DUMMYFUNCTION("GOOGLETRANSLATE(B4308,""id"",""en"")"),"['Please', 'admin', 'Telkomsel', 'Dear', 'price', 'quota', 'expensive', 'please', 'network', 'fix', '']")</f>
        <v>['Please', 'admin', 'Telkomsel', 'Dear', 'price', 'quota', 'expensive', 'please', 'network', 'fix', '']</v>
      </c>
      <c r="D4308" s="3">
        <v>1.0</v>
      </c>
    </row>
    <row r="4309" ht="15.75" customHeight="1">
      <c r="A4309" s="1">
        <v>4607.0</v>
      </c>
      <c r="B4309" s="3" t="s">
        <v>4133</v>
      </c>
      <c r="C4309" s="3" t="str">
        <f>IFERROR(__xludf.DUMMYFUNCTION("GOOGLETRANSLATE(B4309,""id"",""en"")"),"['', 'Turuni', 'star', 'customers',' card ',' Hello ',' update ',' the latest ',' extra ',' quata ',' daily ',' sda ',' dngan ',' conditions', 'like', 'mura', 'mala', 'tamba', 'expensive']")</f>
        <v>['', 'Turuni', 'star', 'customers',' card ',' Hello ',' update ',' the latest ',' extra ',' quata ',' daily ',' sda ',' dngan ',' conditions', 'like', 'mura', 'mala', 'tamba', 'expensive']</v>
      </c>
      <c r="D4309" s="3">
        <v>5.0</v>
      </c>
    </row>
    <row r="4310" ht="15.75" customHeight="1">
      <c r="A4310" s="1">
        <v>4608.0</v>
      </c>
      <c r="B4310" s="3" t="s">
        <v>4134</v>
      </c>
      <c r="C4310" s="3" t="str">
        <f>IFERROR(__xludf.DUMMYFUNCTION("GOOGLETRANSLATE(B4310,""id"",""en"")"),"['ugly', 'network', 'Telkomsel', 'check', 'good', 'network', 'ugly', 'times']")</f>
        <v>['ugly', 'network', 'Telkomsel', 'check', 'good', 'network', 'ugly', 'times']</v>
      </c>
      <c r="D4310" s="3">
        <v>1.0</v>
      </c>
    </row>
    <row r="4311" ht="15.75" customHeight="1">
      <c r="A4311" s="1">
        <v>4609.0</v>
      </c>
      <c r="B4311" s="3" t="s">
        <v>4135</v>
      </c>
      <c r="C4311" s="3" t="str">
        <f>IFERROR(__xludf.DUMMYFUNCTION("GOOGLETRANSLATE(B4311,""id"",""en"")"),"['Application', 'Best']")</f>
        <v>['Application', 'Best']</v>
      </c>
      <c r="D4311" s="3">
        <v>5.0</v>
      </c>
    </row>
    <row r="4312" ht="15.75" customHeight="1">
      <c r="A4312" s="1">
        <v>4610.0</v>
      </c>
      <c r="B4312" s="3" t="s">
        <v>4136</v>
      </c>
      <c r="C4312" s="3" t="str">
        <f>IFERROR(__xludf.DUMMYFUNCTION("GOOGLETRANSLATE(B4312,""id"",""en"")"),"['Fill', 'voucher', 'quota', 'writing', 'sorry', 'system', 'busy', 'voucher', 'Telkomsel', ""]")</f>
        <v>['Fill', 'voucher', 'quota', 'writing', 'sorry', 'system', 'busy', 'voucher', 'Telkomsel', "]</v>
      </c>
      <c r="D4312" s="3">
        <v>1.0</v>
      </c>
    </row>
    <row r="4313" ht="15.75" customHeight="1">
      <c r="A4313" s="1">
        <v>4611.0</v>
      </c>
      <c r="B4313" s="3" t="s">
        <v>4137</v>
      </c>
      <c r="C4313" s="3" t="str">
        <f>IFERROR(__xludf.DUMMYFUNCTION("GOOGLETRANSLATE(B4313,""id"",""en"")"),"['Star', 'play', 'game', 'network', 'stable', 'tip', 'banned', 'game', 'detrimental', 'person', 'please', 'enhanced', ' the network is', 'already', 'pairs',' ngelag ']")</f>
        <v>['Star', 'play', 'game', 'network', 'stable', 'tip', 'banned', 'game', 'detrimental', 'person', 'please', 'enhanced', ' the network is', 'already', 'pairs',' ngelag ']</v>
      </c>
      <c r="D4313" s="3">
        <v>2.0</v>
      </c>
    </row>
    <row r="4314" ht="15.75" customHeight="1">
      <c r="A4314" s="1">
        <v>4612.0</v>
      </c>
      <c r="B4314" s="3" t="s">
        <v>4138</v>
      </c>
      <c r="C4314" s="3" t="str">
        <f>IFERROR(__xludf.DUMMYFUNCTION("GOOGLETRANSLATE(B4314,""id"",""en"")"),"['Points', 'Exchange', 'Package', 'Internet', '']")</f>
        <v>['Points', 'Exchange', 'Package', 'Internet', '']</v>
      </c>
      <c r="D4314" s="3">
        <v>1.0</v>
      </c>
    </row>
    <row r="4315" ht="15.75" customHeight="1">
      <c r="A4315" s="1">
        <v>4613.0</v>
      </c>
      <c r="B4315" s="3" t="s">
        <v>4139</v>
      </c>
      <c r="C4315" s="3" t="str">
        <f>IFERROR(__xludf.DUMMYFUNCTION("GOOGLETRANSLATE(B4315,""id"",""en"")"),"['already', 'expensive', 'network', 'try', 'card', 'Telkomsel', 'made', 'card', 'expensive', 'pastika', 'the network', 'good', ' little ',' diki ',' lag ',' thank you ',' edit ',' hello ',' apk ',' network ',' good ']")</f>
        <v>['already', 'expensive', 'network', 'try', 'card', 'Telkomsel', 'made', 'card', 'expensive', 'pastika', 'the network', 'good', ' little ',' diki ',' lag ',' thank you ',' edit ',' hello ',' apk ',' network ',' good ']</v>
      </c>
      <c r="D4315" s="3">
        <v>1.0</v>
      </c>
    </row>
    <row r="4316" ht="15.75" customHeight="1">
      <c r="A4316" s="1">
        <v>4614.0</v>
      </c>
      <c r="B4316" s="3" t="s">
        <v>4140</v>
      </c>
      <c r="C4316" s="3" t="str">
        <f>IFERROR(__xludf.DUMMYFUNCTION("GOOGLETRANSLATE(B4316,""id"",""en"")"),"['Help', 'Telkom', 'Answering', 'Bot', 'Connect', 'The question']")</f>
        <v>['Help', 'Telkom', 'Answering', 'Bot', 'Connect', 'The question']</v>
      </c>
      <c r="D4316" s="3">
        <v>1.0</v>
      </c>
    </row>
    <row r="4317" ht="15.75" customHeight="1">
      <c r="A4317" s="1">
        <v>4615.0</v>
      </c>
      <c r="B4317" s="3" t="s">
        <v>4141</v>
      </c>
      <c r="C4317" s="3" t="str">
        <f>IFERROR(__xludf.DUMMYFUNCTION("GOOGLETRANSLATE(B4317,""id"",""en"")"),"['Top', 'deh', 'makes it easy', 'purchase', 'package', 'internet', 'Telkomsel']")</f>
        <v>['Top', 'deh', 'makes it easy', 'purchase', 'package', 'internet', 'Telkomsel']</v>
      </c>
      <c r="D4317" s="3">
        <v>5.0</v>
      </c>
    </row>
    <row r="4318" ht="15.75" customHeight="1">
      <c r="A4318" s="1">
        <v>4616.0</v>
      </c>
      <c r="B4318" s="3" t="s">
        <v>4142</v>
      </c>
      <c r="C4318" s="3" t="str">
        <f>IFERROR(__xludf.DUMMYFUNCTION("GOOGLETRANSLATE(B4318,""id"",""en"")"),"['Help', 'Satisfied']")</f>
        <v>['Help', 'Satisfied']</v>
      </c>
      <c r="D4318" s="3">
        <v>5.0</v>
      </c>
    </row>
    <row r="4319" ht="15.75" customHeight="1">
      <c r="A4319" s="1">
        <v>4617.0</v>
      </c>
      <c r="B4319" s="3" t="s">
        <v>4143</v>
      </c>
      <c r="C4319" s="3" t="str">
        <f>IFERROR(__xludf.DUMMYFUNCTION("GOOGLETRANSLATE(B4319,""id"",""en"")"),"['Network', 'leg']")</f>
        <v>['Network', 'leg']</v>
      </c>
      <c r="D4319" s="3">
        <v>4.0</v>
      </c>
    </row>
    <row r="4320" ht="15.75" customHeight="1">
      <c r="A4320" s="1">
        <v>4618.0</v>
      </c>
      <c r="B4320" s="3" t="s">
        <v>4144</v>
      </c>
      <c r="C4320" s="3" t="str">
        <f>IFERROR(__xludf.DUMMYFUNCTION("GOOGLETRANSLATE(B4320,""id"",""en"")"),"['repair', 'kah', 'playstore', 'difficult', 'found', '']")</f>
        <v>['repair', 'kah', 'playstore', 'difficult', 'found', '']</v>
      </c>
      <c r="D4320" s="3">
        <v>2.0</v>
      </c>
    </row>
    <row r="4321" ht="15.75" customHeight="1">
      <c r="A4321" s="1">
        <v>4619.0</v>
      </c>
      <c r="B4321" s="3" t="s">
        <v>4145</v>
      </c>
      <c r="C4321" s="3" t="str">
        <f>IFERROR(__xludf.DUMMYFUNCTION("GOOGLETRANSLATE(B4321,""id"",""en"")"),"['Severe', 'Note', 'Customers',' Faithful ',' Telkomsel ',' Switch ',' Purchases', 'Application', 'Telkomsel', 'Constrained', 'Disorders',' Telkomsel ',' believe ',' condition ',' example ',' real ',' company ',' sturdy ',' lumbering ',' gara ',' service "&amp;"',' network ',' application ',' Telkomsel ',' convenience ' , 'Choose', 'Package', 'Available', 'Disappointmentaaa', '']")</f>
        <v>['Severe', 'Note', 'Customers',' Faithful ',' Telkomsel ',' Switch ',' Purchases', 'Application', 'Telkomsel', 'Constrained', 'Disorders',' Telkomsel ',' believe ',' condition ',' example ',' real ',' company ',' sturdy ',' lumbering ',' gara ',' service ',' network ',' application ',' Telkomsel ',' convenience ' , 'Choose', 'Package', 'Available', 'Disappointmentaaa', '']</v>
      </c>
      <c r="D4321" s="3">
        <v>1.0</v>
      </c>
    </row>
    <row r="4322" ht="15.75" customHeight="1">
      <c r="A4322" s="1">
        <v>4620.0</v>
      </c>
      <c r="B4322" s="3" t="s">
        <v>4146</v>
      </c>
      <c r="C4322" s="3" t="str">
        <f>IFERROR(__xludf.DUMMYFUNCTION("GOOGLETRANSLATE(B4322,""id"",""en"")"),"['Network', 'Good', 'TPI', 'Quata', 'Fast', 'Out', 'Use', 'Standard', 'Contents', 'OMG', 'GB']")</f>
        <v>['Network', 'Good', 'TPI', 'Quata', 'Fast', 'Out', 'Use', 'Standard', 'Contents', 'OMG', 'GB']</v>
      </c>
      <c r="D4322" s="3">
        <v>5.0</v>
      </c>
    </row>
    <row r="4323" ht="15.75" customHeight="1">
      <c r="A4323" s="1">
        <v>4621.0</v>
      </c>
      <c r="B4323" s="3" t="s">
        <v>4147</v>
      </c>
      <c r="C4323" s="3" t="str">
        <f>IFERROR(__xludf.DUMMYFUNCTION("GOOGLETRANSLATE(B4323,""id"",""en"")"),"['Date', 'call', 'offer', 'card', 'Hello', 'Telfon', 'Selsai', 'card', 'night', 'call', 'contents',' Package ',' Mubazir ',' ']")</f>
        <v>['Date', 'call', 'offer', 'card', 'Hello', 'Telfon', 'Selsai', 'card', 'night', 'call', 'contents',' Package ',' Mubazir ',' ']</v>
      </c>
      <c r="D4323" s="3">
        <v>1.0</v>
      </c>
    </row>
    <row r="4324" ht="15.75" customHeight="1">
      <c r="A4324" s="1">
        <v>4622.0</v>
      </c>
      <c r="B4324" s="3" t="s">
        <v>4148</v>
      </c>
      <c r="C4324" s="3" t="str">
        <f>IFERROR(__xludf.DUMMYFUNCTION("GOOGLETRANSLATE(B4324,""id"",""en"")"),"['card', 'network', 'lemoooooTT', 'pdhal', 'jdi', 'card', 'hello', 'network', 'fast', 'pay', 'expensive', 'TPI', ' network ',' lemoooooooooooooooottttttt ']")</f>
        <v>['card', 'network', 'lemoooooTT', 'pdhal', 'jdi', 'card', 'hello', 'network', 'fast', 'pay', 'expensive', 'TPI', ' network ',' lemoooooooooooooooottttttt ']</v>
      </c>
      <c r="D4324" s="3">
        <v>1.0</v>
      </c>
    </row>
    <row r="4325" ht="15.75" customHeight="1">
      <c r="A4325" s="1">
        <v>4624.0</v>
      </c>
      <c r="B4325" s="3" t="s">
        <v>4149</v>
      </c>
      <c r="C4325" s="3" t="str">
        <f>IFERROR(__xludf.DUMMYFUNCTION("GOOGLETRANSLATE(B4325,""id"",""en"")"),"['signal', 'missing', 'appears',' please ',' fix ',' network ',' Telkomsel ',' comfortable ',' me ',' move ',' card ',' hello ',' Since ',' Offers', 'Move', 'Card', 'Hello', 'Network', 'Dowen', 'Fix']")</f>
        <v>['signal', 'missing', 'appears',' please ',' fix ',' network ',' Telkomsel ',' comfortable ',' me ',' move ',' card ',' hello ',' Since ',' Offers', 'Move', 'Card', 'Hello', 'Network', 'Dowen', 'Fix']</v>
      </c>
      <c r="D4325" s="3">
        <v>2.0</v>
      </c>
    </row>
    <row r="4326" ht="15.75" customHeight="1">
      <c r="A4326" s="1">
        <v>4625.0</v>
      </c>
      <c r="B4326" s="3" t="s">
        <v>4150</v>
      </c>
      <c r="C4326" s="3" t="str">
        <f>IFERROR(__xludf.DUMMYFUNCTION("GOOGLETRANSLATE(B4326,""id"",""en"")"),"['Good', 'the application', 'already', 'expensive', 'package', '']")</f>
        <v>['Good', 'the application', 'already', 'expensive', 'package', '']</v>
      </c>
      <c r="D4326" s="3">
        <v>5.0</v>
      </c>
    </row>
    <row r="4327" ht="15.75" customHeight="1">
      <c r="A4327" s="1">
        <v>4626.0</v>
      </c>
      <c r="B4327" s="3" t="s">
        <v>4151</v>
      </c>
      <c r="C4327" s="3" t="str">
        <f>IFERROR(__xludf.DUMMYFUNCTION("GOOGLETRANSLATE(B4327,""id"",""en"")"),"['Network', 'Telkomsel', 'already', 'slow', 'good', 'disorder', 'bonus',' Perny ',' already ',' kasi ',' contents', 'plsa', ' Bonus', 'skarang', 'already', 'list', 'package', 'expensive']")</f>
        <v>['Network', 'Telkomsel', 'already', 'slow', 'good', 'disorder', 'bonus',' Perny ',' already ',' kasi ',' contents', 'plsa', ' Bonus', 'skarang', 'already', 'list', 'package', 'expensive']</v>
      </c>
      <c r="D4327" s="3">
        <v>5.0</v>
      </c>
    </row>
    <row r="4328" ht="15.75" customHeight="1">
      <c r="A4328" s="1">
        <v>4627.0</v>
      </c>
      <c r="B4328" s="3" t="s">
        <v>4152</v>
      </c>
      <c r="C4328" s="3" t="str">
        <f>IFERROR(__xludf.DUMMYFUNCTION("GOOGLETRANSLATE(B4328,""id"",""en"")"),"['Telomsel', 'bet']")</f>
        <v>['Telomsel', 'bet']</v>
      </c>
      <c r="D4328" s="3">
        <v>1.0</v>
      </c>
    </row>
    <row r="4329" ht="15.75" customHeight="1">
      <c r="A4329" s="1">
        <v>4628.0</v>
      </c>
      <c r="B4329" s="3" t="s">
        <v>4153</v>
      </c>
      <c r="C4329" s="3" t="str">
        <f>IFERROR(__xludf.DUMMYFUNCTION("GOOGLETRANSLATE(B4329,""id"",""en"")"),"['signal', 'rotten', 'Loading', 'Comfortable', 'Jakarta', 'North', 'Youtuban', 'Loading', 'Maen', 'Game', 'Downn', 'Signal', ' Internet']")</f>
        <v>['signal', 'rotten', 'Loading', 'Comfortable', 'Jakarta', 'North', 'Youtuban', 'Loading', 'Maen', 'Game', 'Downn', 'Signal', ' Internet']</v>
      </c>
      <c r="D4329" s="3">
        <v>1.0</v>
      </c>
    </row>
    <row r="4330" ht="15.75" customHeight="1">
      <c r="A4330" s="1">
        <v>4629.0</v>
      </c>
      <c r="B4330" s="3" t="s">
        <v>4154</v>
      </c>
      <c r="C4330" s="3" t="str">
        <f>IFERROR(__xludf.DUMMYFUNCTION("GOOGLETRANSLATE(B4330,""id"",""en"")"),"['Knp', 'min', 'buy', 'package', 'data', 'notification', 'sorry', 'disorder', 'connection', 'hope', 'try', 'udh', ' reset ',' try ',' that's', 'then', 'please', 'deh', 'min', 'love', 'solution', 'how', 'trimss',' ']")</f>
        <v>['Knp', 'min', 'buy', 'package', 'data', 'notification', 'sorry', 'disorder', 'connection', 'hope', 'try', 'udh', ' reset ',' try ',' that's', 'then', 'please', 'deh', 'min', 'love', 'solution', 'how', 'trimss',' ']</v>
      </c>
      <c r="D4330" s="3">
        <v>1.0</v>
      </c>
    </row>
    <row r="4331" ht="15.75" customHeight="1">
      <c r="A4331" s="1">
        <v>4630.0</v>
      </c>
      <c r="B4331" s="3" t="s">
        <v>4155</v>
      </c>
      <c r="C4331" s="3" t="str">
        <f>IFERROR(__xludf.DUMMYFUNCTION("GOOGLETRANSLATE(B4331,""id"",""en"")"),"['expensive', 'package', 'data', 'pandemic']")</f>
        <v>['expensive', 'package', 'data', 'pandemic']</v>
      </c>
      <c r="D4331" s="3">
        <v>2.0</v>
      </c>
    </row>
    <row r="4332" ht="15.75" customHeight="1">
      <c r="A4332" s="1">
        <v>4631.0</v>
      </c>
      <c r="B4332" s="3" t="s">
        <v>4156</v>
      </c>
      <c r="C4332" s="3" t="str">
        <f>IFERROR(__xludf.DUMMYFUNCTION("GOOGLETRANSLATE(B4332,""id"",""en"")"),"['Legbpas', 'Game', 'Biki', 'Emotion']")</f>
        <v>['Legbpas', 'Game', 'Biki', 'Emotion']</v>
      </c>
      <c r="D4332" s="3">
        <v>1.0</v>
      </c>
    </row>
    <row r="4333" ht="15.75" customHeight="1">
      <c r="A4333" s="1">
        <v>4632.0</v>
      </c>
      <c r="B4333" s="3" t="s">
        <v>4157</v>
      </c>
      <c r="C4333" s="3" t="str">
        <f>IFERROR(__xludf.DUMMYFUNCTION("GOOGLETRANSLATE(B4333,""id"",""en"")"),"['woy', 'mna', 'ktanya', 'network', 'speeding', 'anti', 'lag', 'taek', 'anying', 'network', 'lag', 'idiot', ' annoyed', '']")</f>
        <v>['woy', 'mna', 'ktanya', 'network', 'speeding', 'anti', 'lag', 'taek', 'anying', 'network', 'lag', 'idiot', ' annoyed', '']</v>
      </c>
      <c r="D4333" s="3">
        <v>1.0</v>
      </c>
    </row>
    <row r="4334" ht="15.75" customHeight="1">
      <c r="A4334" s="1">
        <v>4633.0</v>
      </c>
      <c r="B4334" s="3" t="s">
        <v>4158</v>
      </c>
      <c r="C4334" s="3" t="str">
        <f>IFERROR(__xludf.DUMMYFUNCTION("GOOGLETRANSLATE(B4334,""id"",""en"")"),"['Points', 'Exchange', 'data', 'system', 'busy', 'please', 'help', 'lose', 'consumer', 'understand']")</f>
        <v>['Points', 'Exchange', 'data', 'system', 'busy', 'please', 'help', 'lose', 'consumer', 'understand']</v>
      </c>
      <c r="D4334" s="3">
        <v>2.0</v>
      </c>
    </row>
    <row r="4335" ht="15.75" customHeight="1">
      <c r="A4335" s="1">
        <v>4635.0</v>
      </c>
      <c r="B4335" s="3" t="s">
        <v>1110</v>
      </c>
      <c r="C4335" s="3" t="str">
        <f>IFERROR(__xludf.DUMMYFUNCTION("GOOGLETRANSLATE(B4335,""id"",""en"")"),"['bad network']")</f>
        <v>['bad network']</v>
      </c>
      <c r="D4335" s="3">
        <v>1.0</v>
      </c>
    </row>
    <row r="4336" ht="15.75" customHeight="1">
      <c r="A4336" s="1">
        <v>4636.0</v>
      </c>
      <c r="B4336" s="3" t="s">
        <v>4159</v>
      </c>
      <c r="C4336" s="3" t="str">
        <f>IFERROR(__xludf.DUMMYFUNCTION("GOOGLETRANSLATE(B4336,""id"",""en"")"),"['Help', 'promo', 'promo', 'month']")</f>
        <v>['Help', 'promo', 'promo', 'month']</v>
      </c>
      <c r="D4336" s="3">
        <v>4.0</v>
      </c>
    </row>
    <row r="4337" ht="15.75" customHeight="1">
      <c r="A4337" s="1">
        <v>4637.0</v>
      </c>
      <c r="B4337" s="3" t="s">
        <v>4160</v>
      </c>
      <c r="C4337" s="3" t="str">
        <f>IFERROR(__xludf.DUMMYFUNCTION("GOOGLETRANSLATE(B4337,""id"",""en"")"),"['quota', 'night', 'think', 'decent', 'work', 'etc.', 'save', 'quota', 'main', 'quota', 'reduced', 'reduced', ' Quota ',' main ',' loss', 'dooooong', 'how', '']")</f>
        <v>['quota', 'night', 'think', 'decent', 'work', 'etc.', 'save', 'quota', 'main', 'quota', 'reduced', 'reduced', ' Quota ',' main ',' loss', 'dooooong', 'how', '']</v>
      </c>
      <c r="D4337" s="3">
        <v>1.0</v>
      </c>
    </row>
    <row r="4338" ht="15.75" customHeight="1">
      <c r="A4338" s="1">
        <v>4638.0</v>
      </c>
      <c r="B4338" s="3" t="s">
        <v>4161</v>
      </c>
      <c r="C4338" s="3" t="str">
        <f>IFERROR(__xludf.DUMMYFUNCTION("GOOGLETRANSLATE(B4338,""id"",""en"")"),"['Please', 'Tlkomsel', 'Customize', 'Quality', 'Price', 'Price', 'Data', 'MHL', 'BNGT', 'Toraja', 'Jingannya', 'Ouch', ' difficult ',' troublesome ',' please ',' fix ',' network ',' ploll ',' city ',' ']")</f>
        <v>['Please', 'Tlkomsel', 'Customize', 'Quality', 'Price', 'Price', 'Data', 'MHL', 'BNGT', 'Toraja', 'Jingannya', 'Ouch', ' difficult ',' troublesome ',' please ',' fix ',' network ',' ploll ',' city ',' ']</v>
      </c>
      <c r="D4338" s="3">
        <v>1.0</v>
      </c>
    </row>
    <row r="4339" ht="15.75" customHeight="1">
      <c r="A4339" s="1">
        <v>4639.0</v>
      </c>
      <c r="B4339" s="3" t="s">
        <v>4162</v>
      </c>
      <c r="C4339" s="3" t="str">
        <f>IFERROR(__xludf.DUMMYFUNCTION("GOOGLETRANSLATE(B4339,""id"",""en"")"),"['Thanks', 'Telkomsel', 'Package', 'Cheap', 'Fun']")</f>
        <v>['Thanks', 'Telkomsel', 'Package', 'Cheap', 'Fun']</v>
      </c>
      <c r="D4339" s="3">
        <v>5.0</v>
      </c>
    </row>
    <row r="4340" ht="15.75" customHeight="1">
      <c r="A4340" s="1">
        <v>4640.0</v>
      </c>
      <c r="B4340" s="3" t="s">
        <v>4163</v>
      </c>
      <c r="C4340" s="3" t="str">
        <f>IFERROR(__xludf.DUMMYFUNCTION("GOOGLETRANSLATE(B4340,""id"",""en"")"),"['package', 'emergency', 'Dwukan', 'tratyata', 'bsa', 'accessed', 'shrus',' package ',' emergency ',' easy ',' accessed ',' lbih ',' Good ',' operator ',' provider ',' ']")</f>
        <v>['package', 'emergency', 'Dwukan', 'tratyata', 'bsa', 'accessed', 'shrus',' package ',' emergency ',' easy ',' accessed ',' lbih ',' Good ',' operator ',' provider ',' ']</v>
      </c>
      <c r="D4340" s="3">
        <v>1.0</v>
      </c>
    </row>
    <row r="4341" ht="15.75" customHeight="1">
      <c r="A4341" s="1">
        <v>4641.0</v>
      </c>
      <c r="B4341" s="3" t="s">
        <v>4164</v>
      </c>
      <c r="C4341" s="3" t="str">
        <f>IFERROR(__xludf.DUMMYFUNCTION("GOOGLETRANSLATE(B4341,""id"",""en"")"),"['Telkomsel', 'loyal', 'use you', ""]")</f>
        <v>['Telkomsel', 'loyal', 'use you', "]</v>
      </c>
      <c r="D4341" s="3">
        <v>5.0</v>
      </c>
    </row>
    <row r="4342" ht="15.75" customHeight="1">
      <c r="A4342" s="1">
        <v>4642.0</v>
      </c>
      <c r="B4342" s="3" t="s">
        <v>4165</v>
      </c>
      <c r="C4342" s="3" t="str">
        <f>IFERROR(__xludf.DUMMYFUNCTION("GOOGLETRANSLATE(B4342,""id"",""en"")"),"['Telkomsel', 'Ovo', 'Best']")</f>
        <v>['Telkomsel', 'Ovo', 'Best']</v>
      </c>
      <c r="D4342" s="3">
        <v>5.0</v>
      </c>
    </row>
    <row r="4343" ht="15.75" customHeight="1">
      <c r="A4343" s="1">
        <v>4644.0</v>
      </c>
      <c r="B4343" s="3" t="s">
        <v>4166</v>
      </c>
      <c r="C4343" s="3" t="str">
        <f>IFERROR(__xludf.DUMMYFUNCTION("GOOGLETRANSLATE(B4343,""id"",""en"")"),"['BNYK', 'gift', 'Nukarkn', 'Points', 'JDI', 'Package', 'Data', 'Mksi', 'Telkomsel', ""]")</f>
        <v>['BNYK', 'gift', 'Nukarkn', 'Points', 'JDI', 'Package', 'Data', 'Mksi', 'Telkomsel', "]</v>
      </c>
      <c r="D4343" s="3">
        <v>5.0</v>
      </c>
    </row>
    <row r="4344" ht="15.75" customHeight="1">
      <c r="A4344" s="1">
        <v>4645.0</v>
      </c>
      <c r="B4344" s="3" t="s">
        <v>4167</v>
      </c>
      <c r="C4344" s="3" t="str">
        <f>IFERROR(__xludf.DUMMYFUNCTION("GOOGLETRANSLATE(B4344,""id"",""en"")"),"['Current', 'Sis', ""]")</f>
        <v>['Current', 'Sis', "]</v>
      </c>
      <c r="D4344" s="3">
        <v>1.0</v>
      </c>
    </row>
    <row r="4345" ht="15.75" customHeight="1">
      <c r="A4345" s="1">
        <v>4646.0</v>
      </c>
      <c r="B4345" s="3" t="s">
        <v>4168</v>
      </c>
      <c r="C4345" s="3" t="str">
        <f>IFERROR(__xludf.DUMMYFUNCTION("GOOGLETRANSLATE(B4345,""id"",""en"")"),"['The network', 'Bad', 'Please', 'Increase', 'Quality', 'The Network', 'Disappointing', 'Customer']")</f>
        <v>['The network', 'Bad', 'Please', 'Increase', 'Quality', 'The Network', 'Disappointing', 'Customer']</v>
      </c>
      <c r="D4345" s="3">
        <v>1.0</v>
      </c>
    </row>
    <row r="4346" ht="15.75" customHeight="1">
      <c r="A4346" s="1">
        <v>4647.0</v>
      </c>
      <c r="B4346" s="3" t="s">
        <v>4169</v>
      </c>
      <c r="C4346" s="3" t="str">
        <f>IFERROR(__xludf.DUMMYFUNCTION("GOOGLETRANSLATE(B4346,""id"",""en"")"),"['expensive', 'woi', 'price', 'package', 'collapsed', 'people', 'heavy']")</f>
        <v>['expensive', 'woi', 'price', 'package', 'collapsed', 'people', 'heavy']</v>
      </c>
      <c r="D4346" s="3">
        <v>1.0</v>
      </c>
    </row>
    <row r="4347" ht="15.75" customHeight="1">
      <c r="A4347" s="1">
        <v>4648.0</v>
      </c>
      <c r="B4347" s="3" t="s">
        <v>4170</v>
      </c>
      <c r="C4347" s="3" t="str">
        <f>IFERROR(__xludf.DUMMYFUNCTION("GOOGLETRANSLATE(B4347,""id"",""en"")"),"['network', 'slow', 'pdhal', 'signal', 'Not bad', 'good', 'slow', 'bangettt', 'ngegame', 'mobile', 'legends',' signal ',' red ',' red ',' continued ',' cool ',' play ',' kouta ',' sangaattttt ',' expensive ',' slow ',' mending ',' use ',' kouta ',' cheap "&amp;"' , 'Cheap', 'slow', 'Telkomsel', 'slow', 'really']")</f>
        <v>['network', 'slow', 'pdhal', 'signal', 'Not bad', 'good', 'slow', 'bangettt', 'ngegame', 'mobile', 'legends',' signal ',' red ',' red ',' continued ',' cool ',' play ',' kouta ',' sangaattttt ',' expensive ',' slow ',' mending ',' use ',' kouta ',' cheap ' , 'Cheap', 'slow', 'Telkomsel', 'slow', 'really']</v>
      </c>
      <c r="D4347" s="3">
        <v>1.0</v>
      </c>
    </row>
    <row r="4348" ht="15.75" customHeight="1">
      <c r="A4348" s="1">
        <v>4649.0</v>
      </c>
      <c r="B4348" s="3" t="s">
        <v>4171</v>
      </c>
      <c r="C4348" s="3" t="str">
        <f>IFERROR(__xludf.DUMMYFUNCTION("GOOGLETRANSLATE(B4348,""id"",""en"")"),"['Please', 'Benerin', 'connection', 'according to', 'price']")</f>
        <v>['Please', 'Benerin', 'connection', 'according to', 'price']</v>
      </c>
      <c r="D4348" s="3">
        <v>1.0</v>
      </c>
    </row>
    <row r="4349" ht="15.75" customHeight="1">
      <c r="A4349" s="1">
        <v>4650.0</v>
      </c>
      <c r="B4349" s="3" t="s">
        <v>4172</v>
      </c>
      <c r="C4349" s="3" t="str">
        <f>IFERROR(__xludf.DUMMYFUNCTION("GOOGLETRANSLATE(B4349,""id"",""en"")"),"['Lally', 'promo', 'Ahh', '']")</f>
        <v>['Lally', 'promo', 'Ahh', '']</v>
      </c>
      <c r="D4349" s="3">
        <v>5.0</v>
      </c>
    </row>
    <row r="4350" ht="15.75" customHeight="1">
      <c r="A4350" s="1">
        <v>4651.0</v>
      </c>
      <c r="B4350" s="3" t="s">
        <v>4173</v>
      </c>
      <c r="C4350" s="3" t="str">
        <f>IFERROR(__xludf.DUMMYFUNCTION("GOOGLETRANSLATE(B4350,""id"",""en"")"),"['Severe', 'really', 'Telkomsel', 'covid', 'price', 'ride', 'speed', 'network', 'routs',' oath ',' severe ',' really ',' covid ',' kouta ',' unlimited ',' use ',' watch ',' youtube ',' kouta ',' unlimited ',' open ',' youtube ']")</f>
        <v>['Severe', 'really', 'Telkomsel', 'covid', 'price', 'ride', 'speed', 'network', 'routs',' oath ',' severe ',' really ',' covid ',' kouta ',' unlimited ',' use ',' watch ',' youtube ',' kouta ',' unlimited ',' open ',' youtube ']</v>
      </c>
      <c r="D4350" s="3">
        <v>2.0</v>
      </c>
    </row>
    <row r="4351" ht="15.75" customHeight="1">
      <c r="A4351" s="1">
        <v>4652.0</v>
      </c>
      <c r="B4351" s="3" t="s">
        <v>4174</v>
      </c>
      <c r="C4351" s="3" t="str">
        <f>IFERROR(__xludf.DUMMYFUNCTION("GOOGLETRANSLATE(B4351,""id"",""en"")"),"['Network', 'Palembang', 'Burik', 'please', 'repaired', 'expensive', 'network', 'no', 'comfortable']")</f>
        <v>['Network', 'Palembang', 'Burik', 'please', 'repaired', 'expensive', 'network', 'no', 'comfortable']</v>
      </c>
      <c r="D4351" s="3">
        <v>1.0</v>
      </c>
    </row>
    <row r="4352" ht="15.75" customHeight="1">
      <c r="A4352" s="1">
        <v>4653.0</v>
      </c>
      <c r="B4352" s="3" t="s">
        <v>4175</v>
      </c>
      <c r="C4352" s="3" t="str">
        <f>IFERROR(__xludf.DUMMYFUNCTION("GOOGLETRANSLATE(B4352,""id"",""en"")"),"['', 'Disappointing', 'Ngeluh', 'Where', 'Network', 'Telkomsel', 'Okay', 'Disappointed', 'Very', 'Please', 'Telkomsel', 'Fix', 'Network ',' village ',' village ',' actually ',' remote ',' place ',' surprised ',' price ',' package ',' high ',' play ',' the"&amp;" network ',' play ', 'Main', 'barein', 'package', 'surprise', 'where', 'Reedem', 'Rp', 'GB', 'GB', 'the network', 'ugly', 'have', 'emotion ',' yeah ',' review ',' love ',' yesterday ',' ilang ',' wkwkwk ']")</f>
        <v>['', 'Disappointing', 'Ngeluh', 'Where', 'Network', 'Telkomsel', 'Okay', 'Disappointed', 'Very', 'Please', 'Telkomsel', 'Fix', 'Network ',' village ',' village ',' actually ',' remote ',' place ',' surprised ',' price ',' package ',' high ',' play ',' the network ',' play ', 'Main', 'barein', 'package', 'surprise', 'where', 'Reedem', 'Rp', 'GB', 'GB', 'the network', 'ugly', 'have', 'emotion ',' yeah ',' review ',' love ',' yesterday ',' ilang ',' wkwkwk ']</v>
      </c>
      <c r="D4352" s="3">
        <v>1.0</v>
      </c>
    </row>
    <row r="4353" ht="15.75" customHeight="1">
      <c r="A4353" s="1">
        <v>4654.0</v>
      </c>
      <c r="B4353" s="3" t="s">
        <v>4176</v>
      </c>
      <c r="C4353" s="3" t="str">
        <f>IFERROR(__xludf.DUMMYFUNCTION("GOOGLETRANSLATE(B4353,""id"",""en"")"),"['Signal', 'Telkomsel', 'Taiikkk', 'Uda', 'GPRS', 'How', 'Uda', 'Kaga', 'Use', 'Package', 'Internet', 'Mending', ' Move ',' Operator ',' Uda ',' Cheap ',' Signal ',' Good ']")</f>
        <v>['Signal', 'Telkomsel', 'Taiikkk', 'Uda', 'GPRS', 'How', 'Uda', 'Kaga', 'Use', 'Package', 'Internet', 'Mending', ' Move ',' Operator ',' Uda ',' Cheap ',' Signal ',' Good ']</v>
      </c>
      <c r="D4353" s="3">
        <v>1.0</v>
      </c>
    </row>
    <row r="4354" ht="15.75" customHeight="1">
      <c r="A4354" s="1">
        <v>4655.0</v>
      </c>
      <c r="B4354" s="3" t="s">
        <v>4177</v>
      </c>
      <c r="C4354" s="3" t="str">
        <f>IFERROR(__xludf.DUMMYFUNCTION("GOOGLETRANSLATE(B4354,""id"",""en"")"),"['Exchange', 'expensive']")</f>
        <v>['Exchange', 'expensive']</v>
      </c>
      <c r="D4354" s="3">
        <v>5.0</v>
      </c>
    </row>
    <row r="4355" ht="15.75" customHeight="1">
      <c r="A4355" s="1">
        <v>4656.0</v>
      </c>
      <c r="B4355" s="3" t="s">
        <v>4178</v>
      </c>
      <c r="C4355" s="3" t="str">
        <f>IFERROR(__xludf.DUMMYFUNCTION("GOOGLETRANSLATE(B4355,""id"",""en"")"),"['Alhamdulillah', 'help', 'his application', 'thank', 'love']")</f>
        <v>['Alhamdulillah', 'help', 'his application', 'thank', 'love']</v>
      </c>
      <c r="D4355" s="3">
        <v>5.0</v>
      </c>
    </row>
    <row r="4356" ht="15.75" customHeight="1">
      <c r="A4356" s="1">
        <v>4657.0</v>
      </c>
      <c r="B4356" s="3" t="s">
        <v>4179</v>
      </c>
      <c r="C4356" s="3" t="str">
        <f>IFERROR(__xludf.DUMMYFUNCTION("GOOGLETRANSLATE(B4356,""id"",""en"")"),"['expensive', 'doang', 'network', 'bad']")</f>
        <v>['expensive', 'doang', 'network', 'bad']</v>
      </c>
      <c r="D4356" s="3">
        <v>1.0</v>
      </c>
    </row>
    <row r="4357" ht="15.75" customHeight="1">
      <c r="A4357" s="1">
        <v>4658.0</v>
      </c>
      <c r="B4357" s="3" t="s">
        <v>4180</v>
      </c>
      <c r="C4357" s="3" t="str">
        <f>IFERROR(__xludf.DUMMYFUNCTION("GOOGLETRANSLATE(B4357,""id"",""en"")"),"['My APK', 'Good', 'really', '']")</f>
        <v>['My APK', 'Good', 'really', '']</v>
      </c>
      <c r="D4357" s="3">
        <v>5.0</v>
      </c>
    </row>
    <row r="4358" ht="15.75" customHeight="1">
      <c r="A4358" s="1">
        <v>4659.0</v>
      </c>
      <c r="B4358" s="3" t="s">
        <v>4181</v>
      </c>
      <c r="C4358" s="3" t="str">
        <f>IFERROR(__xludf.DUMMYFUNCTION("GOOGLETRANSLATE(B4358,""id"",""en"")"),"['Sousiny', 'ugly', 'rain', 'dead', 'lights', 'dead', 'total', ""]")</f>
        <v>['Sousiny', 'ugly', 'rain', 'dead', 'lights', 'dead', 'total', "]</v>
      </c>
      <c r="D4358" s="3">
        <v>1.0</v>
      </c>
    </row>
    <row r="4359" ht="15.75" customHeight="1">
      <c r="A4359" s="1">
        <v>4660.0</v>
      </c>
      <c r="B4359" s="3" t="s">
        <v>4182</v>
      </c>
      <c r="C4359" s="3" t="str">
        <f>IFERROR(__xludf.DUMMYFUNCTION("GOOGLETRANSLATE(B4359,""id"",""en"")"),"['Not bad', 'Hold', 'Promo', 'Package', 'Data', 'Internet', 'Cheap']")</f>
        <v>['Not bad', 'Hold', 'Promo', 'Package', 'Data', 'Internet', 'Cheap']</v>
      </c>
      <c r="D4359" s="3">
        <v>4.0</v>
      </c>
    </row>
    <row r="4360" ht="15.75" customHeight="1">
      <c r="A4360" s="1">
        <v>4662.0</v>
      </c>
      <c r="B4360" s="3" t="s">
        <v>4183</v>
      </c>
      <c r="C4360" s="3" t="str">
        <f>IFERROR(__xludf.DUMMYFUNCTION("GOOGLETRANSLATE(B4360,""id"",""en"")"),"['Play', 'mobile', 'Legend', 'slow', 'network']")</f>
        <v>['Play', 'mobile', 'Legend', 'slow', 'network']</v>
      </c>
      <c r="D4360" s="3">
        <v>1.0</v>
      </c>
    </row>
    <row r="4361" ht="15.75" customHeight="1">
      <c r="A4361" s="1">
        <v>4664.0</v>
      </c>
      <c r="B4361" s="3" t="s">
        <v>4184</v>
      </c>
      <c r="C4361" s="3" t="str">
        <f>IFERROR(__xludf.DUMMYFUNCTION("GOOGLETRANSLATE(B4361,""id"",""en"")"),"['SMPE', 'HBS', 'PDHL', 'RMH', 'VIFI', 'Save', 'Data', 'Knpa', '']")</f>
        <v>['SMPE', 'HBS', 'PDHL', 'RMH', 'VIFI', 'Save', 'Data', 'Knpa', '']</v>
      </c>
      <c r="D4361" s="3">
        <v>5.0</v>
      </c>
    </row>
    <row r="4362" ht="15.75" customHeight="1">
      <c r="A4362" s="1">
        <v>4665.0</v>
      </c>
      <c r="B4362" s="3" t="s">
        <v>4185</v>
      </c>
      <c r="C4362" s="3" t="str">
        <f>IFERROR(__xludf.DUMMYFUNCTION("GOOGLETRANSLATE(B4362,""id"",""en"")"),"['Thank you', 'help']")</f>
        <v>['Thank you', 'help']</v>
      </c>
      <c r="D4362" s="3">
        <v>5.0</v>
      </c>
    </row>
    <row r="4363" ht="15.75" customHeight="1">
      <c r="A4363" s="1">
        <v>4666.0</v>
      </c>
      <c r="B4363" s="3" t="s">
        <v>4186</v>
      </c>
      <c r="C4363" s="3" t="str">
        <f>IFERROR(__xludf.DUMMYFUNCTION("GOOGLETRANSLATE(B4363,""id"",""en"")"),"['Recommended', 'really', 'users', 'Telkomsel']")</f>
        <v>['Recommended', 'really', 'users', 'Telkomsel']</v>
      </c>
      <c r="D4363" s="3">
        <v>5.0</v>
      </c>
    </row>
    <row r="4364" ht="15.75" customHeight="1">
      <c r="A4364" s="1">
        <v>4667.0</v>
      </c>
      <c r="B4364" s="3" t="s">
        <v>4187</v>
      </c>
      <c r="C4364" s="3" t="str">
        <f>IFERROR(__xludf.DUMMYFUNCTION("GOOGLETRANSLATE(B4364,""id"",""en"")"),"['Lally', 'promo', 'cheap', 'package', 'internet', 'yaaa']")</f>
        <v>['Lally', 'promo', 'cheap', 'package', 'internet', 'yaaa']</v>
      </c>
      <c r="D4364" s="3">
        <v>4.0</v>
      </c>
    </row>
    <row r="4365" ht="15.75" customHeight="1">
      <c r="A4365" s="1">
        <v>4668.0</v>
      </c>
      <c r="B4365" s="3" t="s">
        <v>4188</v>
      </c>
      <c r="C4365" s="3" t="str">
        <f>IFERROR(__xludf.DUMMYFUNCTION("GOOGLETRANSLATE(B4365,""id"",""en"")"),"['Good', 'Tsel']")</f>
        <v>['Good', 'Tsel']</v>
      </c>
      <c r="D4365" s="3">
        <v>1.0</v>
      </c>
    </row>
    <row r="4366" ht="15.75" customHeight="1">
      <c r="A4366" s="1">
        <v>4669.0</v>
      </c>
      <c r="B4366" s="3" t="s">
        <v>50</v>
      </c>
      <c r="C4366" s="3" t="str">
        <f>IFERROR(__xludf.DUMMYFUNCTION("GOOGLETRANSLATE(B4366,""id"",""en"")"),"['steady', 'application']")</f>
        <v>['steady', 'application']</v>
      </c>
      <c r="D4366" s="3">
        <v>3.0</v>
      </c>
    </row>
    <row r="4367" ht="15.75" customHeight="1">
      <c r="A4367" s="1">
        <v>4670.0</v>
      </c>
      <c r="B4367" s="3" t="s">
        <v>4189</v>
      </c>
      <c r="C4367" s="3" t="str">
        <f>IFERROR(__xludf.DUMMYFUNCTION("GOOGLETRANSLATE(B4367,""id"",""en"")"),"['discounts']")</f>
        <v>['discounts']</v>
      </c>
      <c r="D4367" s="3">
        <v>5.0</v>
      </c>
    </row>
    <row r="4368" ht="15.75" customHeight="1">
      <c r="A4368" s="1">
        <v>4671.0</v>
      </c>
      <c r="B4368" s="3" t="s">
        <v>4190</v>
      </c>
      <c r="C4368" s="3" t="str">
        <f>IFERROR(__xludf.DUMMYFUNCTION("GOOGLETRANSLATE(B4368,""id"",""en"")"),"['Down', 'trs', 'ugly']")</f>
        <v>['Down', 'trs', 'ugly']</v>
      </c>
      <c r="D4368" s="3">
        <v>1.0</v>
      </c>
    </row>
    <row r="4369" ht="15.75" customHeight="1">
      <c r="A4369" s="1">
        <v>4672.0</v>
      </c>
      <c r="B4369" s="3" t="s">
        <v>4191</v>
      </c>
      <c r="C4369" s="3" t="str">
        <f>IFERROR(__xludf.DUMMYFUNCTION("GOOGLETRANSLATE(B4369,""id"",""en"")"),"['slow network']")</f>
        <v>['slow network']</v>
      </c>
      <c r="D4369" s="3">
        <v>1.0</v>
      </c>
    </row>
    <row r="4370" ht="15.75" customHeight="1">
      <c r="A4370" s="1">
        <v>4673.0</v>
      </c>
      <c r="B4370" s="3" t="s">
        <v>4192</v>
      </c>
      <c r="C4370" s="3" t="str">
        <f>IFERROR(__xludf.DUMMYFUNCTION("GOOGLETRANSLATE(B4370,""id"",""en"")"),"['apk', 'destroyer', 'cellphone', 'Samsung', 'cave', 'crash', 'mulu', ""]")</f>
        <v>['apk', 'destroyer', 'cellphone', 'Samsung', 'cave', 'crash', 'mulu', "]</v>
      </c>
      <c r="D4370" s="3">
        <v>1.0</v>
      </c>
    </row>
    <row r="4371" ht="15.75" customHeight="1">
      <c r="A4371" s="1">
        <v>4674.0</v>
      </c>
      <c r="B4371" s="3" t="s">
        <v>4193</v>
      </c>
      <c r="C4371" s="3" t="str">
        <f>IFERROR(__xludf.DUMMYFUNCTION("GOOGLETRANSLATE(B4371,""id"",""en"")"),"['Display', 'Cool', 'Easy to', 'User']")</f>
        <v>['Display', 'Cool', 'Easy to', 'User']</v>
      </c>
      <c r="D4371" s="3">
        <v>5.0</v>
      </c>
    </row>
    <row r="4372" ht="15.75" customHeight="1">
      <c r="A4372" s="1">
        <v>4675.0</v>
      </c>
      <c r="B4372" s="3" t="s">
        <v>4194</v>
      </c>
      <c r="C4372" s="3" t="str">
        <f>IFERROR(__xludf.DUMMYFUNCTION("GOOGLETRANSLATE(B4372,""id"",""en"")"),"['Network', 'ugly', 'bad', 'Indo', 'quota', 'unlimited', 'bad', ""]")</f>
        <v>['Network', 'ugly', 'bad', 'Indo', 'quota', 'unlimited', 'bad', "]</v>
      </c>
      <c r="D4372" s="3">
        <v>1.0</v>
      </c>
    </row>
    <row r="4373" ht="15.75" customHeight="1">
      <c r="A4373" s="1">
        <v>4676.0</v>
      </c>
      <c r="B4373" s="3" t="s">
        <v>4195</v>
      </c>
      <c r="C4373" s="3" t="str">
        <f>IFERROR(__xludf.DUMMYFUNCTION("GOOGLETRANSLATE(B4373,""id"",""en"")"),"['package', 'expensive', 'signal', 'ugly', 'enter', 'home', 'feels',' entry ',' foranans', 'signal', 'direct', 'ilang', ' in the city', '']")</f>
        <v>['package', 'expensive', 'signal', 'ugly', 'enter', 'home', 'feels',' entry ',' foranans', 'signal', 'direct', 'ilang', ' in the city', '']</v>
      </c>
      <c r="D4373" s="3">
        <v>1.0</v>
      </c>
    </row>
    <row r="4374" ht="15.75" customHeight="1">
      <c r="A4374" s="1">
        <v>4677.0</v>
      </c>
      <c r="B4374" s="3" t="s">
        <v>4196</v>
      </c>
      <c r="C4374" s="3" t="str">
        <f>IFERROR(__xludf.DUMMYFUNCTION("GOOGLETRANSLATE(B4374,""id"",""en"")"),"['wkwkwkewie', 'Taik', 'cat', '']")</f>
        <v>['wkwkwkewie', 'Taik', 'cat', '']</v>
      </c>
      <c r="D4374" s="3">
        <v>1.0</v>
      </c>
    </row>
    <row r="4375" ht="15.75" customHeight="1">
      <c r="A4375" s="1">
        <v>4678.0</v>
      </c>
      <c r="B4375" s="3" t="s">
        <v>4197</v>
      </c>
      <c r="C4375" s="3" t="str">
        <f>IFERROR(__xludf.DUMMYFUNCTION("GOOGLETRANSLATE(B4375,""id"",""en"")"),"['Difficult', 'Network', 'Internet', 'Reply', 'Message', 'WhatsApp', 'Literit', 'Minutes',' Open ',' Sosmed ',' Login ',' Game ',' Wait ',' night ',' fix ',' network ',' buk ']")</f>
        <v>['Difficult', 'Network', 'Internet', 'Reply', 'Message', 'WhatsApp', 'Literit', 'Minutes',' Open ',' Sosmed ',' Login ',' Game ',' Wait ',' night ',' fix ',' network ',' buk ']</v>
      </c>
      <c r="D4375" s="3">
        <v>1.0</v>
      </c>
    </row>
    <row r="4376" ht="15.75" customHeight="1">
      <c r="A4376" s="1">
        <v>4679.0</v>
      </c>
      <c r="B4376" s="3" t="s">
        <v>384</v>
      </c>
      <c r="C4376" s="3" t="str">
        <f>IFERROR(__xludf.DUMMYFUNCTION("GOOGLETRANSLATE(B4376,""id"",""en"")"),"['beneficial', '']")</f>
        <v>['beneficial', '']</v>
      </c>
      <c r="D4376" s="3">
        <v>5.0</v>
      </c>
    </row>
    <row r="4377" ht="15.75" customHeight="1">
      <c r="A4377" s="1">
        <v>4680.0</v>
      </c>
      <c r="B4377" s="3" t="s">
        <v>4198</v>
      </c>
      <c r="C4377" s="3" t="str">
        <f>IFERROR(__xludf.DUMMYFUNCTION("GOOGLETRANSLATE(B4377,""id"",""en"")"),"['signal', 'stable', 'bad', '']")</f>
        <v>['signal', 'stable', 'bad', '']</v>
      </c>
      <c r="D4377" s="3">
        <v>1.0</v>
      </c>
    </row>
    <row r="4378" ht="15.75" customHeight="1">
      <c r="A4378" s="1">
        <v>4682.0</v>
      </c>
      <c r="B4378" s="3" t="s">
        <v>4199</v>
      </c>
      <c r="C4378" s="3" t="str">
        <f>IFERROR(__xludf.DUMMYFUNCTION("GOOGLETRANSLATE(B4378,""id"",""en"")"),"['Helpful', 'easy']")</f>
        <v>['Helpful', 'easy']</v>
      </c>
      <c r="D4378" s="3">
        <v>5.0</v>
      </c>
    </row>
    <row r="4379" ht="15.75" customHeight="1">
      <c r="A4379" s="1">
        <v>4683.0</v>
      </c>
      <c r="B4379" s="3" t="s">
        <v>4200</v>
      </c>
      <c r="C4379" s="3" t="str">
        <f>IFERROR(__xludf.DUMMYFUNCTION("GOOGLETRANSLATE(B4379,""id"",""en"")"),"['Organaaa', 'Telkomsel']")</f>
        <v>['Organaaa', 'Telkomsel']</v>
      </c>
      <c r="D4379" s="3">
        <v>5.0</v>
      </c>
    </row>
    <row r="4380" ht="15.75" customHeight="1">
      <c r="A4380" s="1">
        <v>4684.0</v>
      </c>
      <c r="B4380" s="3" t="s">
        <v>3397</v>
      </c>
      <c r="C4380" s="3" t="str">
        <f>IFERROR(__xludf.DUMMYFUNCTION("GOOGLETRANSLATE(B4380,""id"",""en"")"),"['like']")</f>
        <v>['like']</v>
      </c>
      <c r="D4380" s="3">
        <v>5.0</v>
      </c>
    </row>
    <row r="4381" ht="15.75" customHeight="1">
      <c r="A4381" s="1">
        <v>4685.0</v>
      </c>
      <c r="B4381" s="3" t="s">
        <v>4201</v>
      </c>
      <c r="C4381" s="3" t="str">
        <f>IFERROR(__xludf.DUMMYFUNCTION("GOOGLETRANSLATE(B4381,""id"",""en"")"),"['Help', 'Most', 'quota', 'local']")</f>
        <v>['Help', 'Most', 'quota', 'local']</v>
      </c>
      <c r="D4381" s="3">
        <v>3.0</v>
      </c>
    </row>
    <row r="4382" ht="15.75" customHeight="1">
      <c r="A4382" s="1">
        <v>4686.0</v>
      </c>
      <c r="B4382" s="3" t="s">
        <v>4202</v>
      </c>
      <c r="C4382" s="3" t="str">
        <f>IFERROR(__xludf.DUMMYFUNCTION("GOOGLETRANSLATE(B4382,""id"",""en"")"),"['Love', 'Bintang', 'Belom', 'Win', 'Lottery']")</f>
        <v>['Love', 'Bintang', 'Belom', 'Win', 'Lottery']</v>
      </c>
      <c r="D4382" s="3">
        <v>3.0</v>
      </c>
    </row>
    <row r="4383" ht="15.75" customHeight="1">
      <c r="A4383" s="1">
        <v>4687.0</v>
      </c>
      <c r="B4383" s="3" t="s">
        <v>4203</v>
      </c>
      <c r="C4383" s="3" t="str">
        <f>IFERROR(__xludf.DUMMYFUNCTION("GOOGLETRANSLATE(B4383,""id"",""en"")"),"['Trash', 'Combo', 'Sakti', 'You', 'Removal', 'User', 'Telkomsel', 'Telkomsel', 'Worth', 'Network', 'Lemot', 'Price', ' package ',' reasonable ',' thinking ',' satisfaction ',' customer ',' enlarge ',' profit ',' competitors', 'offer', 'price', 'cheap', '"&amp;"quality', 'network' , 'Different', 'users',' Telkomsel ',' Disappointed ',' Switch ',' Package ',' Data ',' Cellular ',' Network ',' Telkomsel ',' Yuk ',' Switch ',' network ',' fooled ',' garbage ', ""]")</f>
        <v>['Trash', 'Combo', 'Sakti', 'You', 'Removal', 'User', 'Telkomsel', 'Telkomsel', 'Worth', 'Network', 'Lemot', 'Price', ' package ',' reasonable ',' thinking ',' satisfaction ',' customer ',' enlarge ',' profit ',' competitors', 'offer', 'price', 'cheap', 'quality', 'network' , 'Different', 'users',' Telkomsel ',' Disappointed ',' Switch ',' Package ',' Data ',' Cellular ',' Network ',' Telkomsel ',' Yuk ',' Switch ',' network ',' fooled ',' garbage ', "]</v>
      </c>
      <c r="D4383" s="3">
        <v>1.0</v>
      </c>
    </row>
    <row r="4384" ht="15.75" customHeight="1">
      <c r="A4384" s="1">
        <v>4688.0</v>
      </c>
      <c r="B4384" s="3" t="s">
        <v>4204</v>
      </c>
      <c r="C4384" s="3" t="str">
        <f>IFERROR(__xludf.DUMMYFUNCTION("GOOGLETRANSLATE(B4384,""id"",""en"")"),"['Performance', 'positive', 'Good', '']")</f>
        <v>['Performance', 'positive', 'Good', '']</v>
      </c>
      <c r="D4384" s="3">
        <v>5.0</v>
      </c>
    </row>
    <row r="4385" ht="15.75" customHeight="1">
      <c r="A4385" s="1">
        <v>4689.0</v>
      </c>
      <c r="B4385" s="3" t="s">
        <v>4205</v>
      </c>
      <c r="C4385" s="3" t="str">
        <f>IFERROR(__xludf.DUMMYFUNCTION("GOOGLETRANSLATE(B4385,""id"",""en"")"),"['get', 'quota', 'exchange', 'point', 'GB', 'package', 'main', 'out', 'reduced', 'how', 'loss', ""]")</f>
        <v>['get', 'quota', 'exchange', 'point', 'GB', 'package', 'main', 'out', 'reduced', 'how', 'loss', "]</v>
      </c>
      <c r="D4385" s="3">
        <v>1.0</v>
      </c>
    </row>
    <row r="4386" ht="15.75" customHeight="1">
      <c r="A4386" s="1">
        <v>4690.0</v>
      </c>
      <c r="B4386" s="3" t="s">
        <v>4206</v>
      </c>
      <c r="C4386" s="3" t="str">
        <f>IFERROR(__xludf.DUMMYFUNCTION("GOOGLETRANSLATE(B4386,""id"",""en"")"),"['quota', 'expensive', 'network', 'already', 'rain', 'night', 'slow', 'basically', 'annoyed']")</f>
        <v>['quota', 'expensive', 'network', 'already', 'rain', 'night', 'slow', 'basically', 'annoyed']</v>
      </c>
      <c r="D4386" s="3">
        <v>1.0</v>
      </c>
    </row>
    <row r="4387" ht="15.75" customHeight="1">
      <c r="A4387" s="1">
        <v>4691.0</v>
      </c>
      <c r="B4387" s="3" t="s">
        <v>4207</v>
      </c>
      <c r="C4387" s="3" t="str">
        <f>IFERROR(__xludf.DUMMYFUNCTION("GOOGLETRANSLATE(B4387,""id"",""en"")"),"['Increases', 'Signal', 'Region', '']")</f>
        <v>['Increases', 'Signal', 'Region', '']</v>
      </c>
      <c r="D4387" s="3">
        <v>5.0</v>
      </c>
    </row>
    <row r="4388" ht="15.75" customHeight="1">
      <c r="A4388" s="1">
        <v>4692.0</v>
      </c>
      <c r="B4388" s="3" t="s">
        <v>4208</v>
      </c>
      <c r="C4388" s="3" t="str">
        <f>IFERROR(__xludf.DUMMYFUNCTION("GOOGLETRANSLATE(B4388,""id"",""en"")"),"['Service', 'Good']")</f>
        <v>['Service', 'Good']</v>
      </c>
      <c r="D4388" s="3">
        <v>4.0</v>
      </c>
    </row>
    <row r="4389" ht="15.75" customHeight="1">
      <c r="A4389" s="1">
        <v>4693.0</v>
      </c>
      <c r="B4389" s="3" t="s">
        <v>4209</v>
      </c>
      <c r="C4389" s="3" t="str">
        <f>IFERROR(__xludf.DUMMYFUNCTION("GOOGLETRANSLATE(B4389,""id"",""en"")"),"['Steady', 'baget', 'deh']")</f>
        <v>['Steady', 'baget', 'deh']</v>
      </c>
      <c r="D4389" s="3">
        <v>5.0</v>
      </c>
    </row>
    <row r="4390" ht="15.75" customHeight="1">
      <c r="A4390" s="1">
        <v>4694.0</v>
      </c>
      <c r="B4390" s="3" t="s">
        <v>558</v>
      </c>
      <c r="C4390" s="3" t="str">
        <f>IFERROR(__xludf.DUMMYFUNCTION("GOOGLETRANSLATE(B4390,""id"",""en"")"),"['useful']")</f>
        <v>['useful']</v>
      </c>
      <c r="D4390" s="3">
        <v>5.0</v>
      </c>
    </row>
    <row r="4391" ht="15.75" customHeight="1">
      <c r="A4391" s="1">
        <v>4695.0</v>
      </c>
      <c r="B4391" s="3" t="s">
        <v>4210</v>
      </c>
      <c r="C4391" s="3" t="str">
        <f>IFERROR(__xludf.DUMMYFUNCTION("GOOGLETRANSLATE(B4391,""id"",""en"")"),"['Update', 'Open', 'Telkomsel', 'already', 'make', 'APK', ""]")</f>
        <v>['Update', 'Open', 'Telkomsel', 'already', 'make', 'APK', "]</v>
      </c>
      <c r="D4391" s="3">
        <v>1.0</v>
      </c>
    </row>
    <row r="4392" ht="15.75" customHeight="1">
      <c r="A4392" s="1">
        <v>4696.0</v>
      </c>
      <c r="B4392" s="3" t="s">
        <v>4211</v>
      </c>
      <c r="C4392" s="3" t="str">
        <f>IFERROR(__xludf.DUMMYFUNCTION("GOOGLETRANSLATE(B4392,""id"",""en"")"),"['The network', 'kunyuk', 'slow', 'bner', 'please', 'refresh', 'the network', '']")</f>
        <v>['The network', 'kunyuk', 'slow', 'bner', 'please', 'refresh', 'the network', '']</v>
      </c>
      <c r="D4392" s="3">
        <v>1.0</v>
      </c>
    </row>
    <row r="4393" ht="15.75" customHeight="1">
      <c r="A4393" s="1">
        <v>4698.0</v>
      </c>
      <c r="B4393" s="3" t="s">
        <v>4212</v>
      </c>
      <c r="C4393" s="3" t="str">
        <f>IFERROR(__xludf.DUMMYFUNCTION("GOOGLETRANSLATE(B4393,""id"",""en"")"),"['Telkomsel', 'ugly', 'network', 'signal', 'card', 'premium', 'lose', 'axis',' card ',' cheap ',' sinynya ',' no ',' ugly ',' Telkomsel ',' card ',' expensive ',' quota ',' expensive ',' signal ',' ugly ',' ']")</f>
        <v>['Telkomsel', 'ugly', 'network', 'signal', 'card', 'premium', 'lose', 'axis',' card ',' cheap ',' sinynya ',' no ',' ugly ',' Telkomsel ',' card ',' expensive ',' quota ',' expensive ',' signal ',' ugly ',' ']</v>
      </c>
      <c r="D4393" s="3">
        <v>1.0</v>
      </c>
    </row>
    <row r="4394" ht="15.75" customHeight="1">
      <c r="A4394" s="1">
        <v>4699.0</v>
      </c>
      <c r="B4394" s="3" t="s">
        <v>1465</v>
      </c>
      <c r="C4394" s="3" t="str">
        <f>IFERROR(__xludf.DUMMYFUNCTION("GOOGLETRANSLATE(B4394,""id"",""en"")"),"['APK', 'Good']")</f>
        <v>['APK', 'Good']</v>
      </c>
      <c r="D4394" s="3">
        <v>5.0</v>
      </c>
    </row>
    <row r="4395" ht="15.75" customHeight="1">
      <c r="A4395" s="1">
        <v>4700.0</v>
      </c>
      <c r="B4395" s="3" t="s">
        <v>4213</v>
      </c>
      <c r="C4395" s="3" t="str">
        <f>IFERROR(__xludf.DUMMYFUNCTION("GOOGLETRANSLATE(B4395,""id"",""en"")"),"['Often', 'difficult', 'opened']")</f>
        <v>['Often', 'difficult', 'opened']</v>
      </c>
      <c r="D4395" s="3">
        <v>2.0</v>
      </c>
    </row>
    <row r="4396" ht="15.75" customHeight="1">
      <c r="A4396" s="1">
        <v>4702.0</v>
      </c>
      <c r="B4396" s="3" t="s">
        <v>4214</v>
      </c>
      <c r="C4396" s="3" t="str">
        <f>IFERROR(__xludf.DUMMYFUNCTION("GOOGLETRANSLATE(B4396,""id"",""en"")"),"['connection', 'network', 'ugly', 'package', 'data', 'expensive', 'service', 'network', 'bad']")</f>
        <v>['connection', 'network', 'ugly', 'package', 'data', 'expensive', 'service', 'network', 'bad']</v>
      </c>
      <c r="D4396" s="3">
        <v>1.0</v>
      </c>
    </row>
    <row r="4397" ht="15.75" customHeight="1">
      <c r="A4397" s="1">
        <v>4703.0</v>
      </c>
      <c r="B4397" s="3" t="s">
        <v>4215</v>
      </c>
      <c r="C4397" s="3" t="str">
        <f>IFERROR(__xludf.DUMMYFUNCTION("GOOGLETRANSLATE(B4397,""id"",""en"")"),"['Tolkomsel', 'no', 'fair', 'KNPA', 'card', 'Telkom', 'Sakti', 'get', 'package', 'monthly', 'cheap', 'thousand', ' DAPT ',' SDANG ',' already ',' Not bad ',' TELKOM ',' ISI ',' Credit ',' RB ',' Little ',' No ',' Promo ',' Package ',' Cheap ' , 'price', '"&amp;"no', 'fair', 'name', 'person', 'Indonesia', 'diginin', 'tlong', 'fair', 'price', 'package', 'dangan', ' JNGAN ',' Discontinued ',' Bedain ', ""]")</f>
        <v>['Tolkomsel', 'no', 'fair', 'KNPA', 'card', 'Telkom', 'Sakti', 'get', 'package', 'monthly', 'cheap', 'thousand', ' DAPT ',' SDANG ',' already ',' Not bad ',' TELKOM ',' ISI ',' Credit ',' RB ',' Little ',' No ',' Promo ',' Package ',' Cheap ' , 'price', 'no', 'fair', 'name', 'person', 'Indonesia', 'diginin', 'tlong', 'fair', 'price', 'package', 'dangan', ' JNGAN ',' Discontinued ',' Bedain ', "]</v>
      </c>
      <c r="D4397" s="3">
        <v>1.0</v>
      </c>
    </row>
    <row r="4398" ht="15.75" customHeight="1">
      <c r="A4398" s="1">
        <v>4704.0</v>
      </c>
      <c r="B4398" s="3" t="s">
        <v>4216</v>
      </c>
      <c r="C4398" s="3" t="str">
        <f>IFERROR(__xludf.DUMMYFUNCTION("GOOGLETRANSLATE(B4398,""id"",""en"")"),"['', 'buy', 'package', 'expensive', 'expensive', 'signal', 'slow', 'times',' regret ',' pakek ',' telkomsel ',' mending ',' pakek ',' signal ',' smooth ',' just ',' dead ',' lights', 'doang', 'signal', 'ngeleg', 'disappointment', 'doang']")</f>
        <v>['', 'buy', 'package', 'expensive', 'expensive', 'signal', 'slow', 'times',' regret ',' pakek ',' telkomsel ',' mending ',' pakek ',' signal ',' smooth ',' just ',' dead ',' lights', 'doang', 'signal', 'ngeleg', 'disappointment', 'doang']</v>
      </c>
      <c r="D4398" s="3">
        <v>1.0</v>
      </c>
    </row>
    <row r="4399" ht="15.75" customHeight="1">
      <c r="A4399" s="1">
        <v>4705.0</v>
      </c>
      <c r="B4399" s="3" t="s">
        <v>4217</v>
      </c>
      <c r="C4399" s="3" t="str">
        <f>IFERROR(__xludf.DUMMYFUNCTION("GOOGLETRANSLATE(B4399,""id"",""en"")"),"['thank', 'love', 'klu', 'cheap', '']")</f>
        <v>['thank', 'love', 'klu', 'cheap', '']</v>
      </c>
      <c r="D4399" s="3">
        <v>4.0</v>
      </c>
    </row>
    <row r="4400" ht="15.75" customHeight="1">
      <c r="A4400" s="1">
        <v>4706.0</v>
      </c>
      <c r="B4400" s="3" t="s">
        <v>4218</v>
      </c>
      <c r="C4400" s="3" t="str">
        <f>IFERROR(__xludf.DUMMYFUNCTION("GOOGLETRANSLATE(B4400,""id"",""en"")"),"['customer', 'loyal', 'Telkomsel', 'disappointed', 'Telkomsel', 'ugly', 'signal', 'stable', 'good', 'like', 'jumping', 'signal', ' play ',' game ',' banting ',' Gara ',' Telkomsel ',' sometimes', 'pulse', 'ilang', 'package', 'broken', 'sim', 'card', 'ligh"&amp;"ts' , 'Dead', 'Mosted', 'Juka', 'Dead', 'Tlkomsl', 'PARH', 'Severe', ""]")</f>
        <v>['customer', 'loyal', 'Telkomsel', 'disappointed', 'Telkomsel', 'ugly', 'signal', 'stable', 'good', 'like', 'jumping', 'signal', ' play ',' game ',' banting ',' Gara ',' Telkomsel ',' sometimes', 'pulse', 'ilang', 'package', 'broken', 'sim', 'card', 'lights' , 'Dead', 'Mosted', 'Juka', 'Dead', 'Tlkomsl', 'PARH', 'Severe', "]</v>
      </c>
      <c r="D4400" s="3">
        <v>2.0</v>
      </c>
    </row>
    <row r="4401" ht="15.75" customHeight="1">
      <c r="A4401" s="1">
        <v>4707.0</v>
      </c>
      <c r="B4401" s="3" t="s">
        <v>4219</v>
      </c>
      <c r="C4401" s="3" t="str">
        <f>IFERROR(__xludf.DUMMYFUNCTION("GOOGLETRANSLATE(B4401,""id"",""en"")"),"['price', 'quota', 'comparable', 'quality', 'network', 'customers',' loyal ',' Telkomsel ',' Please ',' Telkomsel ',' fix ',' quality ',' signal ',' expanding ',' network ',' in place ',' difficult ',' signal ',' activity ',' a day ',' users', 'Telkomsel'"&amp;", 'run', 'smooth', 'accept' , 'Love', 'concern']")</f>
        <v>['price', 'quota', 'comparable', 'quality', 'network', 'customers',' loyal ',' Telkomsel ',' Please ',' Telkomsel ',' fix ',' quality ',' signal ',' expanding ',' network ',' in place ',' difficult ',' signal ',' activity ',' a day ',' users', 'Telkomsel', 'run', 'smooth', 'accept' , 'Love', 'concern']</v>
      </c>
      <c r="D4401" s="3">
        <v>1.0</v>
      </c>
    </row>
    <row r="4402" ht="15.75" customHeight="1">
      <c r="A4402" s="1">
        <v>4708.0</v>
      </c>
      <c r="B4402" s="3" t="s">
        <v>4220</v>
      </c>
      <c r="C4402" s="3" t="str">
        <f>IFERROR(__xludf.DUMMYFUNCTION("GOOGLETRANSLATE(B4402,""id"",""en"")"),"['Install']")</f>
        <v>['Install']</v>
      </c>
      <c r="D4402" s="3">
        <v>3.0</v>
      </c>
    </row>
    <row r="4403" ht="15.75" customHeight="1">
      <c r="A4403" s="1">
        <v>4709.0</v>
      </c>
      <c r="B4403" s="3" t="s">
        <v>4221</v>
      </c>
      <c r="C4403" s="3" t="str">
        <f>IFERROR(__xludf.DUMMYFUNCTION("GOOGLETRANSLATE(B4403,""id"",""en"")"),"['promo', 'package', 'internet', 'tambo', 'lgi', 'comfortable']")</f>
        <v>['promo', 'package', 'internet', 'tambo', 'lgi', 'comfortable']</v>
      </c>
      <c r="D4403" s="3">
        <v>5.0</v>
      </c>
    </row>
    <row r="4404" ht="15.75" customHeight="1">
      <c r="A4404" s="1">
        <v>4710.0</v>
      </c>
      <c r="B4404" s="3" t="s">
        <v>4222</v>
      </c>
      <c r="C4404" s="3" t="str">
        <f>IFERROR(__xludf.DUMMYFUNCTION("GOOGLETRANSLATE(B4404,""id"",""en"")"),"['Please', 'yaa', 'admin', 'mytelkomsel', 'use', 'data', 'internet', 'buy', 'kouta', 'internet', 'noon', 'TDI', ' dpat ',' sms', 'dri', 'telkomsel', 'kouta', 'internet', 'stay', 'MB', 'again', '']")</f>
        <v>['Please', 'yaa', 'admin', 'mytelkomsel', 'use', 'data', 'internet', 'buy', 'kouta', 'internet', 'noon', 'TDI', ' dpat ',' sms', 'dri', 'telkomsel', 'kouta', 'internet', 'stay', 'MB', 'again', '']</v>
      </c>
      <c r="D4404" s="3">
        <v>2.0</v>
      </c>
    </row>
    <row r="4405" ht="15.75" customHeight="1">
      <c r="A4405" s="1">
        <v>4711.0</v>
      </c>
      <c r="B4405" s="3" t="s">
        <v>4223</v>
      </c>
      <c r="C4405" s="3" t="str">
        <f>IFERROR(__xludf.DUMMYFUNCTION("GOOGLETRANSLATE(B4405,""id"",""en"")"),"['Real', '']")</f>
        <v>['Real', '']</v>
      </c>
      <c r="D4405" s="3">
        <v>5.0</v>
      </c>
    </row>
    <row r="4406" ht="15.75" customHeight="1">
      <c r="A4406" s="1">
        <v>4712.0</v>
      </c>
      <c r="B4406" s="3" t="s">
        <v>4224</v>
      </c>
      <c r="C4406" s="3" t="str">
        <f>IFERROR(__xludf.DUMMYFUNCTION("GOOGLETRANSLATE(B4406,""id"",""en"")"),"['Knowing', 'Msh', 'Learning', 'Application', 'Telkomsel']")</f>
        <v>['Knowing', 'Msh', 'Learning', 'Application', 'Telkomsel']</v>
      </c>
      <c r="D4406" s="3">
        <v>5.0</v>
      </c>
    </row>
    <row r="4407" ht="15.75" customHeight="1">
      <c r="A4407" s="1">
        <v>4713.0</v>
      </c>
      <c r="B4407" s="3" t="s">
        <v>81</v>
      </c>
      <c r="C4407" s="3" t="str">
        <f>IFERROR(__xludf.DUMMYFUNCTION("GOOGLETRANSLATE(B4407,""id"",""en"")"),"['application', 'good']")</f>
        <v>['application', 'good']</v>
      </c>
      <c r="D4407" s="3">
        <v>5.0</v>
      </c>
    </row>
    <row r="4408" ht="15.75" customHeight="1">
      <c r="A4408" s="1">
        <v>4714.0</v>
      </c>
      <c r="B4408" s="3" t="s">
        <v>4225</v>
      </c>
      <c r="C4408" s="3" t="str">
        <f>IFERROR(__xludf.DUMMYFUNCTION("GOOGLETRANSLATE(B4408,""id"",""en"")"),"['Please', 'Login', 'Cepetin', 'Very']")</f>
        <v>['Please', 'Login', 'Cepetin', 'Very']</v>
      </c>
      <c r="D4408" s="3">
        <v>5.0</v>
      </c>
    </row>
    <row r="4409" ht="15.75" customHeight="1">
      <c r="A4409" s="1">
        <v>4715.0</v>
      </c>
      <c r="B4409" s="3" t="s">
        <v>4226</v>
      </c>
      <c r="C4409" s="3" t="str">
        <f>IFERROR(__xludf.DUMMYFUNCTION("GOOGLETRANSLATE(B4409,""id"",""en"")"),"['Promo', 'Package', 'Lotsin', 'Gift', 'Exchange', 'Points', 'Byyak', 'Switch', 'Telkomsel']")</f>
        <v>['Promo', 'Package', 'Lotsin', 'Gift', 'Exchange', 'Points', 'Byyak', 'Switch', 'Telkomsel']</v>
      </c>
      <c r="D4409" s="3">
        <v>5.0</v>
      </c>
    </row>
    <row r="4410" ht="15.75" customHeight="1">
      <c r="A4410" s="1">
        <v>4716.0</v>
      </c>
      <c r="B4410" s="3" t="s">
        <v>4227</v>
      </c>
      <c r="C4410" s="3" t="str">
        <f>IFERROR(__xludf.DUMMYFUNCTION("GOOGLETRANSLATE(B4410,""id"",""en"")"),"['sorry', 'rating', 'reset', 'here', 'network', 'severe', 'expensive', 'doang', 'quality', 'minimized', 'chaotic', 'signal', ' Rich ',' conch ']")</f>
        <v>['sorry', 'rating', 'reset', 'here', 'network', 'severe', 'expensive', 'doang', 'quality', 'minimized', 'chaotic', 'signal', ' Rich ',' conch ']</v>
      </c>
      <c r="D4410" s="3">
        <v>1.0</v>
      </c>
    </row>
    <row r="4411" ht="15.75" customHeight="1">
      <c r="A4411" s="1">
        <v>4717.0</v>
      </c>
      <c r="B4411" s="3" t="s">
        <v>4228</v>
      </c>
      <c r="C4411" s="3" t="str">
        <f>IFERROR(__xludf.DUMMYFUNCTION("GOOGLETRANSLATE(B4411,""id"",""en"")"),"['Setia', 'Telkomsel']")</f>
        <v>['Setia', 'Telkomsel']</v>
      </c>
      <c r="D4411" s="3">
        <v>5.0</v>
      </c>
    </row>
    <row r="4412" ht="15.75" customHeight="1">
      <c r="A4412" s="1">
        <v>4718.0</v>
      </c>
      <c r="B4412" s="3" t="s">
        <v>4229</v>
      </c>
      <c r="C4412" s="3" t="str">
        <f>IFERROR(__xludf.DUMMYFUNCTION("GOOGLETRANSLATE(B4412,""id"",""en"")"),"['signal', 'Telkomsel', 'area', 'remote', 'stable']")</f>
        <v>['signal', 'Telkomsel', 'area', 'remote', 'stable']</v>
      </c>
      <c r="D4412" s="3">
        <v>3.0</v>
      </c>
    </row>
    <row r="4413" ht="15.75" customHeight="1">
      <c r="A4413" s="1">
        <v>4719.0</v>
      </c>
      <c r="B4413" s="3" t="s">
        <v>4230</v>
      </c>
      <c r="C4413" s="3" t="str">
        <f>IFERROR(__xludf.DUMMYFUNCTION("GOOGLETRANSLATE(B4413,""id"",""en"")"),"['package', 'emergency', 'active', 'quota', 'interest', 'buy', 'buy', 'package', 'emergency']")</f>
        <v>['package', 'emergency', 'active', 'quota', 'interest', 'buy', 'buy', 'package', 'emergency']</v>
      </c>
      <c r="D4413" s="3">
        <v>1.0</v>
      </c>
    </row>
    <row r="4414" ht="15.75" customHeight="1">
      <c r="A4414" s="1">
        <v>4720.0</v>
      </c>
      <c r="B4414" s="3" t="s">
        <v>4231</v>
      </c>
      <c r="C4414" s="3" t="str">
        <f>IFERROR(__xludf.DUMMYFUNCTION("GOOGLETRANSLATE(B4414,""id"",""en"")"),"['signal', 'cry', 'play', 'pub', 'always',' ngelag ',' signal ',' sometimes', 'quality', 'signal', 'Telkomsel', 'already', ' Cap ',' Provider ',' Quality ',' Signal ',' Best ',' Indonesia ',' Please ',' Fix ',' Comfort ',' User ',' Faithful ',' Telkomsel "&amp;"', ""]")</f>
        <v>['signal', 'cry', 'play', 'pub', 'always',' ngelag ',' signal ',' sometimes', 'quality', 'signal', 'Telkomsel', 'already', ' Cap ',' Provider ',' Quality ',' Signal ',' Best ',' Indonesia ',' Please ',' Fix ',' Comfort ',' User ',' Faithful ',' Telkomsel ', "]</v>
      </c>
      <c r="D4414" s="3">
        <v>1.0</v>
      </c>
    </row>
    <row r="4415" ht="15.75" customHeight="1">
      <c r="A4415" s="1">
        <v>4721.0</v>
      </c>
      <c r="B4415" s="3" t="s">
        <v>4232</v>
      </c>
      <c r="C4415" s="3" t="str">
        <f>IFERROR(__xludf.DUMMYFUNCTION("GOOGLETRANSLATE(B4415,""id"",""en"")"),"['pulse', 'turn on', 'data', 'missing', 'pulses',' pulse ',' turn on ',' data ',' packagein ',' application ',' pulses', 'lost', ' sad', '']")</f>
        <v>['pulse', 'turn on', 'data', 'missing', 'pulses',' pulse ',' turn on ',' data ',' packagein ',' application ',' pulses', 'lost', ' sad', '']</v>
      </c>
      <c r="D4415" s="3">
        <v>5.0</v>
      </c>
    </row>
    <row r="4416" ht="15.75" customHeight="1">
      <c r="A4416" s="1">
        <v>4722.0</v>
      </c>
      <c r="B4416" s="3" t="s">
        <v>4233</v>
      </c>
      <c r="C4416" s="3" t="str">
        <f>IFERROR(__xludf.DUMMYFUNCTION("GOOGLETRANSLATE(B4416,""id"",""en"")"),"['Get', 'sms',' cut ',' credit ',' advertise ',' told ',' pay ',' fix ',' system ',' lie ',' gini ',' just ',' kuita ',' data ',' given ',' title ',' data ',' night ',' cut ',' quota ',' main ',' quota ',' main ',' cut ',' cover ' , 'quota', 'night', 'Dia"&amp;"dain', 'disappointing']")</f>
        <v>['Get', 'sms',' cut ',' credit ',' advertise ',' told ',' pay ',' fix ',' system ',' lie ',' gini ',' just ',' kuita ',' data ',' given ',' title ',' data ',' night ',' cut ',' quota ',' main ',' quota ',' main ',' cut ',' cover ' , 'quota', 'night', 'Diadain', 'disappointing']</v>
      </c>
      <c r="D4416" s="3">
        <v>1.0</v>
      </c>
    </row>
    <row r="4417" ht="15.75" customHeight="1">
      <c r="A4417" s="1">
        <v>4723.0</v>
      </c>
      <c r="B4417" s="3" t="s">
        <v>669</v>
      </c>
      <c r="C4417" s="3" t="str">
        <f>IFERROR(__xludf.DUMMYFUNCTION("GOOGLETRANSLATE(B4417,""id"",""en"")"),"['good']")</f>
        <v>['good']</v>
      </c>
      <c r="D4417" s="3">
        <v>5.0</v>
      </c>
    </row>
    <row r="4418" ht="15.75" customHeight="1">
      <c r="A4418" s="1">
        <v>4724.0</v>
      </c>
      <c r="B4418" s="3" t="s">
        <v>4234</v>
      </c>
      <c r="C4418" s="3" t="str">
        <f>IFERROR(__xludf.DUMMYFUNCTION("GOOGLETRANSLATE(B4418,""id"",""en"")"),"['Cool', 'Helpful']")</f>
        <v>['Cool', 'Helpful']</v>
      </c>
      <c r="D4418" s="3">
        <v>4.0</v>
      </c>
    </row>
    <row r="4419" ht="15.75" customHeight="1">
      <c r="A4419" s="1">
        <v>4725.0</v>
      </c>
      <c r="B4419" s="3" t="s">
        <v>4235</v>
      </c>
      <c r="C4419" s="3" t="str">
        <f>IFERROR(__xludf.DUMMYFUNCTION("GOOGLETRANSLATE(B4419,""id"",""en"")"),"['Happy', 'really', 'cool', 'really', 'application', 'Telkomsel', 'easy', 'buy', 'package', 'cheap']")</f>
        <v>['Happy', 'really', 'cool', 'really', 'application', 'Telkomsel', 'easy', 'buy', 'package', 'cheap']</v>
      </c>
      <c r="D4419" s="3">
        <v>5.0</v>
      </c>
    </row>
    <row r="4420" ht="15.75" customHeight="1">
      <c r="A4420" s="1">
        <v>4726.0</v>
      </c>
      <c r="B4420" s="3" t="s">
        <v>4236</v>
      </c>
      <c r="C4420" s="3" t="str">
        <f>IFERROR(__xludf.DUMMYFUNCTION("GOOGLETRANSLATE(B4420,""id"",""en"")"),"['Amaze', 'Anyway', 'UDH', 'JDI', 'Customer', 'Setia', ""]")</f>
        <v>['Amaze', 'Anyway', 'UDH', 'JDI', 'Customer', 'Setia', "]</v>
      </c>
      <c r="D4420" s="3">
        <v>5.0</v>
      </c>
    </row>
    <row r="4421" ht="15.75" customHeight="1">
      <c r="A4421" s="1">
        <v>4727.0</v>
      </c>
      <c r="B4421" s="3" t="s">
        <v>4237</v>
      </c>
      <c r="C4421" s="3" t="str">
        <f>IFERROR(__xludf.DUMMYFUNCTION("GOOGLETRANSLATE(B4421,""id"",""en"")"),"['dapet', 'signal', 'good', 'relapse', 'signal', 'ugly', 'gini', 'seek', 'use', 'Telkomsel']")</f>
        <v>['dapet', 'signal', 'good', 'relapse', 'signal', 'ugly', 'gini', 'seek', 'use', 'Telkomsel']</v>
      </c>
      <c r="D4421" s="3">
        <v>1.0</v>
      </c>
    </row>
    <row r="4422" ht="15.75" customHeight="1">
      <c r="A4422" s="1">
        <v>4728.0</v>
      </c>
      <c r="B4422" s="3" t="s">
        <v>4238</v>
      </c>
      <c r="C4422" s="3" t="str">
        <f>IFERROR(__xludf.DUMMYFUNCTION("GOOGLETRANSLATE(B4422,""id"",""en"")"),"['hate', 'package', 'emergency', 'Activate', 'active', 'Please', 'clarification', 'package', 'emergency', 'tasty', 'hate', 'really', ' already ',' yrs', 'make', 'Telkomsel', 'dismiss',' package ',' emergency ',' rich ']")</f>
        <v>['hate', 'package', 'emergency', 'Activate', 'active', 'Please', 'clarification', 'package', 'emergency', 'tasty', 'hate', 'really', ' already ',' yrs', 'make', 'Telkomsel', 'dismiss',' package ',' emergency ',' rich ']</v>
      </c>
      <c r="D4422" s="3">
        <v>2.0</v>
      </c>
    </row>
    <row r="4423" ht="15.75" customHeight="1">
      <c r="A4423" s="1">
        <v>4729.0</v>
      </c>
      <c r="B4423" s="3" t="s">
        <v>4239</v>
      </c>
      <c r="C4423" s="3" t="str">
        <f>IFERROR(__xludf.DUMMYFUNCTION("GOOGLETRANSLATE(B4423,""id"",""en"")"),"['Increase', 'Keep', 'Quality']")</f>
        <v>['Increase', 'Keep', 'Quality']</v>
      </c>
      <c r="D4423" s="3">
        <v>5.0</v>
      </c>
    </row>
    <row r="4424" ht="15.75" customHeight="1">
      <c r="A4424" s="1">
        <v>4730.0</v>
      </c>
      <c r="B4424" s="3" t="s">
        <v>4240</v>
      </c>
      <c r="C4424" s="3" t="str">
        <f>IFERROR(__xludf.DUMMYFUNCTION("GOOGLETRANSLATE(B4424,""id"",""en"")"),"['Please', 'fix', 'network', 'network', 'play', 'game', 'missing', 'total', 'package', 'expensive', 'network', 'BURIK']")</f>
        <v>['Please', 'fix', 'network', 'network', 'play', 'game', 'missing', 'total', 'package', 'expensive', 'network', 'BURIK']</v>
      </c>
      <c r="D4424" s="3">
        <v>1.0</v>
      </c>
    </row>
    <row r="4425" ht="15.75" customHeight="1">
      <c r="A4425" s="1">
        <v>4731.0</v>
      </c>
      <c r="B4425" s="3" t="s">
        <v>4241</v>
      </c>
      <c r="C4425" s="3" t="str">
        <f>IFERROR(__xludf.DUMMYFUNCTION("GOOGLETRANSLATE(B4425,""id"",""en"")"),"['cave', 'cave', 'buy', 'Telkomsel', 'since' wifi ',' telkom ',' jaringa ',' telkomsel ',' severe ',' slow ',' clock ',' slow ',' package ',' mending ',' axis', 'signal', 'strong', 'rare', 'slow', 'bonusnya']")</f>
        <v>['cave', 'cave', 'buy', 'Telkomsel', 'since' wifi ',' telkom ',' jaringa ',' telkomsel ',' severe ',' slow ',' clock ',' slow ',' package ',' mending ',' axis', 'signal', 'strong', 'rare', 'slow', 'bonusnya']</v>
      </c>
      <c r="D4425" s="3">
        <v>1.0</v>
      </c>
    </row>
    <row r="4426" ht="15.75" customHeight="1">
      <c r="A4426" s="1">
        <v>4732.0</v>
      </c>
      <c r="B4426" s="3" t="s">
        <v>4242</v>
      </c>
      <c r="C4426" s="3" t="str">
        <f>IFERROR(__xludf.DUMMYFUNCTION("GOOGLETRANSLATE(B4426,""id"",""en"")"),"['The application', 'keluwar', 'please', 'update', 'bilyar', 'good']")</f>
        <v>['The application', 'keluwar', 'please', 'update', 'bilyar', 'good']</v>
      </c>
      <c r="D4426" s="3">
        <v>3.0</v>
      </c>
    </row>
    <row r="4427" ht="15.75" customHeight="1">
      <c r="A4427" s="1">
        <v>4733.0</v>
      </c>
      <c r="B4427" s="3" t="s">
        <v>4243</v>
      </c>
      <c r="C4427" s="3" t="str">
        <f>IFERROR(__xludf.DUMMYFUNCTION("GOOGLETRANSLATE(B4427,""id"",""en"")"),"['Weight', 'Open', '']")</f>
        <v>['Weight', 'Open', '']</v>
      </c>
      <c r="D4427" s="3">
        <v>4.0</v>
      </c>
    </row>
    <row r="4428" ht="15.75" customHeight="1">
      <c r="A4428" s="1">
        <v>4734.0</v>
      </c>
      <c r="B4428" s="3" t="s">
        <v>4244</v>
      </c>
      <c r="C4428" s="3" t="str">
        <f>IFERROR(__xludf.DUMMYFUNCTION("GOOGLETRANSLATE(B4428,""id"",""en"")"),"['pulse', 'missing', 'mysterious',' reported ',' via ',' Veronika ',' repaired ',' relapse ',' contents', 'pulse', 'fear', 'loss',' Thinking ',' use ',' Telkomsel ']")</f>
        <v>['pulse', 'missing', 'mysterious',' reported ',' via ',' Veronika ',' repaired ',' relapse ',' contents', 'pulse', 'fear', 'loss',' Thinking ',' use ',' Telkomsel ']</v>
      </c>
      <c r="D4428" s="3">
        <v>1.0</v>
      </c>
    </row>
    <row r="4429" ht="15.75" customHeight="1">
      <c r="A4429" s="1">
        <v>4735.0</v>
      </c>
      <c r="B4429" s="3" t="s">
        <v>4245</v>
      </c>
      <c r="C4429" s="3" t="str">
        <f>IFERROR(__xludf.DUMMYFUNCTION("GOOGLETRANSLATE(B4429,""id"",""en"")"),"['Sorry', 'Nukar', 'Points', 'Credit', 'what']]")</f>
        <v>['Sorry', 'Nukar', 'Points', 'Credit', 'what']]</v>
      </c>
      <c r="D4429" s="3">
        <v>5.0</v>
      </c>
    </row>
    <row r="4430" ht="15.75" customHeight="1">
      <c r="A4430" s="1">
        <v>4736.0</v>
      </c>
      <c r="B4430" s="3" t="s">
        <v>4246</v>
      </c>
      <c r="C4430" s="3" t="str">
        <f>IFERROR(__xludf.DUMMYFUNCTION("GOOGLETRANSLATE(B4430,""id"",""en"")"),"['Samapai', 'Telkomsel', 'slow', 'rich', 'Gini', 'users',' Telkomsel ',' UDH ',' Bru ',' times', 'activity', 'data', ' slow ',' package ',' loss', 'rich', 'gini', 'buy', 'package', 'money', 'daon']")</f>
        <v>['Samapai', 'Telkomsel', 'slow', 'rich', 'Gini', 'users',' Telkomsel ',' UDH ',' Bru ',' times', 'activity', 'data', ' slow ',' package ',' loss', 'rich', 'gini', 'buy', 'package', 'money', 'daon']</v>
      </c>
      <c r="D4430" s="3">
        <v>1.0</v>
      </c>
    </row>
    <row r="4431" ht="15.75" customHeight="1">
      <c r="A4431" s="1">
        <v>4737.0</v>
      </c>
      <c r="B4431" s="3" t="s">
        <v>4247</v>
      </c>
      <c r="C4431" s="3" t="str">
        <f>IFERROR(__xludf.DUMMYFUNCTION("GOOGLETRANSLATE(B4431,""id"",""en"")"),"['fun', 'Telkomsel', 'proud', 'network', 'toet', 'toet', 'Telkomsel', 'always', '']")</f>
        <v>['fun', 'Telkomsel', 'proud', 'network', 'toet', 'toet', 'Telkomsel', 'always', '']</v>
      </c>
      <c r="D4431" s="3">
        <v>5.0</v>
      </c>
    </row>
    <row r="4432" ht="15.75" customHeight="1">
      <c r="A4432" s="1">
        <v>4738.0</v>
      </c>
      <c r="B4432" s="3" t="s">
        <v>4248</v>
      </c>
      <c r="C4432" s="3" t="str">
        <f>IFERROR(__xludf.DUMMYFUNCTION("GOOGLETRANSLATE(B4432,""id"",""en"")"),"['fast', 'signal']")</f>
        <v>['fast', 'signal']</v>
      </c>
      <c r="D4432" s="3">
        <v>5.0</v>
      </c>
    </row>
    <row r="4433" ht="15.75" customHeight="1">
      <c r="A4433" s="1">
        <v>4739.0</v>
      </c>
      <c r="B4433" s="3" t="s">
        <v>4249</v>
      </c>
      <c r="C4433" s="3" t="str">
        <f>IFERROR(__xludf.DUMMYFUNCTION("GOOGLETRANSLATE(B4433,""id"",""en"")"),"['Open', 'the application']")</f>
        <v>['Open', 'the application']</v>
      </c>
      <c r="D4433" s="3">
        <v>3.0</v>
      </c>
    </row>
    <row r="4434" ht="15.75" customHeight="1">
      <c r="A4434" s="1">
        <v>4740.0</v>
      </c>
      <c r="B4434" s="3" t="s">
        <v>4250</v>
      </c>
      <c r="C4434" s="3" t="str">
        <f>IFERROR(__xludf.DUMMYFUNCTION("GOOGLETRANSLATE(B4434,""id"",""en"")"),"['Please', 'The network', 'Fix', 'Lost', 'Connect']")</f>
        <v>['Please', 'The network', 'Fix', 'Lost', 'Connect']</v>
      </c>
      <c r="D4434" s="3">
        <v>2.0</v>
      </c>
    </row>
    <row r="4435" ht="15.75" customHeight="1">
      <c r="A4435" s="1">
        <v>4741.0</v>
      </c>
      <c r="B4435" s="3" t="s">
        <v>4251</v>
      </c>
      <c r="C4435" s="3" t="str">
        <f>IFERROR(__xludf.DUMMYFUNCTION("GOOGLETRANSLATE(B4435,""id"",""en"")"),"['quota', 'card', 'hello', 'price', 'expensive', 'compared to', 'prodak']")</f>
        <v>['quota', 'card', 'hello', 'price', 'expensive', 'compared to', 'prodak']</v>
      </c>
      <c r="D4435" s="3">
        <v>4.0</v>
      </c>
    </row>
    <row r="4436" ht="15.75" customHeight="1">
      <c r="A4436" s="1">
        <v>4742.0</v>
      </c>
      <c r="B4436" s="3" t="s">
        <v>4252</v>
      </c>
      <c r="C4436" s="3" t="str">
        <f>IFERROR(__xludf.DUMMYFUNCTION("GOOGLETRANSLATE(B4436,""id"",""en"")"),"['application', 'open', 'slow']")</f>
        <v>['application', 'open', 'slow']</v>
      </c>
      <c r="D4436" s="3">
        <v>5.0</v>
      </c>
    </row>
    <row r="4437" ht="15.75" customHeight="1">
      <c r="A4437" s="1">
        <v>4743.0</v>
      </c>
      <c r="B4437" s="3" t="s">
        <v>4253</v>
      </c>
      <c r="C4437" s="3" t="str">
        <f>IFERROR(__xludf.DUMMYFUNCTION("GOOGLETRANSLATE(B4437,""id"",""en"")"),"['Telkomsel', 'strange', 'deh', 'package', 'quota', 'kepake', 'fast', 'package', 'package', 'coakes',' first ',' package ',' package ',' charred ',' vain ',' reduced ',' quota ',' please ',' realistic ',' suck ',' quota ', ""]")</f>
        <v>['Telkomsel', 'strange', 'deh', 'package', 'quota', 'kepake', 'fast', 'package', 'package', 'coakes',' first ',' package ',' package ',' charred ',' vain ',' reduced ',' quota ',' please ',' realistic ',' suck ',' quota ', "]</v>
      </c>
      <c r="D4437" s="3">
        <v>2.0</v>
      </c>
    </row>
    <row r="4438" ht="15.75" customHeight="1">
      <c r="A4438" s="1">
        <v>4744.0</v>
      </c>
      <c r="B4438" s="3" t="s">
        <v>4254</v>
      </c>
      <c r="C4438" s="3" t="str">
        <f>IFERROR(__xludf.DUMMYFUNCTION("GOOGLETRANSLATE(B4438,""id"",""en"")"),"['Curb', 'click', 'button', 'anything', 'transaction']")</f>
        <v>['Curb', 'click', 'button', 'anything', 'transaction']</v>
      </c>
      <c r="D4438" s="3">
        <v>1.0</v>
      </c>
    </row>
    <row r="4439" ht="15.75" customHeight="1">
      <c r="A4439" s="1">
        <v>4745.0</v>
      </c>
      <c r="B4439" s="3" t="s">
        <v>4255</v>
      </c>
      <c r="C4439" s="3" t="str">
        <f>IFERROR(__xludf.DUMMYFUNCTION("GOOGLETRANSLATE(B4439,""id"",""en"")"),"['Fix', 'Cook', 'enter', 'SMSX', 'Exchange', 'Points',' Exchange ',' NGK ',' My Points', 'Exchange', 'Cuman', 'Pom', ' "", 'Data', 'NGK']")</f>
        <v>['Fix', 'Cook', 'enter', 'SMSX', 'Exchange', 'Points',' Exchange ',' NGK ',' My Points', 'Exchange', 'Cuman', 'Pom', ' ", 'Data', 'NGK']</v>
      </c>
      <c r="D4439" s="3">
        <v>3.0</v>
      </c>
    </row>
    <row r="4440" ht="15.75" customHeight="1">
      <c r="A4440" s="1">
        <v>4746.0</v>
      </c>
      <c r="B4440" s="3" t="s">
        <v>4256</v>
      </c>
      <c r="C4440" s="3" t="str">
        <f>IFERROR(__xludf.DUMMYFUNCTION("GOOGLETRANSLATE(B4440,""id"",""en"")"),"['Service', 'Good', 'Level', 'Quality', 'Network', 'internet']")</f>
        <v>['Service', 'Good', 'Level', 'Quality', 'Network', 'internet']</v>
      </c>
      <c r="D4440" s="3">
        <v>5.0</v>
      </c>
    </row>
    <row r="4441" ht="15.75" customHeight="1">
      <c r="A4441" s="1">
        <v>4747.0</v>
      </c>
      <c r="B4441" s="3" t="s">
        <v>4257</v>
      </c>
      <c r="C4441" s="3" t="str">
        <f>IFERROR(__xludf.DUMMYFUNCTION("GOOGLETRANSLATE(B4441,""id"",""en"")"),"['Delicious', 'Ribet', 'Mantaps']")</f>
        <v>['Delicious', 'Ribet', 'Mantaps']</v>
      </c>
      <c r="D4441" s="3">
        <v>5.0</v>
      </c>
    </row>
    <row r="4442" ht="15.75" customHeight="1">
      <c r="A4442" s="1">
        <v>4748.0</v>
      </c>
      <c r="B4442" s="3" t="s">
        <v>4258</v>
      </c>
      <c r="C4442" s="3" t="str">
        <f>IFERROR(__xludf.DUMMYFUNCTION("GOOGLETRANSLATE(B4442,""id"",""en"")"),"['pulse', 'quota', 'TPI', 'pulse', 'run out', '']")</f>
        <v>['pulse', 'quota', 'TPI', 'pulse', 'run out', '']</v>
      </c>
      <c r="D4442" s="3">
        <v>1.0</v>
      </c>
    </row>
    <row r="4443" ht="15.75" customHeight="1">
      <c r="A4443" s="1">
        <v>4749.0</v>
      </c>
      <c r="B4443" s="3" t="s">
        <v>4259</v>
      </c>
      <c r="C4443" s="3" t="str">
        <f>IFERROR(__xludf.DUMMYFUNCTION("GOOGLETRANSLATE(B4443,""id"",""en"")"),"['application', 'trllu', 'sring', 'lag', 'admin', 'yth', 'announcement', 'winner', 'undihepi', 'sllu', 'retreat', 'schedule', ' included ',' photo ',' winner ',' Ktika ',' taking ',' prize ',' trm ',' love ', ""]")</f>
        <v>['application', 'trllu', 'sring', 'lag', 'admin', 'yth', 'announcement', 'winner', 'undihepi', 'sllu', 'retreat', 'schedule', ' included ',' photo ',' winner ',' Ktika ',' taking ',' prize ',' trm ',' love ', "]</v>
      </c>
      <c r="D4443" s="3">
        <v>3.0</v>
      </c>
    </row>
    <row r="4444" ht="15.75" customHeight="1">
      <c r="A4444" s="1">
        <v>4750.0</v>
      </c>
      <c r="B4444" s="3" t="s">
        <v>4260</v>
      </c>
      <c r="C4444" s="3" t="str">
        <f>IFERROR(__xludf.DUMMYFUNCTION("GOOGLETRANSLATE(B4444,""id"",""en"")"),"['Increase', 'Kadong', 'enter']")</f>
        <v>['Increase', 'Kadong', 'enter']</v>
      </c>
      <c r="D4444" s="3">
        <v>5.0</v>
      </c>
    </row>
    <row r="4445" ht="15.75" customHeight="1">
      <c r="A4445" s="1">
        <v>4751.0</v>
      </c>
      <c r="B4445" s="3" t="s">
        <v>4261</v>
      </c>
      <c r="C4445" s="3" t="str">
        <f>IFERROR(__xludf.DUMMYFUNCTION("GOOGLETRANSLATE(B4445,""id"",""en"")"),"['easy', 'use']")</f>
        <v>['easy', 'use']</v>
      </c>
      <c r="D4445" s="3">
        <v>5.0</v>
      </c>
    </row>
    <row r="4446" ht="15.75" customHeight="1">
      <c r="A4446" s="1">
        <v>4753.0</v>
      </c>
      <c r="B4446" s="3" t="s">
        <v>4262</v>
      </c>
      <c r="C4446" s="3" t="str">
        <f>IFERROR(__xludf.DUMMYFUNCTION("GOOGLETRANSLATE(B4446,""id"",""en"")"),"['Download', 'loss', 'quota', 'already', 'exchange', 'point', 'as a result', 'failed', 'application', 'useful', 'pulse', 'truncated']")</f>
        <v>['Download', 'loss', 'quota', 'already', 'exchange', 'point', 'as a result', 'failed', 'application', 'useful', 'pulse', 'truncated']</v>
      </c>
      <c r="D4446" s="3">
        <v>1.0</v>
      </c>
    </row>
    <row r="4447" ht="15.75" customHeight="1">
      <c r="A4447" s="1">
        <v>4754.0</v>
      </c>
      <c r="B4447" s="3" t="s">
        <v>4263</v>
      </c>
      <c r="C4447" s="3" t="str">
        <f>IFERROR(__xludf.DUMMYFUNCTION("GOOGLETRANSLATE(B4447,""id"",""en"")"),"['Download', 'loss',' right ',' confirm ',' exchange ',' point ',' failed ',' application ',' emang ',' interesting ',' people ',' exchange ',' Points', 'Download', 'Timature', 'Advertising', 'Emang', 'Telkomsel', 'Network', 'Network', 'Leet', 'Exchange',"&amp;" 'Points',' Failed ',' Application ' , 'Quality', 'Useful']")</f>
        <v>['Download', 'loss',' right ',' confirm ',' exchange ',' point ',' failed ',' application ',' emang ',' interesting ',' people ',' exchange ',' Points', 'Download', 'Timature', 'Advertising', 'Emang', 'Telkomsel', 'Network', 'Network', 'Leet', 'Exchange', 'Points',' Failed ',' Application ' , 'Quality', 'Useful']</v>
      </c>
      <c r="D4447" s="3">
        <v>1.0</v>
      </c>
    </row>
    <row r="4448" ht="15.75" customHeight="1">
      <c r="A4448" s="1">
        <v>4755.0</v>
      </c>
      <c r="B4448" s="3" t="s">
        <v>4264</v>
      </c>
      <c r="C4448" s="3" t="str">
        <f>IFERROR(__xludf.DUMMYFUNCTION("GOOGLETRANSLATE(B4448,""id"",""en"")"),"['Network', 'Telkomsel', 'Lemod', ""]")</f>
        <v>['Network', 'Telkomsel', 'Lemod', "]</v>
      </c>
      <c r="D4448" s="3">
        <v>1.0</v>
      </c>
    </row>
    <row r="4449" ht="15.75" customHeight="1">
      <c r="A4449" s="1">
        <v>4756.0</v>
      </c>
      <c r="B4449" s="3" t="s">
        <v>4265</v>
      </c>
      <c r="C4449" s="3" t="str">
        <f>IFERROR(__xludf.DUMMYFUNCTION("GOOGLETRANSLATE(B4449,""id"",""en"")"),"['Service', 'Telkomsel', 'Good']")</f>
        <v>['Service', 'Telkomsel', 'Good']</v>
      </c>
      <c r="D4449" s="3">
        <v>5.0</v>
      </c>
    </row>
    <row r="4450" ht="15.75" customHeight="1">
      <c r="A4450" s="1">
        <v>4757.0</v>
      </c>
      <c r="B4450" s="3" t="s">
        <v>4266</v>
      </c>
      <c r="C4450" s="3" t="str">
        <f>IFERROR(__xludf.DUMMYFUNCTION("GOOGLETRANSLATE(B4450,""id"",""en"")"),"['package', 'cheap', 'signal', 'provider', 'dead', 'lights', 'signal', 'lost', 'that's']")</f>
        <v>['package', 'cheap', 'signal', 'provider', 'dead', 'lights', 'signal', 'lost', 'that's']</v>
      </c>
      <c r="D4450" s="3">
        <v>1.0</v>
      </c>
    </row>
    <row r="4451" ht="15.75" customHeight="1">
      <c r="A4451" s="1">
        <v>4758.0</v>
      </c>
      <c r="B4451" s="3" t="s">
        <v>4267</v>
      </c>
      <c r="C4451" s="3" t="str">
        <f>IFERROR(__xludf.DUMMYFUNCTION("GOOGLETRANSLATE(B4451,""id"",""en"")"),"['Service', 'best', 'era']")</f>
        <v>['Service', 'best', 'era']</v>
      </c>
      <c r="D4451" s="3">
        <v>5.0</v>
      </c>
    </row>
    <row r="4452" ht="15.75" customHeight="1">
      <c r="A4452" s="1">
        <v>4759.0</v>
      </c>
      <c r="B4452" s="3" t="s">
        <v>4268</v>
      </c>
      <c r="C4452" s="3" t="str">
        <f>IFERROR(__xludf.DUMMYFUNCTION("GOOGLETRANSLATE(B4452,""id"",""en"")"),"['Pliss', 'expensive', 'expensive', '']")</f>
        <v>['Pliss', 'expensive', 'expensive', '']</v>
      </c>
      <c r="D4452" s="3">
        <v>5.0</v>
      </c>
    </row>
    <row r="4453" ht="15.75" customHeight="1">
      <c r="A4453" s="1">
        <v>4760.0</v>
      </c>
      <c r="B4453" s="3" t="s">
        <v>547</v>
      </c>
      <c r="C4453" s="3" t="str">
        <f>IFERROR(__xludf.DUMMYFUNCTION("GOOGLETRANSLATE(B4453,""id"",""en"")"),"['easy', 'use']")</f>
        <v>['easy', 'use']</v>
      </c>
      <c r="D4453" s="3">
        <v>5.0</v>
      </c>
    </row>
    <row r="4454" ht="15.75" customHeight="1">
      <c r="A4454" s="1">
        <v>4761.0</v>
      </c>
      <c r="B4454" s="3" t="s">
        <v>4269</v>
      </c>
      <c r="C4454" s="3" t="str">
        <f>IFERROR(__xludf.DUMMYFUNCTION("GOOGLETRANSLATE(B4454,""id"",""en"")"),"['price', 'package', 'internet', 'expensive', 'husband', 'use', 'Telkomsel', 'please', 'solution', 'satisfying', 'fix', 'moved', ' operator', '']")</f>
        <v>['price', 'package', 'internet', 'expensive', 'husband', 'use', 'Telkomsel', 'please', 'solution', 'satisfying', 'fix', 'moved', ' operator', '']</v>
      </c>
      <c r="D4454" s="3">
        <v>1.0</v>
      </c>
    </row>
    <row r="4455" ht="15.75" customHeight="1">
      <c r="A4455" s="1">
        <v>4762.0</v>
      </c>
      <c r="B4455" s="3" t="s">
        <v>4270</v>
      </c>
      <c r="C4455" s="3" t="str">
        <f>IFERROR(__xludf.DUMMYFUNCTION("GOOGLETRANSLATE(B4455,""id"",""en"")"),"['Miskiness', 'Looking', 'Needed', 'Telkomsel', '']")</f>
        <v>['Miskiness', 'Looking', 'Needed', 'Telkomsel', '']</v>
      </c>
      <c r="D4455" s="3">
        <v>3.0</v>
      </c>
    </row>
    <row r="4456" ht="15.75" customHeight="1">
      <c r="A4456" s="1">
        <v>4763.0</v>
      </c>
      <c r="B4456" s="3" t="s">
        <v>4271</v>
      </c>
      <c r="C4456" s="3" t="str">
        <f>IFERROR(__xludf.DUMMYFUNCTION("GOOGLETRANSLATE(B4456,""id"",""en"")"),"['likes',' application ',' buy ',' Package ',' Telkomsel ',' cheap ',' promo ',' Undi ',' Undi ',' gift ',' kasi ',' star ',' Deh ']")</f>
        <v>['likes',' application ',' buy ',' Package ',' Telkomsel ',' cheap ',' promo ',' Undi ',' Undi ',' gift ',' kasi ',' star ',' Deh ']</v>
      </c>
      <c r="D4456" s="3">
        <v>5.0</v>
      </c>
    </row>
    <row r="4457" ht="15.75" customHeight="1">
      <c r="A4457" s="1">
        <v>4764.0</v>
      </c>
      <c r="B4457" s="3" t="s">
        <v>4272</v>
      </c>
      <c r="C4457" s="3" t="str">
        <f>IFERROR(__xludf.DUMMYFUNCTION("GOOGLETRANSLATE(B4457,""id"",""en"")"),"['Steady', 'bonus', '']")</f>
        <v>['Steady', 'bonus', '']</v>
      </c>
      <c r="D4457" s="3">
        <v>5.0</v>
      </c>
    </row>
    <row r="4458" ht="15.75" customHeight="1">
      <c r="A4458" s="1">
        <v>4765.0</v>
      </c>
      <c r="B4458" s="3" t="s">
        <v>3025</v>
      </c>
      <c r="C4458" s="3" t="str">
        <f>IFERROR(__xludf.DUMMYFUNCTION("GOOGLETRANSLATE(B4458,""id"",""en"")"),"['experience']")</f>
        <v>['experience']</v>
      </c>
      <c r="D4458" s="3">
        <v>3.0</v>
      </c>
    </row>
    <row r="4459" ht="15.75" customHeight="1">
      <c r="A4459" s="1">
        <v>4767.0</v>
      </c>
      <c r="B4459" s="3" t="s">
        <v>4273</v>
      </c>
      <c r="C4459" s="3" t="str">
        <f>IFERROR(__xludf.DUMMYFUNCTION("GOOGLETRANSLATE(B4459,""id"",""en"")"),"['Good', 'Hopefully', 'Can', 'Kouta', 'Lottery', 'GB']")</f>
        <v>['Good', 'Hopefully', 'Can', 'Kouta', 'Lottery', 'GB']</v>
      </c>
      <c r="D4459" s="3">
        <v>5.0</v>
      </c>
    </row>
    <row r="4460" ht="15.75" customHeight="1">
      <c r="A4460" s="1">
        <v>4769.0</v>
      </c>
      <c r="B4460" s="3" t="s">
        <v>4274</v>
      </c>
      <c r="C4460" s="3" t="str">
        <f>IFERROR(__xludf.DUMMYFUNCTION("GOOGLETRANSLATE(B4460,""id"",""en"")"),"['Honey', 'choice', 'combo', 'Sakti', 'expensive', 'expensive', 'Please', 'fix', 'use', 'trimakasih']")</f>
        <v>['Honey', 'choice', 'combo', 'Sakti', 'expensive', 'expensive', 'Please', 'fix', 'use', 'trimakasih']</v>
      </c>
      <c r="D4460" s="3">
        <v>1.0</v>
      </c>
    </row>
    <row r="4461" ht="15.75" customHeight="1">
      <c r="A4461" s="1">
        <v>4770.0</v>
      </c>
      <c r="B4461" s="3" t="s">
        <v>4275</v>
      </c>
      <c r="C4461" s="3" t="str">
        <f>IFERROR(__xludf.DUMMYFUNCTION("GOOGLETRANSLATE(B4461,""id"",""en"")"),"['expensive', 'doang', 'connection', 'slow', 'decent', 'price', 'that way', 'connection', 'slow', 'kek', 'gini', 'strange', ' really ',' Pay ',' expensive ',' got ',' quality ',' best ',' get ',' quality ',' bad ']")</f>
        <v>['expensive', 'doang', 'connection', 'slow', 'decent', 'price', 'that way', 'connection', 'slow', 'kek', 'gini', 'strange', ' really ',' Pay ',' expensive ',' got ',' quality ',' best ',' get ',' quality ',' bad ']</v>
      </c>
      <c r="D4461" s="3">
        <v>1.0</v>
      </c>
    </row>
    <row r="4462" ht="15.75" customHeight="1">
      <c r="A4462" s="1">
        <v>4771.0</v>
      </c>
      <c r="B4462" s="3" t="s">
        <v>4276</v>
      </c>
      <c r="C4462" s="3" t="str">
        <f>IFERROR(__xludf.DUMMYFUNCTION("GOOGLETRANSLATE(B4462,""id"",""en"")"),"['gatau', 'Telkomsel', 'here', 'stingy', 'package', 'buy', 'was changed', 'then', 'try', 'buy', 'package', 'cheap', ' Gabisa ',' try ',' buy ',' package ',' quota ',' gabisa ',' as a result ',' pulse ',' sumps', 'populat', 'really', 'blessing', 'search' ,"&amp;" 'Cuan', '']")</f>
        <v>['gatau', 'Telkomsel', 'here', 'stingy', 'package', 'buy', 'was changed', 'then', 'try', 'buy', 'package', 'cheap', ' Gabisa ',' try ',' buy ',' package ',' quota ',' gabisa ',' as a result ',' pulse ',' sumps', 'populat', 'really', 'blessing', 'search' , 'Cuan', '']</v>
      </c>
      <c r="D4462" s="3">
        <v>1.0</v>
      </c>
    </row>
    <row r="4463" ht="15.75" customHeight="1">
      <c r="A4463" s="1">
        <v>4772.0</v>
      </c>
      <c r="B4463" s="3" t="s">
        <v>4277</v>
      </c>
      <c r="C4463" s="3" t="str">
        <f>IFERROR(__xludf.DUMMYFUNCTION("GOOGLETRANSLATE(B4463,""id"",""en"")"),"['terbimah', 'love', 'application', 'help', ""]")</f>
        <v>['terbimah', 'love', 'application', 'help', "]</v>
      </c>
      <c r="D4463" s="3">
        <v>5.0</v>
      </c>
    </row>
    <row r="4464" ht="15.75" customHeight="1">
      <c r="A4464" s="1">
        <v>4773.0</v>
      </c>
      <c r="B4464" s="3" t="s">
        <v>4278</v>
      </c>
      <c r="C4464" s="3" t="str">
        <f>IFERROR(__xludf.DUMMYFUNCTION("GOOGLETRANSLATE(B4464,""id"",""en"")"),"['Develop', 'Features', 'features']")</f>
        <v>['Develop', 'Features', 'features']</v>
      </c>
      <c r="D4464" s="3">
        <v>3.0</v>
      </c>
    </row>
    <row r="4465" ht="15.75" customHeight="1">
      <c r="A4465" s="1">
        <v>4774.0</v>
      </c>
      <c r="B4465" s="3" t="s">
        <v>4279</v>
      </c>
      <c r="C4465" s="3" t="str">
        <f>IFERROR(__xludf.DUMMYFUNCTION("GOOGLETRANSLATE(B4465,""id"",""en"")"),"['The application', 'ugly', 'Bangat', 'Delete', 'Playstore', 'Exchange', 'Credit', 'Telkomsel', 'stingy']")</f>
        <v>['The application', 'ugly', 'Bangat', 'Delete', 'Playstore', 'Exchange', 'Credit', 'Telkomsel', 'stingy']</v>
      </c>
      <c r="D4465" s="3">
        <v>5.0</v>
      </c>
    </row>
    <row r="4466" ht="15.75" customHeight="1">
      <c r="A4466" s="1">
        <v>4775.0</v>
      </c>
      <c r="B4466" s="3" t="s">
        <v>4280</v>
      </c>
      <c r="C4466" s="3" t="str">
        <f>IFERROR(__xludf.DUMMYFUNCTION("GOOGLETRANSLATE(B4466,""id"",""en"")"),"['Okee', 'cren', 'fast']")</f>
        <v>['Okee', 'cren', 'fast']</v>
      </c>
      <c r="D4466" s="3">
        <v>5.0</v>
      </c>
    </row>
    <row r="4467" ht="15.75" customHeight="1">
      <c r="A4467" s="1">
        <v>4776.0</v>
      </c>
      <c r="B4467" s="3" t="s">
        <v>4281</v>
      </c>
      <c r="C4467" s="3" t="str">
        <f>IFERROR(__xludf.DUMMYFUNCTION("GOOGLETRANSLATE(B4467,""id"",""en"")"),"['speed', 'internet', 'klw', 'night', 'use', 'package', 'unlimit', 'mua', 'buy', 'package', 'expensive', 'get', ' Package ',' cheap ',' Signed ',' Please ',' fix ',' Sometimes', 'slow', 'really', 'already', 'search', 'look', 'good', ""]")</f>
        <v>['speed', 'internet', 'klw', 'night', 'use', 'package', 'unlimit', 'mua', 'buy', 'package', 'expensive', 'get', ' Package ',' cheap ',' Signed ',' Please ',' fix ',' Sometimes', 'slow', 'really', 'already', 'search', 'look', 'good', "]</v>
      </c>
      <c r="D4467" s="3">
        <v>1.0</v>
      </c>
    </row>
    <row r="4468" ht="15.75" customHeight="1">
      <c r="A4468" s="1">
        <v>4777.0</v>
      </c>
      <c r="B4468" s="3" t="s">
        <v>4282</v>
      </c>
      <c r="C4468" s="3" t="str">
        <f>IFERROR(__xludf.DUMMYFUNCTION("GOOGLETRANSLATE(B4468,""id"",""en"")"),"['Login', 'bonus', 'friend', 'Package', 'cheap', 'Sucses', 'Longkomsel', 'APK', 'Useful', 'SERBA', 'Cheap']")</f>
        <v>['Login', 'bonus', 'friend', 'Package', 'cheap', 'Sucses', 'Longkomsel', 'APK', 'Useful', 'SERBA', 'Cheap']</v>
      </c>
      <c r="D4468" s="3">
        <v>5.0</v>
      </c>
    </row>
    <row r="4469" ht="15.75" customHeight="1">
      <c r="A4469" s="1">
        <v>4778.0</v>
      </c>
      <c r="B4469" s="3" t="s">
        <v>4283</v>
      </c>
      <c r="C4469" s="3" t="str">
        <f>IFERROR(__xludf.DUMMYFUNCTION("GOOGLETRANSLATE(B4469,""id"",""en"")"),"[ 'Sympah', 'application', 'ugly', 'really', 'ngak', 'ngotak', 'kkkkkkkkkkkkkkkkkkkkkkkkkkkkkkkkkkkkkkkkkkkkkkkkkkkkk', 'nuker', 'points',' ngak ',' katnya ',' already ',' purchase ',' pket ',' enter ']")</f>
        <v>[ 'Sympah', 'application', 'ugly', 'really', 'ngak', 'ngotak', 'kkkkkkkkkkkkkkkkkkkkkkkkkkkkkkkkkkkkkkkkkkkkkkkkkkkkk', 'nuker', 'points',' ngak ',' katnya ',' already ',' purchase ',' pket ',' enter ']</v>
      </c>
      <c r="D4469" s="3">
        <v>1.0</v>
      </c>
    </row>
    <row r="4470" ht="15.75" customHeight="1">
      <c r="A4470" s="1">
        <v>4779.0</v>
      </c>
      <c r="B4470" s="3" t="s">
        <v>4284</v>
      </c>
      <c r="C4470" s="3" t="str">
        <f>IFERROR(__xludf.DUMMYFUNCTION("GOOGLETRANSLATE(B4470,""id"",""en"")"),"['like']")</f>
        <v>['like']</v>
      </c>
      <c r="D4470" s="3">
        <v>5.0</v>
      </c>
    </row>
    <row r="4471" ht="15.75" customHeight="1">
      <c r="A4471" s="1">
        <v>4780.0</v>
      </c>
      <c r="B4471" s="3" t="s">
        <v>4285</v>
      </c>
      <c r="C4471" s="3" t="str">
        <f>IFERROR(__xludf.DUMMYFUNCTION("GOOGLETRANSLATE(B4471,""id"",""en"")"),"['Telkomsel', 'taik', 'package', 'SJA', 'expensive', 'signal', 'urusin', 'wind', 'Ujan', 'disorder', 'Ajg', ""]")</f>
        <v>['Telkomsel', 'taik', 'package', 'SJA', 'expensive', 'signal', 'urusin', 'wind', 'Ujan', 'disorder', 'Ajg', "]</v>
      </c>
      <c r="D4471" s="3">
        <v>1.0</v>
      </c>
    </row>
    <row r="4472" ht="15.75" customHeight="1">
      <c r="A4472" s="1">
        <v>4781.0</v>
      </c>
      <c r="B4472" s="3" t="s">
        <v>4286</v>
      </c>
      <c r="C4472" s="3" t="str">
        <f>IFERROR(__xludf.DUMMYFUNCTION("GOOGLETRANSLATE(B4472,""id"",""en"")"),"['', 'update', 'kow', 'open', 'sich', '']")</f>
        <v>['', 'update', 'kow', 'open', 'sich', '']</v>
      </c>
      <c r="D4472" s="3">
        <v>4.0</v>
      </c>
    </row>
    <row r="4473" ht="15.75" customHeight="1">
      <c r="A4473" s="1">
        <v>4782.0</v>
      </c>
      <c r="B4473" s="3" t="s">
        <v>4287</v>
      </c>
      <c r="C4473" s="3" t="str">
        <f>IFERROR(__xludf.DUMMYFUNCTION("GOOGLETRANSLATE(B4473,""id"",""en"")"),"['Purchase', 'package', 'data', 'directly', 'paid', 'ewallet', 'want', 'contents', 'pulse', ""]")</f>
        <v>['Purchase', 'package', 'data', 'directly', 'paid', 'ewallet', 'want', 'contents', 'pulse', "]</v>
      </c>
      <c r="D4473" s="3">
        <v>4.0</v>
      </c>
    </row>
    <row r="4474" ht="15.75" customHeight="1">
      <c r="A4474" s="1">
        <v>4783.0</v>
      </c>
      <c r="B4474" s="3" t="s">
        <v>4288</v>
      </c>
      <c r="C4474" s="3" t="str">
        <f>IFERROR(__xludf.DUMMYFUNCTION("GOOGLETRANSLATE(B4474,""id"",""en"")"),"['skg', 'ttp', 'trusted']")</f>
        <v>['skg', 'ttp', 'trusted']</v>
      </c>
      <c r="D4474" s="3">
        <v>5.0</v>
      </c>
    </row>
    <row r="4475" ht="15.75" customHeight="1">
      <c r="A4475" s="1">
        <v>4784.0</v>
      </c>
      <c r="B4475" s="3" t="s">
        <v>4289</v>
      </c>
      <c r="C4475" s="3" t="str">
        <f>IFERROR(__xludf.DUMMYFUNCTION("GOOGLETRANSLATE(B4475,""id"",""en"")"),"['Bad', 'claim', 'check', 'daily', 'MB', 'pulse', 'RB', 'contents',' internet ',' credit ',' Ludes', 'Abis',' Quota ',' MB ',' GMNA ',' Try ',' explanation ']")</f>
        <v>['Bad', 'claim', 'check', 'daily', 'MB', 'pulse', 'RB', 'contents',' internet ',' credit ',' Ludes', 'Abis',' Quota ',' MB ',' GMNA ',' Try ',' explanation ']</v>
      </c>
      <c r="D4475" s="3">
        <v>1.0</v>
      </c>
    </row>
    <row r="4476" ht="15.75" customHeight="1">
      <c r="A4476" s="1">
        <v>4785.0</v>
      </c>
      <c r="B4476" s="3" t="s">
        <v>4290</v>
      </c>
      <c r="C4476" s="3" t="str">
        <f>IFERROR(__xludf.DUMMYFUNCTION("GOOGLETRANSLATE(B4476,""id"",""en"")"),"['Signal', 'Internet', 'Lemott']")</f>
        <v>['Signal', 'Internet', 'Lemott']</v>
      </c>
      <c r="D4476" s="3">
        <v>1.0</v>
      </c>
    </row>
    <row r="4477" ht="15.75" customHeight="1">
      <c r="A4477" s="1">
        <v>4786.0</v>
      </c>
      <c r="B4477" s="3" t="s">
        <v>4291</v>
      </c>
      <c r="C4477" s="3" t="str">
        <f>IFERROR(__xludf.DUMMYFUNCTION("GOOGLETRANSLATE(B4477,""id"",""en"")"),"['', 'Telkomsel', 'steady', 'variations', '']")</f>
        <v>['', 'Telkomsel', 'steady', 'variations', '']</v>
      </c>
      <c r="D4477" s="3">
        <v>5.0</v>
      </c>
    </row>
    <row r="4478" ht="15.75" customHeight="1">
      <c r="A4478" s="1">
        <v>4787.0</v>
      </c>
      <c r="B4478" s="3" t="s">
        <v>4292</v>
      </c>
      <c r="C4478" s="3" t="str">
        <f>IFERROR(__xludf.DUMMYFUNCTION("GOOGLETRANSLATE(B4478,""id"",""en"")"),"['love', 'star', 'appreciation', 'update', 'application', 'Telkomsel', 'SDAH', 'developing', 'suggestion', 'price', 'package', 'affordable', ' emphasize ',' Telkomsel ',' fix ',' quality ',' network ',' region ',' countryside ',' region ',' rural ',' netw"&amp;"ork ',' network ',' internet ',' setabilia ' , 'Regions',' Province ',' Sumatran ',' South ',' County ',' Musi ',' Banyuasin ',' Subdistrict ',' Lais', 'Village', 'Lais',' Hamlet ',' Village ',' lais']")</f>
        <v>['love', 'star', 'appreciation', 'update', 'application', 'Telkomsel', 'SDAH', 'developing', 'suggestion', 'price', 'package', 'affordable', ' emphasize ',' Telkomsel ',' fix ',' quality ',' network ',' region ',' countryside ',' region ',' rural ',' network ',' network ',' internet ',' setabilia ' , 'Regions',' Province ',' Sumatran ',' South ',' County ',' Musi ',' Banyuasin ',' Subdistrict ',' Lais', 'Village', 'Lais',' Hamlet ',' Village ',' lais']</v>
      </c>
      <c r="D4478" s="3">
        <v>3.0</v>
      </c>
    </row>
    <row r="4479" ht="15.75" customHeight="1">
      <c r="A4479" s="1">
        <v>4788.0</v>
      </c>
      <c r="B4479" s="3" t="s">
        <v>4293</v>
      </c>
      <c r="C4479" s="3" t="str">
        <f>IFERROR(__xludf.DUMMYFUNCTION("GOOGLETRANSLATE(B4479,""id"",""en"")"),"['Mantul', 'pisan', 'euy']")</f>
        <v>['Mantul', 'pisan', 'euy']</v>
      </c>
      <c r="D4479" s="3">
        <v>5.0</v>
      </c>
    </row>
    <row r="4480" ht="15.75" customHeight="1">
      <c r="A4480" s="1">
        <v>4789.0</v>
      </c>
      <c r="B4480" s="3" t="s">
        <v>4294</v>
      </c>
      <c r="C4480" s="3" t="str">
        <f>IFERROR(__xludf.DUMMYFUNCTION("GOOGLETRANSLATE(B4480,""id"",""en"")"),"['Trima', 'love', 'service', 'experienced', 'Telkomsel', 'reting', 'easy', 'hopefully', 'future', 'reach', 'trima', 'love']")</f>
        <v>['Trima', 'love', 'service', 'experienced', 'Telkomsel', 'reting', 'easy', 'hopefully', 'future', 'reach', 'trima', 'love']</v>
      </c>
      <c r="D4480" s="3">
        <v>4.0</v>
      </c>
    </row>
    <row r="4481" ht="15.75" customHeight="1">
      <c r="A4481" s="1">
        <v>4790.0</v>
      </c>
      <c r="B4481" s="3" t="s">
        <v>4295</v>
      </c>
      <c r="C4481" s="3" t="str">
        <f>IFERROR(__xludf.DUMMYFUNCTION("GOOGLETRANSLATE(B4481,""id"",""en"")"),"['function', 'easy', 'understand']")</f>
        <v>['function', 'easy', 'understand']</v>
      </c>
      <c r="D4481" s="3">
        <v>5.0</v>
      </c>
    </row>
    <row r="4482" ht="15.75" customHeight="1">
      <c r="A4482" s="1">
        <v>4791.0</v>
      </c>
      <c r="B4482" s="3" t="s">
        <v>4296</v>
      </c>
      <c r="C4482" s="3" t="str">
        <f>IFERROR(__xludf.DUMMYFUNCTION("GOOGLETRANSLATE(B4482,""id"",""en"")"),"['Please', 'signal', 'strengthened', 'home', 'on the floor', 'minimal', 'weak', 'signal']")</f>
        <v>['Please', 'signal', 'strengthened', 'home', 'on the floor', 'minimal', 'weak', 'signal']</v>
      </c>
      <c r="D4482" s="3">
        <v>3.0</v>
      </c>
    </row>
    <row r="4483" ht="15.75" customHeight="1">
      <c r="A4483" s="1">
        <v>4792.0</v>
      </c>
      <c r="B4483" s="3" t="s">
        <v>4297</v>
      </c>
      <c r="C4483" s="3" t="str">
        <f>IFERROR(__xludf.DUMMYFUNCTION("GOOGLETRANSLATE(B4483,""id"",""en"")"),"['Help', 'thank', 'love', 'promo']")</f>
        <v>['Help', 'thank', 'love', 'promo']</v>
      </c>
      <c r="D4483" s="3">
        <v>5.0</v>
      </c>
    </row>
    <row r="4484" ht="15.75" customHeight="1">
      <c r="A4484" s="1">
        <v>4793.0</v>
      </c>
      <c r="B4484" s="3" t="s">
        <v>4298</v>
      </c>
      <c r="C4484" s="3" t="str">
        <f>IFERROR(__xludf.DUMMYFUNCTION("GOOGLETRANSLATE(B4484,""id"",""en"")"),"['love', 'star', 'package', 'giga', 'rb', 'use']")</f>
        <v>['love', 'star', 'package', 'giga', 'rb', 'use']</v>
      </c>
      <c r="D4484" s="3">
        <v>5.0</v>
      </c>
    </row>
    <row r="4485" ht="15.75" customHeight="1">
      <c r="A4485" s="1">
        <v>4794.0</v>
      </c>
      <c r="B4485" s="3" t="s">
        <v>4299</v>
      </c>
      <c r="C4485" s="3" t="str">
        <f>IFERROR(__xludf.DUMMYFUNCTION("GOOGLETRANSLATE(B4485,""id"",""en"")"),"['The price', 'dumped']")</f>
        <v>['The price', 'dumped']</v>
      </c>
      <c r="D4485" s="3">
        <v>3.0</v>
      </c>
    </row>
    <row r="4486" ht="15.75" customHeight="1">
      <c r="A4486" s="1">
        <v>4796.0</v>
      </c>
      <c r="B4486" s="3" t="s">
        <v>4300</v>
      </c>
      <c r="C4486" s="3" t="str">
        <f>IFERROR(__xludf.DUMMYFUNCTION("GOOGLETRANSLATE(B4486,""id"",""en"")"),"['Disappointed', 'Telkomsel', 'Package', 'Telkomsel', 'Diverse', 'Expensive', 'Telkomsel', 'Easy', 'Accessible', 'Cheap', 'Original', 'Disappointed']")</f>
        <v>['Disappointed', 'Telkomsel', 'Package', 'Telkomsel', 'Diverse', 'Expensive', 'Telkomsel', 'Easy', 'Accessible', 'Cheap', 'Original', 'Disappointed']</v>
      </c>
      <c r="D4486" s="3">
        <v>1.0</v>
      </c>
    </row>
    <row r="4487" ht="15.75" customHeight="1">
      <c r="A4487" s="1">
        <v>4797.0</v>
      </c>
      <c r="B4487" s="3" t="s">
        <v>4301</v>
      </c>
      <c r="C4487" s="3" t="str">
        <f>IFERROR(__xludf.DUMMYFUNCTION("GOOGLETRANSLATE(B4487,""id"",""en"")"),"['emang', 'apocating', 'before', 'I', 'BLI', 'Combo', 'Sakti', 'Exstra', 'unlimitid', 'I', 'buy', 'combo', ' Sakti ',' appears', 'Jan', 'Mintak', 'Duel', '']")</f>
        <v>['emang', 'apocating', 'before', 'I', 'BLI', 'Combo', 'Sakti', 'Exstra', 'unlimitid', 'I', 'buy', 'combo', ' Sakti ',' appears', 'Jan', 'Mintak', 'Duel', '']</v>
      </c>
      <c r="D4487" s="3">
        <v>5.0</v>
      </c>
    </row>
    <row r="4488" ht="15.75" customHeight="1">
      <c r="A4488" s="1">
        <v>4799.0</v>
      </c>
      <c r="B4488" s="3" t="s">
        <v>4302</v>
      </c>
      <c r="C4488" s="3" t="str">
        <f>IFERROR(__xludf.DUMMYFUNCTION("GOOGLETRANSLATE(B4488,""id"",""en"")"),"['Love', 'star', 'because', 'like', 'petrified']")</f>
        <v>['Love', 'star', 'because', 'like', 'petrified']</v>
      </c>
      <c r="D4488" s="3">
        <v>5.0</v>
      </c>
    </row>
    <row r="4489" ht="15.75" customHeight="1">
      <c r="A4489" s="1">
        <v>4800.0</v>
      </c>
      <c r="B4489" s="3" t="s">
        <v>4303</v>
      </c>
      <c r="C4489" s="3" t="str">
        <f>IFERROR(__xludf.DUMMYFUNCTION("GOOGLETRANSLATE(B4489,""id"",""en"")"),"['Help', 'easy']")</f>
        <v>['Help', 'easy']</v>
      </c>
      <c r="D4489" s="3">
        <v>5.0</v>
      </c>
    </row>
    <row r="4490" ht="15.75" customHeight="1">
      <c r="A4490" s="1">
        <v>4801.0</v>
      </c>
      <c r="B4490" s="3" t="s">
        <v>4304</v>
      </c>
      <c r="C4490" s="3" t="str">
        <f>IFERROR(__xludf.DUMMYFUNCTION("GOOGLETRANSLATE(B4490,""id"",""en"")"),"['Telkomsel', 'network', 'slow', 'fast', 'compare', 'provider', 'use', 'Telkomsel', 'fix', 'network', 'slow', 'trimkasih', ' ']")</f>
        <v>['Telkomsel', 'network', 'slow', 'fast', 'compare', 'provider', 'use', 'Telkomsel', 'fix', 'network', 'slow', 'trimkasih', ' ']</v>
      </c>
      <c r="D4490" s="3">
        <v>1.0</v>
      </c>
    </row>
    <row r="4491" ht="15.75" customHeight="1">
      <c r="A4491" s="1">
        <v>4802.0</v>
      </c>
      <c r="B4491" s="3" t="s">
        <v>4305</v>
      </c>
      <c r="C4491" s="3" t="str">
        <f>IFERROR(__xludf.DUMMYFUNCTION("GOOGLETRANSLATE(B4491,""id"",""en"")"),"['Untk', 'purchase', 'fast']")</f>
        <v>['Untk', 'purchase', 'fast']</v>
      </c>
      <c r="D4491" s="3">
        <v>5.0</v>
      </c>
    </row>
    <row r="4492" ht="15.75" customHeight="1">
      <c r="A4492" s="1">
        <v>4803.0</v>
      </c>
      <c r="B4492" s="3" t="s">
        <v>4306</v>
      </c>
      <c r="C4492" s="3" t="str">
        <f>IFERROR(__xludf.DUMMYFUNCTION("GOOGLETRANSLATE(B4492,""id"",""en"")"),"['Network', 'Severe', 'Males', 'Tsel', 'Telkolmsel', 'here', 'Severe', '']")</f>
        <v>['Network', 'Severe', 'Males', 'Tsel', 'Telkolmsel', 'here', 'Severe', '']</v>
      </c>
      <c r="D4492" s="3">
        <v>1.0</v>
      </c>
    </row>
    <row r="4493" ht="15.75" customHeight="1">
      <c r="A4493" s="1">
        <v>4804.0</v>
      </c>
      <c r="B4493" s="3" t="s">
        <v>862</v>
      </c>
      <c r="C4493" s="3" t="str">
        <f>IFERROR(__xludf.DUMMYFUNCTION("GOOGLETRANSLATE(B4493,""id"",""en"")"),"['The application', 'Good', '']")</f>
        <v>['The application', 'Good', '']</v>
      </c>
      <c r="D4493" s="3">
        <v>3.0</v>
      </c>
    </row>
    <row r="4494" ht="15.75" customHeight="1">
      <c r="A4494" s="1">
        <v>4805.0</v>
      </c>
      <c r="B4494" s="3" t="s">
        <v>4307</v>
      </c>
      <c r="C4494" s="3" t="str">
        <f>IFERROR(__xludf.DUMMYFUNCTION("GOOGLETRANSLATE(B4494,""id"",""en"")"),"['Please', 'Price', 'Package', 'Data', 'Peace', 'Sis',' Over ',' Thank "", 'Kasihhh',""]")</f>
        <v>['Please', 'Price', 'Package', 'Data', 'Peace', 'Sis',' Over ',' Thank ", 'Kasihhh',"]</v>
      </c>
      <c r="D4494" s="3">
        <v>5.0</v>
      </c>
    </row>
    <row r="4495" ht="15.75" customHeight="1">
      <c r="A4495" s="1">
        <v>4806.0</v>
      </c>
      <c r="B4495" s="3" t="s">
        <v>4308</v>
      </c>
      <c r="C4495" s="3" t="str">
        <f>IFERROR(__xludf.DUMMYFUNCTION("GOOGLETRANSLATE(B4495,""id"",""en"")"),"['Hopefully', 'Hadia']")</f>
        <v>['Hopefully', 'Hadia']</v>
      </c>
      <c r="D4495" s="3">
        <v>5.0</v>
      </c>
    </row>
    <row r="4496" ht="15.75" customHeight="1">
      <c r="A4496" s="1">
        <v>4808.0</v>
      </c>
      <c r="B4496" s="3" t="s">
        <v>4309</v>
      </c>
      <c r="C4496" s="3" t="str">
        <f>IFERROR(__xludf.DUMMYFUNCTION("GOOGLETRANSLATE(B4496,""id"",""en"")"),"['Andalin', 'here', 'satisfying', ""]")</f>
        <v>['Andalin', 'here', 'satisfying', "]</v>
      </c>
      <c r="D4496" s="3">
        <v>1.0</v>
      </c>
    </row>
    <row r="4497" ht="15.75" customHeight="1">
      <c r="A4497" s="1">
        <v>4809.0</v>
      </c>
      <c r="B4497" s="3" t="s">
        <v>4310</v>
      </c>
      <c r="C4497" s="3" t="str">
        <f>IFERROR(__xludf.DUMMYFUNCTION("GOOGLETRANSLATE(B4497,""id"",""en"")"),"['Please', 'repaired', 'network', 'Telkomsel', 'missing', 'embossed', 'annoyed']")</f>
        <v>['Please', 'repaired', 'network', 'Telkomsel', 'missing', 'embossed', 'annoyed']</v>
      </c>
      <c r="D4497" s="3">
        <v>1.0</v>
      </c>
    </row>
    <row r="4498" ht="15.75" customHeight="1">
      <c r="A4498" s="1">
        <v>4810.0</v>
      </c>
      <c r="B4498" s="3" t="s">
        <v>4311</v>
      </c>
      <c r="C4498" s="3" t="str">
        <f>IFERROR(__xludf.DUMMYFUNCTION("GOOGLETRANSLATE(B4498,""id"",""en"")"),"['Out', 'Update', 'App', 'October', 'Package', 'Family', 'Package', 'Internet', 'Lost', 'Announcement', 'App', 'Package', ' Internet ',' already ',' turned off ',' Sad ', ""]")</f>
        <v>['Out', 'Update', 'App', 'October', 'Package', 'Family', 'Package', 'Internet', 'Lost', 'Announcement', 'App', 'Package', ' Internet ',' already ',' turned off ',' Sad ', "]</v>
      </c>
      <c r="D4498" s="3">
        <v>2.0</v>
      </c>
    </row>
    <row r="4499" ht="15.75" customHeight="1">
      <c r="A4499" s="1">
        <v>4811.0</v>
      </c>
      <c r="B4499" s="3" t="s">
        <v>4312</v>
      </c>
      <c r="C4499" s="3" t="str">
        <f>IFERROR(__xludf.DUMMYFUNCTION("GOOGLETRANSLATE(B4499,""id"",""en"")"),"['Sinking', 'pulse', 'difficult', 'number', 'then' told ',' replace ',' card ',' hello ',' gapari ',' pay ',' rb ',' Pay ',' Double ',' Until ',' complain ',' here ',' Pay ',' skrng ',' Udh ',' Sampe ',' Rb ',' Paketan ',' Skrng ',' Cheap ' , 'number', 's"&amp;"urvive', 'relief', 'Customer', 'card', 'check', 'pulse', 'ATM', 'pulse', 'activation', 'byk', 'then', ' little ',' complain ',' system ',' dolo ']")</f>
        <v>['Sinking', 'pulse', 'difficult', 'number', 'then' told ',' replace ',' card ',' hello ',' gapari ',' pay ',' rb ',' Pay ',' Double ',' Until ',' complain ',' here ',' Pay ',' skrng ',' Udh ',' Sampe ',' Rb ',' Paketan ',' Skrng ',' Cheap ' , 'number', 'survive', 'relief', 'Customer', 'card', 'check', 'pulse', 'ATM', 'pulse', 'activation', 'byk', 'then', ' little ',' complain ',' system ',' dolo ']</v>
      </c>
      <c r="D4499" s="3">
        <v>5.0</v>
      </c>
    </row>
    <row r="4500" ht="15.75" customHeight="1">
      <c r="A4500" s="1">
        <v>4812.0</v>
      </c>
      <c r="B4500" s="3" t="s">
        <v>4313</v>
      </c>
      <c r="C4500" s="3" t="str">
        <f>IFERROR(__xludf.DUMMYFUNCTION("GOOGLETRANSLATE(B4500,""id"",""en"")"),"['Network', 'Slalu', 'Bgus', 'Slalu', 'Use', 'Telkomsel', ""]")</f>
        <v>['Network', 'Slalu', 'Bgus', 'Slalu', 'Use', 'Telkomsel', "]</v>
      </c>
      <c r="D4500" s="3">
        <v>5.0</v>
      </c>
    </row>
    <row r="4501" ht="15.75" customHeight="1">
      <c r="A4501" s="1">
        <v>4813.0</v>
      </c>
      <c r="B4501" s="3" t="s">
        <v>408</v>
      </c>
      <c r="C4501" s="3" t="str">
        <f>IFERROR(__xludf.DUMMYFUNCTION("GOOGLETRANSLATE(B4501,""id"",""en"")"),"['try']")</f>
        <v>['try']</v>
      </c>
      <c r="D4501" s="3">
        <v>4.0</v>
      </c>
    </row>
    <row r="4502" ht="15.75" customHeight="1">
      <c r="A4502" s="1">
        <v>4814.0</v>
      </c>
      <c r="B4502" s="3" t="s">
        <v>4314</v>
      </c>
      <c r="C4502" s="3" t="str">
        <f>IFERROR(__xludf.DUMMYFUNCTION("GOOGLETRANSLATE(B4502,""id"",""en"")"),"['Not bad', 'already', 'smooth']")</f>
        <v>['Not bad', 'already', 'smooth']</v>
      </c>
      <c r="D4502" s="3">
        <v>2.0</v>
      </c>
    </row>
    <row r="4503" ht="15.75" customHeight="1">
      <c r="A4503" s="1">
        <v>4815.0</v>
      </c>
      <c r="B4503" s="3" t="s">
        <v>4315</v>
      </c>
      <c r="C4503" s="3" t="str">
        <f>IFERROR(__xludf.DUMMYFUNCTION("GOOGLETRANSLATE(B4503,""id"",""en"")"),"['thank you', 'APK', 'good', 'really', '']")</f>
        <v>['thank you', 'APK', 'good', 'really', '']</v>
      </c>
      <c r="D4503" s="3">
        <v>5.0</v>
      </c>
    </row>
    <row r="4504" ht="15.75" customHeight="1">
      <c r="A4504" s="1">
        <v>4816.0</v>
      </c>
      <c r="B4504" s="3" t="s">
        <v>4316</v>
      </c>
      <c r="C4504" s="3" t="str">
        <f>IFERROR(__xludf.DUMMYFUNCTION("GOOGLETRANSLATE(B4504,""id"",""en"")"),"['entry', 'sense', 'a little', 'package', 'booster', 'unlimited', 'card', 'telkomsel', 'ilangin', 'told', 'replace', 'card', ' Mengout ',' Move ',' Provider ',' Card ',' Di Consed ',' Fup ',' Abis', 'Dimadin', 'KB', 'Speed', 'That Selay', 'Delay', 'alread"&amp;"y' , 'Telkomsel', 'ngeluh', 'price', 'ilangin', 'gini', 'entry', 'sense', 'a little', 'disappointed', 'really', 'Telkomsel', 'mending', ' thinking', '']")</f>
        <v>['entry', 'sense', 'a little', 'package', 'booster', 'unlimited', 'card', 'telkomsel', 'ilangin', 'told', 'replace', 'card', ' Mengout ',' Move ',' Provider ',' Card ',' Di Consed ',' Fup ',' Abis', 'Dimadin', 'KB', 'Speed', 'That Selay', 'Delay', 'already' , 'Telkomsel', 'ngeluh', 'price', 'ilangin', 'gini', 'entry', 'sense', 'a little', 'disappointed', 'really', 'Telkomsel', 'mending', ' thinking', '']</v>
      </c>
      <c r="D4504" s="3">
        <v>1.0</v>
      </c>
    </row>
    <row r="4505" ht="15.75" customHeight="1">
      <c r="A4505" s="1">
        <v>4817.0</v>
      </c>
      <c r="B4505" s="3" t="s">
        <v>3589</v>
      </c>
      <c r="C4505" s="3" t="str">
        <f>IFERROR(__xludf.DUMMYFUNCTION("GOOGLETRANSLATE(B4505,""id"",""en"")"),"['It's easier for']")</f>
        <v>['It's easier for']</v>
      </c>
      <c r="D4505" s="3">
        <v>5.0</v>
      </c>
    </row>
    <row r="4506" ht="15.75" customHeight="1">
      <c r="A4506" s="1">
        <v>4818.0</v>
      </c>
      <c r="B4506" s="3" t="s">
        <v>4317</v>
      </c>
      <c r="C4506" s="3" t="str">
        <f>IFERROR(__xludf.DUMMYFUNCTION("GOOGLETRANSLATE(B4506,""id"",""en"")"),"['signal', 'Telkomsel', 'ugly', 'signal', 'person', 'switch', 'commitment', 'no', '']")</f>
        <v>['signal', 'Telkomsel', 'ugly', 'signal', 'person', 'switch', 'commitment', 'no', '']</v>
      </c>
      <c r="D4506" s="3">
        <v>1.0</v>
      </c>
    </row>
    <row r="4507" ht="15.75" customHeight="1">
      <c r="A4507" s="1">
        <v>4819.0</v>
      </c>
      <c r="B4507" s="3" t="s">
        <v>4318</v>
      </c>
      <c r="C4507" s="3" t="str">
        <f>IFERROR(__xludf.DUMMYFUNCTION("GOOGLETRANSLATE(B4507,""id"",""en"")"),"['Happy', 'happy', 'really']")</f>
        <v>['Happy', 'happy', 'really']</v>
      </c>
      <c r="D4507" s="3">
        <v>5.0</v>
      </c>
    </row>
    <row r="4508" ht="15.75" customHeight="1">
      <c r="A4508" s="1">
        <v>4820.0</v>
      </c>
      <c r="B4508" s="3" t="s">
        <v>4319</v>
      </c>
      <c r="C4508" s="3" t="str">
        <f>IFERROR(__xludf.DUMMYFUNCTION("GOOGLETRANSLATE(B4508,""id"",""en"")"),"['Steady', 'makes it easy']")</f>
        <v>['Steady', 'makes it easy']</v>
      </c>
      <c r="D4508" s="3">
        <v>5.0</v>
      </c>
    </row>
    <row r="4509" ht="15.75" customHeight="1">
      <c r="A4509" s="1">
        <v>4821.0</v>
      </c>
      <c r="B4509" s="3" t="s">
        <v>4320</v>
      </c>
      <c r="C4509" s="3" t="str">
        <f>IFERROR(__xludf.DUMMYFUNCTION("GOOGLETRANSLATE(B4509,""id"",""en"")"),"['network', 'causing', 'lag', 'game', 'buy', 'expensive', 'service', 'signal', 'bad']")</f>
        <v>['network', 'causing', 'lag', 'game', 'buy', 'expensive', 'service', 'signal', 'bad']</v>
      </c>
      <c r="D4509" s="3">
        <v>1.0</v>
      </c>
    </row>
    <row r="4510" ht="15.75" customHeight="1">
      <c r="A4510" s="1">
        <v>4822.0</v>
      </c>
      <c r="B4510" s="3" t="s">
        <v>4321</v>
      </c>
      <c r="C4510" s="3" t="str">
        <f>IFERROR(__xludf.DUMMYFUNCTION("GOOGLETRANSLATE(B4510,""id"",""en"")"),"['star', 'TPI', 'please', 'signal', 'coast', 'strong', 'signal', 'difficult', 'thank', 'love']")</f>
        <v>['star', 'TPI', 'please', 'signal', 'coast', 'strong', 'signal', 'difficult', 'thank', 'love']</v>
      </c>
      <c r="D4510" s="3">
        <v>5.0</v>
      </c>
    </row>
    <row r="4511" ht="15.75" customHeight="1">
      <c r="A4511" s="1">
        <v>4823.0</v>
      </c>
      <c r="B4511" s="3" t="s">
        <v>4322</v>
      </c>
      <c r="C4511" s="3" t="str">
        <f>IFERROR(__xludf.DUMMYFUNCTION("GOOGLETRANSLATE(B4511,""id"",""en"")"),"['Exchange', 'Points', 'answers', 'System', 'Abel', 'Abel']")</f>
        <v>['Exchange', 'Points', 'answers', 'System', 'Abel', 'Abel']</v>
      </c>
      <c r="D4511" s="3">
        <v>4.0</v>
      </c>
    </row>
    <row r="4512" ht="15.75" customHeight="1">
      <c r="A4512" s="1">
        <v>4824.0</v>
      </c>
      <c r="B4512" s="3" t="s">
        <v>4323</v>
      </c>
      <c r="C4512" s="3" t="str">
        <f>IFERROR(__xludf.DUMMYFUNCTION("GOOGLETRANSLATE(B4512,""id"",""en"")"),"['Steady', 'Telkom', 'Select', '']")</f>
        <v>['Steady', 'Telkom', 'Select', '']</v>
      </c>
      <c r="D4512" s="3">
        <v>5.0</v>
      </c>
    </row>
    <row r="4513" ht="15.75" customHeight="1">
      <c r="A4513" s="1">
        <v>4825.0</v>
      </c>
      <c r="B4513" s="3" t="s">
        <v>4324</v>
      </c>
      <c r="C4513" s="3" t="str">
        <f>IFERROR(__xludf.DUMMYFUNCTION("GOOGLETRANSLATE(B4513,""id"",""en"")"),"['sorry', 'actipin', 'card', 'missing', 'right', 'regist', 'name', 'wife', 'card', 'concerned', 'work', 'already', ' Bring ',' SOP ',' SOP ',' causes', 'people', 'loss',' livelihood ',' work ',' land ',' eat ',' please ',' correction ',' Import ' , 'conce"&amp;"rned', 'Grafari', 'country', 'think', 'disappointed', 'Grafari', 'cianjur']")</f>
        <v>['sorry', 'actipin', 'card', 'missing', 'right', 'regist', 'name', 'wife', 'card', 'concerned', 'work', 'already', ' Bring ',' SOP ',' SOP ',' causes', 'people', 'loss',' livelihood ',' work ',' land ',' eat ',' please ',' correction ',' Import ' , 'concerned', 'Grafari', 'country', 'think', 'disappointed', 'Grafari', 'cianjur']</v>
      </c>
      <c r="D4513" s="3">
        <v>1.0</v>
      </c>
    </row>
    <row r="4514" ht="15.75" customHeight="1">
      <c r="A4514" s="1">
        <v>4826.0</v>
      </c>
      <c r="B4514" s="3" t="s">
        <v>4325</v>
      </c>
      <c r="C4514" s="3" t="str">
        <f>IFERROR(__xludf.DUMMYFUNCTION("GOOGLETRANSLATE(B4514,""id"",""en"")"),"['Network', 'ugly', 'use', 'quota', 'wasteful', 'tlg', 'fix', 'the network', 'screen', 'work']")</f>
        <v>['Network', 'ugly', 'use', 'quota', 'wasteful', 'tlg', 'fix', 'the network', 'screen', 'work']</v>
      </c>
      <c r="D4514" s="3">
        <v>1.0</v>
      </c>
    </row>
    <row r="4515" ht="15.75" customHeight="1">
      <c r="A4515" s="1">
        <v>4827.0</v>
      </c>
      <c r="B4515" s="3" t="s">
        <v>4326</v>
      </c>
      <c r="C4515" s="3" t="str">
        <f>IFERROR(__xludf.DUMMYFUNCTION("GOOGLETRANSLATE(B4515,""id"",""en"")"),"['Stop', 'subscribe', 'speed', 'Sam', '']")</f>
        <v>['Stop', 'subscribe', 'speed', 'Sam', '']</v>
      </c>
      <c r="D4515" s="3">
        <v>1.0</v>
      </c>
    </row>
    <row r="4516" ht="15.75" customHeight="1">
      <c r="A4516" s="1">
        <v>4828.0</v>
      </c>
      <c r="B4516" s="3" t="s">
        <v>4327</v>
      </c>
      <c r="C4516" s="3" t="str">
        <f>IFERROR(__xludf.DUMMYFUNCTION("GOOGLETRANSLATE(B4516,""id"",""en"")"),"['Help', 'choose', 'package', 'LIKAI']")</f>
        <v>['Help', 'choose', 'package', 'LIKAI']</v>
      </c>
      <c r="D4516" s="3">
        <v>5.0</v>
      </c>
    </row>
    <row r="4517" ht="15.75" customHeight="1">
      <c r="A4517" s="1">
        <v>4829.0</v>
      </c>
      <c r="B4517" s="3" t="s">
        <v>4328</v>
      </c>
      <c r="C4517" s="3" t="str">
        <f>IFERROR(__xludf.DUMMYFUNCTION("GOOGLETRANSLATE(B4517,""id"",""en"")"),"['bad', 'price', 'package', 'forced', 'contents', 'pulses', '']")</f>
        <v>['bad', 'price', 'package', 'forced', 'contents', 'pulses', '']</v>
      </c>
      <c r="D4517" s="3">
        <v>1.0</v>
      </c>
    </row>
    <row r="4518" ht="15.75" customHeight="1">
      <c r="A4518" s="1">
        <v>4830.0</v>
      </c>
      <c r="B4518" s="3" t="s">
        <v>4329</v>
      </c>
      <c r="C4518" s="3" t="str">
        <f>IFERROR(__xludf.DUMMYFUNCTION("GOOGLETRANSLATE(B4518,""id"",""en"")"),"['System', 'Telkomsel', 'Good', 'Reasons',' Star ',' Telkomsel ',' Event ',' Surprise ',' Quota ',' GB ',' Paying ',' Rp ',' Points', 'MyTelkomsel', 'already', 'Pressing', 'Claims',' Event ',' Credit ',' Rp ',' Go ',' Buy ',' Credit ',' Try ',' Claim ' , "&amp;"'Event', 'failed', 'writing', 'reach', 'limit', 'exchange', 'exchange', 'please', 'repair']")</f>
        <v>['System', 'Telkomsel', 'Good', 'Reasons',' Star ',' Telkomsel ',' Event ',' Surprise ',' Quota ',' GB ',' Paying ',' Rp ',' Points', 'MyTelkomsel', 'already', 'Pressing', 'Claims',' Event ',' Credit ',' Rp ',' Go ',' Buy ',' Credit ',' Try ',' Claim ' , 'Event', 'failed', 'writing', 'reach', 'limit', 'exchange', 'exchange', 'please', 'repair']</v>
      </c>
      <c r="D4518" s="3">
        <v>2.0</v>
      </c>
    </row>
    <row r="4519" ht="15.75" customHeight="1">
      <c r="A4519" s="1">
        <v>4831.0</v>
      </c>
      <c r="B4519" s="3" t="s">
        <v>4330</v>
      </c>
      <c r="C4519" s="3" t="str">
        <f>IFERROR(__xludf.DUMMYFUNCTION("GOOGLETRANSLATE(B4519,""id"",""en"")"),"['Please', 'YTH', 'Telkomsel', 'Quality', 'The Network', 'Weather', 'Overcast', 'Rain', 'Network', 'Sympathy', 'Like', 'Severe', ' Kyk ',' Gini ',' forced ',' Sya ',' love ',' star ',' mksh ',' ']")</f>
        <v>['Please', 'YTH', 'Telkomsel', 'Quality', 'The Network', 'Weather', 'Overcast', 'Rain', 'Network', 'Sympathy', 'Like', 'Severe', ' Kyk ',' Gini ',' forced ',' Sya ',' love ',' star ',' mksh ',' ']</v>
      </c>
      <c r="D4519" s="3">
        <v>3.0</v>
      </c>
    </row>
    <row r="4520" ht="15.75" customHeight="1">
      <c r="A4520" s="1">
        <v>4832.0</v>
      </c>
      <c r="B4520" s="3" t="s">
        <v>4331</v>
      </c>
      <c r="C4520" s="3" t="str">
        <f>IFERROR(__xludf.DUMMYFUNCTION("GOOGLETRANSLATE(B4520,""id"",""en"")"),"['Telkomsel', 'Please', 'Restore', 'Pulza', 'Buy', 'Package', 'Unlimited', 'YouTube', 'Telkomsel', 'Please', 'Restore', ' Users', 'Telkomsel', 'njig', ""]")</f>
        <v>['Telkomsel', 'Please', 'Restore', 'Pulza', 'Buy', 'Package', 'Unlimited', 'YouTube', 'Telkomsel', 'Please', 'Restore', ' Users', 'Telkomsel', 'njig', "]</v>
      </c>
      <c r="D4520" s="3">
        <v>1.0</v>
      </c>
    </row>
    <row r="4521" ht="15.75" customHeight="1">
      <c r="A4521" s="1">
        <v>4834.0</v>
      </c>
      <c r="B4521" s="3" t="s">
        <v>4332</v>
      </c>
      <c r="C4521" s="3" t="str">
        <f>IFERROR(__xludf.DUMMYFUNCTION("GOOGLETRANSLATE(B4521,""id"",""en"")"),"['Try', 'Easy', 'Ahn', 'Help']")</f>
        <v>['Try', 'Easy', 'Ahn', 'Help']</v>
      </c>
      <c r="D4521" s="3">
        <v>5.0</v>
      </c>
    </row>
    <row r="4522" ht="15.75" customHeight="1">
      <c r="A4522" s="1">
        <v>4835.0</v>
      </c>
      <c r="B4522" s="3" t="s">
        <v>4333</v>
      </c>
      <c r="C4522" s="3" t="str">
        <f>IFERROR(__xludf.DUMMYFUNCTION("GOOGLETRANSLATE(B4522,""id"",""en"")"),"['used', 'repairs',' downgrade ',' application ',' network ',' complaints', 'column', 'comment', 'directed', 'blah', 'blah', 'blah', ' improvements', 'complaints',' enter ',' accommodated ',' like ',' livestock ',' catfish ',' sought ',' please ',' custom"&amp;"er ',' harmed ',' Least ',' service ' , 'complaints', 'Simple', 'directed', 'there', 'Come on', 'application', 'optimal', 'pnggunnya']")</f>
        <v>['used', 'repairs',' downgrade ',' application ',' network ',' complaints', 'column', 'comment', 'directed', 'blah', 'blah', 'blah', ' improvements', 'complaints',' enter ',' accommodated ',' like ',' livestock ',' catfish ',' sought ',' please ',' customer ',' harmed ',' Least ',' service ' , 'complaints', 'Simple', 'directed', 'there', 'Come on', 'application', 'optimal', 'pnggunnya']</v>
      </c>
      <c r="D4522" s="3">
        <v>1.0</v>
      </c>
    </row>
    <row r="4523" ht="15.75" customHeight="1">
      <c r="A4523" s="1">
        <v>4836.0</v>
      </c>
      <c r="B4523" s="3" t="s">
        <v>154</v>
      </c>
      <c r="C4523" s="3" t="str">
        <f>IFERROR(__xludf.DUMMYFUNCTION("GOOGLETRANSLATE(B4523,""id"",""en"")"),"['satisfying']")</f>
        <v>['satisfying']</v>
      </c>
      <c r="D4523" s="3">
        <v>1.0</v>
      </c>
    </row>
    <row r="4524" ht="15.75" customHeight="1">
      <c r="A4524" s="1">
        <v>4837.0</v>
      </c>
      <c r="B4524" s="3" t="s">
        <v>4334</v>
      </c>
      <c r="C4524" s="3" t="str">
        <f>IFERROR(__xludf.DUMMYFUNCTION("GOOGLETRANSLATE(B4524,""id"",""en"")"),"['Application', 'Bagus', 'bangeeeeeettttt']")</f>
        <v>['Application', 'Bagus', 'bangeeeeeettttt']</v>
      </c>
      <c r="D4524" s="3">
        <v>5.0</v>
      </c>
    </row>
    <row r="4525" ht="15.75" customHeight="1">
      <c r="A4525" s="1">
        <v>4838.0</v>
      </c>
      <c r="B4525" s="3" t="s">
        <v>4335</v>
      </c>
      <c r="C4525" s="3" t="str">
        <f>IFERROR(__xludf.DUMMYFUNCTION("GOOGLETRANSLATE(B4525,""id"",""en"")"),"['Hopefully', 'blessings', 'Telkomsel', 'Dri', 'follow', 'exchange', 'Points', ""]")</f>
        <v>['Hopefully', 'blessings', 'Telkomsel', 'Dri', 'follow', 'exchange', 'Points', "]</v>
      </c>
      <c r="D4525" s="3">
        <v>5.0</v>
      </c>
    </row>
    <row r="4526" ht="15.75" customHeight="1">
      <c r="A4526" s="1">
        <v>4839.0</v>
      </c>
      <c r="B4526" s="3" t="s">
        <v>4336</v>
      </c>
      <c r="C4526" s="3" t="str">
        <f>IFERROR(__xludf.DUMMYFUNCTION("GOOGLETRANSLATE(B4526,""id"",""en"")"),"['pulse', 'missing', 'quota', 'kemendikbud']")</f>
        <v>['pulse', 'missing', 'quota', 'kemendikbud']</v>
      </c>
      <c r="D4526" s="3">
        <v>1.0</v>
      </c>
    </row>
    <row r="4527" ht="15.75" customHeight="1">
      <c r="A4527" s="1">
        <v>4840.0</v>
      </c>
      <c r="B4527" s="3" t="s">
        <v>4337</v>
      </c>
      <c r="C4527" s="3" t="str">
        <f>IFERROR(__xludf.DUMMYFUNCTION("GOOGLETRANSLATE(B4527,""id"",""en"")"),"['Network', 'bad', 'here', 'chaotic', 'network', 'Telkomsel', '']")</f>
        <v>['Network', 'bad', 'here', 'chaotic', 'network', 'Telkomsel', '']</v>
      </c>
      <c r="D4527" s="3">
        <v>1.0</v>
      </c>
    </row>
    <row r="4528" ht="15.75" customHeight="1">
      <c r="A4528" s="1">
        <v>4841.0</v>
      </c>
      <c r="B4528" s="3" t="s">
        <v>4338</v>
      </c>
      <c r="C4528" s="3" t="str">
        <f>IFERROR(__xludf.DUMMYFUNCTION("GOOGLETRANSLATE(B4528,""id"",""en"")"),"['Promo', 'Package']")</f>
        <v>['Promo', 'Package']</v>
      </c>
      <c r="D4528" s="3">
        <v>5.0</v>
      </c>
    </row>
    <row r="4529" ht="15.75" customHeight="1">
      <c r="A4529" s="1">
        <v>4842.0</v>
      </c>
      <c r="B4529" s="3" t="s">
        <v>4339</v>
      </c>
      <c r="C4529" s="3" t="str">
        <f>IFERROR(__xludf.DUMMYFUNCTION("GOOGLETRANSLATE(B4529,""id"",""en"")"),"['Like', 'really', 'credit', 'borrow', 'Come', 'help', 'thank', 'love', 'Telkomsel', 'hope', 'services']")</f>
        <v>['Like', 'really', 'credit', 'borrow', 'Come', 'help', 'thank', 'love', 'Telkomsel', 'hope', 'services']</v>
      </c>
      <c r="D4529" s="3">
        <v>5.0</v>
      </c>
    </row>
    <row r="4530" ht="15.75" customHeight="1">
      <c r="A4530" s="1">
        <v>4843.0</v>
      </c>
      <c r="B4530" s="3" t="s">
        <v>4340</v>
      </c>
      <c r="C4530" s="3" t="str">
        <f>IFERROR(__xludf.DUMMYFUNCTION("GOOGLETRANSLATE(B4530,""id"",""en"")"),"['Udh', 'buy', 'expensive', 'used']")</f>
        <v>['Udh', 'buy', 'expensive', 'used']</v>
      </c>
      <c r="D4530" s="3">
        <v>1.0</v>
      </c>
    </row>
    <row r="4531" ht="15.75" customHeight="1">
      <c r="A4531" s="1">
        <v>4844.0</v>
      </c>
      <c r="B4531" s="3" t="s">
        <v>4341</v>
      </c>
      <c r="C4531" s="3" t="str">
        <f>IFERROR(__xludf.DUMMYFUNCTION("GOOGLETRANSLATE(B4531,""id"",""en"")"),"['Service', 'smooth']")</f>
        <v>['Service', 'smooth']</v>
      </c>
      <c r="D4531" s="3">
        <v>5.0</v>
      </c>
    </row>
    <row r="4532" ht="15.75" customHeight="1">
      <c r="A4532" s="1">
        <v>4845.0</v>
      </c>
      <c r="B4532" s="3" t="s">
        <v>4342</v>
      </c>
      <c r="C4532" s="3" t="str">
        <f>IFERROR(__xludf.DUMMYFUNCTION("GOOGLETRANSLATE(B4532,""id"",""en"")"),"['likes', 'Telkomsel', 'signal', 'really', 'satisfying', 'package', 'data', 'interesting']")</f>
        <v>['likes', 'Telkomsel', 'signal', 'really', 'satisfying', 'package', 'data', 'interesting']</v>
      </c>
      <c r="D4532" s="3">
        <v>5.0</v>
      </c>
    </row>
    <row r="4533" ht="15.75" customHeight="1">
      <c r="A4533" s="1">
        <v>4846.0</v>
      </c>
      <c r="B4533" s="3" t="s">
        <v>4343</v>
      </c>
      <c r="C4533" s="3" t="str">
        <f>IFERROR(__xludf.DUMMYFUNCTION("GOOGLETRANSLATE(B4533,""id"",""en"")"),"['package', 'expensive', 'network', 'ugly', 'steady', 'match', 'spree', 'in', 'money', '']")</f>
        <v>['package', 'expensive', 'network', 'ugly', 'steady', 'match', 'spree', 'in', 'money', '']</v>
      </c>
      <c r="D4533" s="3">
        <v>2.0</v>
      </c>
    </row>
    <row r="4534" ht="15.75" customHeight="1">
      <c r="A4534" s="1">
        <v>4847.0</v>
      </c>
      <c r="B4534" s="3" t="s">
        <v>4344</v>
      </c>
      <c r="C4534" s="3" t="str">
        <f>IFERROR(__xludf.DUMMYFUNCTION("GOOGLETRANSLATE(B4534,""id"",""en"")"),"['Dowlod', 'Telkom', 'LOL', 'Siyala', 'Kayak', 'LOL', 'Telkom', 'oath', 'Tower', 'Telkom', 'home', 'Nglek', ' Heavy ',' Consul ',' Telkom ', ""]")</f>
        <v>['Dowlod', 'Telkom', 'LOL', 'Siyala', 'Kayak', 'LOL', 'Telkom', 'oath', 'Tower', 'Telkom', 'home', 'Nglek', ' Heavy ',' Consul ',' Telkom ', "]</v>
      </c>
      <c r="D4534" s="3">
        <v>1.0</v>
      </c>
    </row>
    <row r="4535" ht="15.75" customHeight="1">
      <c r="A4535" s="1">
        <v>4848.0</v>
      </c>
      <c r="B4535" s="3" t="s">
        <v>4345</v>
      </c>
      <c r="C4535" s="3" t="str">
        <f>IFERROR(__xludf.DUMMYFUNCTION("GOOGLETRANSLATE(B4535,""id"",""en"")"),"['Hi', 'Telkomsel', 'Please', 'Donk', 'Adin', 'Tranfer', 'Quota', 'Darling', 'Very', 'Quota', 'Then', 'Active', ' Stay ',' BBR ',' then ',' Hangus', 'please', ""]")</f>
        <v>['Hi', 'Telkomsel', 'Please', 'Donk', 'Adin', 'Tranfer', 'Quota', 'Darling', 'Very', 'Quota', 'Then', 'Active', ' Stay ',' BBR ',' then ',' Hangus', 'please', "]</v>
      </c>
      <c r="D4535" s="3">
        <v>5.0</v>
      </c>
    </row>
    <row r="4536" ht="15.75" customHeight="1">
      <c r="A4536" s="1">
        <v>4849.0</v>
      </c>
      <c r="B4536" s="3" t="s">
        <v>4346</v>
      </c>
      <c r="C4536" s="3" t="str">
        <f>IFERROR(__xludf.DUMMYFUNCTION("GOOGLETRANSLATE(B4536,""id"",""en"")"),"['Star', 'Telkomsel', 'no', '']")</f>
        <v>['Star', 'Telkomsel', 'no', '']</v>
      </c>
      <c r="D4536" s="3">
        <v>1.0</v>
      </c>
    </row>
    <row r="4537" ht="15.75" customHeight="1">
      <c r="A4537" s="1">
        <v>4850.0</v>
      </c>
      <c r="B4537" s="3" t="s">
        <v>600</v>
      </c>
      <c r="C4537" s="3" t="str">
        <f>IFERROR(__xludf.DUMMYFUNCTION("GOOGLETRANSLATE(B4537,""id"",""en"")"),"['Application', 'Good', '']")</f>
        <v>['Application', 'Good', '']</v>
      </c>
      <c r="D4537" s="3">
        <v>1.0</v>
      </c>
    </row>
    <row r="4538" ht="15.75" customHeight="1">
      <c r="A4538" s="1">
        <v>4851.0</v>
      </c>
      <c r="B4538" s="3" t="s">
        <v>4347</v>
      </c>
      <c r="C4538" s="3" t="str">
        <f>IFERROR(__xludf.DUMMYFUNCTION("GOOGLETRANSLATE(B4538,""id"",""en"")"),"['pulse', 'sucked', 'quota', 'grace', 'provider', 'area', 'signal', 'use', 'Telkomsel']")</f>
        <v>['pulse', 'sucked', 'quota', 'grace', 'provider', 'area', 'signal', 'use', 'Telkomsel']</v>
      </c>
      <c r="D4538" s="3">
        <v>1.0</v>
      </c>
    </row>
    <row r="4539" ht="15.75" customHeight="1">
      <c r="A4539" s="1">
        <v>4853.0</v>
      </c>
      <c r="B4539" s="3" t="s">
        <v>4348</v>
      </c>
      <c r="C4539" s="3" t="str">
        <f>IFERROR(__xludf.DUMMYFUNCTION("GOOGLETRANSLATE(B4539,""id"",""en"")"),"['Log', 'difficult', 'sent', 'Link', 'right', 'opened', 'link', 'tetep', 'open', 'the application', 'severe', 'really', ' ']")</f>
        <v>['Log', 'difficult', 'sent', 'Link', 'right', 'opened', 'link', 'tetep', 'open', 'the application', 'severe', 'really', ' ']</v>
      </c>
      <c r="D4539" s="3">
        <v>1.0</v>
      </c>
    </row>
    <row r="4540" ht="15.75" customHeight="1">
      <c r="A4540" s="1">
        <v>4854.0</v>
      </c>
      <c r="B4540" s="3" t="s">
        <v>4349</v>
      </c>
      <c r="C4540" s="3" t="str">
        <f>IFERROR(__xludf.DUMMYFUNCTION("GOOGLETRANSLATE(B4540,""id"",""en"")"),"['Please', 'Telkomsel', 'already', 'disorder', 'Muluk', 'cave', 'buy', 'package', 'signal', 'cheap', 'pig', 'pig']")</f>
        <v>['Please', 'Telkomsel', 'already', 'disorder', 'Muluk', 'cave', 'buy', 'package', 'signal', 'cheap', 'pig', 'pig']</v>
      </c>
      <c r="D4540" s="3">
        <v>5.0</v>
      </c>
    </row>
    <row r="4541" ht="15.75" customHeight="1">
      <c r="A4541" s="1">
        <v>4855.0</v>
      </c>
      <c r="B4541" s="3" t="s">
        <v>4350</v>
      </c>
      <c r="C4541" s="3" t="str">
        <f>IFERROR(__xludf.DUMMYFUNCTION("GOOGLETRANSLATE(B4541,""id"",""en"")"),"['', 'Good', 'makes it easy', 'information', '']")</f>
        <v>['', 'Good', 'makes it easy', 'information', '']</v>
      </c>
      <c r="D4541" s="3">
        <v>5.0</v>
      </c>
    </row>
    <row r="4542" ht="15.75" customHeight="1">
      <c r="A4542" s="1">
        <v>4856.0</v>
      </c>
      <c r="B4542" s="3" t="s">
        <v>4351</v>
      </c>
      <c r="C4542" s="3" t="str">
        <f>IFERROR(__xludf.DUMMYFUNCTION("GOOGLETRANSLATE(B4542,""id"",""en"")"),"['good', 'application', 'school', 'online', 'like', 'gini', 'pandemic', 'hang', 'task', 'Google', 'classroom', 'zooom', ' Google ',' Meet ',' Anyway ',' Application ',' Help ',' Over ',' Thank you ', ""]")</f>
        <v>['good', 'application', 'school', 'online', 'like', 'gini', 'pandemic', 'hang', 'task', 'Google', 'classroom', 'zooom', ' Google ',' Meet ',' Anyway ',' Application ',' Help ',' Over ',' Thank you ', "]</v>
      </c>
      <c r="D4542" s="3">
        <v>5.0</v>
      </c>
    </row>
    <row r="4543" ht="15.75" customHeight="1">
      <c r="A4543" s="1">
        <v>4857.0</v>
      </c>
      <c r="B4543" s="3" t="s">
        <v>4352</v>
      </c>
      <c r="C4543" s="3" t="str">
        <f>IFERROR(__xludf.DUMMYFUNCTION("GOOGLETRANSLATE(B4543,""id"",""en"")"),"['Network', 'Telkomsel', 'bad', 'violated', 'disappointed', 'district', 'bone']")</f>
        <v>['Network', 'Telkomsel', 'bad', 'violated', 'disappointed', 'district', 'bone']</v>
      </c>
      <c r="D4543" s="3">
        <v>1.0</v>
      </c>
    </row>
    <row r="4544" ht="15.75" customHeight="1">
      <c r="A4544" s="1">
        <v>4858.0</v>
      </c>
      <c r="B4544" s="3" t="s">
        <v>4353</v>
      </c>
      <c r="C4544" s="3" t="str">
        <f>IFERROR(__xludf.DUMMYFUNCTION("GOOGLETRANSLATE(B4544,""id"",""en"")"),"['Good', 'difficult', 'login', 'yaa']")</f>
        <v>['Good', 'difficult', 'login', 'yaa']</v>
      </c>
      <c r="D4544" s="3">
        <v>5.0</v>
      </c>
    </row>
    <row r="4545" ht="15.75" customHeight="1">
      <c r="A4545" s="1">
        <v>4859.0</v>
      </c>
      <c r="B4545" s="3" t="s">
        <v>4354</v>
      </c>
      <c r="C4545" s="3" t="str">
        <f>IFERROR(__xludf.DUMMYFUNCTION("GOOGLETRANSLATE(B4545,""id"",""en"")"),"['Assessment', 'Service', 'Telkomsel', 'Quality', 'Signal', 'Connection', 'Network', 'Price', 'Package', 'Data', 'Telkomsel', 'Cheap', ' Customers', 'Service', 'Friendly', 'Thank you', 'Telkomsel', 'Hopefully', 'Developing', 'Telkomsel', 'Telkomsel', 'Jay"&amp;"a', 'Jaya', 'Jaya', ""]")</f>
        <v>['Assessment', 'Service', 'Telkomsel', 'Quality', 'Signal', 'Connection', 'Network', 'Price', 'Package', 'Data', 'Telkomsel', 'Cheap', ' Customers', 'Service', 'Friendly', 'Thank you', 'Telkomsel', 'Hopefully', 'Developing', 'Telkomsel', 'Telkomsel', 'Jaya', 'Jaya', 'Jaya', "]</v>
      </c>
      <c r="D4545" s="3">
        <v>5.0</v>
      </c>
    </row>
    <row r="4546" ht="15.75" customHeight="1">
      <c r="A4546" s="1">
        <v>4860.0</v>
      </c>
      <c r="B4546" s="3" t="s">
        <v>1498</v>
      </c>
      <c r="C4546" s="3" t="str">
        <f>IFERROR(__xludf.DUMMYFUNCTION("GOOGLETRANSLATE(B4546,""id"",""en"")"),"['Application', 'Helpful']")</f>
        <v>['Application', 'Helpful']</v>
      </c>
      <c r="D4546" s="3">
        <v>5.0</v>
      </c>
    </row>
    <row r="4547" ht="15.75" customHeight="1">
      <c r="A4547" s="1">
        <v>4862.0</v>
      </c>
      <c r="B4547" s="3" t="s">
        <v>4355</v>
      </c>
      <c r="C4547" s="3" t="str">
        <f>IFERROR(__xludf.DUMMYFUNCTION("GOOGLETRANSLATE(B4547,""id"",""en"")"),"['Points',' trs', 'pdhl', 'already', 'fill in', 'buy', 'package', 'must be', 'extra', 'point', 'please', 'error', ' Fix ',' Wait ',' Corruption ',' Thank you ']")</f>
        <v>['Points',' trs', 'pdhl', 'already', 'fill in', 'buy', 'package', 'must be', 'extra', 'point', 'please', 'error', ' Fix ',' Wait ',' Corruption ',' Thank you ']</v>
      </c>
      <c r="D4547" s="3">
        <v>4.0</v>
      </c>
    </row>
    <row r="4548" ht="15.75" customHeight="1">
      <c r="A4548" s="1">
        <v>4863.0</v>
      </c>
      <c r="B4548" s="3" t="s">
        <v>4356</v>
      </c>
      <c r="C4548" s="3" t="str">
        <f>IFERROR(__xludf.DUMMYFUNCTION("GOOGLETRANSLATE(B4548,""id"",""en"")"),"['signal', 'bored', 'Telkomsel', 'really', 'signal', 'lag', 'trs', 'already', 'waste']")</f>
        <v>['signal', 'bored', 'Telkomsel', 'really', 'signal', 'lag', 'trs', 'already', 'waste']</v>
      </c>
      <c r="D4548" s="3">
        <v>1.0</v>
      </c>
    </row>
    <row r="4549" ht="15.75" customHeight="1">
      <c r="A4549" s="1">
        <v>4864.0</v>
      </c>
      <c r="B4549" s="3" t="s">
        <v>4357</v>
      </c>
      <c r="C4549" s="3" t="str">
        <f>IFERROR(__xludf.DUMMYFUNCTION("GOOGLETRANSLATE(B4549,""id"",""en"")"),"['AKP', 'good', 'really', 'serious']")</f>
        <v>['AKP', 'good', 'really', 'serious']</v>
      </c>
      <c r="D4549" s="3">
        <v>1.0</v>
      </c>
    </row>
    <row r="4550" ht="15.75" customHeight="1">
      <c r="A4550" s="1">
        <v>4865.0</v>
      </c>
      <c r="B4550" s="3" t="s">
        <v>4358</v>
      </c>
      <c r="C4550" s="3" t="str">
        <f>IFERROR(__xludf.DUMMYFUNCTION("GOOGLETRANSLATE(B4550,""id"",""en"")"),"['Telkomsel', 'strange', 'quota', 'internet', 'pulse', 'reduced']")</f>
        <v>['Telkomsel', 'strange', 'quota', 'internet', 'pulse', 'reduced']</v>
      </c>
      <c r="D4550" s="3">
        <v>1.0</v>
      </c>
    </row>
    <row r="4551" ht="15.75" customHeight="1">
      <c r="A4551" s="1">
        <v>4866.0</v>
      </c>
      <c r="B4551" s="3" t="s">
        <v>4359</v>
      </c>
      <c r="C4551" s="3" t="str">
        <f>IFERROR(__xludf.DUMMYFUNCTION("GOOGLETRANSLATE(B4551,""id"",""en"")"),"['Severe', 'Network', 'Change']")</f>
        <v>['Severe', 'Network', 'Change']</v>
      </c>
      <c r="D4551" s="3">
        <v>1.0</v>
      </c>
    </row>
    <row r="4552" ht="15.75" customHeight="1">
      <c r="A4552" s="1">
        <v>4867.0</v>
      </c>
      <c r="B4552" s="3" t="s">
        <v>4360</v>
      </c>
      <c r="C4552" s="3" t="str">
        <f>IFERROR(__xludf.DUMMYFUNCTION("GOOGLETRANSLATE(B4552,""id"",""en"")"),"['Please', 'Telkomsel', 'staff', 'staff', 'along with', 'rank', 'honorable', 'Please', 'fix', 'active', 'purchase', 'package', ' Data ',' customers', 'Telkomsel', 'buy', 'package', 'buy', 'package', 'date', 'run out', 'date', 'run out', 'his time', 'subsc"&amp;"ription' , 'many years', '']")</f>
        <v>['Please', 'Telkomsel', 'staff', 'staff', 'along with', 'rank', 'honorable', 'Please', 'fix', 'active', 'purchase', 'package', ' Data ',' customers', 'Telkomsel', 'buy', 'package', 'buy', 'package', 'date', 'run out', 'date', 'run out', 'his time', 'subscription' , 'many years', '']</v>
      </c>
      <c r="D4552" s="3">
        <v>2.0</v>
      </c>
    </row>
    <row r="4553" ht="15.75" customHeight="1">
      <c r="A4553" s="1">
        <v>4868.0</v>
      </c>
      <c r="B4553" s="3" t="s">
        <v>4361</v>
      </c>
      <c r="C4553" s="3" t="str">
        <f>IFERROR(__xludf.DUMMYFUNCTION("GOOGLETRANSLATE(B4553,""id"",""en"")"),"['Main', 'cheat', 'Open', 'Application', 'App', 'Products',' Telkomsel ',' Speed ​​',' Connection ',' Down ',' Drastic ',' Open ',' App ',' Telkomsel ',' Speed ​​',' buy ',' quota ',' quota ',' network ',' full ',' provider ',' cup ',' extensive ',' Gara "&amp;"',' moved ' , 'Provider', 'Change', 'WiFi', 'Indihome']")</f>
        <v>['Main', 'cheat', 'Open', 'Application', 'App', 'Products',' Telkomsel ',' Speed ​​',' Connection ',' Down ',' Drastic ',' Open ',' App ',' Telkomsel ',' Speed ​​',' buy ',' quota ',' quota ',' network ',' full ',' provider ',' cup ',' extensive ',' Gara ',' moved ' , 'Provider', 'Change', 'WiFi', 'Indihome']</v>
      </c>
      <c r="D4553" s="3">
        <v>1.0</v>
      </c>
    </row>
    <row r="4554" ht="15.75" customHeight="1">
      <c r="A4554" s="1">
        <v>4870.0</v>
      </c>
      <c r="B4554" s="3" t="s">
        <v>4362</v>
      </c>
      <c r="C4554" s="3" t="str">
        <f>IFERROR(__xludf.DUMMYFUNCTION("GOOGLETRANSLATE(B4554,""id"",""en"")"),"['Excuse me', 'sorry', 'sya', 'ksh', 'star', 'krna', 'telkomsel', 'bgs', 'sya', 'tdi', 'bli', 'wrong' Film ',' Play ',' Film ',' Price ',' Quotes', 'Cheap', 'TPI', 'PDUS', 'Sya', 'Quotes',' Jdi ',' Tlong ',' Fix ' , 'Sya', 'buy', 'film', 'Tlong', 'fix', '"&amp;"lgi', 'telkomsel', 'sya', 'say goodbye', 'dlu', ""]")</f>
        <v>['Excuse me', 'sorry', 'sya', 'ksh', 'star', 'krna', 'telkomsel', 'bgs', 'sya', 'tdi', 'bli', 'wrong' Film ',' Play ',' Film ',' Price ',' Quotes', 'Cheap', 'TPI', 'PDUS', 'Sya', 'Quotes',' Jdi ',' Tlong ',' Fix ' , 'Sya', 'buy', 'film', 'Tlong', 'fix', 'lgi', 'telkomsel', 'sya', 'say goodbye', 'dlu', "]</v>
      </c>
      <c r="D4554" s="3">
        <v>1.0</v>
      </c>
    </row>
    <row r="4555" ht="15.75" customHeight="1">
      <c r="A4555" s="1">
        <v>4871.0</v>
      </c>
      <c r="B4555" s="3" t="s">
        <v>4363</v>
      </c>
      <c r="C4555" s="3" t="str">
        <f>IFERROR(__xludf.DUMMYFUNCTION("GOOGLETRANSLATE(B4555,""id"",""en"")"),"['The network', 'slow', 'quota']")</f>
        <v>['The network', 'slow', 'quota']</v>
      </c>
      <c r="D4555" s="3">
        <v>4.0</v>
      </c>
    </row>
    <row r="4556" ht="15.75" customHeight="1">
      <c r="A4556" s="1">
        <v>4872.0</v>
      </c>
      <c r="B4556" s="3" t="s">
        <v>4364</v>
      </c>
      <c r="C4556" s="3" t="str">
        <f>IFERROR(__xludf.DUMMYFUNCTION("GOOGLETRANSLATE(B4556,""id"",""en"")"),"['like', 'Sasya', 'like']")</f>
        <v>['like', 'Sasya', 'like']</v>
      </c>
      <c r="D4556" s="3">
        <v>4.0</v>
      </c>
    </row>
    <row r="4557" ht="15.75" customHeight="1">
      <c r="A4557" s="1">
        <v>4873.0</v>
      </c>
      <c r="B4557" s="3" t="s">
        <v>4365</v>
      </c>
      <c r="C4557" s="3" t="str">
        <f>IFERROR(__xludf.DUMMYFUNCTION("GOOGLETRANSLATE(B4557,""id"",""en"")"),"['Provider', 'play', 'game', 'signal', 'ilang', 'dri', 'directly', 'disappear', 'signal', 'ggwp', 'emang', 'provider']")</f>
        <v>['Provider', 'play', 'game', 'signal', 'ilang', 'dri', 'directly', 'disappear', 'signal', 'ggwp', 'emang', 'provider']</v>
      </c>
      <c r="D4557" s="3">
        <v>1.0</v>
      </c>
    </row>
    <row r="4558" ht="15.75" customHeight="1">
      <c r="A4558" s="1">
        <v>4874.0</v>
      </c>
      <c r="B4558" s="3" t="s">
        <v>4366</v>
      </c>
      <c r="C4558" s="3" t="str">
        <f>IFERROR(__xludf.DUMMYFUNCTION("GOOGLETRANSLATE(B4558,""id"",""en"")"),"['already', 'Taun', 'Telkomsel', 'Disappointed', 'Hmpir', 'Signal', 'Bad', 'Disappointed', 'Severe']")</f>
        <v>['already', 'Taun', 'Telkomsel', 'Disappointed', 'Hmpir', 'Signal', 'Bad', 'Disappointed', 'Severe']</v>
      </c>
      <c r="D4558" s="3">
        <v>1.0</v>
      </c>
    </row>
    <row r="4559" ht="15.75" customHeight="1">
      <c r="A4559" s="1">
        <v>4875.0</v>
      </c>
      <c r="B4559" s="3" t="s">
        <v>4367</v>
      </c>
      <c r="C4559" s="3" t="str">
        <f>IFERROR(__xludf.DUMMYFUNCTION("GOOGLETRANSLATE(B4559,""id"",""en"")"),"['expensive', 'internet']")</f>
        <v>['expensive', 'internet']</v>
      </c>
      <c r="D4559" s="3">
        <v>2.0</v>
      </c>
    </row>
    <row r="4560" ht="15.75" customHeight="1">
      <c r="A4560" s="1">
        <v>4876.0</v>
      </c>
      <c r="B4560" s="3" t="s">
        <v>4368</v>
      </c>
      <c r="C4560" s="3" t="str">
        <f>IFERROR(__xludf.DUMMYFUNCTION("GOOGLETRANSLATE(B4560,""id"",""en"")"),"['Krg', 'Login', 'reset', 'Ribet']")</f>
        <v>['Krg', 'Login', 'reset', 'Ribet']</v>
      </c>
      <c r="D4560" s="3">
        <v>2.0</v>
      </c>
    </row>
    <row r="4561" ht="15.75" customHeight="1">
      <c r="A4561" s="1">
        <v>4877.0</v>
      </c>
      <c r="B4561" s="3" t="s">
        <v>4369</v>
      </c>
      <c r="C4561" s="3" t="str">
        <f>IFERROR(__xludf.DUMMYFUNCTION("GOOGLETRANSLATE(B4561,""id"",""en"")"),"['The application', 'ugly', 'cook', 'buy', 'package', 'nlfn', 'ajh', 'pulse', 'sufficient']")</f>
        <v>['The application', 'ugly', 'cook', 'buy', 'package', 'nlfn', 'ajh', 'pulse', 'sufficient']</v>
      </c>
      <c r="D4561" s="3">
        <v>1.0</v>
      </c>
    </row>
    <row r="4562" ht="15.75" customHeight="1">
      <c r="A4562" s="1">
        <v>4878.0</v>
      </c>
      <c r="B4562" s="3" t="s">
        <v>4370</v>
      </c>
      <c r="C4562" s="3" t="str">
        <f>IFERROR(__xludf.DUMMYFUNCTION("GOOGLETRANSLATE(B4562,""id"",""en"")"),"['The network', 'good', 'really', 'already', 'promo']")</f>
        <v>['The network', 'good', 'really', 'already', 'promo']</v>
      </c>
      <c r="D4562" s="3">
        <v>5.0</v>
      </c>
    </row>
    <row r="4563" ht="15.75" customHeight="1">
      <c r="A4563" s="1">
        <v>4879.0</v>
      </c>
      <c r="B4563" s="3" t="s">
        <v>4371</v>
      </c>
      <c r="C4563" s="3" t="str">
        <f>IFERROR(__xludf.DUMMYFUNCTION("GOOGLETRANSLATE(B4563,""id"",""en"")"),"['Real', 'strange', 'real', 'package', 'quota', 'internet', 'habs',' barrier ',' automatic ',' data ',' dead ',' buy ',' TGL ',' SAMPE ',' TGL ',' HABS ']")</f>
        <v>['Real', 'strange', 'real', 'package', 'quota', 'internet', 'habs',' barrier ',' automatic ',' data ',' dead ',' buy ',' TGL ',' SAMPE ',' TGL ',' HABS ']</v>
      </c>
      <c r="D4563" s="3">
        <v>1.0</v>
      </c>
    </row>
    <row r="4564" ht="15.75" customHeight="1">
      <c r="A4564" s="1">
        <v>4880.0</v>
      </c>
      <c r="B4564" s="3" t="s">
        <v>4372</v>
      </c>
      <c r="C4564" s="3" t="str">
        <f>IFERROR(__xludf.DUMMYFUNCTION("GOOGLETRANSLATE(B4564,""id"",""en"")"),"['Love', 'Bintang', 'Network', 'Telkomsel', 'Semahin', 'Lalooood']")</f>
        <v>['Love', 'Bintang', 'Network', 'Telkomsel', 'Semahin', 'Lalooood']</v>
      </c>
      <c r="D4564" s="3">
        <v>1.0</v>
      </c>
    </row>
    <row r="4565" ht="15.75" customHeight="1">
      <c r="A4565" s="1">
        <v>4881.0</v>
      </c>
      <c r="B4565" s="3" t="s">
        <v>4373</v>
      </c>
      <c r="C4565" s="3" t="str">
        <f>IFERROR(__xludf.DUMMYFUNCTION("GOOGLETRANSLATE(B4565,""id"",""en"")"),"['easy', 'package', 'complete', 'display', 'interesting', 'fast', 'package', 'Telkomsel', 'Different', 'package', '']")</f>
        <v>['easy', 'package', 'complete', 'display', 'interesting', 'fast', 'package', 'Telkomsel', 'Different', 'package', '']</v>
      </c>
      <c r="D4565" s="3">
        <v>4.0</v>
      </c>
    </row>
    <row r="4566" ht="15.75" customHeight="1">
      <c r="A4566" s="1">
        <v>4884.0</v>
      </c>
      <c r="B4566" s="3" t="s">
        <v>4374</v>
      </c>
      <c r="C4566" s="3" t="str">
        <f>IFERROR(__xludf.DUMMYFUNCTION("GOOGLETRANSLATE(B4566,""id"",""en"")"),"['users', 'Telkomsel', 'yrs', 'location', '']")</f>
        <v>['users', 'Telkomsel', 'yrs', 'location', '']</v>
      </c>
      <c r="D4566" s="3">
        <v>5.0</v>
      </c>
    </row>
    <row r="4567" ht="15.75" customHeight="1">
      <c r="A4567" s="1">
        <v>4885.0</v>
      </c>
      <c r="B4567" s="3" t="s">
        <v>4375</v>
      </c>
      <c r="C4567" s="3" t="str">
        <f>IFERROR(__xludf.DUMMYFUNCTION("GOOGLETRANSLATE(B4567,""id"",""en"")"),"['SYG', 'Rating', 'stengah', 'star', 'Dongkol', 'keki', 'contents',' expensive ',' combo ',' Sakti ',' bad ',' signal ',' Green ',' Lake ',' Cman ',' Win ',' expensive ',' proof ',' signal ',' line ',' pdhal ',' quota ',' lbh ',' GB ',' fix ' , 'Have', 'o"&amp;"rg', 'contents', 'quota', 'expensive', 'promo', 'disappointed', '']")</f>
        <v>['SYG', 'Rating', 'stengah', 'star', 'Dongkol', 'keki', 'contents',' expensive ',' combo ',' Sakti ',' bad ',' signal ',' Green ',' Lake ',' Cman ',' Win ',' expensive ',' proof ',' signal ',' line ',' pdhal ',' quota ',' lbh ',' GB ',' fix ' , 'Have', 'org', 'contents', 'quota', 'expensive', 'promo', 'disappointed', '']</v>
      </c>
      <c r="D4567" s="3">
        <v>1.0</v>
      </c>
    </row>
    <row r="4568" ht="15.75" customHeight="1">
      <c r="A4568" s="1">
        <v>4886.0</v>
      </c>
      <c r="B4568" s="3" t="s">
        <v>4376</v>
      </c>
      <c r="C4568" s="3" t="str">
        <f>IFERROR(__xludf.DUMMYFUNCTION("GOOGLETRANSLATE(B4568,""id"",""en"")"),"['Good', 'Mandawe', 'Indihomo', 'Makh', 'mandatory', 'card']")</f>
        <v>['Good', 'Mandawe', 'Indihomo', 'Makh', 'mandatory', 'card']</v>
      </c>
      <c r="D4568" s="3">
        <v>5.0</v>
      </c>
    </row>
    <row r="4569" ht="15.75" customHeight="1">
      <c r="A4569" s="1">
        <v>4887.0</v>
      </c>
      <c r="B4569" s="3" t="s">
        <v>4377</v>
      </c>
      <c r="C4569" s="3" t="str">
        <f>IFERROR(__xludf.DUMMYFUNCTION("GOOGLETRANSLATE(B4569,""id"",""en"")"),"['The process', 'easy']")</f>
        <v>['The process', 'easy']</v>
      </c>
      <c r="D4569" s="3">
        <v>5.0</v>
      </c>
    </row>
    <row r="4570" ht="15.75" customHeight="1">
      <c r="A4570" s="1">
        <v>4888.0</v>
      </c>
      <c r="B4570" s="3" t="s">
        <v>4378</v>
      </c>
      <c r="C4570" s="3" t="str">
        <f>IFERROR(__xludf.DUMMYFUNCTION("GOOGLETRANSLATE(B4570,""id"",""en"")"),"['Telkomsel', 'transaction', 'failed', 'please', 'count', 'Males', 'Telkomsel', 'compared to', 'operator']")</f>
        <v>['Telkomsel', 'transaction', 'failed', 'please', 'count', 'Males', 'Telkomsel', 'compared to', 'operator']</v>
      </c>
      <c r="D4570" s="3">
        <v>1.0</v>
      </c>
    </row>
    <row r="4571" ht="15.75" customHeight="1">
      <c r="A4571" s="1">
        <v>4889.0</v>
      </c>
      <c r="B4571" s="3" t="s">
        <v>4379</v>
      </c>
      <c r="C4571" s="3" t="str">
        <f>IFERROR(__xludf.DUMMYFUNCTION("GOOGLETRANSLATE(B4571,""id"",""en"")"),"['already', 'sympathy', 'data', 'Tetep', 'Severe', 'Discard', 'Money', 'Pay', 'Package', 'lag', 'Severe', 'according to' Price ',' Dintandan ',' Sangaaatt ',' Disappointed ',' Telkomsel ']")</f>
        <v>['already', 'sympathy', 'data', 'Tetep', 'Severe', 'Discard', 'Money', 'Pay', 'Package', 'lag', 'Severe', 'according to' Price ',' Dintandan ',' Sangaaatt ',' Disappointed ',' Telkomsel ']</v>
      </c>
      <c r="D4571" s="3">
        <v>1.0</v>
      </c>
    </row>
    <row r="4572" ht="15.75" customHeight="1">
      <c r="A4572" s="1">
        <v>4890.0</v>
      </c>
      <c r="B4572" s="3" t="s">
        <v>4380</v>
      </c>
      <c r="C4572" s="3" t="str">
        <f>IFERROR(__xludf.DUMMYFUNCTION("GOOGLETRANSLATE(B4572,""id"",""en"")"),"['fast', 'charging', 'package', 'data', 'pulses', 'price', 'package', 'data', 'please', 'promote', ""]")</f>
        <v>['fast', 'charging', 'package', 'data', 'pulses', 'price', 'package', 'data', 'please', 'promote', "]</v>
      </c>
      <c r="D4572" s="3">
        <v>5.0</v>
      </c>
    </row>
    <row r="4573" ht="15.75" customHeight="1">
      <c r="A4573" s="1">
        <v>4891.0</v>
      </c>
      <c r="B4573" s="3" t="s">
        <v>4381</v>
      </c>
      <c r="C4573" s="3" t="str">
        <f>IFERROR(__xludf.DUMMYFUNCTION("GOOGLETRANSLATE(B4573,""id"",""en"")"),"['Help', 'process', 'limit', 'fast', 'special', 'mbak', 'cs', 'friendly', 'really', 'good', 'joob']")</f>
        <v>['Help', 'process', 'limit', 'fast', 'special', 'mbak', 'cs', 'friendly', 'really', 'good', 'joob']</v>
      </c>
      <c r="D4573" s="3">
        <v>5.0</v>
      </c>
    </row>
    <row r="4574" ht="15.75" customHeight="1">
      <c r="A4574" s="1">
        <v>4893.0</v>
      </c>
      <c r="B4574" s="3" t="s">
        <v>4382</v>
      </c>
      <c r="C4574" s="3" t="str">
        <f>IFERROR(__xludf.DUMMYFUNCTION("GOOGLETRANSLATE(B4574,""id"",""en"")"),"['', 'Telkomsel', 'best']")</f>
        <v>['', 'Telkomsel', 'best']</v>
      </c>
      <c r="D4574" s="3">
        <v>5.0</v>
      </c>
    </row>
    <row r="4575" ht="15.75" customHeight="1">
      <c r="A4575" s="1">
        <v>4894.0</v>
      </c>
      <c r="B4575" s="3" t="s">
        <v>4383</v>
      </c>
      <c r="C4575" s="3" t="str">
        <f>IFERROR(__xludf.DUMMYFUNCTION("GOOGLETRANSLATE(B4575,""id"",""en"")"),"['thank you', 'facilitates', 'access', 'package', 'data', 'application', 'MyTelkomsel', 'Jaya']")</f>
        <v>['thank you', 'facilitates', 'access', 'package', 'data', 'application', 'MyTelkomsel', 'Jaya']</v>
      </c>
      <c r="D4575" s="3">
        <v>5.0</v>
      </c>
    </row>
    <row r="4576" ht="15.75" customHeight="1">
      <c r="A4576" s="1">
        <v>4895.0</v>
      </c>
      <c r="B4576" s="3" t="s">
        <v>4384</v>
      </c>
      <c r="C4576" s="3" t="str">
        <f>IFERROR(__xludf.DUMMYFUNCTION("GOOGLETRANSLATE(B4576,""id"",""en"")"),"['', 'Telkomsel', 'ugly', 'pulse', 'missing', 'usage', '']")</f>
        <v>['', 'Telkomsel', 'ugly', 'pulse', 'missing', 'usage', '']</v>
      </c>
      <c r="D4576" s="3">
        <v>1.0</v>
      </c>
    </row>
    <row r="4577" ht="15.75" customHeight="1">
      <c r="A4577" s="1">
        <v>4896.0</v>
      </c>
      <c r="B4577" s="3" t="s">
        <v>4385</v>
      </c>
      <c r="C4577" s="3" t="str">
        <f>IFERROR(__xludf.DUMMYFUNCTION("GOOGLETRANSLATE(B4577,""id"",""en"")"),"['Application', 'Helpful', '']")</f>
        <v>['Application', 'Helpful', '']</v>
      </c>
      <c r="D4577" s="3">
        <v>3.0</v>
      </c>
    </row>
    <row r="4578" ht="15.75" customHeight="1">
      <c r="A4578" s="1">
        <v>4897.0</v>
      </c>
      <c r="B4578" s="3" t="s">
        <v>4386</v>
      </c>
      <c r="C4578" s="3" t="str">
        <f>IFERROR(__xludf.DUMMYFUNCTION("GOOGLETRANSLATE(B4578,""id"",""en"")"),"['quota', 'cheap', 'cheerful', ""]")</f>
        <v>['quota', 'cheap', 'cheerful', "]</v>
      </c>
      <c r="D4578" s="3">
        <v>5.0</v>
      </c>
    </row>
    <row r="4579" ht="15.75" customHeight="1">
      <c r="A4579" s="1">
        <v>4898.0</v>
      </c>
      <c r="B4579" s="3" t="s">
        <v>4387</v>
      </c>
      <c r="C4579" s="3" t="str">
        <f>IFERROR(__xludf.DUMMYFUNCTION("GOOGLETRANSLATE(B4579,""id"",""en"")"),"['easy', 'network', 'wide']")</f>
        <v>['easy', 'network', 'wide']</v>
      </c>
      <c r="D4579" s="3">
        <v>5.0</v>
      </c>
    </row>
    <row r="4580" ht="15.75" customHeight="1">
      <c r="A4580" s="1">
        <v>4899.0</v>
      </c>
      <c r="B4580" s="3" t="s">
        <v>4388</v>
      </c>
      <c r="C4580" s="3" t="str">
        <f>IFERROR(__xludf.DUMMYFUNCTION("GOOGLETRANSLATE(B4580,""id"",""en"")"),"['Fun', 'really', 'deh', 'opening', 'notif', 'sound', 'great', '']")</f>
        <v>['Fun', 'really', 'deh', 'opening', 'notif', 'sound', 'great', '']</v>
      </c>
      <c r="D4580" s="3">
        <v>5.0</v>
      </c>
    </row>
    <row r="4581" ht="15.75" customHeight="1">
      <c r="A4581" s="1">
        <v>4900.0</v>
      </c>
      <c r="B4581" s="3" t="s">
        <v>4389</v>
      </c>
      <c r="C4581" s="3" t="str">
        <f>IFERROR(__xludf.DUMMYFUNCTION("GOOGLETRANSLATE(B4581,""id"",""en"")"),"['Telkomsel', 'TOP']")</f>
        <v>['Telkomsel', 'TOP']</v>
      </c>
      <c r="D4581" s="3">
        <v>5.0</v>
      </c>
    </row>
    <row r="4582" ht="15.75" customHeight="1">
      <c r="A4582" s="1">
        <v>4901.0</v>
      </c>
      <c r="B4582" s="3" t="s">
        <v>4390</v>
      </c>
      <c r="C4582" s="3" t="str">
        <f>IFERROR(__xludf.DUMMYFUNCTION("GOOGLETRANSLATE(B4582,""id"",""en"")"),"['package', 'expensive', 'expensive', 'forgiveness',' cheap ',' think ',' citizen ',' Indonesia ',' rich ',' rich ',' money ',' buy ',' Package ',' expensive ',' expensive ',' quality ',' signal ',' bad ',' ']")</f>
        <v>['package', 'expensive', 'expensive', 'forgiveness',' cheap ',' think ',' citizen ',' Indonesia ',' rich ',' rich ',' money ',' buy ',' Package ',' expensive ',' expensive ',' quality ',' signal ',' bad ',' ']</v>
      </c>
      <c r="D4582" s="3">
        <v>1.0</v>
      </c>
    </row>
    <row r="4583" ht="15.75" customHeight="1">
      <c r="A4583" s="1">
        <v>4902.0</v>
      </c>
      <c r="B4583" s="3" t="s">
        <v>2299</v>
      </c>
      <c r="C4583" s="3" t="str">
        <f>IFERROR(__xludf.DUMMYFUNCTION("GOOGLETRANSLATE(B4583,""id"",""en"")"),"['Application', 'Help']")</f>
        <v>['Application', 'Help']</v>
      </c>
      <c r="D4583" s="3">
        <v>5.0</v>
      </c>
    </row>
    <row r="4584" ht="15.75" customHeight="1">
      <c r="A4584" s="1">
        <v>4903.0</v>
      </c>
      <c r="B4584" s="3" t="s">
        <v>4391</v>
      </c>
      <c r="C4584" s="3" t="str">
        <f>IFERROR(__xludf.DUMMYFUNCTION("GOOGLETRANSLATE(B4584,""id"",""en"")"),"['Lanjay', 'Where', 'Application', 'Cool', 'Benefits', 'Gift']")</f>
        <v>['Lanjay', 'Where', 'Application', 'Cool', 'Benefits', 'Gift']</v>
      </c>
      <c r="D4584" s="3">
        <v>5.0</v>
      </c>
    </row>
    <row r="4585" ht="15.75" customHeight="1">
      <c r="A4585" s="1">
        <v>4905.0</v>
      </c>
      <c r="B4585" s="3" t="s">
        <v>4392</v>
      </c>
      <c r="C4585" s="3" t="str">
        <f>IFERROR(__xludf.DUMMYFUNCTION("GOOGLETRANSLATE(B4585,""id"",""en"")"),"['ksh', 'because', 'user', 'satisfied', 'application', 'skrg', 'saiya', 'natural', 'apk', 'satisfying', 'star', 'segini', ' saiya ',' ksh ',' pusying ',' ']")</f>
        <v>['ksh', 'because', 'user', 'satisfied', 'application', 'skrg', 'saiya', 'natural', 'apk', 'satisfying', 'star', 'segini', ' saiya ',' ksh ',' pusying ',' ']</v>
      </c>
      <c r="D4585" s="3">
        <v>1.0</v>
      </c>
    </row>
    <row r="4586" ht="15.75" customHeight="1">
      <c r="A4586" s="1">
        <v>4906.0</v>
      </c>
      <c r="B4586" s="3" t="s">
        <v>4393</v>
      </c>
      <c r="C4586" s="3" t="str">
        <f>IFERROR(__xludf.DUMMYFUNCTION("GOOGLETRANSLATE(B4586,""id"",""en"")"),"['', 'error', 'application']")</f>
        <v>['', 'error', 'application']</v>
      </c>
      <c r="D4586" s="3">
        <v>1.0</v>
      </c>
    </row>
    <row r="4587" ht="15.75" customHeight="1">
      <c r="A4587" s="1">
        <v>4907.0</v>
      </c>
      <c r="B4587" s="3" t="s">
        <v>4394</v>
      </c>
      <c r="C4587" s="3" t="str">
        <f>IFERROR(__xludf.DUMMYFUNCTION("GOOGLETRANSLATE(B4587,""id"",""en"")"),"['thank', 'love', 'Sis', 'already', 'good', 'love', 'repaired', 'thank', 'love']")</f>
        <v>['thank', 'love', 'Sis', 'already', 'good', 'love', 'repaired', 'thank', 'love']</v>
      </c>
      <c r="D4587" s="3">
        <v>5.0</v>
      </c>
    </row>
    <row r="4588" ht="15.75" customHeight="1">
      <c r="A4588" s="1">
        <v>4908.0</v>
      </c>
      <c r="B4588" s="3" t="s">
        <v>4395</v>
      </c>
      <c r="C4588" s="3" t="str">
        <f>IFERROR(__xludf.DUMMYFUNCTION("GOOGLETRANSLATE(B4588,""id"",""en"")"),"['please', 'multiply', 'accessible', 'quota', 'unlimited', 'games',' game ',' online ',' access', 'one', 'piece', 'bounty', ' Rush ',' pub ',' mobile ',' etc. ',' trimakasih ', ""]")</f>
        <v>['please', 'multiply', 'accessible', 'quota', 'unlimited', 'games',' game ',' online ',' access', 'one', 'piece', 'bounty', ' Rush ',' pub ',' mobile ',' etc. ',' trimakasih ', "]</v>
      </c>
      <c r="D4588" s="3">
        <v>5.0</v>
      </c>
    </row>
    <row r="4589" ht="15.75" customHeight="1">
      <c r="A4589" s="1">
        <v>4909.0</v>
      </c>
      <c r="B4589" s="3" t="s">
        <v>4396</v>
      </c>
      <c r="C4589" s="3" t="str">
        <f>IFERROR(__xludf.DUMMYFUNCTION("GOOGLETRANSLATE(B4589,""id"",""en"")"),"['devannn', 'emotion', 'network', 'job', 'admin', 'tlonglah', 'network', 'fix', 'open', 'application', 'mytelkomsel', 'update', ' network ',' repaired ',' lucky ',' doang ',' mah ',' telkomsel ']")</f>
        <v>['devannn', 'emotion', 'network', 'job', 'admin', 'tlonglah', 'network', 'fix', 'open', 'application', 'mytelkomsel', 'update', ' network ',' repaired ',' lucky ',' doang ',' mah ',' telkomsel ']</v>
      </c>
      <c r="D4589" s="3">
        <v>1.0</v>
      </c>
    </row>
    <row r="4590" ht="15.75" customHeight="1">
      <c r="A4590" s="1">
        <v>4910.0</v>
      </c>
      <c r="B4590" s="3" t="s">
        <v>4397</v>
      </c>
      <c r="C4590" s="3" t="str">
        <f>IFERROR(__xludf.DUMMYFUNCTION("GOOGLETRANSLATE(B4590,""id"",""en"")"),"['Times', 'Try', 'I hope', 'responded']")</f>
        <v>['Times', 'Try', 'I hope', 'responded']</v>
      </c>
      <c r="D4590" s="3">
        <v>2.0</v>
      </c>
    </row>
    <row r="4591" ht="15.75" customHeight="1">
      <c r="A4591" s="1">
        <v>4912.0</v>
      </c>
      <c r="B4591" s="3" t="s">
        <v>4398</v>
      </c>
      <c r="C4591" s="3" t="str">
        <f>IFERROR(__xludf.DUMMYFUNCTION("GOOGLETRANSLATE(B4591,""id"",""en"")"),"['Steady', 'Promosinya', 'TRIMS', 'Telkomsel']")</f>
        <v>['Steady', 'Promosinya', 'TRIMS', 'Telkomsel']</v>
      </c>
      <c r="D4591" s="3">
        <v>5.0</v>
      </c>
    </row>
    <row r="4592" ht="15.75" customHeight="1">
      <c r="A4592" s="1">
        <v>4913.0</v>
      </c>
      <c r="B4592" s="3" t="s">
        <v>4399</v>
      </c>
      <c r="C4592" s="3" t="str">
        <f>IFERROR(__xludf.DUMMYFUNCTION("GOOGLETRANSLATE(B4592,""id"",""en"")"),"['Package', 'Cheap', 'Combo', 'Sakti', 'Syg', 'APK', 'Bug', 'Enter', 'APK', 'Overcome', 'TRS', 'quota', ' CPT ',' run out ',' Speed ​​',' CPT ',' Gatau ',' ']")</f>
        <v>['Package', 'Cheap', 'Combo', 'Sakti', 'Syg', 'APK', 'Bug', 'Enter', 'APK', 'Overcome', 'TRS', 'quota', ' CPT ',' run out ',' Speed ​​',' CPT ',' Gatau ',' ']</v>
      </c>
      <c r="D4592" s="3">
        <v>5.0</v>
      </c>
    </row>
    <row r="4593" ht="15.75" customHeight="1">
      <c r="A4593" s="1">
        <v>4914.0</v>
      </c>
      <c r="B4593" s="3" t="s">
        <v>4400</v>
      </c>
      <c r="C4593" s="3" t="str">
        <f>IFERROR(__xludf.DUMMYFUNCTION("GOOGLETRANSLATE(B4593,""id"",""en"")"),"['Good', 'APK', 'Cool']")</f>
        <v>['Good', 'APK', 'Cool']</v>
      </c>
      <c r="D4593" s="3">
        <v>5.0</v>
      </c>
    </row>
    <row r="4594" ht="15.75" customHeight="1">
      <c r="A4594" s="1">
        <v>4915.0</v>
      </c>
      <c r="B4594" s="3" t="s">
        <v>4401</v>
      </c>
      <c r="C4594" s="3" t="str">
        <f>IFERROR(__xludf.DUMMYFUNCTION("GOOGLETRANSLATE(B4594,""id"",""en"")"),"['', 'Tellkomsel', 'boss', 'cheap', 'buy', 'pulse']")</f>
        <v>['', 'Tellkomsel', 'boss', 'cheap', 'buy', 'pulse']</v>
      </c>
      <c r="D4594" s="3">
        <v>5.0</v>
      </c>
    </row>
    <row r="4595" ht="15.75" customHeight="1">
      <c r="A4595" s="1">
        <v>4916.0</v>
      </c>
      <c r="B4595" s="3" t="s">
        <v>4402</v>
      </c>
      <c r="C4595" s="3" t="str">
        <f>IFERROR(__xludf.DUMMYFUNCTION("GOOGLETRANSLATE(B4595,""id"",""en"")"),"['UDH', 'Install', 'apk', 'Delete', 'Install', 'number', 'gabisa', 'list', 'APK', 'Telkomsel', ""]")</f>
        <v>['UDH', 'Install', 'apk', 'Delete', 'Install', 'number', 'gabisa', 'list', 'APK', 'Telkomsel', "]</v>
      </c>
      <c r="D4595" s="3">
        <v>1.0</v>
      </c>
    </row>
    <row r="4596" ht="15.75" customHeight="1">
      <c r="A4596" s="1">
        <v>4917.0</v>
      </c>
      <c r="B4596" s="3" t="s">
        <v>4403</v>
      </c>
      <c r="C4596" s="3" t="str">
        <f>IFERROR(__xludf.DUMMYFUNCTION("GOOGLETRANSLATE(B4596,""id"",""en"")"),"['Service', 'good', 'price', 'package', 'cheap']")</f>
        <v>['Service', 'good', 'price', 'package', 'cheap']</v>
      </c>
      <c r="D4596" s="3">
        <v>5.0</v>
      </c>
    </row>
    <row r="4597" ht="15.75" customHeight="1">
      <c r="A4597" s="1">
        <v>4918.0</v>
      </c>
      <c r="B4597" s="3" t="s">
        <v>4404</v>
      </c>
      <c r="C4597" s="3" t="str">
        <f>IFERROR(__xludf.DUMMYFUNCTION("GOOGLETRANSLATE(B4597,""id"",""en"")"),"['Help', 'user', 'loyal', 'Telkomsel']")</f>
        <v>['Help', 'user', 'loyal', 'Telkomsel']</v>
      </c>
      <c r="D4597" s="3">
        <v>4.0</v>
      </c>
    </row>
    <row r="4598" ht="15.75" customHeight="1">
      <c r="A4598" s="1">
        <v>4919.0</v>
      </c>
      <c r="B4598" s="3" t="s">
        <v>4405</v>
      </c>
      <c r="C4598" s="3" t="str">
        <f>IFERROR(__xludf.DUMMYFUNCTION("GOOGLETRANSLATE(B4598,""id"",""en"")"),"['flutter', 'Telkomsel', '']")</f>
        <v>['flutter', 'Telkomsel', '']</v>
      </c>
      <c r="D4598" s="3">
        <v>5.0</v>
      </c>
    </row>
    <row r="4599" ht="15.75" customHeight="1">
      <c r="A4599" s="1">
        <v>4920.0</v>
      </c>
      <c r="B4599" s="3" t="s">
        <v>4406</v>
      </c>
      <c r="C4599" s="3" t="str">
        <f>IFERROR(__xludf.DUMMYFUNCTION("GOOGLETRANSLATE(B4599,""id"",""en"")"),"['Satisfied', 'Helping', 'Thanks', 'Application', 'Telkomsel', '']")</f>
        <v>['Satisfied', 'Helping', 'Thanks', 'Application', 'Telkomsel', '']</v>
      </c>
      <c r="D4599" s="3">
        <v>5.0</v>
      </c>
    </row>
    <row r="4600" ht="15.75" customHeight="1">
      <c r="A4600" s="1">
        <v>4921.0</v>
      </c>
      <c r="B4600" s="3" t="s">
        <v>4407</v>
      </c>
      <c r="C4600" s="3" t="str">
        <f>IFERROR(__xludf.DUMMYFUNCTION("GOOGLETRANSLATE(B4600,""id"",""en"")"),"['Network', 'sometimes',' stable ',' price ',' package ',' quota ',' expensive ',' era ',' difficult ',' gini ',' Dinaikin ',' idiot ',' stupid']")</f>
        <v>['Network', 'sometimes',' stable ',' price ',' package ',' quota ',' expensive ',' era ',' difficult ',' gini ',' Dinaikin ',' idiot ',' stupid']</v>
      </c>
      <c r="D4600" s="3">
        <v>1.0</v>
      </c>
    </row>
    <row r="4601" ht="15.75" customHeight="1">
      <c r="A4601" s="1">
        <v>4922.0</v>
      </c>
      <c r="B4601" s="3" t="s">
        <v>4408</v>
      </c>
      <c r="C4601" s="3" t="str">
        <f>IFERROR(__xludf.DUMMYFUNCTION("GOOGLETRANSLATE(B4601,""id"",""en"")"),"['Telkomsel', 'poor']")</f>
        <v>['Telkomsel', 'poor']</v>
      </c>
      <c r="D4601" s="3">
        <v>5.0</v>
      </c>
    </row>
    <row r="4602" ht="15.75" customHeight="1">
      <c r="A4602" s="1">
        <v>4923.0</v>
      </c>
      <c r="B4602" s="3" t="s">
        <v>4409</v>
      </c>
      <c r="C4602" s="3" t="str">
        <f>IFERROR(__xludf.DUMMYFUNCTION("GOOGLETRANSLATE(B4602,""id"",""en"")"),"['Please', 'Switch', 'Point', 'Extra', 'Surprise', 'Quota', 'Failed', 'System', 'Busy', 'Try', 'Reach', 'Limit', ' Exchange ',' Please ',' Fix ',' ']")</f>
        <v>['Please', 'Switch', 'Point', 'Extra', 'Surprise', 'Quota', 'Failed', 'System', 'Busy', 'Try', 'Reach', 'Limit', ' Exchange ',' Please ',' Fix ',' ']</v>
      </c>
      <c r="D4602" s="3">
        <v>1.0</v>
      </c>
    </row>
    <row r="4603" ht="15.75" customHeight="1">
      <c r="A4603" s="1">
        <v>4924.0</v>
      </c>
      <c r="B4603" s="3" t="s">
        <v>137</v>
      </c>
      <c r="C4603" s="3" t="str">
        <f>IFERROR(__xludf.DUMMYFUNCTION("GOOGLETRANSLATE(B4603,""id"",""en"")"),"Of course")</f>
        <v>Of course</v>
      </c>
      <c r="D4603" s="3">
        <v>1.0</v>
      </c>
    </row>
    <row r="4604" ht="15.75" customHeight="1">
      <c r="A4604" s="1">
        <v>4925.0</v>
      </c>
      <c r="B4604" s="3" t="s">
        <v>4410</v>
      </c>
      <c r="C4604" s="3" t="str">
        <f>IFERROR(__xludf.DUMMYFUNCTION("GOOGLETRANSLATE(B4604,""id"",""en"")"),"['Please', 'System', 'Move', 'Telkomsel', 'Hello', 'Telkomsel']")</f>
        <v>['Please', 'System', 'Move', 'Telkomsel', 'Hello', 'Telkomsel']</v>
      </c>
      <c r="D4604" s="3">
        <v>2.0</v>
      </c>
    </row>
    <row r="4605" ht="15.75" customHeight="1">
      <c r="A4605" s="1">
        <v>4926.0</v>
      </c>
      <c r="B4605" s="3" t="s">
        <v>4411</v>
      </c>
      <c r="C4605" s="3" t="str">
        <f>IFERROR(__xludf.DUMMYFUNCTION("GOOGLETRANSLATE(B4605,""id"",""en"")"),"['Price', 'down', 'donk']")</f>
        <v>['Price', 'down', 'donk']</v>
      </c>
      <c r="D4605" s="3">
        <v>4.0</v>
      </c>
    </row>
    <row r="4606" ht="15.75" customHeight="1">
      <c r="A4606" s="1">
        <v>4927.0</v>
      </c>
      <c r="B4606" s="3" t="s">
        <v>4412</v>
      </c>
      <c r="C4606" s="3" t="str">
        <f>IFERROR(__xludf.DUMMYFUNCTION("GOOGLETRANSLATE(B4606,""id"",""en"")"),"['Network', 'internet', 'stable']")</f>
        <v>['Network', 'internet', 'stable']</v>
      </c>
      <c r="D4606" s="3">
        <v>5.0</v>
      </c>
    </row>
    <row r="4607" ht="15.75" customHeight="1">
      <c r="A4607" s="1">
        <v>4928.0</v>
      </c>
      <c r="B4607" s="3" t="s">
        <v>4413</v>
      </c>
      <c r="C4607" s="3" t="str">
        <f>IFERROR(__xludf.DUMMYFUNCTION("GOOGLETRANSLATE(B4607,""id"",""en"")"),"['Opposition', 'petrified', 'trimaxih', 'hope', 'success', 'amin', ""]")</f>
        <v>['Opposition', 'petrified', 'trimaxih', 'hope', 'success', 'amin', "]</v>
      </c>
      <c r="D4607" s="3">
        <v>3.0</v>
      </c>
    </row>
    <row r="4608" ht="15.75" customHeight="1">
      <c r="A4608" s="1">
        <v>4929.0</v>
      </c>
      <c r="B4608" s="3" t="s">
        <v>4414</v>
      </c>
      <c r="C4608" s="3" t="str">
        <f>IFERROR(__xludf.DUMMYFUNCTION("GOOGLETRANSLATE(B4608,""id"",""en"")"),"['Price', 'expensive', 'above', 'propaider', 'signal', 'ugly', 'Farah', 'regret', 'buy', 'package', 'quota', 'Nex', ' Ngak ', ""]")</f>
        <v>['Price', 'expensive', 'above', 'propaider', 'signal', 'ugly', 'Farah', 'regret', 'buy', 'package', 'quota', 'Nex', ' Ngak ', "]</v>
      </c>
      <c r="D4608" s="3">
        <v>1.0</v>
      </c>
    </row>
    <row r="4609" ht="15.75" customHeight="1">
      <c r="A4609" s="1">
        <v>4930.0</v>
      </c>
      <c r="B4609" s="3" t="s">
        <v>511</v>
      </c>
      <c r="C4609" s="3" t="str">
        <f>IFERROR(__xludf.DUMMYFUNCTION("GOOGLETRANSLATE(B4609,""id"",""en"")"),"['Help', 'Good']")</f>
        <v>['Help', 'Good']</v>
      </c>
      <c r="D4609" s="3">
        <v>5.0</v>
      </c>
    </row>
    <row r="4610" ht="15.75" customHeight="1">
      <c r="A4610" s="1">
        <v>4932.0</v>
      </c>
      <c r="B4610" s="3" t="s">
        <v>4415</v>
      </c>
      <c r="C4610" s="3" t="str">
        <f>IFERROR(__xludf.DUMMYFUNCTION("GOOGLETRANSLATE(B4610,""id"",""en"")"),"['Application', 'help', ""]")</f>
        <v>['Application', 'help', "]</v>
      </c>
      <c r="D4610" s="3">
        <v>5.0</v>
      </c>
    </row>
    <row r="4611" ht="15.75" customHeight="1">
      <c r="A4611" s="1">
        <v>4933.0</v>
      </c>
      <c r="B4611" s="3" t="s">
        <v>4416</v>
      </c>
      <c r="C4611" s="3" t="str">
        <f>IFERROR(__xludf.DUMMYFUNCTION("GOOGLETRANSLATE(B4611,""id"",""en"")"),"['Kouta', 'run out', 'take', 'pulse', 'please', 'change', 'system', '']")</f>
        <v>['Kouta', 'run out', 'take', 'pulse', 'please', 'change', 'system', '']</v>
      </c>
      <c r="D4611" s="3">
        <v>2.0</v>
      </c>
    </row>
    <row r="4612" ht="15.75" customHeight="1">
      <c r="A4612" s="1">
        <v>4934.0</v>
      </c>
      <c r="B4612" s="3" t="s">
        <v>4417</v>
      </c>
      <c r="C4612" s="3" t="str">
        <f>IFERROR(__xludf.DUMMYFUNCTION("GOOGLETRANSLATE(B4612,""id"",""en"")"),"['Cheap', 'Try', 'Pakaet', 'Voice']")</f>
        <v>['Cheap', 'Try', 'Pakaet', 'Voice']</v>
      </c>
      <c r="D4612" s="3">
        <v>5.0</v>
      </c>
    </row>
    <row r="4613" ht="15.75" customHeight="1">
      <c r="A4613" s="1">
        <v>4935.0</v>
      </c>
      <c r="B4613" s="3" t="s">
        <v>4418</v>
      </c>
      <c r="C4613" s="3" t="str">
        <f>IFERROR(__xludf.DUMMYFUNCTION("GOOGLETRANSLATE(B4613,""id"",""en"")"),"['Sell', 'buy', 'credit', 'BPJS', 'Employment', 'how', ""]")</f>
        <v>['Sell', 'buy', 'credit', 'BPJS', 'Employment', 'how', "]</v>
      </c>
      <c r="D4613" s="3">
        <v>4.0</v>
      </c>
    </row>
    <row r="4614" ht="15.75" customHeight="1">
      <c r="A4614" s="1">
        <v>4936.0</v>
      </c>
      <c r="B4614" s="3" t="s">
        <v>4419</v>
      </c>
      <c r="C4614" s="3" t="str">
        <f>IFERROR(__xludf.DUMMYFUNCTION("GOOGLETRANSLATE(B4614,""id"",""en"")"),"['Easy', 'buy', 'pulse', 'check', 'quota', 'triple']")</f>
        <v>['Easy', 'buy', 'pulse', 'check', 'quota', 'triple']</v>
      </c>
      <c r="D4614" s="3">
        <v>5.0</v>
      </c>
    </row>
    <row r="4615" ht="15.75" customHeight="1">
      <c r="A4615" s="1">
        <v>4937.0</v>
      </c>
      <c r="B4615" s="3" t="s">
        <v>4420</v>
      </c>
      <c r="C4615" s="3" t="str">
        <f>IFERROR(__xludf.DUMMYFUNCTION("GOOGLETRANSLATE(B4615,""id"",""en"")"),"['', 'introduce', 'name', 'Ardinal', 'happy', 'application', 'Telkomsel', 'easy', 'accessed', 'aspects',' function ',' features', 'promo ',' Lottery ',' interesting ',' Thank you ',' Telkomsel ',' Jaya ',' Telkomsel ',' The ',' Best ', ""]")</f>
        <v>['', 'introduce', 'name', 'Ardinal', 'happy', 'application', 'Telkomsel', 'easy', 'accessed', 'aspects',' function ',' features', 'promo ',' Lottery ',' interesting ',' Thank you ',' Telkomsel ',' Jaya ',' Telkomsel ',' The ',' Best ', "]</v>
      </c>
      <c r="D4615" s="3">
        <v>5.0</v>
      </c>
    </row>
    <row r="4616" ht="15.75" customHeight="1">
      <c r="A4616" s="1">
        <v>4938.0</v>
      </c>
      <c r="B4616" s="3" t="s">
        <v>4421</v>
      </c>
      <c r="C4616" s="3" t="str">
        <f>IFERROR(__xludf.DUMMYFUNCTION("GOOGLETRANSLATE(B4616,""id"",""en"")"),"['', 'good', 'light', 'fast', '']")</f>
        <v>['', 'good', 'light', 'fast', '']</v>
      </c>
      <c r="D4616" s="3">
        <v>5.0</v>
      </c>
    </row>
    <row r="4617" ht="15.75" customHeight="1">
      <c r="A4617" s="1">
        <v>4939.0</v>
      </c>
      <c r="B4617" s="3" t="s">
        <v>4422</v>
      </c>
      <c r="C4617" s="3" t="str">
        <f>IFERROR(__xludf.DUMMYFUNCTION("GOOGLETRANSLATE(B4617,""id"",""en"")"),"['Simple', 'use']")</f>
        <v>['Simple', 'use']</v>
      </c>
      <c r="D4617" s="3">
        <v>4.0</v>
      </c>
    </row>
    <row r="4618" ht="15.75" customHeight="1">
      <c r="A4618" s="1">
        <v>4940.0</v>
      </c>
      <c r="B4618" s="3" t="s">
        <v>4423</v>
      </c>
      <c r="C4618" s="3" t="str">
        <f>IFERROR(__xludf.DUMMYFUNCTION("GOOGLETRANSLATE(B4618,""id"",""en"")"),"['Please', 'system', 'Lock', 'pulse', 'already', 'times', 'credit', 'like', 'missing', 'no', 'used', 'anything']")</f>
        <v>['Please', 'system', 'Lock', 'pulse', 'already', 'times', 'credit', 'like', 'missing', 'no', 'used', 'anything']</v>
      </c>
      <c r="D4618" s="3">
        <v>1.0</v>
      </c>
    </row>
    <row r="4619" ht="15.75" customHeight="1">
      <c r="A4619" s="1">
        <v>4941.0</v>
      </c>
      <c r="B4619" s="3" t="s">
        <v>4424</v>
      </c>
      <c r="C4619" s="3" t="str">
        <f>IFERROR(__xludf.DUMMYFUNCTION("GOOGLETRANSLATE(B4619,""id"",""en"")"),"['package', 'sell', 'multiples', 'smallest', 'love', 'full', 'rating', 'delete', 'reting', 'love', ""]")</f>
        <v>['package', 'sell', 'multiples', 'smallest', 'love', 'full', 'rating', 'delete', 'reting', 'love', "]</v>
      </c>
      <c r="D4619" s="3">
        <v>4.0</v>
      </c>
    </row>
    <row r="4620" ht="15.75" customHeight="1">
      <c r="A4620" s="1">
        <v>4943.0</v>
      </c>
      <c r="B4620" s="3" t="s">
        <v>4425</v>
      </c>
      <c r="C4620" s="3" t="str">
        <f>IFERROR(__xludf.DUMMYFUNCTION("GOOGLETRANSLATE(B4620,""id"",""en"")"),"['Telkomsel', 'Knp', 'Ksini', 'Network', 'Down', 'Signal', 'Bagus', 'Skrg', 'Severe', 'ugly', ""]")</f>
        <v>['Telkomsel', 'Knp', 'Ksini', 'Network', 'Down', 'Signal', 'Bagus', 'Skrg', 'Severe', 'ugly', "]</v>
      </c>
      <c r="D4620" s="3">
        <v>1.0</v>
      </c>
    </row>
    <row r="4621" ht="15.75" customHeight="1">
      <c r="A4621" s="1">
        <v>4944.0</v>
      </c>
      <c r="B4621" s="3" t="s">
        <v>81</v>
      </c>
      <c r="C4621" s="3" t="str">
        <f>IFERROR(__xludf.DUMMYFUNCTION("GOOGLETRANSLATE(B4621,""id"",""en"")"),"['application', 'good']")</f>
        <v>['application', 'good']</v>
      </c>
      <c r="D4621" s="3">
        <v>5.0</v>
      </c>
    </row>
    <row r="4622" ht="15.75" customHeight="1">
      <c r="A4622" s="1">
        <v>4945.0</v>
      </c>
      <c r="B4622" s="3" t="s">
        <v>4426</v>
      </c>
      <c r="C4622" s="3" t="str">
        <f>IFERROR(__xludf.DUMMYFUNCTION("GOOGLETRANSLATE(B4622,""id"",""en"")"),"['Severe', 'expensive', 'buy', 'package', 'combo', 'unlimited', 'byk', 'quota', 'use', 'hope', 'fix', 'price', ' Expensive ',' ']")</f>
        <v>['Severe', 'expensive', 'buy', 'package', 'combo', 'unlimited', 'byk', 'quota', 'use', 'hope', 'fix', 'price', ' Expensive ',' ']</v>
      </c>
      <c r="D4622" s="3">
        <v>1.0</v>
      </c>
    </row>
    <row r="4623" ht="15.75" customHeight="1">
      <c r="A4623" s="1">
        <v>4946.0</v>
      </c>
      <c r="B4623" s="3" t="s">
        <v>4427</v>
      </c>
      <c r="C4623" s="3" t="str">
        <f>IFERROR(__xludf.DUMMYFUNCTION("GOOGLETRANSLATE(B4623,""id"",""en"")"),"['best', 'customer']")</f>
        <v>['best', 'customer']</v>
      </c>
      <c r="D4623" s="3">
        <v>5.0</v>
      </c>
    </row>
    <row r="4624" ht="15.75" customHeight="1">
      <c r="A4624" s="1">
        <v>4947.0</v>
      </c>
      <c r="B4624" s="3" t="s">
        <v>4428</v>
      </c>
      <c r="C4624" s="3" t="str">
        <f>IFERROR(__xludf.DUMMYFUNCTION("GOOGLETRANSLATE(B4624,""id"",""en"")"),"['Trouble', 'difficult', 'login', 'practical', '']")</f>
        <v>['Trouble', 'difficult', 'login', 'practical', '']</v>
      </c>
      <c r="D4624" s="3">
        <v>5.0</v>
      </c>
    </row>
    <row r="4625" ht="15.75" customHeight="1">
      <c r="A4625" s="1">
        <v>4948.0</v>
      </c>
      <c r="B4625" s="3" t="s">
        <v>669</v>
      </c>
      <c r="C4625" s="3" t="str">
        <f>IFERROR(__xludf.DUMMYFUNCTION("GOOGLETRANSLATE(B4625,""id"",""en"")"),"['good']")</f>
        <v>['good']</v>
      </c>
      <c r="D4625" s="3">
        <v>5.0</v>
      </c>
    </row>
    <row r="4626" ht="15.75" customHeight="1">
      <c r="A4626" s="1">
        <v>4949.0</v>
      </c>
      <c r="B4626" s="3" t="s">
        <v>4429</v>
      </c>
      <c r="C4626" s="3" t="str">
        <f>IFERROR(__xludf.DUMMYFUNCTION("GOOGLETRANSLATE(B4626,""id"",""en"")"),"['', 'Telkomsel', 'Bagus', 'buy', 'quota', 'easy', 'thank you', 'Telkomsel']")</f>
        <v>['', 'Telkomsel', 'Bagus', 'buy', 'quota', 'easy', 'thank you', 'Telkomsel']</v>
      </c>
      <c r="D4626" s="3">
        <v>5.0</v>
      </c>
    </row>
    <row r="4627" ht="15.75" customHeight="1">
      <c r="A4627" s="1">
        <v>4950.0</v>
      </c>
      <c r="B4627" s="3" t="s">
        <v>4430</v>
      </c>
      <c r="C4627" s="3" t="str">
        <f>IFERROR(__xludf.DUMMYFUNCTION("GOOGLETRANSLATE(B4627,""id"",""en"")"),"['contents', 'pulses', 'Rb', 'Telkomsel', 'Points']")</f>
        <v>['contents', 'pulses', 'Rb', 'Telkomsel', 'Points']</v>
      </c>
      <c r="D4627" s="3">
        <v>3.0</v>
      </c>
    </row>
    <row r="4628" ht="15.75" customHeight="1">
      <c r="A4628" s="1">
        <v>4951.0</v>
      </c>
      <c r="B4628" s="3" t="s">
        <v>4431</v>
      </c>
      <c r="C4628" s="3" t="str">
        <f>IFERROR(__xludf.DUMMYFUNCTION("GOOGLETRANSLATE(B4628,""id"",""en"")"),"['signal', 'repaired', 'Malulah', 'operator', 'next door', 'according to', 'price', 'forgiveness', 'forgiveness']")</f>
        <v>['signal', 'repaired', 'Malulah', 'operator', 'next door', 'according to', 'price', 'forgiveness', 'forgiveness']</v>
      </c>
      <c r="D4628" s="3">
        <v>1.0</v>
      </c>
    </row>
    <row r="4629" ht="15.75" customHeight="1">
      <c r="A4629" s="1">
        <v>4952.0</v>
      </c>
      <c r="B4629" s="3" t="s">
        <v>4432</v>
      </c>
      <c r="C4629" s="3" t="str">
        <f>IFERROR(__xludf.DUMMYFUNCTION("GOOGLETRANSLATE(B4629,""id"",""en"")"),"['Application', 'Maling', 'Credit', 'Telkomsel', 'Cunning', 'Hape', 'Dual', 'SIM', 'Card', 'Package', 'Data', 'Use', ' quota ',' card ',' Telkomsel ',' take ',' over ',' network ',' eliminate ',' network ',' cellular ',' sim ',' card ',' network ',' auto "&amp;"' , 'Connect', 'Telkomsel', 'result', 'card', 'Telkomsel', 'pairs',' package ',' data ',' truncated ',' pulse ',' internet ',' ombudsman ',' kppu ',' audit ',' sincere ',' promo ',' quota ',' cheap ',' pandemic ',' covid ',' thief ',' pulse ',' customer '"&amp;",' blessing ' , 'Commissioner', 'boss', '']")</f>
        <v>['Application', 'Maling', 'Credit', 'Telkomsel', 'Cunning', 'Hape', 'Dual', 'SIM', 'Card', 'Package', 'Data', 'Use', ' quota ',' card ',' Telkomsel ',' take ',' over ',' network ',' eliminate ',' network ',' cellular ',' sim ',' card ',' network ',' auto ' , 'Connect', 'Telkomsel', 'result', 'card', 'Telkomsel', 'pairs',' package ',' data ',' truncated ',' pulse ',' internet ',' ombudsman ',' kppu ',' audit ',' sincere ',' promo ',' quota ',' cheap ',' pandemic ',' covid ',' thief ',' pulse ',' customer ',' blessing ' , 'Commissioner', 'boss', '']</v>
      </c>
      <c r="D4629" s="3">
        <v>1.0</v>
      </c>
    </row>
    <row r="4630" ht="15.75" customHeight="1">
      <c r="A4630" s="1">
        <v>4953.0</v>
      </c>
      <c r="B4630" s="3" t="s">
        <v>4433</v>
      </c>
      <c r="C4630" s="3" t="str">
        <f>IFERROR(__xludf.DUMMYFUNCTION("GOOGLETRANSLATE(B4630,""id"",""en"")"),"['Good', 'network']")</f>
        <v>['Good', 'network']</v>
      </c>
      <c r="D4630" s="3">
        <v>5.0</v>
      </c>
    </row>
    <row r="4631" ht="15.75" customHeight="1">
      <c r="A4631" s="1">
        <v>4954.0</v>
      </c>
      <c r="B4631" s="3" t="s">
        <v>4434</v>
      </c>
      <c r="C4631" s="3" t="str">
        <f>IFERROR(__xludf.DUMMYFUNCTION("GOOGLETRANSLATE(B4631,""id"",""en"")"),"['Tissue', 'Telkomsel', 'stirrowed', 'cave', 'make', 'smooth', 'smooth', 'here', 'ngelag', 'play', 'game']")</f>
        <v>['Tissue', 'Telkomsel', 'stirrowed', 'cave', 'make', 'smooth', 'smooth', 'here', 'ngelag', 'play', 'game']</v>
      </c>
      <c r="D4631" s="3">
        <v>1.0</v>
      </c>
    </row>
    <row r="4632" ht="15.75" customHeight="1">
      <c r="A4632" s="1">
        <v>4955.0</v>
      </c>
      <c r="B4632" s="3" t="s">
        <v>4435</v>
      </c>
      <c r="C4632" s="3" t="str">
        <f>IFERROR(__xludf.DUMMYFUNCTION("GOOGLETRANSLATE(B4632,""id"",""en"")"),"['Network', 'dlu', 'good', 'sekrang', 'sometimes', 'slow']")</f>
        <v>['Network', 'dlu', 'good', 'sekrang', 'sometimes', 'slow']</v>
      </c>
      <c r="D4632" s="3">
        <v>5.0</v>
      </c>
    </row>
    <row r="4633" ht="15.75" customHeight="1">
      <c r="A4633" s="1">
        <v>4956.0</v>
      </c>
      <c r="B4633" s="3" t="s">
        <v>4436</v>
      </c>
      <c r="C4633" s="3" t="str">
        <f>IFERROR(__xludf.DUMMYFUNCTION("GOOGLETRANSLATE(B4633,""id"",""en"")"),"['Please', 'improve', 'application', 'use', '']")</f>
        <v>['Please', 'improve', 'application', 'use', '']</v>
      </c>
      <c r="D4633" s="3">
        <v>5.0</v>
      </c>
    </row>
    <row r="4634" ht="15.75" customHeight="1">
      <c r="A4634" s="1">
        <v>4957.0</v>
      </c>
      <c r="B4634" s="3" t="s">
        <v>4437</v>
      </c>
      <c r="C4634" s="3" t="str">
        <f>IFERROR(__xludf.DUMMYFUNCTION("GOOGLETRANSLATE(B4634,""id"",""en"")"),"['Telkomsel', 'Thank you', 'Card', 'Perdana', 'Telkomsel', 'Promo', 'Interntrt', 'Cheap', ""]")</f>
        <v>['Telkomsel', 'Thank you', 'Card', 'Perdana', 'Telkomsel', 'Promo', 'Interntrt', 'Cheap', "]</v>
      </c>
      <c r="D4634" s="3">
        <v>5.0</v>
      </c>
    </row>
    <row r="4635" ht="15.75" customHeight="1">
      <c r="A4635" s="1">
        <v>4958.0</v>
      </c>
      <c r="B4635" s="3" t="s">
        <v>4438</v>
      </c>
      <c r="C4635" s="3" t="str">
        <f>IFERROR(__xludf.DUMMYFUNCTION("GOOGLETRANSLATE(B4635,""id"",""en"")"),"['Help', 'Choose', 'Package', 'Liked', 'Available', 'Package', 'Family', 'Application', '']")</f>
        <v>['Help', 'Choose', 'Package', 'Liked', 'Available', 'Package', 'Family', 'Application', '']</v>
      </c>
      <c r="D4635" s="3">
        <v>5.0</v>
      </c>
    </row>
    <row r="4636" ht="15.75" customHeight="1">
      <c r="A4636" s="1">
        <v>4959.0</v>
      </c>
      <c r="B4636" s="3" t="s">
        <v>4439</v>
      </c>
      <c r="C4636" s="3" t="str">
        <f>IFERROR(__xludf.DUMMYFUNCTION("GOOGLETRANSLATE(B4636,""id"",""en"")"),"['APL', 'Bad', 'Price', 'Package', 'GB', 'Remove', 'Price', 'Expensive', 'Expensive', 'Telkomsel', 'Please', 'Sorry', ' Change ',' Operator ',' Change ',' Change ',' Package ',' Price ']")</f>
        <v>['APL', 'Bad', 'Price', 'Package', 'GB', 'Remove', 'Price', 'Expensive', 'Expensive', 'Telkomsel', 'Please', 'Sorry', ' Change ',' Operator ',' Change ',' Change ',' Package ',' Price ']</v>
      </c>
      <c r="D4636" s="3">
        <v>1.0</v>
      </c>
    </row>
    <row r="4637" ht="15.75" customHeight="1">
      <c r="A4637" s="1">
        <v>4960.0</v>
      </c>
      <c r="B4637" s="3" t="s">
        <v>4440</v>
      </c>
      <c r="C4637" s="3" t="str">
        <f>IFERROR(__xludf.DUMMYFUNCTION("GOOGLETRANSLATE(B4637,""id"",""en"")"),"['Telcomsel', 'great']")</f>
        <v>['Telcomsel', 'great']</v>
      </c>
      <c r="D4637" s="3">
        <v>5.0</v>
      </c>
    </row>
    <row r="4638" ht="15.75" customHeight="1">
      <c r="A4638" s="1">
        <v>4961.0</v>
      </c>
      <c r="B4638" s="3" t="s">
        <v>4441</v>
      </c>
      <c r="C4638" s="3" t="str">
        <f>IFERROR(__xludf.DUMMYFUNCTION("GOOGLETRANSLATE(B4638,""id"",""en"")"),"['kagak', 'transaction', '']")</f>
        <v>['kagak', 'transaction', '']</v>
      </c>
      <c r="D4638" s="3">
        <v>1.0</v>
      </c>
    </row>
    <row r="4639" ht="15.75" customHeight="1">
      <c r="A4639" s="1">
        <v>4962.0</v>
      </c>
      <c r="B4639" s="3" t="s">
        <v>4442</v>
      </c>
      <c r="C4639" s="3" t="str">
        <f>IFERROR(__xludf.DUMMYFUNCTION("GOOGLETRANSLATE(B4639,""id"",""en"")"),"['package', 'provided', 'affordable', 'price']")</f>
        <v>['package', 'provided', 'affordable', 'price']</v>
      </c>
      <c r="D4639" s="3">
        <v>5.0</v>
      </c>
    </row>
    <row r="4640" ht="15.75" customHeight="1">
      <c r="A4640" s="1">
        <v>4963.0</v>
      </c>
      <c r="B4640" s="3" t="s">
        <v>450</v>
      </c>
      <c r="C4640" s="3" t="str">
        <f>IFERROR(__xludf.DUMMYFUNCTION("GOOGLETRANSLATE(B4640,""id"",""en"")"),"['Telkomsel', 'Best', ""]")</f>
        <v>['Telkomsel', 'Best', "]</v>
      </c>
      <c r="D4640" s="3">
        <v>5.0</v>
      </c>
    </row>
    <row r="4641" ht="15.75" customHeight="1">
      <c r="A4641" s="1">
        <v>4964.0</v>
      </c>
      <c r="B4641" s="3" t="s">
        <v>4443</v>
      </c>
      <c r="C4641" s="3" t="str">
        <f>IFERROR(__xludf.DUMMYFUNCTION("GOOGLETRANSLATE(B4641,""id"",""en"")"),"['Personal', 'like', 'Wear', 'Telkomsel', 'Easy', 'Terbimah', 'Love', 'Telkomsel', ""]")</f>
        <v>['Personal', 'like', 'Wear', 'Telkomsel', 'Easy', 'Terbimah', 'Love', 'Telkomsel', "]</v>
      </c>
      <c r="D4641" s="3">
        <v>5.0</v>
      </c>
    </row>
    <row r="4642" ht="15.75" customHeight="1">
      <c r="A4642" s="1">
        <v>4965.0</v>
      </c>
      <c r="B4642" s="3" t="s">
        <v>4444</v>
      </c>
      <c r="C4642" s="3" t="str">
        <f>IFERROR(__xludf.DUMMYFUNCTION("GOOGLETRANSLATE(B4642,""id"",""en"")"),"['Weve', 'Best', 'Application', 'Thanks', 'Sis', 'Udh', 'Serving', 'Customer', ""]")</f>
        <v>['Weve', 'Best', 'Application', 'Thanks', 'Sis', 'Udh', 'Serving', 'Customer', "]</v>
      </c>
      <c r="D4642" s="3">
        <v>5.0</v>
      </c>
    </row>
    <row r="4643" ht="15.75" customHeight="1">
      <c r="A4643" s="1">
        <v>4966.0</v>
      </c>
      <c r="B4643" s="3" t="s">
        <v>4445</v>
      </c>
      <c r="C4643" s="3" t="str">
        <f>IFERROR(__xludf.DUMMYFUNCTION("GOOGLETRANSLATE(B4643,""id"",""en"")"),"['What's',' Telkomsel ',' the package ',' entered ',' sense ',' expensive ',' cheated ',' giga ',' price ',' fall ',' cheap ',' his teeth ',' Spends', 'Tetep', 'Wallet', 'Broken', '']")</f>
        <v>['What's',' Telkomsel ',' the package ',' entered ',' sense ',' expensive ',' cheated ',' giga ',' price ',' fall ',' cheap ',' his teeth ',' Spends', 'Tetep', 'Wallet', 'Broken', '']</v>
      </c>
      <c r="D4643" s="3">
        <v>2.0</v>
      </c>
    </row>
    <row r="4644" ht="15.75" customHeight="1">
      <c r="A4644" s="1">
        <v>4967.0</v>
      </c>
      <c r="B4644" s="3" t="s">
        <v>4446</v>
      </c>
      <c r="C4644" s="3" t="str">
        <f>IFERROR(__xludf.DUMMYFUNCTION("GOOGLETRANSLATE(B4644,""id"",""en"")"),"['Please', 'quota', 'run out', 'pulse', 'cut', 'notification']")</f>
        <v>['Please', 'quota', 'run out', 'pulse', 'cut', 'notification']</v>
      </c>
      <c r="D4644" s="3">
        <v>4.0</v>
      </c>
    </row>
    <row r="4645" ht="15.75" customHeight="1">
      <c r="A4645" s="1">
        <v>4968.0</v>
      </c>
      <c r="B4645" s="3" t="s">
        <v>4447</v>
      </c>
      <c r="C4645" s="3" t="str">
        <f>IFERROR(__xludf.DUMMYFUNCTION("GOOGLETRANSLATE(B4645,""id"",""en"")"),"['Credit', 'Slalu', 'Cut', 'Internet', 'Aya', 'Maket', 'Internet', ""]")</f>
        <v>['Credit', 'Slalu', 'Cut', 'Internet', 'Aya', 'Maket', 'Internet', "]</v>
      </c>
      <c r="D4645" s="3">
        <v>1.0</v>
      </c>
    </row>
    <row r="4646" ht="15.75" customHeight="1">
      <c r="A4646" s="1">
        <v>4969.0</v>
      </c>
      <c r="B4646" s="3" t="s">
        <v>4448</v>
      </c>
      <c r="C4646" s="3" t="str">
        <f>IFERROR(__xludf.DUMMYFUNCTION("GOOGLETRANSLATE(B4646,""id"",""en"")"),"['Telkomsel', 'rotten', 'area', 'cikarang', 'severe', 'ngeselin']")</f>
        <v>['Telkomsel', 'rotten', 'area', 'cikarang', 'severe', 'ngeselin']</v>
      </c>
      <c r="D4646" s="3">
        <v>3.0</v>
      </c>
    </row>
    <row r="4647" ht="15.75" customHeight="1">
      <c r="A4647" s="1">
        <v>4970.0</v>
      </c>
      <c r="B4647" s="3" t="s">
        <v>4449</v>
      </c>
      <c r="C4647" s="3" t="str">
        <f>IFERROR(__xludf.DUMMYFUNCTION("GOOGLETRANSLATE(B4647,""id"",""en"")"),"['Thank you', 'Road', 'Current']")</f>
        <v>['Thank you', 'Road', 'Current']</v>
      </c>
      <c r="D4647" s="3">
        <v>4.0</v>
      </c>
    </row>
    <row r="4648" ht="15.75" customHeight="1">
      <c r="A4648" s="1">
        <v>4971.0</v>
      </c>
      <c r="B4648" s="3" t="s">
        <v>4450</v>
      </c>
      <c r="C4648" s="3" t="str">
        <f>IFERROR(__xludf.DUMMYFUNCTION("GOOGLETRANSLATE(B4648,""id"",""en"")"),"['signal', 'in place', 'ugly', 'quota', 'run out', 'auto', 'change', 'card', 'disappointed', 'heavy']")</f>
        <v>['signal', 'in place', 'ugly', 'quota', 'run out', 'auto', 'change', 'card', 'disappointed', 'heavy']</v>
      </c>
      <c r="D4648" s="3">
        <v>1.0</v>
      </c>
    </row>
    <row r="4649" ht="15.75" customHeight="1">
      <c r="A4649" s="1">
        <v>4972.0</v>
      </c>
      <c r="B4649" s="3" t="s">
        <v>4451</v>
      </c>
      <c r="C4649" s="3" t="str">
        <f>IFERROR(__xludf.DUMMYFUNCTION("GOOGLETRANSLATE(B4649,""id"",""en"")"),"['Team', 'Telkomsel', 'Please', 'Prioritize', 'Use', 'Koutaa', 'Out', 'Ends',' Today ',' Package ',' Internet ',' Package ',' ']")</f>
        <v>['Team', 'Telkomsel', 'Please', 'Prioritize', 'Use', 'Koutaa', 'Out', 'Ends',' Today ',' Package ',' Internet ',' Package ',' ']</v>
      </c>
      <c r="D4649" s="3">
        <v>1.0</v>
      </c>
    </row>
    <row r="4650" ht="15.75" customHeight="1">
      <c r="A4650" s="1">
        <v>4973.0</v>
      </c>
      <c r="B4650" s="3" t="s">
        <v>4452</v>
      </c>
      <c r="C4650" s="3" t="str">
        <f>IFERROR(__xludf.DUMMYFUNCTION("GOOGLETRANSLATE(B4650,""id"",""en"")"),"['Information', 'purchase', 'compared', 'expensive', '']")</f>
        <v>['Information', 'purchase', 'compared', 'expensive', '']</v>
      </c>
      <c r="D4650" s="3">
        <v>2.0</v>
      </c>
    </row>
    <row r="4651" ht="15.75" customHeight="1">
      <c r="A4651" s="1">
        <v>4974.0</v>
      </c>
      <c r="B4651" s="3" t="s">
        <v>4453</v>
      </c>
      <c r="C4651" s="3" t="str">
        <f>IFERROR(__xludf.DUMMYFUNCTION("GOOGLETRANSLATE(B4651,""id"",""en"")"),"['Price', 'Package', 'BER', 'Change', 'Package', 'Active', 'Price', 'Cheap', 'Package', 'Out', 'Price', 'Change']")</f>
        <v>['Price', 'Package', 'BER', 'Change', 'Package', 'Active', 'Price', 'Cheap', 'Package', 'Out', 'Price', 'Change']</v>
      </c>
      <c r="D4651" s="3">
        <v>3.0</v>
      </c>
    </row>
    <row r="4652" ht="15.75" customHeight="1">
      <c r="A4652" s="1">
        <v>4975.0</v>
      </c>
      <c r="B4652" s="3" t="s">
        <v>4454</v>
      </c>
      <c r="C4652" s="3" t="str">
        <f>IFERROR(__xludf.DUMMYFUNCTION("GOOGLETRANSLATE(B4652,""id"",""en"")"),"['Simple', 'Good', 'Features', 'Features', 'Bags']")</f>
        <v>['Simple', 'Good', 'Features', 'Features', 'Bags']</v>
      </c>
      <c r="D4652" s="3">
        <v>5.0</v>
      </c>
    </row>
    <row r="4653" ht="15.75" customHeight="1">
      <c r="A4653" s="1">
        <v>4976.0</v>
      </c>
      <c r="B4653" s="3" t="s">
        <v>4455</v>
      </c>
      <c r="C4653" s="3" t="str">
        <f>IFERROR(__xludf.DUMMYFUNCTION("GOOGLETRANSLATE(B4653,""id"",""en"")"),"['Addin', 'Features', 'Look', 'Credit', 'Credit', 'Sumpot']")</f>
        <v>['Addin', 'Features', 'Look', 'Credit', 'Credit', 'Sumpot']</v>
      </c>
      <c r="D4653" s="3">
        <v>2.0</v>
      </c>
    </row>
    <row r="4654" ht="15.75" customHeight="1">
      <c r="A4654" s="1">
        <v>4977.0</v>
      </c>
      <c r="B4654" s="3" t="s">
        <v>4456</v>
      </c>
      <c r="C4654" s="3" t="str">
        <f>IFERROR(__xludf.DUMMYFUNCTION("GOOGLETRANSLATE(B4654,""id"",""en"")"),"['Damn', 'application', 'you', 'opened', 'difficult', 'heel', '']")</f>
        <v>['Damn', 'application', 'you', 'opened', 'difficult', 'heel', '']</v>
      </c>
      <c r="D4654" s="3">
        <v>1.0</v>
      </c>
    </row>
    <row r="4655" ht="15.75" customHeight="1">
      <c r="A4655" s="1">
        <v>4979.0</v>
      </c>
      <c r="B4655" s="3" t="s">
        <v>218</v>
      </c>
      <c r="C4655" s="3" t="str">
        <f>IFERROR(__xludf.DUMMYFUNCTION("GOOGLETRANSLATE(B4655,""id"",""en"")"),"['Satisfied', 'help']")</f>
        <v>['Satisfied', 'help']</v>
      </c>
      <c r="D4655" s="3">
        <v>5.0</v>
      </c>
    </row>
    <row r="4656" ht="15.75" customHeight="1">
      <c r="A4656" s="1">
        <v>4980.0</v>
      </c>
      <c r="B4656" s="3" t="s">
        <v>4457</v>
      </c>
      <c r="C4656" s="3" t="str">
        <f>IFERROR(__xludf.DUMMYFUNCTION("GOOGLETRANSLATE(B4656,""id"",""en"")"),"['Cheap', 'Bingit', 'Deehh']")</f>
        <v>['Cheap', 'Bingit', 'Deehh']</v>
      </c>
      <c r="D4656" s="3">
        <v>5.0</v>
      </c>
    </row>
    <row r="4657" ht="15.75" customHeight="1">
      <c r="A4657" s="1">
        <v>4981.0</v>
      </c>
      <c r="B4657" s="3" t="s">
        <v>4458</v>
      </c>
      <c r="C4657" s="3" t="str">
        <f>IFERROR(__xludf.DUMMYFUNCTION("GOOGLETRANSLATE(B4657,""id"",""en"")"),"['Good', 'Helpful']")</f>
        <v>['Good', 'Helpful']</v>
      </c>
      <c r="D4657" s="3">
        <v>5.0</v>
      </c>
    </row>
    <row r="4658" ht="15.75" customHeight="1">
      <c r="A4658" s="1">
        <v>4982.0</v>
      </c>
      <c r="B4658" s="3" t="s">
        <v>4459</v>
      </c>
      <c r="C4658" s="3" t="str">
        <f>IFERROR(__xludf.DUMMYFUNCTION("GOOGLETRANSLATE(B4658,""id"",""en"")"),"['Help', 'informative']")</f>
        <v>['Help', 'informative']</v>
      </c>
      <c r="D4658" s="3">
        <v>5.0</v>
      </c>
    </row>
    <row r="4659" ht="15.75" customHeight="1">
      <c r="A4659" s="1">
        <v>4984.0</v>
      </c>
      <c r="B4659" s="3" t="s">
        <v>4460</v>
      </c>
      <c r="C4659" s="3" t="str">
        <f>IFERROR(__xludf.DUMMYFUNCTION("GOOGLETRANSLATE(B4659,""id"",""en"")"),"['Pay', 'card', 'Hello', 'communication', 'data', 'cellular', 'telephone']")</f>
        <v>['Pay', 'card', 'Hello', 'communication', 'data', 'cellular', 'telephone']</v>
      </c>
      <c r="D4659" s="3">
        <v>2.0</v>
      </c>
    </row>
    <row r="4660" ht="15.75" customHeight="1">
      <c r="A4660" s="1">
        <v>4985.0</v>
      </c>
      <c r="B4660" s="3" t="s">
        <v>4461</v>
      </c>
      <c r="C4660" s="3" t="str">
        <f>IFERROR(__xludf.DUMMYFUNCTION("GOOGLETRANSLATE(B4660,""id"",""en"")"),"['Application', 'Install', 'Update', 'version', 'Android', 'Android', '']")</f>
        <v>['Application', 'Install', 'Update', 'version', 'Android', 'Android', '']</v>
      </c>
      <c r="D4660" s="3">
        <v>1.0</v>
      </c>
    </row>
    <row r="4661" ht="15.75" customHeight="1">
      <c r="A4661" s="1">
        <v>4986.0</v>
      </c>
      <c r="B4661" s="3" t="s">
        <v>4462</v>
      </c>
      <c r="C4661" s="3" t="str">
        <f>IFERROR(__xludf.DUMMYFUNCTION("GOOGLETRANSLATE(B4661,""id"",""en"")"),"['smga', 'Telkomsel', 'improved']")</f>
        <v>['smga', 'Telkomsel', 'improved']</v>
      </c>
      <c r="D4661" s="3">
        <v>4.0</v>
      </c>
    </row>
    <row r="4662" ht="15.75" customHeight="1">
      <c r="A4662" s="1">
        <v>4987.0</v>
      </c>
      <c r="B4662" s="3" t="s">
        <v>4463</v>
      </c>
      <c r="C4662" s="3" t="str">
        <f>IFERROR(__xludf.DUMMYFUNCTION("GOOGLETRANSLATE(B4662,""id"",""en"")"),"['woi', 'update', 'reset', 'reset']")</f>
        <v>['woi', 'update', 'reset', 'reset']</v>
      </c>
      <c r="D4662" s="3">
        <v>1.0</v>
      </c>
    </row>
    <row r="4663" ht="15.75" customHeight="1">
      <c r="A4663" s="1">
        <v>4988.0</v>
      </c>
      <c r="B4663" s="3" t="s">
        <v>4464</v>
      </c>
      <c r="C4663" s="3" t="str">
        <f>IFERROR(__xludf.DUMMYFUNCTION("GOOGLETRANSLATE(B4663,""id"",""en"")"),"['Severe', 'tuyul', 'pulse', 'pulse', 'disappear', 'times', 'always', 'experience', 'bbrp', 'friend', 'experiencing']")</f>
        <v>['Severe', 'tuyul', 'pulse', 'pulse', 'disappear', 'times', 'always', 'experience', 'bbrp', 'friend', 'experiencing']</v>
      </c>
      <c r="D4663" s="3">
        <v>1.0</v>
      </c>
    </row>
    <row r="4664" ht="15.75" customHeight="1">
      <c r="A4664" s="1">
        <v>4989.0</v>
      </c>
      <c r="B4664" s="3" t="s">
        <v>4465</v>
      </c>
      <c r="C4664" s="3" t="str">
        <f>IFERROR(__xludf.DUMMYFUNCTION("GOOGLETRANSLATE(B4664,""id"",""en"")"),"['price', '']")</f>
        <v>['price', '']</v>
      </c>
      <c r="D4664" s="3">
        <v>1.0</v>
      </c>
    </row>
    <row r="4665" ht="15.75" customHeight="1">
      <c r="A4665" s="1">
        <v>4990.0</v>
      </c>
      <c r="B4665" s="3" t="s">
        <v>4466</v>
      </c>
      <c r="C4665" s="3" t="str">
        <f>IFERROR(__xludf.DUMMYFUNCTION("GOOGLETRANSLATE(B4665,""id"",""en"")"),"['My number']")</f>
        <v>['My number']</v>
      </c>
      <c r="D4665" s="3">
        <v>3.0</v>
      </c>
    </row>
    <row r="4666" ht="15.75" customHeight="1">
      <c r="A4666" s="1">
        <v>4991.0</v>
      </c>
      <c r="B4666" s="3" t="s">
        <v>4467</v>
      </c>
      <c r="C4666" s="3" t="str">
        <f>IFERROR(__xludf.DUMMYFUNCTION("GOOGLETRANSLATE(B4666,""id"",""en"")"),"['Buy', 'Package', 'Credit', 'Cut', 'Nidak', '']")</f>
        <v>['Buy', 'Package', 'Credit', 'Cut', 'Nidak', '']</v>
      </c>
      <c r="D4666" s="3">
        <v>1.0</v>
      </c>
    </row>
    <row r="4667" ht="15.75" customHeight="1">
      <c r="A4667" s="1">
        <v>4992.0</v>
      </c>
      <c r="B4667" s="3" t="s">
        <v>4468</v>
      </c>
      <c r="C4667" s="3" t="str">
        <f>IFERROR(__xludf.DUMMYFUNCTION("GOOGLETRANSLATE(B4667,""id"",""en"")"),"['Application', 'Help', 'use', 'Credit', 'just', 'Package', 'Offered', 'Friendly', 'Wil', 'Papua', 'West', 'Enhanced', ' Quality ',' network ',' internet ',' ']")</f>
        <v>['Application', 'Help', 'use', 'Credit', 'just', 'Package', 'Offered', 'Friendly', 'Wil', 'Papua', 'West', 'Enhanced', ' Quality ',' network ',' internet ',' ']</v>
      </c>
      <c r="D4667" s="3">
        <v>4.0</v>
      </c>
    </row>
    <row r="4668" ht="15.75" customHeight="1">
      <c r="A4668" s="1">
        <v>4993.0</v>
      </c>
      <c r="B4668" s="3" t="s">
        <v>4469</v>
      </c>
      <c r="C4668" s="3" t="str">
        <f>IFERROR(__xludf.DUMMYFUNCTION("GOOGLETRANSLATE(B4668,""id"",""en"")"),"['Fill in', 'Vocer', 'directly', 'run out', 'right', 'check', 'package', 'enter', 'right', 'enter', 'Vocer', 'used', ' Disight ',' Disappointed ']")</f>
        <v>['Fill in', 'Vocer', 'directly', 'run out', 'right', 'check', 'package', 'enter', 'right', 'enter', 'Vocer', 'used', ' Disight ',' Disappointed ']</v>
      </c>
      <c r="D4668" s="3">
        <v>1.0</v>
      </c>
    </row>
    <row r="4669" ht="15.75" customHeight="1">
      <c r="A4669" s="1">
        <v>4994.0</v>
      </c>
      <c r="B4669" s="3" t="s">
        <v>4470</v>
      </c>
      <c r="C4669" s="3" t="str">
        <f>IFERROR(__xludf.DUMMYFUNCTION("GOOGLETRANSLATE(B4669,""id"",""en"")"),"['Nahal', 'Package', 'Monthly']")</f>
        <v>['Nahal', 'Package', 'Monthly']</v>
      </c>
      <c r="D4669" s="3">
        <v>4.0</v>
      </c>
    </row>
    <row r="4670" ht="15.75" customHeight="1">
      <c r="A4670" s="1">
        <v>4995.0</v>
      </c>
      <c r="B4670" s="3" t="s">
        <v>4471</v>
      </c>
      <c r="C4670" s="3" t="str">
        <f>IFERROR(__xludf.DUMMYFUNCTION("GOOGLETRANSLATE(B4670,""id"",""en"")"),"['Duh', 'slow', 'response', 'system', 'changed', '']")</f>
        <v>['Duh', 'slow', 'response', 'system', 'changed', '']</v>
      </c>
      <c r="D4670" s="3">
        <v>3.0</v>
      </c>
    </row>
    <row r="4671" ht="15.75" customHeight="1">
      <c r="A4671" s="1">
        <v>4996.0</v>
      </c>
      <c r="B4671" s="3" t="s">
        <v>4472</v>
      </c>
      <c r="C4671" s="3" t="str">
        <f>IFERROR(__xludf.DUMMYFUNCTION("GOOGLETRANSLATE(B4671,""id"",""en"")"),"['', 'really', 'hope', 'success']")</f>
        <v>['', 'really', 'hope', 'success']</v>
      </c>
      <c r="D4671" s="3">
        <v>5.0</v>
      </c>
    </row>
    <row r="4672" ht="15.75" customHeight="1">
      <c r="A4672" s="1">
        <v>4997.0</v>
      </c>
      <c r="B4672" s="3" t="s">
        <v>4473</v>
      </c>
      <c r="C4672" s="3" t="str">
        <f>IFERROR(__xludf.DUMMYFUNCTION("GOOGLETRANSLATE(B4672,""id"",""en"")"),"['staple', 'cool', 'telecommunications', 'cell', 'Indonesia', 'village', 'good', 'hotel', 'villa']")</f>
        <v>['staple', 'cool', 'telecommunications', 'cell', 'Indonesia', 'village', 'good', 'hotel', 'villa']</v>
      </c>
      <c r="D4672" s="3">
        <v>5.0</v>
      </c>
    </row>
    <row r="4673" ht="15.75" customHeight="1">
      <c r="A4673" s="1">
        <v>4998.0</v>
      </c>
      <c r="B4673" s="3" t="s">
        <v>4474</v>
      </c>
      <c r="C4673" s="3" t="str">
        <f>IFERROR(__xludf.DUMMYFUNCTION("GOOGLETRANSLATE(B4673,""id"",""en"")"),"['Telkomsel', 'here', 'UDH', 'Kyk', 'Trash', 'Network', 'YouTube', 'Ngelag', 'Nge', 'Game', 'Udh', 'Recommendation', ' Package ',' expensive ']")</f>
        <v>['Telkomsel', 'here', 'UDH', 'Kyk', 'Trash', 'Network', 'YouTube', 'Ngelag', 'Nge', 'Game', 'Udh', 'Recommendation', ' Package ',' expensive ']</v>
      </c>
      <c r="D4673" s="3">
        <v>1.0</v>
      </c>
    </row>
    <row r="4674" ht="15.75" customHeight="1">
      <c r="A4674" s="1">
        <v>4999.0</v>
      </c>
      <c r="B4674" s="3" t="s">
        <v>4475</v>
      </c>
      <c r="C4674" s="3" t="str">
        <f>IFERROR(__xludf.DUMMYFUNCTION("GOOGLETRANSLATE(B4674,""id"",""en"")"),"['Gosh', 'Telkomsel', 'fraudsters',' Package ',' GB ',' Download ',' Film ',' GB ',' Out ',' Quota ',' Bright ',' Turty ',' counters', 'data', 'used', 'GB', 'cheats',' Telkomsel ',' consumers', 'forced', 'make', 'provider', 'impression', 'good', 'good' , "&amp;"'']")</f>
        <v>['Gosh', 'Telkomsel', 'fraudsters',' Package ',' GB ',' Download ',' Film ',' GB ',' Out ',' Quota ',' Bright ',' Turty ',' counters', 'data', 'used', 'GB', 'cheats',' Telkomsel ',' consumers', 'forced', 'make', 'provider', 'impression', 'good', 'good' , '']</v>
      </c>
      <c r="D4674" s="3">
        <v>1.0</v>
      </c>
    </row>
    <row r="4675" ht="15.75" customHeight="1">
      <c r="A4675" s="1">
        <v>5001.0</v>
      </c>
      <c r="B4675" s="3" t="s">
        <v>4476</v>
      </c>
      <c r="C4675" s="3" t="str">
        <f>IFERROR(__xludf.DUMMYFUNCTION("GOOGLETRANSLATE(B4675,""id"",""en"")"),"['Login', 'card', '']")</f>
        <v>['Login', 'card', '']</v>
      </c>
      <c r="D4675" s="3">
        <v>3.0</v>
      </c>
    </row>
    <row r="4676" ht="15.75" customHeight="1">
      <c r="A4676" s="1">
        <v>5002.0</v>
      </c>
      <c r="B4676" s="3" t="s">
        <v>4477</v>
      </c>
      <c r="C4676" s="3" t="str">
        <f>IFERROR(__xludf.DUMMYFUNCTION("GOOGLETRANSLATE(B4676,""id"",""en"")"),"['Development', 'Please', 'Application', 'Jan', 'Ribet', 'Simple']")</f>
        <v>['Development', 'Please', 'Application', 'Jan', 'Ribet', 'Simple']</v>
      </c>
      <c r="D4676" s="3">
        <v>3.0</v>
      </c>
    </row>
    <row r="4677" ht="15.75" customHeight="1">
      <c r="A4677" s="1">
        <v>5003.0</v>
      </c>
      <c r="B4677" s="3" t="s">
        <v>4478</v>
      </c>
      <c r="C4677" s="3" t="str">
        <f>IFERROR(__xludf.DUMMYFUNCTION("GOOGLETRANSLATE(B4677,""id"",""en"")"),"['Sangat', 'Help', 'Telkomsel', 'application']")</f>
        <v>['Sangat', 'Help', 'Telkomsel', 'application']</v>
      </c>
      <c r="D4677" s="3">
        <v>4.0</v>
      </c>
    </row>
    <row r="4678" ht="15.75" customHeight="1">
      <c r="A4678" s="1">
        <v>5004.0</v>
      </c>
      <c r="B4678" s="3" t="s">
        <v>4479</v>
      </c>
      <c r="C4678" s="3" t="str">
        <f>IFERROR(__xludf.DUMMYFUNCTION("GOOGLETRANSLATE(B4678,""id"",""en"")"),"['card', 'Bkin', 'Mskin', 'UDH', 'HBS', 'Quota', 'Take', 'Credit', 'Bgo', 'Liat', 'Card', 'Quota', ' HBIS ',' APKH ',' Take ',' Credit ',' Ngga ',' TPI ',' Telkomsel ',' Kya ',' Card ',' Stress', 'Dego', ""]")</f>
        <v>['card', 'Bkin', 'Mskin', 'UDH', 'HBS', 'Quota', 'Take', 'Credit', 'Bgo', 'Liat', 'Card', 'Quota', ' HBIS ',' APKH ',' Take ',' Credit ',' Ngga ',' TPI ',' Telkomsel ',' Kya ',' Card ',' Stress', 'Dego', "]</v>
      </c>
      <c r="D4678" s="3">
        <v>1.0</v>
      </c>
    </row>
    <row r="4679" ht="15.75" customHeight="1">
      <c r="A4679" s="1">
        <v>5005.0</v>
      </c>
      <c r="B4679" s="3" t="s">
        <v>4480</v>
      </c>
      <c r="C4679" s="3" t="str">
        <f>IFERROR(__xludf.DUMMYFUNCTION("GOOGLETRANSLATE(B4679,""id"",""en"")"),"['deh', 'cheap', 'carik', 'package', 'internet', 'Telkomsel', 'happy', 'UPS', '']")</f>
        <v>['deh', 'cheap', 'carik', 'package', 'internet', 'Telkomsel', 'happy', 'UPS', '']</v>
      </c>
      <c r="D4679" s="3">
        <v>5.0</v>
      </c>
    </row>
    <row r="4680" ht="15.75" customHeight="1">
      <c r="A4680" s="1">
        <v>5006.0</v>
      </c>
      <c r="B4680" s="3" t="s">
        <v>4481</v>
      </c>
      <c r="C4680" s="3" t="str">
        <f>IFERROR(__xludf.DUMMYFUNCTION("GOOGLETRANSLATE(B4680,""id"",""en"")"),"['Credit', 'emergency', 'boss']")</f>
        <v>['Credit', 'emergency', 'boss']</v>
      </c>
      <c r="D4680" s="3">
        <v>5.0</v>
      </c>
    </row>
    <row r="4681" ht="15.75" customHeight="1">
      <c r="A4681" s="1">
        <v>5007.0</v>
      </c>
      <c r="B4681" s="3" t="s">
        <v>4482</v>
      </c>
      <c r="C4681" s="3" t="str">
        <f>IFERROR(__xludf.DUMMYFUNCTION("GOOGLETRANSLATE(B4681,""id"",""en"")"),"['easy', 'doubt', 'direct', 'download', '']")</f>
        <v>['easy', 'doubt', 'direct', 'download', '']</v>
      </c>
      <c r="D4681" s="3">
        <v>4.0</v>
      </c>
    </row>
    <row r="4682" ht="15.75" customHeight="1">
      <c r="A4682" s="1">
        <v>5008.0</v>
      </c>
      <c r="B4682" s="3" t="s">
        <v>4483</v>
      </c>
      <c r="C4682" s="3" t="str">
        <f>IFERROR(__xludf.DUMMYFUNCTION("GOOGLETRANSLATE(B4682,""id"",""en"")"),"['MyTlkomsel', 'Perfect', 'Add', 'System', 'Borrow', 'Quota', 'Credit', 'Payment', 'Do', 'Fill', 'Credit', 'Cut', ' automatically ',' direct ',' ATM ',' account ',' etc. ',' suppose ',' quota ',' telephone ',' Negri ',' MyTelkomsel ',' Sempura ',' family "&amp;"',' brother ' , 'friends', 'etc.', 'Negri', 'Indonesia', 'network', 'problematic', 'internet', 'telephone', '']")</f>
        <v>['MyTlkomsel', 'Perfect', 'Add', 'System', 'Borrow', 'Quota', 'Credit', 'Payment', 'Do', 'Fill', 'Credit', 'Cut', ' automatically ',' direct ',' ATM ',' account ',' etc. ',' suppose ',' quota ',' telephone ',' Negri ',' MyTelkomsel ',' Sempura ',' family ',' brother ' , 'friends', 'etc.', 'Negri', 'Indonesia', 'network', 'problematic', 'internet', 'telephone', '']</v>
      </c>
      <c r="D4682" s="3">
        <v>5.0</v>
      </c>
    </row>
    <row r="4683" ht="15.75" customHeight="1">
      <c r="A4683" s="1">
        <v>5009.0</v>
      </c>
      <c r="B4683" s="3" t="s">
        <v>4484</v>
      </c>
      <c r="C4683" s="3" t="str">
        <f>IFERROR(__xludf.DUMMYFUNCTION("GOOGLETRANSLATE(B4683,""id"",""en"")"),"['Telkomsel', 'Severe', 'stable', 'card', 'tri', 'cook', 'right', 'rain', 'network', 'down', 'right', 'recommended', ' Tsel ',' Please ',' In the future ',' repaired ',' thank you ']")</f>
        <v>['Telkomsel', 'Severe', 'stable', 'card', 'tri', 'cook', 'right', 'rain', 'network', 'down', 'right', 'recommended', ' Tsel ',' Please ',' In the future ',' repaired ',' thank you ']</v>
      </c>
      <c r="D4683" s="3">
        <v>1.0</v>
      </c>
    </row>
    <row r="4684" ht="15.75" customHeight="1">
      <c r="A4684" s="1">
        <v>5010.0</v>
      </c>
      <c r="B4684" s="3" t="s">
        <v>4485</v>
      </c>
      <c r="C4684" s="3" t="str">
        <f>IFERROR(__xludf.DUMMYFUNCTION("GOOGLETRANSLATE(B4684,""id"",""en"")"),"['Increase', 'signal', 'inland', 'Kalimantan']")</f>
        <v>['Increase', 'signal', 'inland', 'Kalimantan']</v>
      </c>
      <c r="D4684" s="3">
        <v>4.0</v>
      </c>
    </row>
    <row r="4685" ht="15.75" customHeight="1">
      <c r="A4685" s="1">
        <v>5011.0</v>
      </c>
      <c r="B4685" s="3" t="s">
        <v>4486</v>
      </c>
      <c r="C4685" s="3" t="str">
        <f>IFERROR(__xludf.DUMMYFUNCTION("GOOGLETRANSLATE(B4685,""id"",""en"")"),"['Improved', 'buy', 'quota', 'fast', 'entry', 'good', 'job', 'Telkomsel', '']")</f>
        <v>['Improved', 'buy', 'quota', 'fast', 'entry', 'good', 'job', 'Telkomsel', '']</v>
      </c>
      <c r="D4685" s="3">
        <v>4.0</v>
      </c>
    </row>
    <row r="4686" ht="15.75" customHeight="1">
      <c r="A4686" s="1">
        <v>5012.0</v>
      </c>
      <c r="B4686" s="3" t="s">
        <v>4487</v>
      </c>
      <c r="C4686" s="3" t="str">
        <f>IFERROR(__xludf.DUMMYFUNCTION("GOOGLETRANSLATE(B4686,""id"",""en"")"),"['Satisfied', 'Bangat', 'use', 'Telkomsel']")</f>
        <v>['Satisfied', 'Bangat', 'use', 'Telkomsel']</v>
      </c>
      <c r="D4686" s="3">
        <v>5.0</v>
      </c>
    </row>
    <row r="4687" ht="15.75" customHeight="1">
      <c r="A4687" s="1">
        <v>5013.0</v>
      </c>
      <c r="B4687" s="3" t="s">
        <v>1964</v>
      </c>
      <c r="C4687" s="3" t="str">
        <f>IFERROR(__xludf.DUMMYFUNCTION("GOOGLETRANSLATE(B4687,""id"",""en"")"),"['satisfying', '']")</f>
        <v>['satisfying', '']</v>
      </c>
      <c r="D4687" s="3">
        <v>5.0</v>
      </c>
    </row>
    <row r="4688" ht="15.75" customHeight="1">
      <c r="A4688" s="1">
        <v>5014.0</v>
      </c>
      <c r="B4688" s="3" t="s">
        <v>518</v>
      </c>
      <c r="C4688" s="3" t="str">
        <f>IFERROR(__xludf.DUMMYFUNCTION("GOOGLETRANSLATE(B4688,""id"",""en"")"),"['hopefully']")</f>
        <v>['hopefully']</v>
      </c>
      <c r="D4688" s="3">
        <v>5.0</v>
      </c>
    </row>
    <row r="4689" ht="15.75" customHeight="1">
      <c r="A4689" s="1">
        <v>5015.0</v>
      </c>
      <c r="B4689" s="3" t="s">
        <v>4488</v>
      </c>
      <c r="C4689" s="3" t="str">
        <f>IFERROR(__xludf.DUMMYFUNCTION("GOOGLETRANSLATE(B4689,""id"",""en"")"),"['Telkomsel', 'good', 'dlm', 'service', 'signal', 'good', 'satisfying', 'customer', 'Thanks',' Telkomsel ',' advanced ',' trs', ' In ',' Quality ',' Quality ',' Network ',' Reach ', ""]")</f>
        <v>['Telkomsel', 'good', 'dlm', 'service', 'signal', 'good', 'satisfying', 'customer', 'Thanks',' Telkomsel ',' advanced ',' trs', ' In ',' Quality ',' Quality ',' Network ',' Reach ', "]</v>
      </c>
      <c r="D4689" s="3">
        <v>5.0</v>
      </c>
    </row>
    <row r="4690" ht="15.75" customHeight="1">
      <c r="A4690" s="1">
        <v>5016.0</v>
      </c>
      <c r="B4690" s="3" t="s">
        <v>4489</v>
      </c>
      <c r="C4690" s="3" t="str">
        <f>IFERROR(__xludf.DUMMYFUNCTION("GOOGLETRANSLATE(B4690,""id"",""en"")"),"['Contents',' credit ',' Direct ',' Sumpot ',' buy ',' quota ',' lap ',' YouTube ',' unlimited ',' a day ',' Telkomsel ',' Packed ',' Written ',' Package ',' Used ',' Opened ',' YouTube ',' Transaction ',' Purchase ',' Package ',' FAILURE ',' Waiting ',' "&amp;"Tip ',' Cut ',' Pulses' , 'Used', 'complaints', 'Sorry', 'Salah', 'Election', 'Thank you', ""]")</f>
        <v>['Contents',' credit ',' Direct ',' Sumpot ',' buy ',' quota ',' lap ',' YouTube ',' unlimited ',' a day ',' Telkomsel ',' Packed ',' Written ',' Package ',' Used ',' Opened ',' YouTube ',' Transaction ',' Purchase ',' Package ',' FAILURE ',' Waiting ',' Tip ',' Cut ',' Pulses' , 'Used', 'complaints', 'Sorry', 'Salah', 'Election', 'Thank you', "]</v>
      </c>
      <c r="D4690" s="3">
        <v>1.0</v>
      </c>
    </row>
    <row r="4691" ht="15.75" customHeight="1">
      <c r="A4691" s="1">
        <v>5017.0</v>
      </c>
      <c r="B4691" s="3" t="s">
        <v>4490</v>
      </c>
      <c r="C4691" s="3" t="str">
        <f>IFERROR(__xludf.DUMMYFUNCTION("GOOGLETRANSLATE(B4691,""id"",""en"")"),"['Cheap', 'affordable', 'package', 'favorite', 'package', 'cheerful', 'thank you', 'Telkomsel', '']")</f>
        <v>['Cheap', 'affordable', 'package', 'favorite', 'package', 'cheerful', 'thank you', 'Telkomsel', '']</v>
      </c>
      <c r="D4691" s="3">
        <v>5.0</v>
      </c>
    </row>
    <row r="4692" ht="15.75" customHeight="1">
      <c r="A4692" s="1">
        <v>5018.0</v>
      </c>
      <c r="B4692" s="3" t="s">
        <v>4491</v>
      </c>
      <c r="C4692" s="3" t="str">
        <f>IFERROR(__xludf.DUMMYFUNCTION("GOOGLETRANSLATE(B4692,""id"",""en"")"),"['Please', 'Telkomsel', 'Network', 'ugly', 'Note', 'Region', 'Village', 'Network', 'Stable', 'Please', 'Fix', 'Quality', ' The network is', 'Kec', 'star', 'fig', 'kab', 'tabalong', 'just', 'tower', 'slow', 'really', 'please', 'love', 'convenience' , 'user"&amp;"s', 'Telkomsel', 'especially', 'area', 'interior', 'please', '']")</f>
        <v>['Please', 'Telkomsel', 'Network', 'ugly', 'Note', 'Region', 'Village', 'Network', 'Stable', 'Please', 'Fix', 'Quality', ' The network is', 'Kec', 'star', 'fig', 'kab', 'tabalong', 'just', 'tower', 'slow', 'really', 'please', 'love', 'convenience' , 'users', 'Telkomsel', 'especially', 'area', 'interior', 'please', '']</v>
      </c>
      <c r="D4692" s="3">
        <v>5.0</v>
      </c>
    </row>
    <row r="4693" ht="15.75" customHeight="1">
      <c r="A4693" s="1">
        <v>5019.0</v>
      </c>
      <c r="B4693" s="3" t="s">
        <v>4492</v>
      </c>
      <c r="C4693" s="3" t="str">
        <f>IFERROR(__xludf.DUMMYFUNCTION("GOOGLETRANSLATE(B4693,""id"",""en"")"),"['Talikin', 'pulse', 'cave', 'woy', 'kouta', 'dodol', 'cut', 'access', 'internet', 'non', 'package', '']")</f>
        <v>['Talikin', 'pulse', 'cave', 'woy', 'kouta', 'dodol', 'cut', 'access', 'internet', 'non', 'package', '']</v>
      </c>
      <c r="D4693" s="3">
        <v>1.0</v>
      </c>
    </row>
    <row r="4694" ht="15.75" customHeight="1">
      <c r="A4694" s="1">
        <v>5020.0</v>
      </c>
      <c r="B4694" s="3" t="s">
        <v>4493</v>
      </c>
      <c r="C4694" s="3" t="str">
        <f>IFERROR(__xludf.DUMMYFUNCTION("GOOGLETRANSLATE(B4694,""id"",""en"")"),"['Open', 'MyTelkomsel']")</f>
        <v>['Open', 'MyTelkomsel']</v>
      </c>
      <c r="D4694" s="3">
        <v>2.0</v>
      </c>
    </row>
    <row r="4695" ht="15.75" customHeight="1">
      <c r="A4695" s="1">
        <v>5021.0</v>
      </c>
      <c r="B4695" s="3" t="s">
        <v>4494</v>
      </c>
      <c r="C4695" s="3" t="str">
        <f>IFERROR(__xludf.DUMMYFUNCTION("GOOGLETRANSLATE(B4695,""id"",""en"")"),"['Results', 'satisfying']")</f>
        <v>['Results', 'satisfying']</v>
      </c>
      <c r="D4695" s="3">
        <v>5.0</v>
      </c>
    </row>
    <row r="4696" ht="15.75" customHeight="1">
      <c r="A4696" s="1">
        <v>5022.0</v>
      </c>
      <c r="B4696" s="3" t="s">
        <v>4495</v>
      </c>
      <c r="C4696" s="3" t="str">
        <f>IFERROR(__xludf.DUMMYFUNCTION("GOOGLETRANSLATE(B4696,""id"",""en"")"),"['City', 'Should', 'Out', 'Play', 'Clock', 'Direct', 'Out', 'GB']")</f>
        <v>['City', 'Should', 'Out', 'Play', 'Clock', 'Direct', 'Out', 'GB']</v>
      </c>
      <c r="D4696" s="3">
        <v>1.0</v>
      </c>
    </row>
    <row r="4697" ht="15.75" customHeight="1">
      <c r="A4697" s="1">
        <v>5023.0</v>
      </c>
      <c r="B4697" s="3" t="s">
        <v>4496</v>
      </c>
      <c r="C4697" s="3" t="str">
        <f>IFERROR(__xludf.DUMMYFUNCTION("GOOGLETRANSLATE(B4697,""id"",""en"")"),"['', 'steady', 'forward']")</f>
        <v>['', 'steady', 'forward']</v>
      </c>
      <c r="D4697" s="3">
        <v>5.0</v>
      </c>
    </row>
    <row r="4698" ht="15.75" customHeight="1">
      <c r="A4698" s="1">
        <v>5024.0</v>
      </c>
      <c r="B4698" s="3" t="s">
        <v>4497</v>
      </c>
      <c r="C4698" s="3" t="str">
        <f>IFERROR(__xludf.DUMMYFUNCTION("GOOGLETRANSLATE(B4698,""id"",""en"")"),"['Please', 'Policy', 'Card', 'Telkomsel', 'Times',' Update ',' Update ',' After ',' Permain ',' Please ',' Listen ',' Please ',' Fix ',' Community ',' Personal ',' Moving ',' Card ',' Productive ',' LGI ']")</f>
        <v>['Please', 'Policy', 'Card', 'Telkomsel', 'Times',' Update ',' Update ',' After ',' Permain ',' Please ',' Listen ',' Please ',' Fix ',' Community ',' Personal ',' Moving ',' Card ',' Productive ',' LGI ']</v>
      </c>
      <c r="D4698" s="3">
        <v>1.0</v>
      </c>
    </row>
    <row r="4699" ht="15.75" customHeight="1">
      <c r="A4699" s="1">
        <v>5025.0</v>
      </c>
      <c r="B4699" s="3" t="s">
        <v>4498</v>
      </c>
      <c r="C4699" s="3" t="str">
        <f>IFERROR(__xludf.DUMMYFUNCTION("GOOGLETRANSLATE(B4699,""id"",""en"")"),"['MyTelkomsel', 'transaction', 'anything', 'Young']")</f>
        <v>['MyTelkomsel', 'transaction', 'anything', 'Young']</v>
      </c>
      <c r="D4699" s="3">
        <v>3.0</v>
      </c>
    </row>
    <row r="4700" ht="15.75" customHeight="1">
      <c r="A4700" s="1">
        <v>5026.0</v>
      </c>
      <c r="B4700" s="3" t="s">
        <v>4499</v>
      </c>
      <c r="C4700" s="3" t="str">
        <f>IFERROR(__xludf.DUMMYFUNCTION("GOOGLETRANSLATE(B4700,""id"",""en"")"),"['bonus', 'kouta', 'free', 'kasi', 'star', '']")</f>
        <v>['bonus', 'kouta', 'free', 'kasi', 'star', '']</v>
      </c>
      <c r="D4700" s="3">
        <v>4.0</v>
      </c>
    </row>
    <row r="4701" ht="15.75" customHeight="1">
      <c r="A4701" s="1">
        <v>5028.0</v>
      </c>
      <c r="B4701" s="3" t="s">
        <v>4500</v>
      </c>
      <c r="C4701" s="3" t="str">
        <f>IFERROR(__xludf.DUMMYFUNCTION("GOOGLETRANSLATE(B4701,""id"",""en"")"),"['fast', 'run out', 'quota', 'feeling', 'no', 'use']")</f>
        <v>['fast', 'run out', 'quota', 'feeling', 'no', 'use']</v>
      </c>
      <c r="D4701" s="3">
        <v>1.0</v>
      </c>
    </row>
    <row r="4702" ht="15.75" customHeight="1">
      <c r="A4702" s="1">
        <v>5029.0</v>
      </c>
      <c r="B4702" s="3" t="s">
        <v>4501</v>
      </c>
      <c r="C4702" s="3" t="str">
        <f>IFERROR(__xludf.DUMMYFUNCTION("GOOGLETRANSLATE(B4702,""id"",""en"")"),"['impressive']")</f>
        <v>['impressive']</v>
      </c>
      <c r="D4702" s="3">
        <v>5.0</v>
      </c>
    </row>
    <row r="4703" ht="15.75" customHeight="1">
      <c r="A4703" s="1">
        <v>5030.0</v>
      </c>
      <c r="B4703" s="3" t="s">
        <v>4502</v>
      </c>
      <c r="C4703" s="3" t="str">
        <f>IFERROR(__xludf.DUMMYFUNCTION("GOOGLETRANSLATE(B4703,""id"",""en"")"),"['Disappointed', 'Telkomsel', 'Telkomsel', 'bonus',' promo ',' choose ',' love ',' signal ',' here ',' difficult ',' purchase ',' package ',' Data ',' the most expensive ',' security ',' Lock ',' pulse ',' main ',' data ',' run out ',' kayak ',' provider "&amp;"',' next door ',' Telkomsel ',' briefly ' , 'update', 'features',' comfortable ',' customer ',' purchase ',' package ',' data ',' disappointed ',' as', 'example', 'buy', 'pulses',' according to ',' package ',' purchase ',' notification ',' pulse ',' fix '"&amp;",' deh ',' ']")</f>
        <v>['Disappointed', 'Telkomsel', 'Telkomsel', 'bonus',' promo ',' choose ',' love ',' signal ',' here ',' difficult ',' purchase ',' package ',' Data ',' the most expensive ',' security ',' Lock ',' pulse ',' main ',' data ',' run out ',' kayak ',' provider ',' next door ',' Telkomsel ',' briefly ' , 'update', 'features',' comfortable ',' customer ',' purchase ',' package ',' data ',' disappointed ',' as', 'example', 'buy', 'pulses',' according to ',' package ',' purchase ',' notification ',' pulse ',' fix ',' deh ',' ']</v>
      </c>
      <c r="D4703" s="3">
        <v>1.0</v>
      </c>
    </row>
    <row r="4704" ht="15.75" customHeight="1">
      <c r="A4704" s="1">
        <v>5031.0</v>
      </c>
      <c r="B4704" s="3" t="s">
        <v>4503</v>
      </c>
      <c r="C4704" s="3" t="str">
        <f>IFERROR(__xludf.DUMMYFUNCTION("GOOGLETRANSLATE(B4704,""id"",""en"")"),"['Help', 'Mecheke', 'City', 'Buy', 'City', 'Pokonya', 'Debes']")</f>
        <v>['Help', 'Mecheke', 'City', 'Buy', 'City', 'Pokonya', 'Debes']</v>
      </c>
      <c r="D4704" s="3">
        <v>5.0</v>
      </c>
    </row>
    <row r="4705" ht="15.75" customHeight="1">
      <c r="A4705" s="1">
        <v>5032.0</v>
      </c>
      <c r="B4705" s="3" t="s">
        <v>4504</v>
      </c>
      <c r="C4705" s="3" t="str">
        <f>IFERROR(__xludf.DUMMYFUNCTION("GOOGLETRANSLATE(B4705,""id"",""en"")"),"['classified', 'application']")</f>
        <v>['classified', 'application']</v>
      </c>
      <c r="D4705" s="3">
        <v>5.0</v>
      </c>
    </row>
    <row r="4706" ht="15.75" customHeight="1">
      <c r="A4706" s="1">
        <v>5034.0</v>
      </c>
      <c r="B4706" s="3" t="s">
        <v>154</v>
      </c>
      <c r="C4706" s="3" t="str">
        <f>IFERROR(__xludf.DUMMYFUNCTION("GOOGLETRANSLATE(B4706,""id"",""en"")"),"['satisfying']")</f>
        <v>['satisfying']</v>
      </c>
      <c r="D4706" s="3">
        <v>5.0</v>
      </c>
    </row>
    <row r="4707" ht="15.75" customHeight="1">
      <c r="A4707" s="1">
        <v>5035.0</v>
      </c>
      <c r="B4707" s="3" t="s">
        <v>4505</v>
      </c>
      <c r="C4707" s="3" t="str">
        <f>IFERROR(__xludf.DUMMYFUNCTION("GOOGLETRANSLATE(B4707,""id"",""en"")"),"['Signal', 'Severe']")</f>
        <v>['Signal', 'Severe']</v>
      </c>
      <c r="D4707" s="3">
        <v>1.0</v>
      </c>
    </row>
    <row r="4708" ht="15.75" customHeight="1">
      <c r="A4708" s="1">
        <v>5036.0</v>
      </c>
      <c r="B4708" s="3" t="s">
        <v>4506</v>
      </c>
      <c r="C4708" s="3" t="str">
        <f>IFERROR(__xludf.DUMMYFUNCTION("GOOGLETRANSLATE(B4708,""id"",""en"")"),"['Come', 'disappointing', 'network', 'slow', 'user', 'loyal', 'Telkomsel', 'disappointed', 'chaotic', 'Telkomsel', 'congratulations',' stay ',' Replace ',' GSM ']")</f>
        <v>['Come', 'disappointing', 'network', 'slow', 'user', 'loyal', 'Telkomsel', 'disappointed', 'chaotic', 'Telkomsel', 'congratulations',' stay ',' Replace ',' GSM ']</v>
      </c>
      <c r="D4708" s="3">
        <v>1.0</v>
      </c>
    </row>
    <row r="4709" ht="15.75" customHeight="1">
      <c r="A4709" s="1">
        <v>5037.0</v>
      </c>
      <c r="B4709" s="3" t="s">
        <v>4507</v>
      </c>
      <c r="C4709" s="3" t="str">
        <f>IFERROR(__xludf.DUMMYFUNCTION("GOOGLETRANSLATE(B4709,""id"",""en"")"),"['Sorry', 'open', 'youtube', 'package', 'unlimited', 'main', 'direct', 'sucked', 'buy', 'package', 'extra', 'unlimited', ' FUP ',' GB ',' Package ',' Unlimited ',' YouTube ',' Package ',' Please ',' Repair ', ""]")</f>
        <v>['Sorry', 'open', 'youtube', 'package', 'unlimited', 'main', 'direct', 'sucked', 'buy', 'package', 'extra', 'unlimited', ' FUP ',' GB ',' Package ',' Unlimited ',' YouTube ',' Package ',' Please ',' Repair ', "]</v>
      </c>
      <c r="D4709" s="3">
        <v>1.0</v>
      </c>
    </row>
    <row r="4710" ht="15.75" customHeight="1">
      <c r="A4710" s="1">
        <v>5038.0</v>
      </c>
      <c r="B4710" s="3" t="s">
        <v>4508</v>
      </c>
      <c r="C4710" s="3" t="str">
        <f>IFERROR(__xludf.DUMMYFUNCTION("GOOGLETRANSLATE(B4710,""id"",""en"")"),"['Quality', 'network', 'Telkomsel', 'Setaun', 'Severe', 'really', 'really', 'loss', 'once', 'Diandelin', ""]")</f>
        <v>['Quality', 'network', 'Telkomsel', 'Setaun', 'Severe', 'really', 'really', 'loss', 'once', 'Diandelin', "]</v>
      </c>
      <c r="D4710" s="3">
        <v>1.0</v>
      </c>
    </row>
    <row r="4711" ht="15.75" customHeight="1">
      <c r="A4711" s="1">
        <v>5039.0</v>
      </c>
      <c r="B4711" s="3" t="s">
        <v>4509</v>
      </c>
      <c r="C4711" s="3" t="str">
        <f>IFERROR(__xludf.DUMMYFUNCTION("GOOGLETRANSLATE(B4711,""id"",""en"")"),"['Telkomsel', 'Hatu']")</f>
        <v>['Telkomsel', 'Hatu']</v>
      </c>
      <c r="D4711" s="3">
        <v>5.0</v>
      </c>
    </row>
    <row r="4712" ht="15.75" customHeight="1">
      <c r="A4712" s="1">
        <v>5040.0</v>
      </c>
      <c r="B4712" s="3" t="s">
        <v>4510</v>
      </c>
      <c r="C4712" s="3" t="str">
        <f>IFERROR(__xludf.DUMMYFUNCTION("GOOGLETRANSLATE(B4712,""id"",""en"")"),"['cave', 'Nyari', 'quota', 'cheerful', 'need', 'school']")</f>
        <v>['cave', 'Nyari', 'quota', 'cheerful', 'need', 'school']</v>
      </c>
      <c r="D4712" s="3">
        <v>2.0</v>
      </c>
    </row>
    <row r="4713" ht="15.75" customHeight="1">
      <c r="A4713" s="1">
        <v>5041.0</v>
      </c>
      <c r="B4713" s="3" t="s">
        <v>4511</v>
      </c>
      <c r="C4713" s="3" t="str">
        <f>IFERROR(__xludf.DUMMYFUNCTION("GOOGLETRANSLATE(B4713,""id"",""en"")"),"['SDAH', 'Use', 'Card', 'Hallo', 'Dri', 'Telkomsel', 'Grade', 'Network', 'Jdi', 'Priority', 'Severe', 'Harm', ' Users', 'disappointing', '']")</f>
        <v>['SDAH', 'Use', 'Card', 'Hallo', 'Dri', 'Telkomsel', 'Grade', 'Network', 'Jdi', 'Priority', 'Severe', 'Harm', ' Users', 'disappointing', '']</v>
      </c>
      <c r="D4713" s="3">
        <v>1.0</v>
      </c>
    </row>
    <row r="4714" ht="15.75" customHeight="1">
      <c r="A4714" s="1">
        <v>5042.0</v>
      </c>
      <c r="B4714" s="3" t="s">
        <v>4512</v>
      </c>
      <c r="C4714" s="3" t="str">
        <f>IFERROR(__xludf.DUMMYFUNCTION("GOOGLETRANSLATE(B4714,""id"",""en"")"),"['Help', 'contents', 'hahaha']")</f>
        <v>['Help', 'contents', 'hahaha']</v>
      </c>
      <c r="D4714" s="3">
        <v>5.0</v>
      </c>
    </row>
    <row r="4715" ht="15.75" customHeight="1">
      <c r="A4715" s="1">
        <v>5043.0</v>
      </c>
      <c r="B4715" s="3" t="s">
        <v>4513</v>
      </c>
      <c r="C4715" s="3" t="str">
        <f>IFERROR(__xludf.DUMMYFUNCTION("GOOGLETRANSLATE(B4715,""id"",""en"")"),"['Telkomsel', 'chaotic', 'knp', 'package', 'FUP', 'unlimited', 'download', 'playstore', 'slow', 'pdhal', 'kenceng']")</f>
        <v>['Telkomsel', 'chaotic', 'knp', 'package', 'FUP', 'unlimited', 'download', 'playstore', 'slow', 'pdhal', 'kenceng']</v>
      </c>
      <c r="D4715" s="3">
        <v>1.0</v>
      </c>
    </row>
    <row r="4716" ht="15.75" customHeight="1">
      <c r="A4716" s="1">
        <v>5044.0</v>
      </c>
      <c r="B4716" s="3" t="s">
        <v>4514</v>
      </c>
      <c r="C4716" s="3" t="str">
        <f>IFERROR(__xludf.DUMMYFUNCTION("GOOGLETRANSLATE(B4716,""id"",""en"")"),"['Policy', 'Telkomsel']")</f>
        <v>['Policy', 'Telkomsel']</v>
      </c>
      <c r="D4716" s="3">
        <v>3.0</v>
      </c>
    </row>
    <row r="4717" ht="15.75" customHeight="1">
      <c r="A4717" s="1">
        <v>5045.0</v>
      </c>
      <c r="B4717" s="3" t="s">
        <v>4515</v>
      </c>
      <c r="C4717" s="3" t="str">
        <f>IFERROR(__xludf.DUMMYFUNCTION("GOOGLETRANSLATE(B4717,""id"",""en"")"),"['Login', 'his writing', 'oops', 'error', 'number', 'phone', 'already', 'right', 'please', 'login', 'already', 'all']")</f>
        <v>['Login', 'his writing', 'oops', 'error', 'number', 'phone', 'already', 'right', 'please', 'login', 'already', 'all']</v>
      </c>
      <c r="D4717" s="3">
        <v>1.0</v>
      </c>
    </row>
    <row r="4718" ht="15.75" customHeight="1">
      <c r="A4718" s="1">
        <v>5046.0</v>
      </c>
      <c r="B4718" s="3" t="s">
        <v>4516</v>
      </c>
      <c r="C4718" s="3" t="str">
        <f>IFERROR(__xludf.DUMMYFUNCTION("GOOGLETRANSLATE(B4718,""id"",""en"")"),"['Okay', 'try']")</f>
        <v>['Okay', 'try']</v>
      </c>
      <c r="D4718" s="3">
        <v>5.0</v>
      </c>
    </row>
    <row r="4719" ht="15.75" customHeight="1">
      <c r="A4719" s="1">
        <v>5047.0</v>
      </c>
      <c r="B4719" s="3" t="s">
        <v>4517</v>
      </c>
      <c r="C4719" s="3" t="str">
        <f>IFERROR(__xludf.DUMMYFUNCTION("GOOGLETRANSLATE(B4719,""id"",""en"")"),"['Gemana', 'input', 'Telkomsel', 'tasty', 'tengo', 'pulse']")</f>
        <v>['Gemana', 'input', 'Telkomsel', 'tasty', 'tengo', 'pulse']</v>
      </c>
      <c r="D4719" s="3">
        <v>5.0</v>
      </c>
    </row>
    <row r="4720" ht="15.75" customHeight="1">
      <c r="A4720" s="1">
        <v>5048.0</v>
      </c>
      <c r="B4720" s="3" t="s">
        <v>4518</v>
      </c>
      <c r="C4720" s="3" t="str">
        <f>IFERROR(__xludf.DUMMYFUNCTION("GOOGLETRANSLATE(B4720,""id"",""en"")"),"['Veronica', 'Connect', 'Litu', ""]")</f>
        <v>['Veronica', 'Connect', 'Litu', "]</v>
      </c>
      <c r="D4720" s="3">
        <v>3.0</v>
      </c>
    </row>
    <row r="4721" ht="15.75" customHeight="1">
      <c r="A4721" s="1">
        <v>5050.0</v>
      </c>
      <c r="B4721" s="3" t="s">
        <v>4519</v>
      </c>
      <c r="C4721" s="3" t="str">
        <f>IFERROR(__xludf.DUMMYFUNCTION("GOOGLETRANSLATE(B4721,""id"",""en"")"),"['Love', 'star', 'satisfying', 'star']")</f>
        <v>['Love', 'star', 'satisfying', 'star']</v>
      </c>
      <c r="D4721" s="3">
        <v>3.0</v>
      </c>
    </row>
    <row r="4722" ht="15.75" customHeight="1">
      <c r="A4722" s="1">
        <v>5051.0</v>
      </c>
      <c r="B4722" s="3" t="s">
        <v>4520</v>
      </c>
      <c r="C4722" s="3" t="str">
        <f>IFERROR(__xludf.DUMMYFUNCTION("GOOGLETRANSLATE(B4722,""id"",""en"")"),"['', 'Paketan', 'expensive', 'Network', 'Rotten', 'Benerin', 'Region', 'Jakarta', 'North', 'People', 'Ngeluh', 'Network', 'slow ',' Severe ',' Telkomsel ']")</f>
        <v>['', 'Paketan', 'expensive', 'Network', 'Rotten', 'Benerin', 'Region', 'Jakarta', 'North', 'People', 'Ngeluh', 'Network', 'slow ',' Severe ',' Telkomsel ']</v>
      </c>
      <c r="D4722" s="3">
        <v>1.0</v>
      </c>
    </row>
    <row r="4723" ht="15.75" customHeight="1">
      <c r="A4723" s="1">
        <v>5052.0</v>
      </c>
      <c r="B4723" s="3" t="s">
        <v>4521</v>
      </c>
      <c r="C4723" s="3" t="str">
        <f>IFERROR(__xludf.DUMMYFUNCTION("GOOGLETRANSLATE(B4723,""id"",""en"")"),"['satisfying', 'signal', 'sometimes', 'run', 'run', ""]")</f>
        <v>['satisfying', 'signal', 'sometimes', 'run', 'run', "]</v>
      </c>
      <c r="D4723" s="3">
        <v>5.0</v>
      </c>
    </row>
    <row r="4724" ht="15.75" customHeight="1">
      <c r="A4724" s="1">
        <v>5053.0</v>
      </c>
      <c r="B4724" s="3" t="s">
        <v>4522</v>
      </c>
      <c r="C4724" s="3" t="str">
        <f>IFERROR(__xludf.DUMMYFUNCTION("GOOGLETRANSLATE(B4724,""id"",""en"")"),"['Sya', 'love', 'star', 'skrg', 'sya', 'love', 'star', 'dktrnakan', 'alsn', 'sngt', 'kcwa', 'performance', ' Employees', 'PDHL', 'BLN', 'SLLU', 'BYAR', 'TGHAN', 'KRTU', 'PSCabyar', 'Ntah', 'Knp', 'TB', 'his employees',' END ' , 'parents',' Sya ',' collect"&amp;" ',' Costs', 'card', 'Sya', 'Sya', 'CKP', 'LMA', 'Mnggnakn', 'Lynan', 'Telkomsel', ' Bru ',' Sya ',' mndptkn ',' plynan ',' Alsan ',' APL ',' BSA ',' opened ',' suggested ',' updated ',' updated ',' ttp ',' opened ' , 'told', 'update', 'lgi', 'bgmn', 'beg"&amp;"', 'help']")</f>
        <v>['Sya', 'love', 'star', 'skrg', 'sya', 'love', 'star', 'dktrnakan', 'alsn', 'sngt', 'kcwa', 'performance', ' Employees', 'PDHL', 'BLN', 'SLLU', 'BYAR', 'TGHAN', 'KRTU', 'PSCabyar', 'Ntah', 'Knp', 'TB', 'his employees',' END ' , 'parents',' Sya ',' collect ',' Costs', 'card', 'Sya', 'Sya', 'CKP', 'LMA', 'Mnggnakn', 'Lynan', 'Telkomsel', ' Bru ',' Sya ',' mndptkn ',' plynan ',' Alsan ',' APL ',' BSA ',' opened ',' suggested ',' updated ',' updated ',' ttp ',' opened ' , 'told', 'update', 'lgi', 'bgmn', 'beg', 'help']</v>
      </c>
      <c r="D4724" s="3">
        <v>2.0</v>
      </c>
    </row>
    <row r="4725" ht="15.75" customHeight="1">
      <c r="A4725" s="1">
        <v>5054.0</v>
      </c>
      <c r="B4725" s="3" t="s">
        <v>4523</v>
      </c>
      <c r="C4725" s="3" t="str">
        <f>IFERROR(__xludf.DUMMYFUNCTION("GOOGLETRANSLATE(B4725,""id"",""en"")"),"['Network', 'lifted', 'ugly', 'Try', 'Fix', 'Network', 'Telkomsel', 'Pakainkartu', 'Severe', 'Telkomsel']")</f>
        <v>['Network', 'lifted', 'ugly', 'Try', 'Fix', 'Network', 'Telkomsel', 'Pakainkartu', 'Severe', 'Telkomsel']</v>
      </c>
      <c r="D4725" s="3">
        <v>1.0</v>
      </c>
    </row>
    <row r="4726" ht="15.75" customHeight="1">
      <c r="A4726" s="1">
        <v>5055.0</v>
      </c>
      <c r="B4726" s="3" t="s">
        <v>4524</v>
      </c>
      <c r="C4726" s="3" t="str">
        <f>IFERROR(__xludf.DUMMYFUNCTION("GOOGLETRANSLATE(B4726,""id"",""en"")"),"['point', 'exchanged', 'user', '']")</f>
        <v>['point', 'exchanged', 'user', '']</v>
      </c>
      <c r="D4726" s="3">
        <v>1.0</v>
      </c>
    </row>
    <row r="4727" ht="15.75" customHeight="1">
      <c r="A4727" s="1">
        <v>5056.0</v>
      </c>
      <c r="B4727" s="3" t="s">
        <v>4525</v>
      </c>
      <c r="C4727" s="3" t="str">
        <f>IFERROR(__xludf.DUMMYFUNCTION("GOOGLETRANSLATE(B4727,""id"",""en"")"),"['Network', 'break up', '']")</f>
        <v>['Network', 'break up', '']</v>
      </c>
      <c r="D4727" s="3">
        <v>1.0</v>
      </c>
    </row>
    <row r="4728" ht="15.75" customHeight="1">
      <c r="A4728" s="1">
        <v>5057.0</v>
      </c>
      <c r="B4728" s="3" t="s">
        <v>1268</v>
      </c>
      <c r="C4728" s="3" t="str">
        <f>IFERROR(__xludf.DUMMYFUNCTION("GOOGLETRANSLATE(B4728,""id"",""en"")"),"['Success', 'Telkomsel']")</f>
        <v>['Success', 'Telkomsel']</v>
      </c>
      <c r="D4728" s="3">
        <v>4.0</v>
      </c>
    </row>
    <row r="4729" ht="15.75" customHeight="1">
      <c r="A4729" s="1">
        <v>5058.0</v>
      </c>
      <c r="B4729" s="3" t="s">
        <v>4526</v>
      </c>
      <c r="C4729" s="3" t="str">
        <f>IFERROR(__xludf.DUMMYFUNCTION("GOOGLETRANSLATE(B4729,""id"",""en"")"),"['', 'Package', 'Unlimited']")</f>
        <v>['', 'Package', 'Unlimited']</v>
      </c>
      <c r="D4729" s="3">
        <v>5.0</v>
      </c>
    </row>
    <row r="4730" ht="15.75" customHeight="1">
      <c r="A4730" s="1">
        <v>5059.0</v>
      </c>
      <c r="B4730" s="3" t="s">
        <v>4527</v>
      </c>
      <c r="C4730" s="3" t="str">
        <f>IFERROR(__xludf.DUMMYFUNCTION("GOOGLETRANSLATE(B4730,""id"",""en"")"),"['Telkomsel', 'mantaaap']")</f>
        <v>['Telkomsel', 'mantaaap']</v>
      </c>
      <c r="D4730" s="3">
        <v>5.0</v>
      </c>
    </row>
    <row r="4731" ht="15.75" customHeight="1">
      <c r="A4731" s="1">
        <v>5060.0</v>
      </c>
      <c r="B4731" s="3" t="s">
        <v>4528</v>
      </c>
      <c r="C4731" s="3" t="str">
        <f>IFERROR(__xludf.DUMMYFUNCTION("GOOGLETRANSLATE(B4731,""id"",""en"")"),"['use', 'application', 'gift', 'quota', 'diligent', 'chek', 'thanks',' enhanced ',' promo ',' purchase ',' package ',' internet ',' ']")</f>
        <v>['use', 'application', 'gift', 'quota', 'diligent', 'chek', 'thanks',' enhanced ',' promo ',' purchase ',' package ',' internet ',' ']</v>
      </c>
      <c r="D4731" s="3">
        <v>5.0</v>
      </c>
    </row>
    <row r="4732" ht="15.75" customHeight="1">
      <c r="A4732" s="1">
        <v>5061.0</v>
      </c>
      <c r="B4732" s="3" t="s">
        <v>4529</v>
      </c>
      <c r="C4732" s="3" t="str">
        <f>IFERROR(__xludf.DUMMYFUNCTION("GOOGLETRANSLATE(B4732,""id"",""en"")"),"['Number', 'Lottery', '']")</f>
        <v>['Number', 'Lottery', '']</v>
      </c>
      <c r="D4732" s="3">
        <v>5.0</v>
      </c>
    </row>
    <row r="4733" ht="15.75" customHeight="1">
      <c r="A4733" s="1">
        <v>5062.0</v>
      </c>
      <c r="B4733" s="3" t="s">
        <v>4530</v>
      </c>
      <c r="C4733" s="3" t="str">
        <f>IFERROR(__xludf.DUMMYFUNCTION("GOOGLETRANSLATE(B4733,""id"",""en"")"),"['Cape', 'Telkomsel', 'Network', 'Bener', 'Main', 'Game', 'Chat', 'Difficult', 'Taeklah', 'Telkomsel', 'Mending', 'Smartfreen', ' ']")</f>
        <v>['Cape', 'Telkomsel', 'Network', 'Bener', 'Main', 'Game', 'Chat', 'Difficult', 'Taeklah', 'Telkomsel', 'Mending', 'Smartfreen', ' ']</v>
      </c>
      <c r="D4733" s="3">
        <v>1.0</v>
      </c>
    </row>
    <row r="4734" ht="15.75" customHeight="1">
      <c r="A4734" s="1">
        <v>5063.0</v>
      </c>
      <c r="B4734" s="3" t="s">
        <v>4531</v>
      </c>
      <c r="C4734" s="3" t="str">
        <f>IFERROR(__xludf.DUMMYFUNCTION("GOOGLETRANSLATE(B4734,""id"",""en"")"),"['', 'APK']")</f>
        <v>['', 'APK']</v>
      </c>
      <c r="D4734" s="3">
        <v>1.0</v>
      </c>
    </row>
    <row r="4735" ht="15.75" customHeight="1">
      <c r="A4735" s="1">
        <v>5064.0</v>
      </c>
      <c r="B4735" s="3" t="s">
        <v>4532</v>
      </c>
      <c r="C4735" s="3" t="str">
        <f>IFERROR(__xludf.DUMMYFUNCTION("GOOGLETRANSLATE(B4735,""id"",""en"")"),"['Hopefully', 'Get', 'Motor', '']")</f>
        <v>['Hopefully', 'Get', 'Motor', '']</v>
      </c>
      <c r="D4735" s="3">
        <v>5.0</v>
      </c>
    </row>
    <row r="4736" ht="15.75" customHeight="1">
      <c r="A4736" s="1">
        <v>5065.0</v>
      </c>
      <c r="B4736" s="3" t="s">
        <v>4533</v>
      </c>
      <c r="C4736" s="3" t="str">
        <f>IFERROR(__xludf.DUMMYFUNCTION("GOOGLETRANSLATE(B4736,""id"",""en"")"),"['Change', 'Review', 'Ahh', 'Skapan', 'Change', 'Network', 'Profaid', 'Cadih', 'Bintanng', 'Money', 'Wind', 'Buy', ' quota', '']")</f>
        <v>['Change', 'Review', 'Ahh', 'Skapan', 'Change', 'Network', 'Profaid', 'Cadih', 'Bintanng', 'Money', 'Wind', 'Buy', ' quota', '']</v>
      </c>
      <c r="D4736" s="3">
        <v>1.0</v>
      </c>
    </row>
    <row r="4737" ht="15.75" customHeight="1">
      <c r="A4737" s="1">
        <v>5066.0</v>
      </c>
      <c r="B4737" s="3" t="s">
        <v>4534</v>
      </c>
      <c r="C4737" s="3" t="str">
        <f>IFERROR(__xludf.DUMMYFUNCTION("GOOGLETRANSLATE(B4737,""id"",""en"")"),"['BNYK', 'choice']")</f>
        <v>['BNYK', 'choice']</v>
      </c>
      <c r="D4737" s="3">
        <v>2.0</v>
      </c>
    </row>
    <row r="4738" ht="15.75" customHeight="1">
      <c r="A4738" s="1">
        <v>5067.0</v>
      </c>
      <c r="B4738" s="3" t="s">
        <v>4535</v>
      </c>
      <c r="C4738" s="3" t="str">
        <f>IFERROR(__xludf.DUMMYFUNCTION("GOOGLETRANSLATE(B4738,""id"",""en"")"),"['Telkomsel', 'Correct', 'Network', 'Plosok', 'already', 'Diplokok', 'Network', 'Good', 'Mampus']")</f>
        <v>['Telkomsel', 'Correct', 'Network', 'Plosok', 'already', 'Diplokok', 'Network', 'Good', 'Mampus']</v>
      </c>
      <c r="D4738" s="3">
        <v>1.0</v>
      </c>
    </row>
    <row r="4739" ht="15.75" customHeight="1">
      <c r="A4739" s="1">
        <v>5068.0</v>
      </c>
      <c r="B4739" s="3" t="s">
        <v>4536</v>
      </c>
      <c r="C4739" s="3" t="str">
        <f>IFERROR(__xludf.DUMMYFUNCTION("GOOGLETRANSLATE(B4739,""id"",""en"")"),"['extra', 'unlimited', 'missing', 'please', 'fix', 'garden', 'masi', 'fix', 'move', 'card']")</f>
        <v>['extra', 'unlimited', 'missing', 'please', 'fix', 'garden', 'masi', 'fix', 'move', 'card']</v>
      </c>
      <c r="D4739" s="3">
        <v>1.0</v>
      </c>
    </row>
    <row r="4740" ht="15.75" customHeight="1">
      <c r="A4740" s="1">
        <v>5069.0</v>
      </c>
      <c r="B4740" s="3" t="s">
        <v>4537</v>
      </c>
      <c r="C4740" s="3" t="str">
        <f>IFERROR(__xludf.DUMMYFUNCTION("GOOGLETRANSLATE(B4740,""id"",""en"")"),"['', 'tour', 'Lawu', 'Tawangmangu', 'Kab', 'Karanganyar', 'signal']")</f>
        <v>['', 'tour', 'Lawu', 'Tawangmangu', 'Kab', 'Karanganyar', 'signal']</v>
      </c>
      <c r="D4740" s="3">
        <v>4.0</v>
      </c>
    </row>
    <row r="4741" ht="15.75" customHeight="1">
      <c r="A4741" s="1">
        <v>5071.0</v>
      </c>
      <c r="B4741" s="3" t="s">
        <v>4538</v>
      </c>
      <c r="C4741" s="3" t="str">
        <f>IFERROR(__xludf.DUMMYFUNCTION("GOOGLETRANSLATE(B4741,""id"",""en"")"),"['Failed', 'Understand', 'Lottery', 'winner']")</f>
        <v>['Failed', 'Understand', 'Lottery', 'winner']</v>
      </c>
      <c r="D4741" s="3">
        <v>4.0</v>
      </c>
    </row>
    <row r="4742" ht="15.75" customHeight="1">
      <c r="A4742" s="1">
        <v>5072.0</v>
      </c>
      <c r="B4742" s="3" t="s">
        <v>4539</v>
      </c>
      <c r="C4742" s="3" t="str">
        <f>IFERROR(__xludf.DUMMYFUNCTION("GOOGLETRANSLATE(B4742,""id"",""en"")"),"['', 'protest', 'Telkom', 'Live', 'Kendal', 'precisely', 'Kec', 'patent', 'area', 'standing', 'Tower', 'Telkom', 'signal ',' ugly ',' for ',' open ',' medsos', 'difficult', 'play', 'game', 'annoyed', 'please', 'telkom', 'the network', 'repaired', 'Price',"&amp;" 'Package', 'Your Day', 'Strength', 'Network', 'Comparable', 'Please', 'Fast', 'Repaired', '']")</f>
        <v>['', 'protest', 'Telkom', 'Live', 'Kendal', 'precisely', 'Kec', 'patent', 'area', 'standing', 'Tower', 'Telkom', 'signal ',' ugly ',' for ',' open ',' medsos', 'difficult', 'play', 'game', 'annoyed', 'please', 'telkom', 'the network', 'repaired', 'Price', 'Package', 'Your Day', 'Strength', 'Network', 'Comparable', 'Please', 'Fast', 'Repaired', '']</v>
      </c>
      <c r="D4742" s="3">
        <v>2.0</v>
      </c>
    </row>
    <row r="4743" ht="15.75" customHeight="1">
      <c r="A4743" s="1">
        <v>5073.0</v>
      </c>
      <c r="B4743" s="3" t="s">
        <v>4540</v>
      </c>
      <c r="C4743" s="3" t="str">
        <f>IFERROR(__xludf.DUMMYFUNCTION("GOOGLETRANSLATE(B4743,""id"",""en"")"),"['Telkomsel', 'network', 'ugly', 'Bngt', 'location', 'Tangerang', 'city', 'signal', 'bad', 'really', 'moved', 'Gaes',' Rewel ']")</f>
        <v>['Telkomsel', 'network', 'ugly', 'Bngt', 'location', 'Tangerang', 'city', 'signal', 'bad', 'really', 'moved', 'Gaes',' Rewel ']</v>
      </c>
      <c r="D4743" s="3">
        <v>1.0</v>
      </c>
    </row>
    <row r="4744" ht="15.75" customHeight="1">
      <c r="A4744" s="1">
        <v>5074.0</v>
      </c>
      <c r="B4744" s="3" t="s">
        <v>4541</v>
      </c>
      <c r="C4744" s="3" t="str">
        <f>IFERROR(__xludf.DUMMYFUNCTION("GOOGLETRANSLATE(B4744,""id"",""en"")"),"['failed', 'buy', 'package', 'disorder', 'system', 'hobby', 'really', 'try', 'unistall', 'tetep', 'gabisa', 'buy', ' package']")</f>
        <v>['failed', 'buy', 'package', 'disorder', 'system', 'hobby', 'really', 'try', 'unistall', 'tetep', 'gabisa', 'buy', ' package']</v>
      </c>
      <c r="D4744" s="3">
        <v>1.0</v>
      </c>
    </row>
    <row r="4745" ht="15.75" customHeight="1">
      <c r="A4745" s="1">
        <v>5075.0</v>
      </c>
      <c r="B4745" s="3" t="s">
        <v>4542</v>
      </c>
      <c r="C4745" s="3" t="str">
        <f>IFERROR(__xludf.DUMMYFUNCTION("GOOGLETRANSLATE(B4745,""id"",""en"")"),"['Reach', 'remote', '']")</f>
        <v>['Reach', 'remote', '']</v>
      </c>
      <c r="D4745" s="3">
        <v>5.0</v>
      </c>
    </row>
    <row r="4746" ht="15.75" customHeight="1">
      <c r="A4746" s="1">
        <v>5077.0</v>
      </c>
      <c r="B4746" s="3" t="s">
        <v>4543</v>
      </c>
      <c r="C4746" s="3" t="str">
        <f>IFERROR(__xludf.DUMMYFUNCTION("GOOGLETRANSLATE(B4746,""id"",""en"")"),"['KNPA', 'Telkomsel', 'skrang', 'network', 'JLEKK', 'Tlong', 'prbaiki', 'ssya', 'comfortable', 'play', 'game']")</f>
        <v>['KNPA', 'Telkomsel', 'skrang', 'network', 'JLEKK', 'Tlong', 'prbaiki', 'ssya', 'comfortable', 'play', 'game']</v>
      </c>
      <c r="D4746" s="3">
        <v>1.0</v>
      </c>
    </row>
    <row r="4747" ht="15.75" customHeight="1">
      <c r="A4747" s="1">
        <v>5078.0</v>
      </c>
      <c r="B4747" s="3" t="s">
        <v>4544</v>
      </c>
      <c r="C4747" s="3" t="str">
        <f>IFERROR(__xludf.DUMMYFUNCTION("GOOGLETRANSLATE(B4747,""id"",""en"")"),"['Please', 'Increase', 'Quality', 'Network', 'Come', 'Severe', 'Network', 'Telkomsel', '']")</f>
        <v>['Please', 'Increase', 'Quality', 'Network', 'Come', 'Severe', 'Network', 'Telkomsel', '']</v>
      </c>
      <c r="D4747" s="3">
        <v>3.0</v>
      </c>
    </row>
    <row r="4748" ht="15.75" customHeight="1">
      <c r="A4748" s="1">
        <v>5079.0</v>
      </c>
      <c r="B4748" s="3" t="s">
        <v>4545</v>
      </c>
      <c r="C4748" s="3" t="str">
        <f>IFERROR(__xludf.DUMMYFUNCTION("GOOGLETRANSLATE(B4748,""id"",""en"")"),"['signal', 'gajelas']")</f>
        <v>['signal', 'gajelas']</v>
      </c>
      <c r="D4748" s="3">
        <v>1.0</v>
      </c>
    </row>
    <row r="4749" ht="15.75" customHeight="1">
      <c r="A4749" s="1">
        <v>5080.0</v>
      </c>
      <c r="B4749" s="3" t="s">
        <v>4546</v>
      </c>
      <c r="C4749" s="3" t="str">
        <f>IFERROR(__xludf.DUMMYFUNCTION("GOOGLETRANSLATE(B4749,""id"",""en"")"),"['users', 'easy']")</f>
        <v>['users', 'easy']</v>
      </c>
      <c r="D4749" s="3">
        <v>5.0</v>
      </c>
    </row>
    <row r="4750" ht="15.75" customHeight="1">
      <c r="A4750" s="1">
        <v>5081.0</v>
      </c>
      <c r="B4750" s="3" t="s">
        <v>4547</v>
      </c>
      <c r="C4750" s="3" t="str">
        <f>IFERROR(__xludf.DUMMYFUNCTION("GOOGLETRANSLATE(B4750,""id"",""en"")"),"['API', 'BONG', 'The company', 'progress', 'Severe', 'Network', 'Bad']")</f>
        <v>['API', 'BONG', 'The company', 'progress', 'Severe', 'Network', 'Bad']</v>
      </c>
      <c r="D4750" s="3">
        <v>1.0</v>
      </c>
    </row>
    <row r="4751" ht="15.75" customHeight="1">
      <c r="A4751" s="1">
        <v>5082.0</v>
      </c>
      <c r="B4751" s="3" t="s">
        <v>4548</v>
      </c>
      <c r="C4751" s="3" t="str">
        <f>IFERROR(__xludf.DUMMYFUNCTION("GOOGLETRANSLATE(B4751,""id"",""en"")"),"['please', 'Telkomsel', 'lie', 'fill', 'reset', 'pulse', 'cash', 'back', 'proof', 'get', 'lie', 'star', ' Shame ',' person ',' love ',' star ',' star ',' love ',' star ',' ']")</f>
        <v>['please', 'Telkomsel', 'lie', 'fill', 'reset', 'pulse', 'cash', 'back', 'proof', 'get', 'lie', 'star', ' Shame ',' person ',' love ',' star ',' star ',' love ',' star ',' ']</v>
      </c>
      <c r="D4751" s="3">
        <v>1.0</v>
      </c>
    </row>
    <row r="4752" ht="15.75" customHeight="1">
      <c r="A4752" s="1">
        <v>5083.0</v>
      </c>
      <c r="B4752" s="3" t="s">
        <v>4549</v>
      </c>
      <c r="C4752" s="3" t="str">
        <f>IFERROR(__xludf.DUMMYFUNCTION("GOOGLETRANSLATE(B4752,""id"",""en"")"),"['Quota', 'sosmed']")</f>
        <v>['Quota', 'sosmed']</v>
      </c>
      <c r="D4752" s="3">
        <v>1.0</v>
      </c>
    </row>
    <row r="4753" ht="15.75" customHeight="1">
      <c r="A4753" s="1">
        <v>5084.0</v>
      </c>
      <c r="B4753" s="3" t="s">
        <v>4550</v>
      </c>
      <c r="C4753" s="3" t="str">
        <f>IFERROR(__xludf.DUMMYFUNCTION("GOOGLETRANSLATE(B4753,""id"",""en"")"),"['Telkomsel', 'here', 'sinynyal', 'already', 'cool', 'kek', 'open', 'sosmed', 'open', 'game', 'slow', 'signal', ' kek ',' diverse ',' Sadh ',' uda ',' user ', ""]")</f>
        <v>['Telkomsel', 'here', 'sinynyal', 'already', 'cool', 'kek', 'open', 'sosmed', 'open', 'game', 'slow', 'signal', ' kek ',' diverse ',' Sadh ',' uda ',' user ', "]</v>
      </c>
      <c r="D4753" s="3">
        <v>1.0</v>
      </c>
    </row>
    <row r="4754" ht="15.75" customHeight="1">
      <c r="A4754" s="1">
        <v>5085.0</v>
      </c>
      <c r="B4754" s="3" t="s">
        <v>4551</v>
      </c>
      <c r="C4754" s="3" t="str">
        <f>IFERROR(__xludf.DUMMYFUNCTION("GOOGLETRANSLATE(B4754,""id"",""en"")"),"['quality', 'network', 'internet', 'Telkomsel', 'ugly', 'really', 'knp', 'lost', 'connection', 'need', 'network', 'stable', ' Please, 'Fix', 'Minimal', 'Dragus']")</f>
        <v>['quality', 'network', 'internet', 'Telkomsel', 'ugly', 'really', 'knp', 'lost', 'connection', 'need', 'network', 'stable', ' Please, 'Fix', 'Minimal', 'Dragus']</v>
      </c>
      <c r="D4754" s="3">
        <v>1.0</v>
      </c>
    </row>
    <row r="4755" ht="15.75" customHeight="1">
      <c r="A4755" s="1">
        <v>5086.0</v>
      </c>
      <c r="B4755" s="3" t="s">
        <v>4552</v>
      </c>
      <c r="C4755" s="3" t="str">
        <f>IFERROR(__xludf.DUMMYFUNCTION("GOOGLETRANSLATE(B4755,""id"",""en"")"),"['Steady', 'staple']")</f>
        <v>['Steady', 'staple']</v>
      </c>
      <c r="D4755" s="3">
        <v>4.0</v>
      </c>
    </row>
    <row r="4756" ht="15.75" customHeight="1">
      <c r="A4756" s="1">
        <v>5087.0</v>
      </c>
      <c r="B4756" s="3" t="s">
        <v>4553</v>
      </c>
      <c r="C4756" s="3" t="str">
        <f>IFERROR(__xludf.DUMMYFUNCTION("GOOGLETRANSLATE(B4756,""id"",""en"")"),"['As', 'expensive', 'quota', 'sympathy', 'signal', 'chaotic', 'yesterday', '']")</f>
        <v>['As', 'expensive', 'quota', 'sympathy', 'signal', 'chaotic', 'yesterday', '']</v>
      </c>
      <c r="D4756" s="3">
        <v>1.0</v>
      </c>
    </row>
    <row r="4757" ht="15.75" customHeight="1">
      <c r="A4757" s="1">
        <v>5088.0</v>
      </c>
      <c r="B4757" s="3" t="s">
        <v>4554</v>
      </c>
      <c r="C4757" s="3" t="str">
        <f>IFERROR(__xludf.DUMMYFUNCTION("GOOGLETRANSLATE(B4757,""id"",""en"")"),"['quota', 'expensive', 'network', 'ugly', '']")</f>
        <v>['quota', 'expensive', 'network', 'ugly', '']</v>
      </c>
      <c r="D4757" s="3">
        <v>1.0</v>
      </c>
    </row>
    <row r="4758" ht="15.75" customHeight="1">
      <c r="A4758" s="1">
        <v>5089.0</v>
      </c>
      <c r="B4758" s="3" t="s">
        <v>4555</v>
      </c>
      <c r="C4758" s="3" t="str">
        <f>IFERROR(__xludf.DUMMYFUNCTION("GOOGLETRANSLATE(B4758,""id"",""en"")"),"['Please', 'Telkomsel', 'Add', 'Features',' Apps', 'Package', 'Internet', 'Like', 'Like', 'AXIS', 'Select', 'Application', ' Made ',' Package ',' Internet ',' Example ',' Buy ',' Package ',' Internet ',' Kouta ',' Instagram ',' Select ',' Instagram ',' Pa"&amp;"ckage ',' Buy ' , 'Please', 'apps',' selected ',' package ',' it's up ',' choose ',' package ',' axis', 'like', 'like', 'limited', 'choose', ' Apps', 'package', 'list']")</f>
        <v>['Please', 'Telkomsel', 'Add', 'Features',' Apps', 'Package', 'Internet', 'Like', 'Like', 'AXIS', 'Select', 'Application', ' Made ',' Package ',' Internet ',' Example ',' Buy ',' Package ',' Internet ',' Kouta ',' Instagram ',' Select ',' Instagram ',' Package ',' Buy ' , 'Please', 'apps',' selected ',' package ',' it's up ',' choose ',' package ',' axis', 'like', 'like', 'limited', 'choose', ' Apps', 'package', 'list']</v>
      </c>
      <c r="D4758" s="3">
        <v>1.0</v>
      </c>
    </row>
    <row r="4759" ht="15.75" customHeight="1">
      <c r="A4759" s="1">
        <v>5090.0</v>
      </c>
      <c r="B4759" s="3" t="s">
        <v>4556</v>
      </c>
      <c r="C4759" s="3" t="str">
        <f>IFERROR(__xludf.DUMMYFUNCTION("GOOGLETRANSLATE(B4759,""id"",""en"")"),"['hope', 'get', 'car', 'amen']")</f>
        <v>['hope', 'get', 'car', 'amen']</v>
      </c>
      <c r="D4759" s="3">
        <v>5.0</v>
      </c>
    </row>
    <row r="4760" ht="15.75" customHeight="1">
      <c r="A4760" s="1">
        <v>5091.0</v>
      </c>
      <c r="B4760" s="3" t="s">
        <v>4557</v>
      </c>
      <c r="C4760" s="3" t="str">
        <f>IFERROR(__xludf.DUMMYFUNCTION("GOOGLETRANSLATE(B4760,""id"",""en"")"),"['Signal', 'Bad', 'Please', 'Fix', 'User', 'Telkomsel', 'Disappointed', 'Response', 'Treatment', 'Telkomsel', ""]")</f>
        <v>['Signal', 'Bad', 'Please', 'Fix', 'User', 'Telkomsel', 'Disappointed', 'Response', 'Treatment', 'Telkomsel', "]</v>
      </c>
      <c r="D4760" s="3">
        <v>1.0</v>
      </c>
    </row>
    <row r="4761" ht="15.75" customHeight="1">
      <c r="A4761" s="1">
        <v>5092.0</v>
      </c>
      <c r="B4761" s="3" t="s">
        <v>1267</v>
      </c>
      <c r="C4761" s="3" t="str">
        <f>IFERROR(__xludf.DUMMYFUNCTION("GOOGLETRANSLATE(B4761,""id"",""en"")"),"['Margnon']")</f>
        <v>['Margnon']</v>
      </c>
      <c r="D4761" s="3">
        <v>1.0</v>
      </c>
    </row>
    <row r="4762" ht="15.75" customHeight="1">
      <c r="A4762" s="1">
        <v>5093.0</v>
      </c>
      <c r="B4762" s="3" t="s">
        <v>4558</v>
      </c>
      <c r="C4762" s="3" t="str">
        <f>IFERROR(__xludf.DUMMYFUNCTION("GOOGLETRANSLATE(B4762,""id"",""en"")"),"['application', 'opened', 'TPI', 'right', 'buy', 'package', 'application', 'click', 'buy', 'disorder', 'system', 'please', ' try ',' minutes', 'repeat', 'that's',' please ',' love ',' solution ']")</f>
        <v>['application', 'opened', 'TPI', 'right', 'buy', 'package', 'application', 'click', 'buy', 'disorder', 'system', 'please', ' try ',' minutes', 'repeat', 'that's',' please ',' love ',' solution ']</v>
      </c>
      <c r="D4762" s="3">
        <v>1.0</v>
      </c>
    </row>
    <row r="4763" ht="15.75" customHeight="1">
      <c r="A4763" s="1">
        <v>5094.0</v>
      </c>
      <c r="B4763" s="3" t="s">
        <v>4559</v>
      </c>
      <c r="C4763" s="3" t="str">
        <f>IFERROR(__xludf.DUMMYFUNCTION("GOOGLETRANSLATE(B4763,""id"",""en"")"),"['Electricity', 'Region', 'Fight', 'Knp', 'Network', 'Internet', 'Telkomsel', 'Nyala']")</f>
        <v>['Electricity', 'Region', 'Fight', 'Knp', 'Network', 'Internet', 'Telkomsel', 'Nyala']</v>
      </c>
      <c r="D4763" s="3">
        <v>5.0</v>
      </c>
    </row>
    <row r="4764" ht="15.75" customHeight="1">
      <c r="A4764" s="1">
        <v>5095.0</v>
      </c>
      <c r="B4764" s="3" t="s">
        <v>4560</v>
      </c>
      <c r="C4764" s="3" t="str">
        <f>IFERROR(__xludf.DUMMYFUNCTION("GOOGLETRANSLATE(B4764,""id"",""en"")"),"['Original', 'Network', 'Lalod', 'Live', 'in the city', 'Makassar', 'Pay', 'Bill', 'Current', 'Surfing', 'The network', 'Adehhhh']")</f>
        <v>['Original', 'Network', 'Lalod', 'Live', 'in the city', 'Makassar', 'Pay', 'Bill', 'Current', 'Surfing', 'The network', 'Adehhhh']</v>
      </c>
      <c r="D4764" s="3">
        <v>1.0</v>
      </c>
    </row>
    <row r="4765" ht="15.75" customHeight="1">
      <c r="A4765" s="1">
        <v>5096.0</v>
      </c>
      <c r="B4765" s="3" t="s">
        <v>80</v>
      </c>
      <c r="C4765" s="3" t="str">
        <f>IFERROR(__xludf.DUMMYFUNCTION("GOOGLETRANSLATE(B4765,""id"",""en"")"),"['help', '']")</f>
        <v>['help', '']</v>
      </c>
      <c r="D4765" s="3">
        <v>5.0</v>
      </c>
    </row>
    <row r="4766" ht="15.75" customHeight="1">
      <c r="A4766" s="1">
        <v>5097.0</v>
      </c>
      <c r="B4766" s="3" t="s">
        <v>4561</v>
      </c>
      <c r="C4766" s="3" t="str">
        <f>IFERROR(__xludf.DUMMYFUNCTION("GOOGLETRANSLATE(B4766,""id"",""en"")"),"['use', 'jdi', 'lom', 'good', 'jdi', 'ksh', 'dlu']")</f>
        <v>['use', 'jdi', 'lom', 'good', 'jdi', 'ksh', 'dlu']</v>
      </c>
      <c r="D4766" s="3">
        <v>1.0</v>
      </c>
    </row>
    <row r="4767" ht="15.75" customHeight="1">
      <c r="A4767" s="1">
        <v>5098.0</v>
      </c>
      <c r="B4767" s="3" t="s">
        <v>4562</v>
      </c>
      <c r="C4767" s="3" t="str">
        <f>IFERROR(__xludf.DUMMYFUNCTION("GOOGLETRANSLATE(B4767,""id"",""en"")"),"['Telkomsel', 'Weighted', 'Mari', 'Change', 'Card', '']")</f>
        <v>['Telkomsel', 'Weighted', 'Mari', 'Change', 'Card', '']</v>
      </c>
      <c r="D4767" s="3">
        <v>1.0</v>
      </c>
    </row>
    <row r="4768" ht="15.75" customHeight="1">
      <c r="A4768" s="1">
        <v>5099.0</v>
      </c>
      <c r="B4768" s="3" t="s">
        <v>4563</v>
      </c>
      <c r="C4768" s="3" t="str">
        <f>IFERROR(__xludf.DUMMYFUNCTION("GOOGLETRANSLATE(B4768,""id"",""en"")"),"['Operator', 'Network', 'bad', 'ugly', 'fortunate', 'Papua', 'tdak', 'rivals',' oprator ',' entry ',' Telkomsel ',' roll ',' Mat ',' Kapa ',' ']")</f>
        <v>['Operator', 'Network', 'bad', 'ugly', 'fortunate', 'Papua', 'tdak', 'rivals',' oprator ',' entry ',' Telkomsel ',' roll ',' Mat ',' Kapa ',' ']</v>
      </c>
      <c r="D4768" s="3">
        <v>1.0</v>
      </c>
    </row>
    <row r="4769" ht="15.75" customHeight="1">
      <c r="A4769" s="1">
        <v>5100.0</v>
      </c>
      <c r="B4769" s="3" t="s">
        <v>4564</v>
      </c>
      <c r="C4769" s="3" t="str">
        <f>IFERROR(__xludf.DUMMYFUNCTION("GOOGLETRANSLATE(B4769,""id"",""en"")"),"['Greetings', 'Binjai']")</f>
        <v>['Greetings', 'Binjai']</v>
      </c>
      <c r="D4769" s="3">
        <v>5.0</v>
      </c>
    </row>
    <row r="4770" ht="15.75" customHeight="1">
      <c r="A4770" s="1">
        <v>5101.0</v>
      </c>
      <c r="B4770" s="3" t="s">
        <v>4565</v>
      </c>
      <c r="C4770" s="3" t="str">
        <f>IFERROR(__xludf.DUMMYFUNCTION("GOOGLETRANSLATE(B4770,""id"",""en"")"),"['Please', 'in my area', 'Telkomsel', 'difficult', 'already', 'package', 'expensive', 'signal', 'difficult', 'replace', 'im', 'package', ' cheap ',' signal ',' good ']")</f>
        <v>['Please', 'in my area', 'Telkomsel', 'difficult', 'already', 'package', 'expensive', 'signal', 'difficult', 'replace', 'im', 'package', ' cheap ',' signal ',' good ']</v>
      </c>
      <c r="D4770" s="3">
        <v>1.0</v>
      </c>
    </row>
    <row r="4771" ht="15.75" customHeight="1">
      <c r="A4771" s="1">
        <v>5102.0</v>
      </c>
      <c r="B4771" s="3" t="s">
        <v>4566</v>
      </c>
      <c r="C4771" s="3" t="str">
        <f>IFERROR(__xludf.DUMMYFUNCTION("GOOGLETRANSLATE(B4771,""id"",""en"")"),"['signal', 'ngelag', 'price', 'quota', 'expensive', 'promo', 'little', 'signal', 'naek', 'down', 'udh', 'buy', ' expensive ',' expensive ',' quota ',' ngelag ']")</f>
        <v>['signal', 'ngelag', 'price', 'quota', 'expensive', 'promo', 'little', 'signal', 'naek', 'down', 'udh', 'buy', ' expensive ',' expensive ',' quota ',' ngelag ']</v>
      </c>
      <c r="D4771" s="3">
        <v>1.0</v>
      </c>
    </row>
    <row r="4772" ht="15.75" customHeight="1">
      <c r="A4772" s="1">
        <v>5103.0</v>
      </c>
      <c r="B4772" s="3" t="s">
        <v>4567</v>
      </c>
      <c r="C4772" s="3" t="str">
        <f>IFERROR(__xludf.DUMMYFUNCTION("GOOGLETRANSLATE(B4772,""id"",""en"")"),"['cave', 'buy', 'credit', 'Telkomsel', 'pay', 'funds',' payment ',' finished ',' succeed ',' pulses', 'kagak', 'cave', ' Laporin ',' communication ',' ama ',' computer ',' change ',' it hurts', 'kagak', 'computer', 'told', 'proof', 'payment', 'love', ""]")</f>
        <v>['cave', 'buy', 'credit', 'Telkomsel', 'pay', 'funds',' payment ',' finished ',' succeed ',' pulses', 'kagak', 'cave', ' Laporin ',' communication ',' ama ',' computer ',' change ',' it hurts', 'kagak', 'computer', 'told', 'proof', 'payment', 'love', "]</v>
      </c>
      <c r="D4772" s="3">
        <v>1.0</v>
      </c>
    </row>
    <row r="4773" ht="15.75" customHeight="1">
      <c r="A4773" s="1">
        <v>5104.0</v>
      </c>
      <c r="B4773" s="3" t="s">
        <v>4568</v>
      </c>
      <c r="C4773" s="3" t="str">
        <f>IFERROR(__xludf.DUMMYFUNCTION("GOOGLETRANSLATE(B4773,""id"",""en"")"),"['repairs', 'Donk', 'signal', 'area', 'Bogor', 'City', 'like', 'broke', 'just', 'expensive', 'quality', ""]")</f>
        <v>['repairs', 'Donk', 'signal', 'area', 'Bogor', 'City', 'like', 'broke', 'just', 'expensive', 'quality', "]</v>
      </c>
      <c r="D4773" s="3">
        <v>1.0</v>
      </c>
    </row>
    <row r="4774" ht="15.75" customHeight="1">
      <c r="A4774" s="1">
        <v>5105.0</v>
      </c>
      <c r="B4774" s="3" t="s">
        <v>4569</v>
      </c>
      <c r="C4774" s="3" t="str">
        <f>IFERROR(__xludf.DUMMYFUNCTION("GOOGLETRANSLATE(B4774,""id"",""en"")"),"['BSA', 'check', 'quota', 'app', 'ascid', 'bsa', 'check', 'quota', 'access',' fast ',' gausah ',' complicated ',' App ',' BSA ',' opened ',' screen ',' white ',' doang ']")</f>
        <v>['BSA', 'check', 'quota', 'app', 'ascid', 'bsa', 'check', 'quota', 'access',' fast ',' gausah ',' complicated ',' App ',' BSA ',' opened ',' screen ',' white ',' doang ']</v>
      </c>
      <c r="D4774" s="3">
        <v>1.0</v>
      </c>
    </row>
    <row r="4775" ht="15.75" customHeight="1">
      <c r="A4775" s="1">
        <v>5106.0</v>
      </c>
      <c r="B4775" s="3" t="s">
        <v>4570</v>
      </c>
      <c r="C4775" s="3" t="str">
        <f>IFERROR(__xludf.DUMMYFUNCTION("GOOGLETRANSLATE(B4775,""id"",""en"")"),"['hard', 'login', 'make', 'link', 'otp', 'dlu', 'pulse', 'skrg', 'goib']")</f>
        <v>['hard', 'login', 'make', 'link', 'otp', 'dlu', 'pulse', 'skrg', 'goib']</v>
      </c>
      <c r="D4775" s="3">
        <v>1.0</v>
      </c>
    </row>
    <row r="4776" ht="15.75" customHeight="1">
      <c r="A4776" s="1">
        <v>5107.0</v>
      </c>
      <c r="B4776" s="3" t="s">
        <v>4571</v>
      </c>
      <c r="C4776" s="3" t="str">
        <f>IFERROR(__xludf.DUMMYFUNCTION("GOOGLETRANSLATE(B4776,""id"",""en"")"),"['buy', 'pulse', 'pakek', 'mytelkomsel', 'difficult', 'active', 'card', 'grace', '']")</f>
        <v>['buy', 'pulse', 'pakek', 'mytelkomsel', 'difficult', 'active', 'card', 'grace', '']</v>
      </c>
      <c r="D4776" s="3">
        <v>1.0</v>
      </c>
    </row>
    <row r="4777" ht="15.75" customHeight="1">
      <c r="A4777" s="1">
        <v>5109.0</v>
      </c>
      <c r="B4777" s="3" t="s">
        <v>4572</v>
      </c>
      <c r="C4777" s="3" t="str">
        <f>IFERROR(__xludf.DUMMYFUNCTION("GOOGLETRANSLATE(B4777,""id"",""en"")"),"['Down', 'War']")</f>
        <v>['Down', 'War']</v>
      </c>
      <c r="D4777" s="3">
        <v>2.0</v>
      </c>
    </row>
    <row r="4778" ht="15.75" customHeight="1">
      <c r="A4778" s="1">
        <v>5110.0</v>
      </c>
      <c r="B4778" s="3" t="s">
        <v>4573</v>
      </c>
      <c r="C4778" s="3" t="str">
        <f>IFERROR(__xludf.DUMMYFUNCTION("GOOGLETRANSLATE(B4778,""id"",""en"")"),"['', 'Telkomsel', 'Jaya', 'in the future', 'Gar', 'gift', 'customers', 'loyal', 'Telkomsel']")</f>
        <v>['', 'Telkomsel', 'Jaya', 'in the future', 'Gar', 'gift', 'customers', 'loyal', 'Telkomsel']</v>
      </c>
      <c r="D4778" s="3">
        <v>5.0</v>
      </c>
    </row>
    <row r="4779" ht="15.75" customHeight="1">
      <c r="A4779" s="1">
        <v>5111.0</v>
      </c>
      <c r="B4779" s="3" t="s">
        <v>4574</v>
      </c>
      <c r="C4779" s="3" t="str">
        <f>IFERROR(__xludf.DUMMYFUNCTION("GOOGLETRANSLATE(B4779,""id"",""en"")"),"['KNPA', 'Transfer', 'Credit', 'Banking', 'Enter', 'Transaction', 'BCA', 'Success', 'Please', 'Help']")</f>
        <v>['KNPA', 'Transfer', 'Credit', 'Banking', 'Enter', 'Transaction', 'BCA', 'Success', 'Please', 'Help']</v>
      </c>
      <c r="D4779" s="3">
        <v>1.0</v>
      </c>
    </row>
    <row r="4780" ht="15.75" customHeight="1">
      <c r="A4780" s="1">
        <v>5112.0</v>
      </c>
      <c r="B4780" s="3" t="s">
        <v>4575</v>
      </c>
      <c r="C4780" s="3" t="str">
        <f>IFERROR(__xludf.DUMMYFUNCTION("GOOGLETRANSLATE(B4780,""id"",""en"")"),"['Star', 'forget', 'network', 'JLEK', 'Mhon', 'note']")</f>
        <v>['Star', 'forget', 'network', 'JLEK', 'Mhon', 'note']</v>
      </c>
      <c r="D4780" s="3">
        <v>2.0</v>
      </c>
    </row>
    <row r="4781" ht="15.75" customHeight="1">
      <c r="A4781" s="1">
        <v>5113.0</v>
      </c>
      <c r="B4781" s="3" t="s">
        <v>4576</v>
      </c>
      <c r="C4781" s="3" t="str">
        <f>IFERROR(__xludf.DUMMYFUNCTION("GOOGLETRANSLATE(B4781,""id"",""en"")"),"['service']")</f>
        <v>['service']</v>
      </c>
      <c r="D4781" s="3">
        <v>5.0</v>
      </c>
    </row>
    <row r="4782" ht="15.75" customHeight="1">
      <c r="A4782" s="1">
        <v>5114.0</v>
      </c>
      <c r="B4782" s="3" t="s">
        <v>4577</v>
      </c>
      <c r="C4782" s="3" t="str">
        <f>IFERROR(__xludf.DUMMYFUNCTION("GOOGLETRANSLATE(B4782,""id"",""en"")"),"['Fix', 'system', 'security', 'harmed', 'already', 'time', 'notification', 'SMS', 'Package', 'package', 'emergency', 'active', ' buy ',' order ',' package ',' beg ',' repair ',' reliefs']")</f>
        <v>['Fix', 'system', 'security', 'harmed', 'already', 'time', 'notification', 'SMS', 'Package', 'package', 'emergency', 'active', ' buy ',' order ',' package ',' beg ',' repair ',' reliefs']</v>
      </c>
      <c r="D4782" s="3">
        <v>1.0</v>
      </c>
    </row>
    <row r="4783" ht="15.75" customHeight="1">
      <c r="A4783" s="1">
        <v>5115.0</v>
      </c>
      <c r="B4783" s="3" t="s">
        <v>4578</v>
      </c>
      <c r="C4783" s="3" t="str">
        <f>IFERROR(__xludf.DUMMYFUNCTION("GOOGLETRANSLATE(B4783,""id"",""en"")"),"['Sekrang', 'Telkomsel', 'signal', 'ngeleg', 'contents',' pulse ',' right ',' buy ',' kouta ',' leg ',' sinta ',' Please ',' Repaired ',' ']")</f>
        <v>['Sekrang', 'Telkomsel', 'signal', 'ngeleg', 'contents',' pulse ',' right ',' buy ',' kouta ',' leg ',' sinta ',' Please ',' Repaired ',' ']</v>
      </c>
      <c r="D4783" s="3">
        <v>1.0</v>
      </c>
    </row>
    <row r="4784" ht="15.75" customHeight="1">
      <c r="A4784" s="1">
        <v>5117.0</v>
      </c>
      <c r="B4784" s="3" t="s">
        <v>4579</v>
      </c>
      <c r="C4784" s="3" t="str">
        <f>IFERROR(__xludf.DUMMYFUNCTION("GOOGLETRANSLATE(B4784,""id"",""en"")"),"['ugly', 'really', 'application', 'already', 'transfer', 'money', 'contents', 'quota', 'pulses', 'enter']")</f>
        <v>['ugly', 'really', 'application', 'already', 'transfer', 'money', 'contents', 'quota', 'pulses', 'enter']</v>
      </c>
      <c r="D4784" s="3">
        <v>1.0</v>
      </c>
    </row>
    <row r="4785" ht="15.75" customHeight="1">
      <c r="A4785" s="1">
        <v>5118.0</v>
      </c>
      <c r="B4785" s="3" t="s">
        <v>4580</v>
      </c>
      <c r="C4785" s="3" t="str">
        <f>IFERROR(__xludf.DUMMYFUNCTION("GOOGLETRANSLATE(B4785,""id"",""en"")"),"['Region', 'Tabone', 'Signal', 'Internet', 'Good', 'Lost', 'Provider', 'Where', 'Fixed', 'Grand']")</f>
        <v>['Region', 'Tabone', 'Signal', 'Internet', 'Good', 'Lost', 'Provider', 'Where', 'Fixed', 'Grand']</v>
      </c>
      <c r="D4785" s="3">
        <v>2.0</v>
      </c>
    </row>
    <row r="4786" ht="15.75" customHeight="1">
      <c r="A4786" s="1">
        <v>5119.0</v>
      </c>
      <c r="B4786" s="3" t="s">
        <v>4581</v>
      </c>
      <c r="C4786" s="3" t="str">
        <f>IFERROR(__xludf.DUMMYFUNCTION("GOOGLETRANSLATE(B4786,""id"",""en"")"),"['Cave', 'love', 'use', 'Telkomsel', 'Mending', 'use', 'sorry', 'then', 'Makai', 'Mending', 'Change', 'Bermaen', ' Game ',' Ntar ',' Damaged ',' because ',' Karna ',' Upset ',' Network ',' rotten ',' Telkomsel ',' then ',' money ',' buy ',' quota ' , 'Tel"&amp;"komsel', 'expensive', 'dear', 'money', 'buy', 'believe', 'Jngan', 'Makai', 'Telkomsel', 'regret', 'Ntar', ""]")</f>
        <v>['Cave', 'love', 'use', 'Telkomsel', 'Mending', 'use', 'sorry', 'then', 'Makai', 'Mending', 'Change', 'Bermaen', ' Game ',' Ntar ',' Damaged ',' because ',' Karna ',' Upset ',' Network ',' rotten ',' Telkomsel ',' then ',' money ',' buy ',' quota ' , 'Telkomsel', 'expensive', 'dear', 'money', 'buy', 'believe', 'Jngan', 'Makai', 'Telkomsel', 'regret', 'Ntar', "]</v>
      </c>
      <c r="D4786" s="3">
        <v>1.0</v>
      </c>
    </row>
    <row r="4787" ht="15.75" customHeight="1">
      <c r="A4787" s="1">
        <v>5120.0</v>
      </c>
      <c r="B4787" s="3" t="s">
        <v>4582</v>
      </c>
      <c r="C4787" s="3" t="str">
        <f>IFERROR(__xludf.DUMMYFUNCTION("GOOGLETRANSLATE(B4787,""id"",""en"")"),"['Increases', 'service', 'signal']")</f>
        <v>['Increases', 'service', 'signal']</v>
      </c>
      <c r="D4787" s="3">
        <v>5.0</v>
      </c>
    </row>
    <row r="4788" ht="15.75" customHeight="1">
      <c r="A4788" s="1">
        <v>5121.0</v>
      </c>
      <c r="B4788" s="3" t="s">
        <v>4583</v>
      </c>
      <c r="C4788" s="3" t="str">
        <f>IFERROR(__xludf.DUMMYFUNCTION("GOOGLETRANSLATE(B4788,""id"",""en"")"),"['Love', 'star', 'please', 'repaired']")</f>
        <v>['Love', 'star', 'please', 'repaired']</v>
      </c>
      <c r="D4788" s="3">
        <v>3.0</v>
      </c>
    </row>
    <row r="4789" ht="15.75" customHeight="1">
      <c r="A4789" s="1">
        <v>5122.0</v>
      </c>
      <c r="B4789" s="3" t="s">
        <v>4584</v>
      </c>
      <c r="C4789" s="3" t="str">
        <f>IFERROR(__xludf.DUMMYFUNCTION("GOOGLETRANSLATE(B4789,""id"",""en"")"),"['Enhanced']")</f>
        <v>['Enhanced']</v>
      </c>
      <c r="D4789" s="3">
        <v>3.0</v>
      </c>
    </row>
    <row r="4790" ht="15.75" customHeight="1">
      <c r="A4790" s="1">
        <v>5123.0</v>
      </c>
      <c r="B4790" s="3" t="s">
        <v>4585</v>
      </c>
      <c r="C4790" s="3" t="str">
        <f>IFERROR(__xludf.DUMMYFUNCTION("GOOGLETRANSLATE(B4790,""id"",""en"")"),"['difficult', 'Bukak', ""]")</f>
        <v>['difficult', 'Bukak', "]</v>
      </c>
      <c r="D4790" s="3">
        <v>2.0</v>
      </c>
    </row>
    <row r="4791" ht="15.75" customHeight="1">
      <c r="A4791" s="1">
        <v>5124.0</v>
      </c>
      <c r="B4791" s="3" t="s">
        <v>4586</v>
      </c>
      <c r="C4791" s="3" t="str">
        <f>IFERROR(__xludf.DUMMYFUNCTION("GOOGLETRANSLATE(B4791,""id"",""en"")"),"['Telkomsel', 'ngerasain', 'stupid', 'signal', 'Telkomsel', 'expensive', 'yes', 'price', 'rich', 'signal', 'edge']")</f>
        <v>['Telkomsel', 'ngerasain', 'stupid', 'signal', 'Telkomsel', 'expensive', 'yes', 'price', 'rich', 'signal', 'edge']</v>
      </c>
      <c r="D4791" s="3">
        <v>1.0</v>
      </c>
    </row>
    <row r="4792" ht="15.75" customHeight="1">
      <c r="A4792" s="1">
        <v>5126.0</v>
      </c>
      <c r="B4792" s="3" t="s">
        <v>4587</v>
      </c>
      <c r="C4792" s="3" t="str">
        <f>IFERROR(__xludf.DUMMYFUNCTION("GOOGLETRANSLATE(B4792,""id"",""en"")"),"['Information', 'help', 'thank', 'love', 'Telkomsel']")</f>
        <v>['Information', 'help', 'thank', 'love', 'Telkomsel']</v>
      </c>
      <c r="D4792" s="3">
        <v>5.0</v>
      </c>
    </row>
    <row r="4793" ht="15.75" customHeight="1">
      <c r="A4793" s="1">
        <v>5127.0</v>
      </c>
      <c r="B4793" s="3" t="s">
        <v>4588</v>
      </c>
      <c r="C4793" s="3" t="str">
        <f>IFERROR(__xludf.DUMMYFUNCTION("GOOGLETRANSLATE(B4793,""id"",""en"")"),"['pulse', 'leftover', 'Rb', 'take', 'package', 'night', 'GB', 'RB', 'entry', 'notif', 'pulses',' sufficient ',' Credit ',' clock ',' pulse ',' missing ',' package ',' Maen ',' ']")</f>
        <v>['pulse', 'leftover', 'Rb', 'take', 'package', 'night', 'GB', 'RB', 'entry', 'notif', 'pulses',' sufficient ',' Credit ',' clock ',' pulse ',' missing ',' package ',' Maen ',' ']</v>
      </c>
      <c r="D4793" s="3">
        <v>1.0</v>
      </c>
    </row>
    <row r="4794" ht="15.75" customHeight="1">
      <c r="A4794" s="1">
        <v>5128.0</v>
      </c>
      <c r="B4794" s="3" t="s">
        <v>4589</v>
      </c>
      <c r="C4794" s="3" t="str">
        <f>IFERROR(__xludf.DUMMYFUNCTION("GOOGLETRANSLATE(B4794,""id"",""en"")"),"['Helpful', 'help', 'access', 'fast']")</f>
        <v>['Helpful', 'help', 'access', 'fast']</v>
      </c>
      <c r="D4794" s="3">
        <v>5.0</v>
      </c>
    </row>
    <row r="4795" ht="15.75" customHeight="1">
      <c r="A4795" s="1">
        <v>5129.0</v>
      </c>
      <c r="B4795" s="3" t="s">
        <v>4590</v>
      </c>
      <c r="C4795" s="3" t="str">
        <f>IFERROR(__xludf.DUMMYFUNCTION("GOOGLETRANSLATE(B4795,""id"",""en"")"),"['', 'buy', 'unlimited', 'sosmed', 'as long as',' heart ',' quota ',' main ',' out ',' hmmm ',' detrimental ',' quota ',' unlimited ',' sosmed ',' spend ',' quota ',' main ',' used ',' unlimited ',' detrimental ',' ']")</f>
        <v>['', 'buy', 'unlimited', 'sosmed', 'as long as',' heart ',' quota ',' main ',' out ',' hmmm ',' detrimental ',' quota ',' unlimited ',' sosmed ',' spend ',' quota ',' main ',' used ',' unlimited ',' detrimental ',' ']</v>
      </c>
      <c r="D4795" s="3">
        <v>1.0</v>
      </c>
    </row>
    <row r="4796" ht="15.75" customHeight="1">
      <c r="A4796" s="1">
        <v>5130.0</v>
      </c>
      <c r="B4796" s="3" t="s">
        <v>4591</v>
      </c>
      <c r="C4796" s="3" t="str">
        <f>IFERROR(__xludf.DUMMYFUNCTION("GOOGLETRANSLATE(B4796,""id"",""en"")"),"['Price', 'Package', 'Past', 'Telkomsel', '']")</f>
        <v>['Price', 'Package', 'Past', 'Telkomsel', '']</v>
      </c>
      <c r="D4796" s="3">
        <v>2.0</v>
      </c>
    </row>
    <row r="4797" ht="15.75" customHeight="1">
      <c r="A4797" s="1">
        <v>5131.0</v>
      </c>
      <c r="B4797" s="3" t="s">
        <v>4592</v>
      </c>
      <c r="C4797" s="3" t="str">
        <f>IFERROR(__xludf.DUMMYFUNCTION("GOOGLETRANSLATE(B4797,""id"",""en"")"),"['Please', 'Fix', 'Network', 'Region', 'Pondok', 'Gede']")</f>
        <v>['Please', 'Fix', 'Network', 'Region', 'Pondok', 'Gede']</v>
      </c>
      <c r="D4797" s="3">
        <v>1.0</v>
      </c>
    </row>
    <row r="4798" ht="15.75" customHeight="1">
      <c r="A4798" s="1">
        <v>5132.0</v>
      </c>
      <c r="B4798" s="3" t="s">
        <v>4593</v>
      </c>
      <c r="C4798" s="3" t="str">
        <f>IFERROR(__xludf.DUMMYFUNCTION("GOOGLETRANSLATE(B4798,""id"",""en"")"),"['Detup']")</f>
        <v>['Detup']</v>
      </c>
      <c r="D4798" s="3">
        <v>1.0</v>
      </c>
    </row>
    <row r="4799" ht="15.75" customHeight="1">
      <c r="A4799" s="1">
        <v>5133.0</v>
      </c>
      <c r="B4799" s="3" t="s">
        <v>4594</v>
      </c>
      <c r="C4799" s="3" t="str">
        <f>IFERROR(__xludf.DUMMYFUNCTION("GOOGLETRANSLATE(B4799,""id"",""en"")"),"['Available', 'Choice', 'Package']")</f>
        <v>['Available', 'Choice', 'Package']</v>
      </c>
      <c r="D4799" s="3">
        <v>3.0</v>
      </c>
    </row>
    <row r="4800" ht="15.75" customHeight="1">
      <c r="A4800" s="1">
        <v>5134.0</v>
      </c>
      <c r="B4800" s="3" t="s">
        <v>4595</v>
      </c>
      <c r="C4800" s="3" t="str">
        <f>IFERROR(__xludf.DUMMYFUNCTION("GOOGLETRANSLATE(B4800,""id"",""en"")"),"['ugly', 'really', 'already', 'mah', 'network', 'expensive', 'nukerin', 'point', 'already', 'week', 'try']")</f>
        <v>['ugly', 'really', 'already', 'mah', 'network', 'expensive', 'nukerin', 'point', 'already', 'week', 'try']</v>
      </c>
      <c r="D4800" s="3">
        <v>1.0</v>
      </c>
    </row>
    <row r="4801" ht="15.75" customHeight="1">
      <c r="A4801" s="1">
        <v>5135.0</v>
      </c>
      <c r="B4801" s="3" t="s">
        <v>4596</v>
      </c>
      <c r="C4801" s="3" t="str">
        <f>IFERROR(__xludf.DUMMYFUNCTION("GOOGLETRANSLATE(B4801,""id"",""en"")"),"['extraordinary', 'like', 'my APK', 'steady', 'mainly', ""]")</f>
        <v>['extraordinary', 'like', 'my APK', 'steady', 'mainly', "]</v>
      </c>
      <c r="D4801" s="3">
        <v>5.0</v>
      </c>
    </row>
    <row r="4802" ht="15.75" customHeight="1">
      <c r="A4802" s="1">
        <v>5136.0</v>
      </c>
      <c r="B4802" s="3" t="s">
        <v>4597</v>
      </c>
      <c r="C4802" s="3" t="str">
        <f>IFERROR(__xludf.DUMMYFUNCTION("GOOGLETRANSLATE(B4802,""id"",""en"")"),"['Helpful', 'Good', 'Level']")</f>
        <v>['Helpful', 'Good', 'Level']</v>
      </c>
      <c r="D4802" s="3">
        <v>4.0</v>
      </c>
    </row>
    <row r="4803" ht="15.75" customHeight="1">
      <c r="A4803" s="1">
        <v>5137.0</v>
      </c>
      <c r="B4803" s="3" t="s">
        <v>4598</v>
      </c>
      <c r="C4803" s="3" t="str">
        <f>IFERROR(__xludf.DUMMYFUNCTION("GOOGLETRANSLATE(B4803,""id"",""en"")"),"['please', 'Telkomsel', 'ficture', 'credit', 'sumps',' data ',' run out ',' events', 'right', 'data', 'finished', 'pulses',' Sumpot ',' credit ',' RB ',' Sumpot ',' Data ',' Internet ',' Out ',' Please ',' Telkomsel ',' Fix ',' Application ',' Kayak ',' A"&amp;"xis' , 'Net', 'ficture', 'lock', 'pulse', 'sucked', 'data', 'internet', 'run out', ""]")</f>
        <v>['please', 'Telkomsel', 'ficture', 'credit', 'sumps',' data ',' run out ',' events', 'right', 'data', 'finished', 'pulses',' Sumpot ',' credit ',' RB ',' Sumpot ',' Data ',' Internet ',' Out ',' Please ',' Telkomsel ',' Fix ',' Application ',' Kayak ',' Axis' , 'Net', 'ficture', 'lock', 'pulse', 'sucked', 'data', 'internet', 'run out', "]</v>
      </c>
      <c r="D4803" s="3">
        <v>1.0</v>
      </c>
    </row>
    <row r="4804" ht="15.75" customHeight="1">
      <c r="A4804" s="1">
        <v>5138.0</v>
      </c>
      <c r="B4804" s="3" t="s">
        <v>4599</v>
      </c>
      <c r="C4804" s="3" t="str">
        <f>IFERROR(__xludf.DUMMYFUNCTION("GOOGLETRANSLATE(B4804,""id"",""en"")"),"['Set', 'use', 'pulse', 'data', 'credit', 'data', 'together', 'pulses', 'sometimes', 'chick', '']")</f>
        <v>['Set', 'use', 'pulse', 'data', 'credit', 'data', 'together', 'pulses', 'sometimes', 'chick', '']</v>
      </c>
      <c r="D4804" s="3">
        <v>1.0</v>
      </c>
    </row>
    <row r="4805" ht="15.75" customHeight="1">
      <c r="A4805" s="1">
        <v>5139.0</v>
      </c>
      <c r="B4805" s="3" t="s">
        <v>4600</v>
      </c>
      <c r="C4805" s="3" t="str">
        <f>IFERROR(__xludf.DUMMYFUNCTION("GOOGLETRANSLATE(B4805,""id"",""en"")"),"['Okay', 'the application']")</f>
        <v>['Okay', 'the application']</v>
      </c>
      <c r="D4805" s="3">
        <v>5.0</v>
      </c>
    </row>
    <row r="4806" ht="15.75" customHeight="1">
      <c r="A4806" s="1">
        <v>5140.0</v>
      </c>
      <c r="B4806" s="3" t="s">
        <v>4601</v>
      </c>
      <c r="C4806" s="3" t="str">
        <f>IFERROR(__xludf.DUMMYFUNCTION("GOOGLETRANSLATE(B4806,""id"",""en"")"),"['Network', 'Enhanced', '']")</f>
        <v>['Network', 'Enhanced', '']</v>
      </c>
      <c r="D4806" s="3">
        <v>4.0</v>
      </c>
    </row>
    <row r="4807" ht="15.75" customHeight="1">
      <c r="A4807" s="1">
        <v>5141.0</v>
      </c>
      <c r="B4807" s="3" t="s">
        <v>4602</v>
      </c>
      <c r="C4807" s="3" t="str">
        <f>IFERROR(__xludf.DUMMYFUNCTION("GOOGLETRANSLATE(B4807,""id"",""en"")"),"['Hello', 'Telkomsel', 'Quality', 'Network', 'Bad', 'Segini', 'Region', 'City', 'Depok', 'Think', 'Byk', 'People', ' use ',' clock ',' night ',' down ',' signal ',' down ',' expensive ',' doang ',' quality ',' cheap ']")</f>
        <v>['Hello', 'Telkomsel', 'Quality', 'Network', 'Bad', 'Segini', 'Region', 'City', 'Depok', 'Think', 'Byk', 'People', ' use ',' clock ',' night ',' down ',' signal ',' down ',' expensive ',' doang ',' quality ',' cheap ']</v>
      </c>
      <c r="D4807" s="3">
        <v>1.0</v>
      </c>
    </row>
    <row r="4808" ht="15.75" customHeight="1">
      <c r="A4808" s="1">
        <v>5142.0</v>
      </c>
      <c r="B4808" s="3" t="s">
        <v>4103</v>
      </c>
      <c r="C4808" s="3" t="str">
        <f>IFERROR(__xludf.DUMMYFUNCTION("GOOGLETRANSLATE(B4808,""id"",""en"")"),"['The application', 'steady']")</f>
        <v>['The application', 'steady']</v>
      </c>
      <c r="D4808" s="3">
        <v>5.0</v>
      </c>
    </row>
    <row r="4809" ht="15.75" customHeight="1">
      <c r="A4809" s="1">
        <v>5143.0</v>
      </c>
      <c r="B4809" s="3" t="s">
        <v>4603</v>
      </c>
      <c r="C4809" s="3" t="str">
        <f>IFERROR(__xludf.DUMMYFUNCTION("GOOGLETRANSLATE(B4809,""id"",""en"")"),"['apk', 'SNGT', 'Help', 'already', 'help', 'see']")</f>
        <v>['apk', 'SNGT', 'Help', 'already', 'help', 'see']</v>
      </c>
      <c r="D4809" s="3">
        <v>5.0</v>
      </c>
    </row>
    <row r="4810" ht="15.75" customHeight="1">
      <c r="A4810" s="1">
        <v>5144.0</v>
      </c>
      <c r="B4810" s="3" t="s">
        <v>4604</v>
      </c>
      <c r="C4810" s="3" t="str">
        <f>IFERROR(__xludf.DUMMYFUNCTION("GOOGLETRANSLATE(B4810,""id"",""en"")"),"['Sya', 'feel', 'Telkomsel', 'destroyed', 'already', 'package', 'expensive', 'signal', 'lost', 'slow', 'really', 'klau', ' noon ',' then ',' worse ',' pulse ',' cheek ',' no ',' what ',' what ',' please ',' Telkomsel ',' handled ',' klau ',' no ' , 'fast'"&amp;", 'slow', 'users', 'Telkomsel', 'moved', 'provider', 'next door', '']")</f>
        <v>['Sya', 'feel', 'Telkomsel', 'destroyed', 'already', 'package', 'expensive', 'signal', 'lost', 'slow', 'really', 'klau', ' noon ',' then ',' worse ',' pulse ',' cheek ',' no ',' what ',' what ',' please ',' Telkomsel ',' handled ',' klau ',' no ' , 'fast', 'slow', 'users', 'Telkomsel', 'moved', 'provider', 'next door', '']</v>
      </c>
      <c r="D4810" s="3">
        <v>1.0</v>
      </c>
    </row>
    <row r="4811" ht="15.75" customHeight="1">
      <c r="A4811" s="1">
        <v>5145.0</v>
      </c>
      <c r="B4811" s="3" t="s">
        <v>4605</v>
      </c>
      <c r="C4811" s="3" t="str">
        <f>IFERROR(__xludf.DUMMYFUNCTION("GOOGLETRANSLATE(B4811,""id"",""en"")"),"['Make it easier', 'Extend', 'Data', 'Sousal', 'Good', 'Please', 'Enhanced']")</f>
        <v>['Make it easier', 'Extend', 'Data', 'Sousal', 'Good', 'Please', 'Enhanced']</v>
      </c>
      <c r="D4811" s="3">
        <v>4.0</v>
      </c>
    </row>
    <row r="4812" ht="15.75" customHeight="1">
      <c r="A4812" s="1">
        <v>5146.0</v>
      </c>
      <c r="B4812" s="3" t="s">
        <v>4606</v>
      </c>
      <c r="C4812" s="3" t="str">
        <f>IFERROR(__xludf.DUMMYFUNCTION("GOOGLETRANSLATE(B4812,""id"",""en"")"),"['buy', 'quota', 'expensive', 'really']")</f>
        <v>['buy', 'quota', 'expensive', 'really']</v>
      </c>
      <c r="D4812" s="3">
        <v>5.0</v>
      </c>
    </row>
    <row r="4813" ht="15.75" customHeight="1">
      <c r="A4813" s="1">
        <v>5147.0</v>
      </c>
      <c r="B4813" s="3" t="s">
        <v>735</v>
      </c>
      <c r="C4813" s="3" t="str">
        <f>IFERROR(__xludf.DUMMYFUNCTION("GOOGLETRANSLATE(B4813,""id"",""en"")"),"['help']")</f>
        <v>['help']</v>
      </c>
      <c r="D4813" s="3">
        <v>5.0</v>
      </c>
    </row>
    <row r="4814" ht="15.75" customHeight="1">
      <c r="A4814" s="1">
        <v>5149.0</v>
      </c>
      <c r="B4814" s="3" t="s">
        <v>4607</v>
      </c>
      <c r="C4814" s="3" t="str">
        <f>IFERROR(__xludf.DUMMYFUNCTION("GOOGLETRANSLATE(B4814,""id"",""en"")"),"['Provider', 'biggest', 'Indonesia', 'signal', 'slow', 'qualified', 'trludu', 'promise', 'promo', 'promo', 'playananan', 'satisfying', ' Expensive ',' disappointing ',' ']")</f>
        <v>['Provider', 'biggest', 'Indonesia', 'signal', 'slow', 'qualified', 'trludu', 'promise', 'promo', 'promo', 'playananan', 'satisfying', ' Expensive ',' disappointing ',' ']</v>
      </c>
      <c r="D4814" s="3">
        <v>1.0</v>
      </c>
    </row>
    <row r="4815" ht="15.75" customHeight="1">
      <c r="A4815" s="1">
        <v>5150.0</v>
      </c>
      <c r="B4815" s="3" t="s">
        <v>4608</v>
      </c>
      <c r="C4815" s="3" t="str">
        <f>IFERROR(__xludf.DUMMYFUNCTION("GOOGLETRANSLATE(B4815,""id"",""en"")"),"['Not bad', 'cool', 'Indosat', 'all-round', 'cheap', 'GB', 'RB', 'spirit', 'sympathy', 'promo', 'replace', 'thanks']")</f>
        <v>['Not bad', 'cool', 'Indosat', 'all-round', 'cheap', 'GB', 'RB', 'spirit', 'sympathy', 'promo', 'replace', 'thanks']</v>
      </c>
      <c r="D4815" s="3">
        <v>4.0</v>
      </c>
    </row>
    <row r="4816" ht="15.75" customHeight="1">
      <c r="A4816" s="1">
        <v>5152.0</v>
      </c>
      <c r="B4816" s="3" t="s">
        <v>4609</v>
      </c>
      <c r="C4816" s="3" t="str">
        <f>IFERROR(__xludf.DUMMYFUNCTION("GOOGLETRANSLATE(B4816,""id"",""en"")"),"['Practical', 'easy']")</f>
        <v>['Practical', 'easy']</v>
      </c>
      <c r="D4816" s="3">
        <v>5.0</v>
      </c>
    </row>
    <row r="4817" ht="15.75" customHeight="1">
      <c r="A4817" s="1">
        <v>5153.0</v>
      </c>
      <c r="B4817" s="3" t="s">
        <v>4610</v>
      </c>
      <c r="C4817" s="3" t="str">
        <f>IFERROR(__xludf.DUMMYFUNCTION("GOOGLETRANSLATE(B4817,""id"",""en"")"),"['pulse', 'run out', 'Where','AAA ',' ']")</f>
        <v>['pulse', 'run out', 'Where','AAA ',' ']</v>
      </c>
      <c r="D4817" s="3">
        <v>2.0</v>
      </c>
    </row>
    <row r="4818" ht="15.75" customHeight="1">
      <c r="A4818" s="1">
        <v>5154.0</v>
      </c>
      <c r="B4818" s="3" t="s">
        <v>4611</v>
      </c>
      <c r="C4818" s="3" t="str">
        <f>IFERROR(__xludf.DUMMYFUNCTION("GOOGLETRANSLATE(B4818,""id"",""en"")"),"['Good', 'just', 'Region', 'East', 'Maluku', 'Signal', 'Lost']")</f>
        <v>['Good', 'just', 'Region', 'East', 'Maluku', 'Signal', 'Lost']</v>
      </c>
      <c r="D4818" s="3">
        <v>5.0</v>
      </c>
    </row>
    <row r="4819" ht="15.75" customHeight="1">
      <c r="A4819" s="1">
        <v>5155.0</v>
      </c>
      <c r="B4819" s="3" t="s">
        <v>4612</v>
      </c>
      <c r="C4819" s="3" t="str">
        <f>IFERROR(__xludf.DUMMYFUNCTION("GOOGLETRANSLATE(B4819,""id"",""en"")"),"['price', 'package', 'internet', 'expensive']")</f>
        <v>['price', 'package', 'internet', 'expensive']</v>
      </c>
      <c r="D4819" s="3">
        <v>4.0</v>
      </c>
    </row>
    <row r="4820" ht="15.75" customHeight="1">
      <c r="A4820" s="1">
        <v>5156.0</v>
      </c>
      <c r="B4820" s="3" t="s">
        <v>4613</v>
      </c>
      <c r="C4820" s="3" t="str">
        <f>IFERROR(__xludf.DUMMYFUNCTION("GOOGLETRANSLATE(B4820,""id"",""en"")"),"['Enhanced', 'provider', 'safety', 'pulse', 'nge', 'lock', 'pulse', 'empty', 'right', 'call', 'times',' suck ',' Data ',' fast ',' really ',' run out ',' please ',' tinhiskan ',' ']")</f>
        <v>['Enhanced', 'provider', 'safety', 'pulse', 'nge', 'lock', 'pulse', 'empty', 'right', 'call', 'times',' suck ',' Data ',' fast ',' really ',' run out ',' please ',' tinhiskan ',' ']</v>
      </c>
      <c r="D4820" s="3">
        <v>1.0</v>
      </c>
    </row>
    <row r="4821" ht="15.75" customHeight="1">
      <c r="A4821" s="1">
        <v>5157.0</v>
      </c>
      <c r="B4821" s="3" t="s">
        <v>4614</v>
      </c>
      <c r="C4821" s="3" t="str">
        <f>IFERROR(__xludf.DUMMYFUNCTION("GOOGLETRANSLATE(B4821,""id"",""en"")"),"['apk', 'sanagat', 'good', ""]")</f>
        <v>['apk', 'sanagat', 'good', "]</v>
      </c>
      <c r="D4821" s="3">
        <v>5.0</v>
      </c>
    </row>
    <row r="4822" ht="15.75" customHeight="1">
      <c r="A4822" s="1">
        <v>5158.0</v>
      </c>
      <c r="B4822" s="3" t="s">
        <v>4615</v>
      </c>
      <c r="C4822" s="3" t="str">
        <f>IFERROR(__xludf.DUMMYFUNCTION("GOOGLETRANSLATE(B4822,""id"",""en"")"),"['Love', 'Bintang', 'Pakek', 'APP']")</f>
        <v>['Love', 'Bintang', 'Pakek', 'APP']</v>
      </c>
      <c r="D4822" s="3">
        <v>3.0</v>
      </c>
    </row>
    <row r="4823" ht="15.75" customHeight="1">
      <c r="A4823" s="1">
        <v>5159.0</v>
      </c>
      <c r="B4823" s="3" t="s">
        <v>4616</v>
      </c>
      <c r="C4823" s="3" t="str">
        <f>IFERROR(__xludf.DUMMYFUNCTION("GOOGLETRANSLATE(B4823,""id"",""en"")"),"['Network', 'cell', 'Gosh', 'can "",' break up ']")</f>
        <v>['Network', 'cell', 'Gosh', 'can ",' break up ']</v>
      </c>
      <c r="D4823" s="3">
        <v>1.0</v>
      </c>
    </row>
    <row r="4824" ht="15.75" customHeight="1">
      <c r="A4824" s="1">
        <v>5160.0</v>
      </c>
      <c r="B4824" s="3" t="s">
        <v>4617</v>
      </c>
      <c r="C4824" s="3" t="str">
        <f>IFERROR(__xludf.DUMMYFUNCTION("GOOGLETRANSLATE(B4824,""id"",""en"")"),"['buy', 'expensive', 'expensive', 'network', 'dilapidated', 'disappointed', '']")</f>
        <v>['buy', 'expensive', 'expensive', 'network', 'dilapidated', 'disappointed', '']</v>
      </c>
      <c r="D4824" s="3">
        <v>1.0</v>
      </c>
    </row>
    <row r="4825" ht="15.75" customHeight="1">
      <c r="A4825" s="1">
        <v>5161.0</v>
      </c>
      <c r="B4825" s="3" t="s">
        <v>4618</v>
      </c>
      <c r="C4825" s="3" t="str">
        <f>IFERROR(__xludf.DUMMYFUNCTION("GOOGLETRANSLATE(B4825,""id"",""en"")"),"['connection', 'break up', 'play', 'game', 'disappointed', '']")</f>
        <v>['connection', 'break up', 'play', 'game', 'disappointed', '']</v>
      </c>
      <c r="D4825" s="3">
        <v>2.0</v>
      </c>
    </row>
    <row r="4826" ht="15.75" customHeight="1">
      <c r="A4826" s="1">
        <v>5163.0</v>
      </c>
      <c r="B4826" s="3" t="s">
        <v>4619</v>
      </c>
      <c r="C4826" s="3" t="str">
        <f>IFERROR(__xludf.DUMMYFUNCTION("GOOGLETRANSLATE(B4826,""id"",""en"")"),"['Duh', 'knp', 'smsjak', 'move', 'post "",' sympathy ',' hello ',' every time ',' entry ',' payment ',' paid ',' ngapa ',' Get ',' SMS ',' Thank you ',' Pay ',' Please ',' Restart ',' Reatart ',' Dozens', 'Internetnya', 'Gini', 'Tight', 'Paska', 'Pay' , '"&amp;"Disappointed']")</f>
        <v>['Duh', 'knp', 'smsjak', 'move', 'post ",' sympathy ',' hello ',' every time ',' entry ',' payment ',' paid ',' ngapa ',' Get ',' SMS ',' Thank you ',' Pay ',' Please ',' Restart ',' Reatart ',' Dozens', 'Internetnya', 'Gini', 'Tight', 'Paska', 'Pay' , 'Disappointed']</v>
      </c>
      <c r="D4826" s="3">
        <v>1.0</v>
      </c>
    </row>
    <row r="4827" ht="15.75" customHeight="1">
      <c r="A4827" s="1">
        <v>5164.0</v>
      </c>
      <c r="B4827" s="3" t="s">
        <v>4620</v>
      </c>
      <c r="C4827" s="3" t="str">
        <f>IFERROR(__xludf.DUMMYFUNCTION("GOOGLETRANSLATE(B4827,""id"",""en"")"),"['reload phone credit']")</f>
        <v>['reload phone credit']</v>
      </c>
      <c r="D4827" s="3">
        <v>5.0</v>
      </c>
    </row>
    <row r="4828" ht="15.75" customHeight="1">
      <c r="A4828" s="1">
        <v>5165.0</v>
      </c>
      <c r="B4828" s="3" t="s">
        <v>4621</v>
      </c>
      <c r="C4828" s="3" t="str">
        <f>IFERROR(__xludf.DUMMYFUNCTION("GOOGLETRANSLATE(B4828,""id"",""en"")"),"['Disappointed', 'Liat', 'Network', 'Internet', 'Telkomsel', 'Error', 'Bang', 'Buy', 'Package', 'Quota', 'Expensive', 'Expensive', ' Even though ',' Combo ',' Sakti ',' Network ',' Where ',' Satisfaction ',' Consumer ']")</f>
        <v>['Disappointed', 'Liat', 'Network', 'Internet', 'Telkomsel', 'Error', 'Bang', 'Buy', 'Package', 'Quota', 'Expensive', 'Expensive', ' Even though ',' Combo ',' Sakti ',' Network ',' Where ',' Satisfaction ',' Consumer ']</v>
      </c>
      <c r="D4828" s="3">
        <v>1.0</v>
      </c>
    </row>
    <row r="4829" ht="15.75" customHeight="1">
      <c r="A4829" s="1">
        <v>5166.0</v>
      </c>
      <c r="B4829" s="3" t="s">
        <v>4622</v>
      </c>
      <c r="C4829" s="3" t="str">
        <f>IFERROR(__xludf.DUMMYFUNCTION("GOOGLETRANSLATE(B4829,""id"",""en"")"),"['Help', 'thank', 'love', ""]")</f>
        <v>['Help', 'thank', 'love', "]</v>
      </c>
      <c r="D4829" s="3">
        <v>5.0</v>
      </c>
    </row>
    <row r="4830" ht="15.75" customHeight="1">
      <c r="A4830" s="1">
        <v>5167.0</v>
      </c>
      <c r="B4830" s="3" t="s">
        <v>4623</v>
      </c>
      <c r="C4830" s="3" t="str">
        <f>IFERROR(__xludf.DUMMYFUNCTION("GOOGLETRANSLATE(B4830,""id"",""en"")"),"['Trima', 'love', 'petrified']")</f>
        <v>['Trima', 'love', 'petrified']</v>
      </c>
      <c r="D4830" s="3">
        <v>5.0</v>
      </c>
    </row>
    <row r="4831" ht="15.75" customHeight="1">
      <c r="A4831" s="1">
        <v>5168.0</v>
      </c>
      <c r="B4831" s="3" t="s">
        <v>4624</v>
      </c>
      <c r="C4831" s="3" t="str">
        <f>IFERROR(__xludf.DUMMYFUNCTION("GOOGLETRANSLATE(B4831,""id"",""en"")"),"['signal', 'slow']")</f>
        <v>['signal', 'slow']</v>
      </c>
      <c r="D4831" s="3">
        <v>1.0</v>
      </c>
    </row>
    <row r="4832" ht="15.75" customHeight="1">
      <c r="A4832" s="1">
        <v>5169.0</v>
      </c>
      <c r="B4832" s="3" t="s">
        <v>1921</v>
      </c>
      <c r="C4832" s="3" t="str">
        <f>IFERROR(__xludf.DUMMYFUNCTION("GOOGLETRANSLATE(B4832,""id"",""en"")"),"['love']")</f>
        <v>['love']</v>
      </c>
      <c r="D4832" s="3">
        <v>3.0</v>
      </c>
    </row>
    <row r="4833" ht="15.75" customHeight="1">
      <c r="A4833" s="1">
        <v>5170.0</v>
      </c>
      <c r="B4833" s="3" t="s">
        <v>4625</v>
      </c>
      <c r="C4833" s="3" t="str">
        <f>IFERROR(__xludf.DUMMYFUNCTION("GOOGLETRANSLATE(B4833,""id"",""en"")"),"['Please', 'fix', 'network', 'like', 'slow', 'skrg', ""]")</f>
        <v>['Please', 'fix', 'network', 'like', 'slow', 'skrg', "]</v>
      </c>
      <c r="D4833" s="3">
        <v>5.0</v>
      </c>
    </row>
    <row r="4834" ht="15.75" customHeight="1">
      <c r="A4834" s="1">
        <v>5171.0</v>
      </c>
      <c r="B4834" s="3" t="s">
        <v>4626</v>
      </c>
      <c r="C4834" s="3" t="str">
        <f>IFERROR(__xludf.DUMMYFUNCTION("GOOGLETRANSLATE(B4834,""id"",""en"")"),"['Service', 'Telkomsel', 'satisfying']")</f>
        <v>['Service', 'Telkomsel', 'satisfying']</v>
      </c>
      <c r="D4834" s="3">
        <v>1.0</v>
      </c>
    </row>
    <row r="4835" ht="15.75" customHeight="1">
      <c r="A4835" s="1">
        <v>5173.0</v>
      </c>
      <c r="B4835" s="3" t="s">
        <v>4627</v>
      </c>
      <c r="C4835" s="3" t="str">
        <f>IFERROR(__xludf.DUMMYFUNCTION("GOOGLETRANSLATE(B4835,""id"",""en"")"),"['Makjus']")</f>
        <v>['Makjus']</v>
      </c>
      <c r="D4835" s="3">
        <v>5.0</v>
      </c>
    </row>
    <row r="4836" ht="15.75" customHeight="1">
      <c r="A4836" s="1">
        <v>5174.0</v>
      </c>
      <c r="B4836" s="3" t="s">
        <v>4628</v>
      </c>
      <c r="C4836" s="3" t="str">
        <f>IFERROR(__xludf.DUMMYFUNCTION("GOOGLETRANSLATE(B4836,""id"",""en"")"),"['Burikkkkk', 'price', 'package', 'according to', 'quality']")</f>
        <v>['Burikkkkk', 'price', 'package', 'according to', 'quality']</v>
      </c>
      <c r="D4836" s="3">
        <v>1.0</v>
      </c>
    </row>
    <row r="4837" ht="15.75" customHeight="1">
      <c r="A4837" s="1">
        <v>5175.0</v>
      </c>
      <c r="B4837" s="3" t="s">
        <v>4629</v>
      </c>
      <c r="C4837" s="3" t="str">
        <f>IFERROR(__xludf.DUMMYFUNCTION("GOOGLETRANSLATE(B4837,""id"",""en"")"),"['knp', 'network', 'Telkomsel', 'noon', 'night', 'ngellag', 'beg', 'improvement', 'because', 'disturbed', 'really']")</f>
        <v>['knp', 'network', 'Telkomsel', 'noon', 'night', 'ngellag', 'beg', 'improvement', 'because', 'disturbed', 'really']</v>
      </c>
      <c r="D4837" s="3">
        <v>2.0</v>
      </c>
    </row>
    <row r="4838" ht="15.75" customHeight="1">
      <c r="A4838" s="1">
        <v>5176.0</v>
      </c>
      <c r="B4838" s="3" t="s">
        <v>4630</v>
      </c>
      <c r="C4838" s="3" t="str">
        <f>IFERROR(__xludf.DUMMYFUNCTION("GOOGLETRANSLATE(B4838,""id"",""en"")"),"['Gini', 'Package', 'GB', 'UNLI', 'Package', 'expensive', 'expensive', 'Need', 'Package', 'Call', 'SMS', 'Hope', ' Provided ',' package ',' toping ',' quota ',' package ',' call ',' sms', 'compare', 'throughout', 'Indonesia', 'card', 'cheap', 'cheap' , 'T"&amp;"he package', 'rating', 'card', 'sympathy', 'loop', 'down', 'drastic', 'so', 'thank', 'love']")</f>
        <v>['Gini', 'Package', 'GB', 'UNLI', 'Package', 'expensive', 'expensive', 'Need', 'Package', 'Call', 'SMS', 'Hope', ' Provided ',' package ',' toping ',' quota ',' package ',' call ',' sms', 'compare', 'throughout', 'Indonesia', 'card', 'cheap', 'cheap' , 'The package', 'rating', 'card', 'sympathy', 'loop', 'down', 'drastic', 'so', 'thank', 'love']</v>
      </c>
      <c r="D4838" s="3">
        <v>1.0</v>
      </c>
    </row>
    <row r="4839" ht="15.75" customHeight="1">
      <c r="A4839" s="1">
        <v>5177.0</v>
      </c>
      <c r="B4839" s="3" t="s">
        <v>4631</v>
      </c>
      <c r="C4839" s="3" t="str">
        <f>IFERROR(__xludf.DUMMYFUNCTION("GOOGLETRANSLATE(B4839,""id"",""en"")"),"['Damn', 'fraud', 'buy', 'pulse', 'packagein', 'application', 'Sumpot', 'stay', 'Report', 'authorized', 'Severe', 'Abis',' The conservation of ',' cheated ',' BLM ',' please ',' intention ',' return ',' pulse ']")</f>
        <v>['Damn', 'fraud', 'buy', 'pulse', 'packagein', 'application', 'Sumpot', 'stay', 'Report', 'authorized', 'Severe', 'Abis',' The conservation of ',' cheated ',' BLM ',' please ',' intention ',' return ',' pulse ']</v>
      </c>
      <c r="D4839" s="3">
        <v>1.0</v>
      </c>
    </row>
    <row r="4840" ht="15.75" customHeight="1">
      <c r="A4840" s="1">
        <v>5178.0</v>
      </c>
      <c r="B4840" s="3" t="s">
        <v>4632</v>
      </c>
      <c r="C4840" s="3" t="str">
        <f>IFERROR(__xludf.DUMMYFUNCTION("GOOGLETRANSLATE(B4840,""id"",""en"")"),"['Update', 'Android', '']")</f>
        <v>['Update', 'Android', '']</v>
      </c>
      <c r="D4840" s="3">
        <v>1.0</v>
      </c>
    </row>
    <row r="4841" ht="15.75" customHeight="1">
      <c r="A4841" s="1">
        <v>5179.0</v>
      </c>
      <c r="B4841" s="3" t="s">
        <v>4633</v>
      </c>
      <c r="C4841" s="3" t="str">
        <f>IFERROR(__xludf.DUMMYFUNCTION("GOOGLETRANSLATE(B4841,""id"",""en"")"),"['The application', 'Good', 'Helping', 'People', 'Convenience', 'Communicating', 'Social']")</f>
        <v>['The application', 'Good', 'Helping', 'People', 'Convenience', 'Communicating', 'Social']</v>
      </c>
      <c r="D4841" s="3">
        <v>5.0</v>
      </c>
    </row>
    <row r="4842" ht="15.75" customHeight="1">
      <c r="A4842" s="1">
        <v>5180.0</v>
      </c>
      <c r="B4842" s="3" t="s">
        <v>4634</v>
      </c>
      <c r="C4842" s="3" t="str">
        <f>IFERROR(__xludf.DUMMYFUNCTION("GOOGLETRANSLATE(B4842,""id"",""en"")"),"['', 'Telkomsel', 'help', 'thank', 'love', 'Telkomsel']")</f>
        <v>['', 'Telkomsel', 'help', 'thank', 'love', 'Telkomsel']</v>
      </c>
      <c r="D4842" s="3">
        <v>5.0</v>
      </c>
    </row>
    <row r="4843" ht="15.75" customHeight="1">
      <c r="A4843" s="1">
        <v>5181.0</v>
      </c>
      <c r="B4843" s="3" t="s">
        <v>4635</v>
      </c>
      <c r="C4843" s="3" t="str">
        <f>IFERROR(__xludf.DUMMYFUNCTION("GOOGLETRANSLATE(B4843,""id"",""en"")"),"['love', 'star', 'deh', '']")</f>
        <v>['love', 'star', 'deh', '']</v>
      </c>
      <c r="D4843" s="3">
        <v>5.0</v>
      </c>
    </row>
    <row r="4844" ht="15.75" customHeight="1">
      <c r="A4844" s="1">
        <v>5182.0</v>
      </c>
      <c r="B4844" s="3" t="s">
        <v>1445</v>
      </c>
      <c r="C4844" s="3" t="str">
        <f>IFERROR(__xludf.DUMMYFUNCTION("GOOGLETRANSLATE(B4844,""id"",""en"")"),"['Promo']")</f>
        <v>['Promo']</v>
      </c>
      <c r="D4844" s="3">
        <v>4.0</v>
      </c>
    </row>
    <row r="4845" ht="15.75" customHeight="1">
      <c r="A4845" s="1">
        <v>5183.0</v>
      </c>
      <c r="B4845" s="3" t="s">
        <v>4636</v>
      </c>
      <c r="C4845" s="3" t="str">
        <f>IFERROR(__xludf.DUMMYFUNCTION("GOOGLETRANSLATE(B4845,""id"",""en"")"),"['Application', 'Cool', 'really', '']")</f>
        <v>['Application', 'Cool', 'really', '']</v>
      </c>
      <c r="D4845" s="3">
        <v>5.0</v>
      </c>
    </row>
    <row r="4846" ht="15.75" customHeight="1">
      <c r="A4846" s="1">
        <v>5184.0</v>
      </c>
      <c r="B4846" s="3" t="s">
        <v>4637</v>
      </c>
      <c r="C4846" s="3" t="str">
        <f>IFERROR(__xludf.DUMMYFUNCTION("GOOGLETRANSLATE(B4846,""id"",""en"")"),"['Sorry', 'yaa', 'KNPA', 'Telkomsel', 'Login', 'Silling', 'APK', 'Error', 'Network', 'maslah', 'smpek', 'Sya', ' uninstall ',' then ',' sya ',' install ',' lgii ',' bgtu ',' please ',' repair ',' yaa ',' in the future ',' sya ',' buy ',' Telkomsel ' , 'PD"&amp;"HALL', 'MSAK', 'CUSTOMER', 'SETIA', 'BNI', '']")</f>
        <v>['Sorry', 'yaa', 'KNPA', 'Telkomsel', 'Login', 'Silling', 'APK', 'Error', 'Network', 'maslah', 'smpek', 'Sya', ' uninstall ',' then ',' sya ',' install ',' lgii ',' bgtu ',' please ',' repair ',' yaa ',' in the future ',' sya ',' buy ',' Telkomsel ' , 'PDHALL', 'MSAK', 'CUSTOMER', 'SETIA', 'BNI', '']</v>
      </c>
      <c r="D4846" s="3">
        <v>1.0</v>
      </c>
    </row>
    <row r="4847" ht="15.75" customHeight="1">
      <c r="A4847" s="1">
        <v>5185.0</v>
      </c>
      <c r="B4847" s="3" t="s">
        <v>4638</v>
      </c>
      <c r="C4847" s="3" t="str">
        <f>IFERROR(__xludf.DUMMYFUNCTION("GOOGLETRANSLATE(B4847,""id"",""en"")"),"['Uda', 'Get', 'Points',' Inggin ',' Manukar ',' Points', 'GB', 'right', 'Exchange', 'Please', 'Admin', 'Fix', ' ']")</f>
        <v>['Uda', 'Get', 'Points',' Inggin ',' Manukar ',' Points', 'GB', 'right', 'Exchange', 'Please', 'Admin', 'Fix', ' ']</v>
      </c>
      <c r="D4847" s="3">
        <v>3.0</v>
      </c>
    </row>
    <row r="4848" ht="15.75" customHeight="1">
      <c r="A4848" s="1">
        <v>5186.0</v>
      </c>
      <c r="B4848" s="3" t="s">
        <v>4639</v>
      </c>
      <c r="C4848" s="3" t="str">
        <f>IFERROR(__xludf.DUMMYFUNCTION("GOOGLETRANSLATE(B4848,""id"",""en"")"),"['application', 'good', 'package']")</f>
        <v>['application', 'good', 'package']</v>
      </c>
      <c r="D4848" s="3">
        <v>5.0</v>
      </c>
    </row>
    <row r="4849" ht="15.75" customHeight="1">
      <c r="A4849" s="1">
        <v>5187.0</v>
      </c>
      <c r="B4849" s="3" t="s">
        <v>4640</v>
      </c>
      <c r="C4849" s="3" t="str">
        <f>IFERROR(__xludf.DUMMYFUNCTION("GOOGLETRANSLATE(B4849,""id"",""en"")"),"['Telkom', 'Kek', 'Kon']")</f>
        <v>['Telkom', 'Kek', 'Kon']</v>
      </c>
      <c r="D4849" s="3">
        <v>1.0</v>
      </c>
    </row>
    <row r="4850" ht="15.75" customHeight="1">
      <c r="A4850" s="1">
        <v>5188.0</v>
      </c>
      <c r="B4850" s="3" t="s">
        <v>4641</v>
      </c>
      <c r="C4850" s="3" t="str">
        <f>IFERROR(__xludf.DUMMYFUNCTION("GOOGLETRANSLATE(B4850,""id"",""en"")"),"['Dear', 'Telkomsel', 'so', 'comment', 'negative', 'please', 'responded', 'reference', 'repair', 'trutama', 'pulse', 'hung', ' Cut ',' Gara ',' Gara ',' Forgot ',' Matiin ',' Package ',' Data ',' Package ',' Internet ',' Out ',' Dead ',' Live ',' Credit '"&amp;" , '']")</f>
        <v>['Dear', 'Telkomsel', 'so', 'comment', 'negative', 'please', 'responded', 'reference', 'repair', 'trutama', 'pulse', 'hung', ' Cut ',' Gara ',' Gara ',' Forgot ',' Matiin ',' Package ',' Data ',' Package ',' Internet ',' Out ',' Dead ',' Live ',' Credit ' , '']</v>
      </c>
      <c r="D4850" s="3">
        <v>1.0</v>
      </c>
    </row>
    <row r="4851" ht="15.75" customHeight="1">
      <c r="A4851" s="1">
        <v>5189.0</v>
      </c>
      <c r="B4851" s="3" t="s">
        <v>4642</v>
      </c>
      <c r="C4851" s="3" t="str">
        <f>IFERROR(__xludf.DUMMYFUNCTION("GOOGLETRANSLATE(B4851,""id"",""en"")"),"['BUMN', 'Maling', 'Credit', 'Quota', 'Lindah', 'land', 'consumers', 'consumers', 'blur', 'gini', ""]")</f>
        <v>['BUMN', 'Maling', 'Credit', 'Quota', 'Lindah', 'land', 'consumers', 'consumers', 'blur', 'gini', "]</v>
      </c>
      <c r="D4851" s="3">
        <v>1.0</v>
      </c>
    </row>
    <row r="4852" ht="15.75" customHeight="1">
      <c r="A4852" s="1">
        <v>5190.0</v>
      </c>
      <c r="B4852" s="3" t="s">
        <v>4643</v>
      </c>
      <c r="C4852" s="3" t="str">
        <f>IFERROR(__xludf.DUMMYFUNCTION("GOOGLETRANSLATE(B4852,""id"",""en"")"),"['UDH', 'expensive', 'network', 'ngeleg']")</f>
        <v>['UDH', 'expensive', 'network', 'ngeleg']</v>
      </c>
      <c r="D4852" s="3">
        <v>1.0</v>
      </c>
    </row>
    <row r="4853" ht="15.75" customHeight="1">
      <c r="A4853" s="1">
        <v>5191.0</v>
      </c>
      <c r="B4853" s="3" t="s">
        <v>4644</v>
      </c>
      <c r="C4853" s="3" t="str">
        <f>IFERROR(__xludf.DUMMYFUNCTION("GOOGLETRANSLATE(B4853,""id"",""en"")"),"['makes it easier', 'polite', 'smooth']")</f>
        <v>['makes it easier', 'polite', 'smooth']</v>
      </c>
      <c r="D4853" s="3">
        <v>5.0</v>
      </c>
    </row>
    <row r="4854" ht="15.75" customHeight="1">
      <c r="A4854" s="1">
        <v>5192.0</v>
      </c>
      <c r="B4854" s="3" t="s">
        <v>4645</v>
      </c>
      <c r="C4854" s="3" t="str">
        <f>IFERROR(__xludf.DUMMYFUNCTION("GOOGLETRANSLATE(B4854,""id"",""en"")"),"['Telkomsel', 'bristises',' people ',' poor ',' data ',' quota ',' expensive ',' network ',' signal ',' good ',' area ',' pedesta ',' Please ',' Level ',' Expand ',' Pole ',' Tower ']")</f>
        <v>['Telkomsel', 'bristises',' people ',' poor ',' data ',' quota ',' expensive ',' network ',' signal ',' good ',' area ',' pedesta ',' Please ',' Level ',' Expand ',' Pole ',' Tower ']</v>
      </c>
      <c r="D4854" s="3">
        <v>5.0</v>
      </c>
    </row>
    <row r="4855" ht="15.75" customHeight="1">
      <c r="A4855" s="1">
        <v>5193.0</v>
      </c>
      <c r="B4855" s="3" t="s">
        <v>4646</v>
      </c>
      <c r="C4855" s="3" t="str">
        <f>IFERROR(__xludf.DUMMYFUNCTION("GOOGLETRANSLATE(B4855,""id"",""en"")"),"['Kasi', 'star', '']")</f>
        <v>['Kasi', 'star', '']</v>
      </c>
      <c r="D4855" s="3">
        <v>5.0</v>
      </c>
    </row>
    <row r="4856" ht="15.75" customHeight="1">
      <c r="A4856" s="1">
        <v>5194.0</v>
      </c>
      <c r="B4856" s="3" t="s">
        <v>4647</v>
      </c>
      <c r="C4856" s="3" t="str">
        <f>IFERROR(__xludf.DUMMYFUNCTION("GOOGLETRANSLATE(B4856,""id"",""en"")"),"['Please', 'user', 'card', 'Telkomsel', 'UDH', 'MOVER', 'Price', 'Package', 'Tilt', 'a little', 'cook', 'yes',' Users', 'prices',' cheap ',' dripda ',' users', '']")</f>
        <v>['Please', 'user', 'card', 'Telkomsel', 'UDH', 'MOVER', 'Price', 'Package', 'Tilt', 'a little', 'cook', 'yes',' Users', 'prices',' cheap ',' dripda ',' users', '']</v>
      </c>
      <c r="D4856" s="3">
        <v>3.0</v>
      </c>
    </row>
    <row r="4857" ht="15.75" customHeight="1">
      <c r="A4857" s="1">
        <v>5195.0</v>
      </c>
      <c r="B4857" s="3" t="s">
        <v>4648</v>
      </c>
      <c r="C4857" s="3" t="str">
        <f>IFERROR(__xludf.DUMMYFUNCTION("GOOGLETRANSLATE(B4857,""id"",""en"")"),"['Thank you', 'Telkomsel', 'Hopefully', 'In the future', 'Network', 'signal', 'GPS', 'Strengthen', 'Order', 'enter', 'account', 'amin']")</f>
        <v>['Thank you', 'Telkomsel', 'Hopefully', 'In the future', 'Network', 'signal', 'GPS', 'Strengthen', 'Order', 'enter', 'account', 'amin']</v>
      </c>
      <c r="D4857" s="3">
        <v>5.0</v>
      </c>
    </row>
    <row r="4858" ht="15.75" customHeight="1">
      <c r="A4858" s="1">
        <v>5196.0</v>
      </c>
      <c r="B4858" s="3" t="s">
        <v>4649</v>
      </c>
      <c r="C4858" s="3" t="str">
        <f>IFERROR(__xludf.DUMMYFUNCTION("GOOGLETRANSLATE(B4858,""id"",""en"")"),"['Delicious', 'Ribet']")</f>
        <v>['Delicious', 'Ribet']</v>
      </c>
      <c r="D4858" s="3">
        <v>5.0</v>
      </c>
    </row>
    <row r="4859" ht="15.75" customHeight="1">
      <c r="A4859" s="1">
        <v>5197.0</v>
      </c>
      <c r="B4859" s="3" t="s">
        <v>4650</v>
      </c>
      <c r="C4859" s="3" t="str">
        <f>IFERROR(__xludf.DUMMYFUNCTION("GOOGLETRANSLATE(B4859,""id"",""en"")"),"['The', 'Best', 'PKOK', 'Increases',' then ',' Package ',' Combonya ',' Minutes', 'Phone', 'DIBLIKIN', 'SPRTI', 'DLU', ' mnit ',' skrg ',' mnit ',' slbih ',' best ']")</f>
        <v>['The', 'Best', 'PKOK', 'Increases',' then ',' Package ',' Combonya ',' Minutes', 'Phone', 'DIBLIKIN', 'SPRTI', 'DLU', ' mnit ',' skrg ',' mnit ',' slbih ',' best ']</v>
      </c>
      <c r="D4859" s="3">
        <v>5.0</v>
      </c>
    </row>
    <row r="4860" ht="15.75" customHeight="1">
      <c r="A4860" s="1">
        <v>5198.0</v>
      </c>
      <c r="B4860" s="3" t="s">
        <v>4651</v>
      </c>
      <c r="C4860" s="3" t="str">
        <f>IFERROR(__xludf.DUMMYFUNCTION("GOOGLETRANSLATE(B4860,""id"",""en"")"),"['signal', 'strong']")</f>
        <v>['signal', 'strong']</v>
      </c>
      <c r="D4860" s="3">
        <v>4.0</v>
      </c>
    </row>
    <row r="4861" ht="15.75" customHeight="1">
      <c r="A4861" s="1">
        <v>5199.0</v>
      </c>
      <c r="B4861" s="3" t="s">
        <v>4652</v>
      </c>
      <c r="C4861" s="3" t="str">
        <f>IFERROR(__xludf.DUMMYFUNCTION("GOOGLETRANSLATE(B4861,""id"",""en"")"),"['Ntar', 'Addin']")</f>
        <v>['Ntar', 'Addin']</v>
      </c>
      <c r="D4861" s="3">
        <v>3.0</v>
      </c>
    </row>
    <row r="4862" ht="15.75" customHeight="1">
      <c r="A4862" s="1">
        <v>5200.0</v>
      </c>
      <c r="B4862" s="3" t="s">
        <v>4653</v>
      </c>
      <c r="C4862" s="3" t="str">
        <f>IFERROR(__xludf.DUMMYFUNCTION("GOOGLETRANSLATE(B4862,""id"",""en"")"),"['Easy', 'use', 'Ribet']")</f>
        <v>['Easy', 'use', 'Ribet']</v>
      </c>
      <c r="D4862" s="3">
        <v>5.0</v>
      </c>
    </row>
    <row r="4863" ht="15.75" customHeight="1">
      <c r="A4863" s="1">
        <v>5201.0</v>
      </c>
      <c r="B4863" s="3" t="s">
        <v>4654</v>
      </c>
      <c r="C4863" s="3" t="str">
        <f>IFERROR(__xludf.DUMMYFUNCTION("GOOGLETRANSLATE(B4863,""id"",""en"")"),"['Price', 'community', ""]")</f>
        <v>['Price', 'community', "]</v>
      </c>
      <c r="D4863" s="3">
        <v>3.0</v>
      </c>
    </row>
    <row r="4864" ht="15.75" customHeight="1">
      <c r="A4864" s="1">
        <v>5202.0</v>
      </c>
      <c r="B4864" s="3" t="s">
        <v>4655</v>
      </c>
      <c r="C4864" s="3" t="str">
        <f>IFERROR(__xludf.DUMMYFUNCTION("GOOGLETRANSLATE(B4864,""id"",""en"")"),"['buy', 'Package', 'Telkom', 'Collect', 'buy', 'Package', 'continue', 'Sorry', 'Disruption', 'system', 'right', 'transaction', ' poor ',' times', 'price', 'official', 'service', 'Kek', 'Warung', 'warteg', ""]")</f>
        <v>['buy', 'Package', 'Telkom', 'Collect', 'buy', 'Package', 'continue', 'Sorry', 'Disruption', 'system', 'right', 'transaction', ' poor ',' times', 'price', 'official', 'service', 'Kek', 'Warung', 'warteg', "]</v>
      </c>
      <c r="D4864" s="3">
        <v>1.0</v>
      </c>
    </row>
    <row r="4865" ht="15.75" customHeight="1">
      <c r="A4865" s="1">
        <v>5203.0</v>
      </c>
      <c r="B4865" s="3" t="s">
        <v>4656</v>
      </c>
      <c r="C4865" s="3" t="str">
        <f>IFERROR(__xludf.DUMMYFUNCTION("GOOGLETRANSLATE(B4865,""id"",""en"")"),"['Service', 'Satisfied', 'Thank you', 'Developer', 'Info', 'Please', 'Price', 'Package', 'Expensive', 'Expensive', 'Alhamdulillah', 'Like', ' ']")</f>
        <v>['Service', 'Satisfied', 'Thank you', 'Developer', 'Info', 'Please', 'Price', 'Package', 'Expensive', 'Expensive', 'Alhamdulillah', 'Like', ' ']</v>
      </c>
      <c r="D4865" s="3">
        <v>5.0</v>
      </c>
    </row>
    <row r="4866" ht="15.75" customHeight="1">
      <c r="A4866" s="1">
        <v>5204.0</v>
      </c>
      <c r="B4866" s="3" t="s">
        <v>4657</v>
      </c>
      <c r="C4866" s="3" t="str">
        <f>IFERROR(__xludf.DUMMYFUNCTION("GOOGLETRANSLATE(B4866,""id"",""en"")"),"['Review', 'Delete', 'Tipu', 'That's',' Heheh ',' TTP ',' Love ',' Bintang ',' Undi ',' Points', 'Run', 'Region', ' Jabodetabek ',' Papua ',' Lottery ',' Love ',' Bintang ', ""]")</f>
        <v>['Review', 'Delete', 'Tipu', 'That's',' Heheh ',' TTP ',' Love ',' Bintang ',' Undi ',' Points', 'Run', 'Region', ' Jabodetabek ',' Papua ',' Lottery ',' Love ',' Bintang ', "]</v>
      </c>
      <c r="D4866" s="3">
        <v>1.0</v>
      </c>
    </row>
    <row r="4867" ht="15.75" customHeight="1">
      <c r="A4867" s="1">
        <v>5205.0</v>
      </c>
      <c r="B4867" s="3" t="s">
        <v>4658</v>
      </c>
      <c r="C4867" s="3" t="str">
        <f>IFERROR(__xludf.DUMMYFUNCTION("GOOGLETRANSLATE(B4867,""id"",""en"")"),"['Yesterday', 'buy', 'package', 'mulu', 'said', 'disorder', 'please', 'repaired', '']")</f>
        <v>['Yesterday', 'buy', 'package', 'mulu', 'said', 'disorder', 'please', 'repaired', '']</v>
      </c>
      <c r="D4867" s="3">
        <v>1.0</v>
      </c>
    </row>
    <row r="4868" ht="15.75" customHeight="1">
      <c r="A4868" s="1">
        <v>5206.0</v>
      </c>
      <c r="B4868" s="3" t="s">
        <v>4659</v>
      </c>
      <c r="C4868" s="3" t="str">
        <f>IFERROR(__xludf.DUMMYFUNCTION("GOOGLETRANSLATE(B4868,""id"",""en"")"),"['Severe', 'signal', 'play', 'game', 'lag', 'signal', 'red', 'move', 'operator', '']")</f>
        <v>['Severe', 'signal', 'play', 'game', 'lag', 'signal', 'red', 'move', 'operator', '']</v>
      </c>
      <c r="D4868" s="3">
        <v>1.0</v>
      </c>
    </row>
    <row r="4869" ht="15.75" customHeight="1">
      <c r="A4869" s="1">
        <v>5207.0</v>
      </c>
      <c r="B4869" s="3" t="s">
        <v>4660</v>
      </c>
      <c r="C4869" s="3" t="str">
        <f>IFERROR(__xludf.DUMMYFUNCTION("GOOGLETRANSLATE(B4869,""id"",""en"")"),"['Lemot', 'his jar']")</f>
        <v>['Lemot', 'his jar']</v>
      </c>
      <c r="D4869" s="3">
        <v>5.0</v>
      </c>
    </row>
    <row r="4870" ht="15.75" customHeight="1">
      <c r="A4870" s="1">
        <v>5208.0</v>
      </c>
      <c r="B4870" s="3" t="s">
        <v>4661</v>
      </c>
      <c r="C4870" s="3" t="str">
        <f>IFERROR(__xludf.DUMMYFUNCTION("GOOGLETRANSLATE(B4870,""id"",""en"")"),"['Buy', 'Package', 'Gigamax', 'Basic', 'Application', 'Telkomsel', 'Written', 'Lakh', 'Knpa', 'AKTIP', 'Malh', 'Please', ' Obtain ',' KNPA ',' Tetima ',' Love ',' ']")</f>
        <v>['Buy', 'Package', 'Gigamax', 'Basic', 'Application', 'Telkomsel', 'Written', 'Lakh', 'Knpa', 'AKTIP', 'Malh', 'Please', ' Obtain ',' KNPA ',' Tetima ',' Love ',' ']</v>
      </c>
      <c r="D4870" s="3">
        <v>1.0</v>
      </c>
    </row>
    <row r="4871" ht="15.75" customHeight="1">
      <c r="A4871" s="1">
        <v>5209.0</v>
      </c>
      <c r="B4871" s="3" t="s">
        <v>4662</v>
      </c>
      <c r="C4871" s="3" t="str">
        <f>IFERROR(__xludf.DUMMYFUNCTION("GOOGLETRANSLATE(B4871,""id"",""en"")"),"['Get', 'sms',' klu ',' fill in ',' pulse ',' mytelkomsel ',' bonus', 'pulse', 'rb', 'right', 'fill', 'payment', ' Blm ',' succeed ',' please ',' try ']")</f>
        <v>['Get', 'sms',' klu ',' fill in ',' pulse ',' mytelkomsel ',' bonus', 'pulse', 'rb', 'right', 'fill', 'payment', ' Blm ',' succeed ',' please ',' try ']</v>
      </c>
      <c r="D4871" s="3">
        <v>1.0</v>
      </c>
    </row>
    <row r="4872" ht="15.75" customHeight="1">
      <c r="A4872" s="1">
        <v>5210.0</v>
      </c>
      <c r="B4872" s="3" t="s">
        <v>4663</v>
      </c>
      <c r="C4872" s="3" t="str">
        <f>IFERROR(__xludf.DUMMYFUNCTION("GOOGLETRANSLATE(B4872,""id"",""en"")"),"['Love', 'Telkomsel', 'signal', 'ugly', 'slow', 'please', 'repaired', 'hrgnya', 'expensive', 'quality', 'ugly']")</f>
        <v>['Love', 'Telkomsel', 'signal', 'ugly', 'slow', 'please', 'repaired', 'hrgnya', 'expensive', 'quality', 'ugly']</v>
      </c>
      <c r="D4872" s="3">
        <v>3.0</v>
      </c>
    </row>
    <row r="4873" ht="15.75" customHeight="1">
      <c r="A4873" s="1">
        <v>5211.0</v>
      </c>
      <c r="B4873" s="3" t="s">
        <v>4664</v>
      </c>
      <c r="C4873" s="3" t="str">
        <f>IFERROR(__xludf.DUMMYFUNCTION("GOOGLETRANSLATE(B4873,""id"",""en"")"),"['Insha', 'Allah', 'Win', 'Honda', 'Brio']")</f>
        <v>['Insha', 'Allah', 'Win', 'Honda', 'Brio']</v>
      </c>
      <c r="D4873" s="3">
        <v>5.0</v>
      </c>
    </row>
    <row r="4874" ht="15.75" customHeight="1">
      <c r="A4874" s="1">
        <v>5212.0</v>
      </c>
      <c r="B4874" s="3" t="s">
        <v>4665</v>
      </c>
      <c r="C4874" s="3" t="str">
        <f>IFERROR(__xludf.DUMMYFUNCTION("GOOGLETRANSLATE(B4874,""id"",""en"")"),"['thank you sister', '']")</f>
        <v>['thank you sister', '']</v>
      </c>
      <c r="D4874" s="3">
        <v>5.0</v>
      </c>
    </row>
    <row r="4875" ht="15.75" customHeight="1">
      <c r="A4875" s="1">
        <v>5213.0</v>
      </c>
      <c r="B4875" s="3" t="s">
        <v>4666</v>
      </c>
      <c r="C4875" s="3" t="str">
        <f>IFERROR(__xludf.DUMMYFUNCTION("GOOGLETRANSLATE(B4875,""id"",""en"")"),"['Telkomsel', 'bngt', 'network', 'use', 'convenient', 'delete', 'card', 'price', 'expensive', 'convenience', 'user', 'think']")</f>
        <v>['Telkomsel', 'bngt', 'network', 'use', 'convenient', 'delete', 'card', 'price', 'expensive', 'convenience', 'user', 'think']</v>
      </c>
      <c r="D4875" s="3">
        <v>1.0</v>
      </c>
    </row>
    <row r="4876" ht="15.75" customHeight="1">
      <c r="A4876" s="1">
        <v>5214.0</v>
      </c>
      <c r="B4876" s="3" t="s">
        <v>4667</v>
      </c>
      <c r="C4876" s="3" t="str">
        <f>IFERROR(__xludf.DUMMYFUNCTION("GOOGLETRANSLATE(B4876,""id"",""en"")"),"['Package', 'Stay', 'Indo', 'Package', 'Call', 'Negeri']")</f>
        <v>['Package', 'Stay', 'Indo', 'Package', 'Call', 'Negeri']</v>
      </c>
      <c r="D4876" s="3">
        <v>1.0</v>
      </c>
    </row>
    <row r="4877" ht="15.75" customHeight="1">
      <c r="A4877" s="1">
        <v>5215.0</v>
      </c>
      <c r="B4877" s="3" t="s">
        <v>4668</v>
      </c>
      <c r="C4877" s="3" t="str">
        <f>IFERROR(__xludf.DUMMYFUNCTION("GOOGLETRANSLATE(B4877,""id"",""en"")"),"['level', 'signal', 'internet', 'signal', 'internet', 'slow', 'really', 'slow', 'ugly', 'really', ""]")</f>
        <v>['level', 'signal', 'internet', 'signal', 'internet', 'slow', 'really', 'slow', 'ugly', 'really', "]</v>
      </c>
      <c r="D4877" s="3">
        <v>3.0</v>
      </c>
    </row>
    <row r="4878" ht="15.75" customHeight="1">
      <c r="A4878" s="1">
        <v>5216.0</v>
      </c>
      <c r="B4878" s="3" t="s">
        <v>4669</v>
      </c>
      <c r="C4878" s="3" t="str">
        <f>IFERROR(__xludf.DUMMYFUNCTION("GOOGLETRANSLATE(B4878,""id"",""en"")"),"['Personal', 'APK', 'good', 'log', 'bother', 'aka', 'complicated', 'bin', 'difficult', 'just', 'sip', 'deh', ' APK ',' Good ',' Lucky ',' Telkomsel ']")</f>
        <v>['Personal', 'APK', 'good', 'log', 'bother', 'aka', 'complicated', 'bin', 'difficult', 'just', 'sip', 'deh', ' APK ',' Good ',' Lucky ',' Telkomsel ']</v>
      </c>
      <c r="D4878" s="3">
        <v>5.0</v>
      </c>
    </row>
    <row r="4879" ht="15.75" customHeight="1">
      <c r="A4879" s="1">
        <v>5218.0</v>
      </c>
      <c r="B4879" s="3" t="s">
        <v>4670</v>
      </c>
      <c r="C4879" s="3" t="str">
        <f>IFERROR(__xludf.DUMMYFUNCTION("GOOGLETRANSLATE(B4879,""id"",""en"")"),"['The network', 'bother', 'person', 'txs']")</f>
        <v>['The network', 'bother', 'person', 'txs']</v>
      </c>
      <c r="D4879" s="3">
        <v>5.0</v>
      </c>
    </row>
    <row r="4880" ht="15.75" customHeight="1">
      <c r="A4880" s="1">
        <v>5219.0</v>
      </c>
      <c r="B4880" s="3" t="s">
        <v>4671</v>
      </c>
      <c r="C4880" s="3" t="str">
        <f>IFERROR(__xludf.DUMMYFUNCTION("GOOGLETRANSLATE(B4880,""id"",""en"")"),"['signal', 'poor', 'bad']")</f>
        <v>['signal', 'poor', 'bad']</v>
      </c>
      <c r="D4880" s="3">
        <v>1.0</v>
      </c>
    </row>
    <row r="4881" ht="15.75" customHeight="1">
      <c r="A4881" s="1">
        <v>5220.0</v>
      </c>
      <c r="B4881" s="3" t="s">
        <v>4672</v>
      </c>
      <c r="C4881" s="3" t="str">
        <f>IFERROR(__xludf.DUMMYFUNCTION("GOOGLETRANSLATE(B4881,""id"",""en"")"),"['Forced', 'Stop', 'Telkomsel', 'Krna', 'Pandemic', 'Save', 'Thank you', 'Telkomsel', 'Lower', 'Network']")</f>
        <v>['Forced', 'Stop', 'Telkomsel', 'Krna', 'Pandemic', 'Save', 'Thank you', 'Telkomsel', 'Lower', 'Network']</v>
      </c>
      <c r="D4881" s="3">
        <v>1.0</v>
      </c>
    </row>
    <row r="4882" ht="15.75" customHeight="1">
      <c r="A4882" s="1">
        <v>5221.0</v>
      </c>
      <c r="B4882" s="3" t="s">
        <v>4673</v>
      </c>
      <c r="C4882" s="3" t="str">
        <f>IFERROR(__xludf.DUMMYFUNCTION("GOOGLETRANSLATE(B4882,""id"",""en"")"),"['Please', 'operator', 'Telkomsel', 'send', 'sms',' gosting ',' taik ',' subscription ',' sms', 'kyak', 'gituan', 'contents',' Credit ',' send ',' SMS ',' GOSTING ',' Credit ',' Different ',' Send ',' SMS ',' Her mother ',' Malak ',' Customer ',' Attach '"&amp;",' SMS ' , 'Taik', 'Klian', 'Send', 'Anneth', 'Confused', 'Ghosting', 'Zara', 'Together', 'Watch', 'You', 'Tsel', 'Kaudandia', ' Valid ',' Rates', 'Internet', 'Info', 'Unreg', '']")</f>
        <v>['Please', 'operator', 'Telkomsel', 'send', 'sms',' gosting ',' taik ',' subscription ',' sms', 'kyak', 'gituan', 'contents',' Credit ',' send ',' SMS ',' GOSTING ',' Credit ',' Different ',' Send ',' SMS ',' Her mother ',' Malak ',' Customer ',' Attach ',' SMS ' , 'Taik', 'Klian', 'Send', 'Anneth', 'Confused', 'Ghosting', 'Zara', 'Together', 'Watch', 'You', 'Tsel', 'Kaudandia', ' Valid ',' Rates', 'Internet', 'Info', 'Unreg', '']</v>
      </c>
      <c r="D4882" s="3">
        <v>1.0</v>
      </c>
    </row>
    <row r="4883" ht="15.75" customHeight="1">
      <c r="A4883" s="1">
        <v>5222.0</v>
      </c>
      <c r="B4883" s="3" t="s">
        <v>4674</v>
      </c>
      <c r="C4883" s="3" t="str">
        <f>IFERROR(__xludf.DUMMYFUNCTION("GOOGLETRANSLATE(B4883,""id"",""en"")"),"['skrg', 'Telkomsel', 'slow', 'really', 'lose', 'ama', 'next door']")</f>
        <v>['skrg', 'Telkomsel', 'slow', 'really', 'lose', 'ama', 'next door']</v>
      </c>
      <c r="D4883" s="3">
        <v>1.0</v>
      </c>
    </row>
    <row r="4884" ht="15.75" customHeight="1">
      <c r="A4884" s="1">
        <v>5223.0</v>
      </c>
      <c r="B4884" s="3" t="s">
        <v>4675</v>
      </c>
      <c r="C4884" s="3" t="str">
        <f>IFERROR(__xludf.DUMMYFUNCTION("GOOGLETRANSLATE(B4884,""id"",""en"")"),"['Application', 'Bug', 'Daily', 'Chekin', 'Bener', 'Mesan', 'Package', 'Troubled', '']")</f>
        <v>['Application', 'Bug', 'Daily', 'Chekin', 'Bener', 'Mesan', 'Package', 'Troubled', '']</v>
      </c>
      <c r="D4884" s="3">
        <v>1.0</v>
      </c>
    </row>
    <row r="4885" ht="15.75" customHeight="1">
      <c r="A4885" s="1">
        <v>5225.0</v>
      </c>
      <c r="B4885" s="3" t="s">
        <v>4676</v>
      </c>
      <c r="C4885" s="3" t="str">
        <f>IFERROR(__xludf.DUMMYFUNCTION("GOOGLETRANSLATE(B4885,""id"",""en"")"),"['use', 'easy', 'convenience', 'transaction']")</f>
        <v>['use', 'easy', 'convenience', 'transaction']</v>
      </c>
      <c r="D4885" s="3">
        <v>5.0</v>
      </c>
    </row>
    <row r="4886" ht="15.75" customHeight="1">
      <c r="A4886" s="1">
        <v>5226.0</v>
      </c>
      <c r="B4886" s="3" t="s">
        <v>4677</v>
      </c>
      <c r="C4886" s="3" t="str">
        <f>IFERROR(__xludf.DUMMYFUNCTION("GOOGLETRANSLATE(B4886,""id"",""en"")"),"['Telkomsel', 'slow', '']")</f>
        <v>['Telkomsel', 'slow', '']</v>
      </c>
      <c r="D4886" s="3">
        <v>3.0</v>
      </c>
    </row>
    <row r="4887" ht="15.75" customHeight="1">
      <c r="A4887" s="1">
        <v>5228.0</v>
      </c>
      <c r="B4887" s="3" t="s">
        <v>4678</v>
      </c>
      <c r="C4887" s="3" t="str">
        <f>IFERROR(__xludf.DUMMYFUNCTION("GOOGLETRANSLATE(B4887,""id"",""en"")"),"['please', 'Telkomsel', 'active', 'extend', 'maximum', 'active', 'card', 'active', ""]")</f>
        <v>['please', 'Telkomsel', 'active', 'extend', 'maximum', 'active', 'card', 'active', "]</v>
      </c>
      <c r="D4887" s="3">
        <v>4.0</v>
      </c>
    </row>
    <row r="4888" ht="15.75" customHeight="1">
      <c r="A4888" s="1">
        <v>5229.0</v>
      </c>
      <c r="B4888" s="3" t="s">
        <v>4679</v>
      </c>
      <c r="C4888" s="3" t="str">
        <f>IFERROR(__xludf.DUMMYFUNCTION("GOOGLETRANSLATE(B4888,""id"",""en"")"),"['aspect', 'price', 'decent', 'cheap', 'decent', 'economical', 'game', 'brief', 'chat', 'googling', 'kdang', 'like', ' disruption ',' easy ',' Telkomsel ',' experience ',' disorder ',' customer ',' satisfied ']")</f>
        <v>['aspect', 'price', 'decent', 'cheap', 'decent', 'economical', 'game', 'brief', 'chat', 'googling', 'kdang', 'like', ' disruption ',' easy ',' Telkomsel ',' experience ',' disorder ',' customer ',' satisfied ']</v>
      </c>
      <c r="D4888" s="3">
        <v>4.0</v>
      </c>
    </row>
    <row r="4889" ht="15.75" customHeight="1">
      <c r="A4889" s="1">
        <v>5231.0</v>
      </c>
      <c r="B4889" s="3" t="s">
        <v>4680</v>
      </c>
      <c r="C4889" s="3" t="str">
        <f>IFERROR(__xludf.DUMMYFUNCTION("GOOGLETRANSLATE(B4889,""id"",""en"")"),"['mantaphhh', 'APK', 'easy', 'check', 'pulse', 'buy', 'package', 'data']")</f>
        <v>['mantaphhh', 'APK', 'easy', 'check', 'pulse', 'buy', 'package', 'data']</v>
      </c>
      <c r="D4889" s="3">
        <v>5.0</v>
      </c>
    </row>
    <row r="4890" ht="15.75" customHeight="1">
      <c r="A4890" s="1">
        <v>5232.0</v>
      </c>
      <c r="B4890" s="3" t="s">
        <v>4681</v>
      </c>
      <c r="C4890" s="3" t="str">
        <f>IFERROR(__xludf.DUMMYFUNCTION("GOOGLETRANSLATE(B4890,""id"",""en"")"),"['Assalamualaikum', 'rank', 'Telkomsel', 'Please', 'Monitor', 'Kemababali', 'Network', 'Sunday', 'Date', 'October', 'Network', 'Internet', ' "", 'customers', 'Telkomsel', 'Please', 'improvements', 'network', 'exact', 'area', 'around', 'Darul', 'Makmur', '"&amp;"Nagan', 'Raya' , 'Area', 'Settlement', 'Ujong', 'Tanjong']")</f>
        <v>['Assalamualaikum', 'rank', 'Telkomsel', 'Please', 'Monitor', 'Kemababali', 'Network', 'Sunday', 'Date', 'October', 'Network', 'Internet', ' ", 'customers', 'Telkomsel', 'Please', 'improvements', 'network', 'exact', 'area', 'around', 'Darul', 'Makmur', 'Nagan', 'Raya' , 'Area', 'Settlement', 'Ujong', 'Tanjong']</v>
      </c>
      <c r="D4890" s="3">
        <v>2.0</v>
      </c>
    </row>
    <row r="4891" ht="15.75" customHeight="1">
      <c r="A4891" s="1">
        <v>5233.0</v>
      </c>
      <c r="B4891" s="3" t="s">
        <v>4682</v>
      </c>
      <c r="C4891" s="3" t="str">
        <f>IFERROR(__xludf.DUMMYFUNCTION("GOOGLETRANSLATE(B4891,""id"",""en"")"),"['network', 'smooth', 'news',' miss', 'update', 'communication', 'family', 'friend', 'friend', 'organization', 'smooth', 'launch', ' Facilitates', 'Affairs',' ']")</f>
        <v>['network', 'smooth', 'news',' miss', 'update', 'communication', 'family', 'friend', 'friend', 'organization', 'smooth', 'launch', ' Facilitates', 'Affairs',' ']</v>
      </c>
      <c r="D4891" s="3">
        <v>4.0</v>
      </c>
    </row>
    <row r="4892" ht="15.75" customHeight="1">
      <c r="A4892" s="1">
        <v>5234.0</v>
      </c>
      <c r="B4892" s="3" t="s">
        <v>4683</v>
      </c>
      <c r="C4892" s="3" t="str">
        <f>IFERROR(__xludf.DUMMYFUNCTION("GOOGLETRANSLATE(B4892,""id"",""en"")"),"['Bug', 'check', 'already', 'check', 'count', 'strange', 'application', '']")</f>
        <v>['Bug', 'check', 'already', 'check', 'count', 'strange', 'application', '']</v>
      </c>
      <c r="D4892" s="3">
        <v>1.0</v>
      </c>
    </row>
    <row r="4893" ht="15.75" customHeight="1">
      <c r="A4893" s="1">
        <v>5235.0</v>
      </c>
      <c r="B4893" s="3" t="s">
        <v>4684</v>
      </c>
      <c r="C4893" s="3" t="str">
        <f>IFERROR(__xludf.DUMMYFUNCTION("GOOGLETRANSLATE(B4893,""id"",""en"")"),"['Please', 'Credit', 'Rb', 'Peace', '']")</f>
        <v>['Please', 'Credit', 'Rb', 'Peace', '']</v>
      </c>
      <c r="D4893" s="3">
        <v>5.0</v>
      </c>
    </row>
    <row r="4894" ht="15.75" customHeight="1">
      <c r="A4894" s="1">
        <v>5236.0</v>
      </c>
      <c r="B4894" s="3" t="s">
        <v>4685</v>
      </c>
      <c r="C4894" s="3" t="str">
        <f>IFERROR(__xludf.DUMMYFUNCTION("GOOGLETRANSLATE(B4894,""id"",""en"")"),"['quota', 'main', 'GB', 'watch', 'online', 'via', 'Notif', 'quota', 'run out', 'severe', '']")</f>
        <v>['quota', 'main', 'GB', 'watch', 'online', 'via', 'Notif', 'quota', 'run out', 'severe', '']</v>
      </c>
      <c r="D4894" s="3">
        <v>1.0</v>
      </c>
    </row>
    <row r="4895" ht="15.75" customHeight="1">
      <c r="A4895" s="1">
        <v>5237.0</v>
      </c>
      <c r="B4895" s="3" t="s">
        <v>4686</v>
      </c>
      <c r="C4895" s="3" t="str">
        <f>IFERROR(__xludf.DUMMYFUNCTION("GOOGLETRANSLATE(B4895,""id"",""en"")"),"['Pay', 'expensive', 'expensive', 'night', 'signal', 'ilang', 'mulu', 'funds',' bansos', 'Darken', 'signal', 'Kim', ' Klah ',' ']")</f>
        <v>['Pay', 'expensive', 'expensive', 'night', 'signal', 'ilang', 'mulu', 'funds',' bansos', 'Darken', 'signal', 'Kim', ' Klah ',' ']</v>
      </c>
      <c r="D4895" s="3">
        <v>1.0</v>
      </c>
    </row>
    <row r="4896" ht="15.75" customHeight="1">
      <c r="A4896" s="1">
        <v>5238.0</v>
      </c>
      <c r="B4896" s="3" t="s">
        <v>4687</v>
      </c>
      <c r="C4896" s="3" t="str">
        <f>IFERROR(__xludf.DUMMYFUNCTION("GOOGLETRANSLATE(B4896,""id"",""en"")"),"['ugly', 'service']")</f>
        <v>['ugly', 'service']</v>
      </c>
      <c r="D4896" s="3">
        <v>1.0</v>
      </c>
    </row>
    <row r="4897" ht="15.75" customHeight="1">
      <c r="A4897" s="1">
        <v>5239.0</v>
      </c>
      <c r="B4897" s="3" t="s">
        <v>4688</v>
      </c>
      <c r="C4897" s="3" t="str">
        <f>IFERROR(__xludf.DUMMYFUNCTION("GOOGLETRANSLATE(B4897,""id"",""en"")"),"['', 'interesting', 'the program']")</f>
        <v>['', 'interesting', 'the program']</v>
      </c>
      <c r="D4897" s="3">
        <v>4.0</v>
      </c>
    </row>
    <row r="4898" ht="15.75" customHeight="1">
      <c r="A4898" s="1">
        <v>5240.0</v>
      </c>
      <c r="B4898" s="3" t="s">
        <v>4689</v>
      </c>
      <c r="C4898" s="3" t="str">
        <f>IFERROR(__xludf.DUMMYFUNCTION("GOOGLETRANSLATE(B4898,""id"",""en"")"),"['Telkomsel', 'Slow', 'Severe', 'Try', 'Repaired', 'Network', 'Change', 'Tool', 'Good', 'BTS', 'Transmitter', 'Cheap' Try ',' Listen to ',' Tuch ',' complaints', 'Consumen']")</f>
        <v>['Telkomsel', 'Slow', 'Severe', 'Try', 'Repaired', 'Network', 'Change', 'Tool', 'Good', 'BTS', 'Transmitter', 'Cheap' Try ',' Listen to ',' Tuch ',' complaints', 'Consumen']</v>
      </c>
      <c r="D4898" s="3">
        <v>1.0</v>
      </c>
    </row>
    <row r="4899" ht="15.75" customHeight="1">
      <c r="A4899" s="1">
        <v>5241.0</v>
      </c>
      <c r="B4899" s="3" t="s">
        <v>4690</v>
      </c>
      <c r="C4899" s="3" t="str">
        <f>IFERROR(__xludf.DUMMYFUNCTION("GOOGLETRANSLATE(B4899,""id"",""en"")"),"['Network', 'really', 'cuuyy']")</f>
        <v>['Network', 'really', 'cuuyy']</v>
      </c>
      <c r="D4899" s="3">
        <v>5.0</v>
      </c>
    </row>
    <row r="4900" ht="15.75" customHeight="1">
      <c r="A4900" s="1">
        <v>5244.0</v>
      </c>
      <c r="B4900" s="3" t="s">
        <v>4691</v>
      </c>
      <c r="C4900" s="3" t="str">
        <f>IFERROR(__xludf.DUMMYFUNCTION("GOOGLETRANSLATE(B4900,""id"",""en"")"),"['Quality', 'Network', 'Internet', 'ugly']")</f>
        <v>['Quality', 'Network', 'Internet', 'ugly']</v>
      </c>
      <c r="D4900" s="3">
        <v>1.0</v>
      </c>
    </row>
    <row r="4901" ht="15.75" customHeight="1">
      <c r="A4901" s="1">
        <v>5247.0</v>
      </c>
      <c r="B4901" s="3" t="s">
        <v>4692</v>
      </c>
      <c r="C4901" s="3" t="str">
        <f>IFERROR(__xludf.DUMMYFUNCTION("GOOGLETRANSLATE(B4901,""id"",""en"")"),"['Sorry', 'make', 'card', 'play', 'game', 'dead', 'on', 'data']")</f>
        <v>['Sorry', 'make', 'card', 'play', 'game', 'dead', 'on', 'data']</v>
      </c>
      <c r="D4901" s="3">
        <v>5.0</v>
      </c>
    </row>
    <row r="4902" ht="15.75" customHeight="1">
      <c r="A4902" s="1">
        <v>5248.0</v>
      </c>
      <c r="B4902" s="3" t="s">
        <v>4693</v>
      </c>
      <c r="C4902" s="3" t="str">
        <f>IFERROR(__xludf.DUMMYFUNCTION("GOOGLETRANSLATE(B4902,""id"",""en"")"),"['Not bad', 'good', 'the application']")</f>
        <v>['Not bad', 'good', 'the application']</v>
      </c>
      <c r="D4902" s="3">
        <v>3.0</v>
      </c>
    </row>
    <row r="4903" ht="15.75" customHeight="1">
      <c r="A4903" s="1">
        <v>5249.0</v>
      </c>
      <c r="B4903" s="3" t="s">
        <v>4694</v>
      </c>
      <c r="C4903" s="3" t="str">
        <f>IFERROR(__xludf.DUMMYFUNCTION("GOOGLETRANSLATE(B4903,""id"",""en"")"),"['promo', 'bought', 'disappointed', 'price', 'expensive', '']")</f>
        <v>['promo', 'bought', 'disappointed', 'price', 'expensive', '']</v>
      </c>
      <c r="D4903" s="3">
        <v>5.0</v>
      </c>
    </row>
    <row r="4904" ht="15.75" customHeight="1">
      <c r="A4904" s="1">
        <v>5250.0</v>
      </c>
      <c r="B4904" s="3" t="s">
        <v>3025</v>
      </c>
      <c r="C4904" s="3" t="str">
        <f>IFERROR(__xludf.DUMMYFUNCTION("GOOGLETRANSLATE(B4904,""id"",""en"")"),"['experience']")</f>
        <v>['experience']</v>
      </c>
      <c r="D4904" s="3">
        <v>5.0</v>
      </c>
    </row>
    <row r="4905" ht="15.75" customHeight="1">
      <c r="A4905" s="1">
        <v>5251.0</v>
      </c>
      <c r="B4905" s="3" t="s">
        <v>4695</v>
      </c>
      <c r="C4905" s="3" t="str">
        <f>IFERROR(__xludf.DUMMYFUNCTION("GOOGLETRANSLATE(B4905,""id"",""en"")"),"['Help', 'Simple', 'Shop', 'Check', 'Balance']")</f>
        <v>['Help', 'Simple', 'Shop', 'Check', 'Balance']</v>
      </c>
      <c r="D4905" s="3">
        <v>5.0</v>
      </c>
    </row>
    <row r="4906" ht="15.75" customHeight="1">
      <c r="A4906" s="1">
        <v>5252.0</v>
      </c>
      <c r="B4906" s="3" t="s">
        <v>4696</v>
      </c>
      <c r="C4906" s="3" t="str">
        <f>IFERROR(__xludf.DUMMYFUNCTION("GOOGLETRANSLATE(B4906,""id"",""en"")"),"['Help', 'hope', 'in the future', 'greetings', 'air']")</f>
        <v>['Help', 'hope', 'in the future', 'greetings', 'air']</v>
      </c>
      <c r="D4906" s="3">
        <v>5.0</v>
      </c>
    </row>
    <row r="4907" ht="15.75" customHeight="1">
      <c r="A4907" s="1">
        <v>5253.0</v>
      </c>
      <c r="B4907" s="3" t="s">
        <v>4697</v>
      </c>
      <c r="C4907" s="3" t="str">
        <f>IFERROR(__xludf.DUMMYFUNCTION("GOOGLETRANSLATE(B4907,""id"",""en"")"),"['Good', 'application', 'SNGT', 'Help']")</f>
        <v>['Good', 'application', 'SNGT', 'Help']</v>
      </c>
      <c r="D4907" s="3">
        <v>5.0</v>
      </c>
    </row>
    <row r="4908" ht="15.75" customHeight="1">
      <c r="A4908" s="1">
        <v>5255.0</v>
      </c>
      <c r="B4908" s="3" t="s">
        <v>4698</v>
      </c>
      <c r="C4908" s="3" t="str">
        <f>IFERROR(__xludf.DUMMYFUNCTION("GOOGLETRANSLATE(B4908,""id"",""en"")"),"['signal', 'cmn', 'price', 'quota', 'mayan', 'expensive']")</f>
        <v>['signal', 'cmn', 'price', 'quota', 'mayan', 'expensive']</v>
      </c>
      <c r="D4908" s="3">
        <v>5.0</v>
      </c>
    </row>
    <row r="4909" ht="15.75" customHeight="1">
      <c r="A4909" s="1">
        <v>5256.0</v>
      </c>
      <c r="B4909" s="3" t="s">
        <v>4699</v>
      </c>
      <c r="C4909" s="3" t="str">
        <f>IFERROR(__xludf.DUMMYFUNCTION("GOOGLETRANSLATE(B4909,""id"",""en"")"),"['Paketan', 'expensive', 'network', 'slow', 'according to', 'price', 'package', 'type', 'its web']")</f>
        <v>['Paketan', 'expensive', 'network', 'slow', 'according to', 'price', 'package', 'type', 'its web']</v>
      </c>
      <c r="D4909" s="3">
        <v>1.0</v>
      </c>
    </row>
    <row r="4910" ht="15.75" customHeight="1">
      <c r="A4910" s="1">
        <v>5257.0</v>
      </c>
      <c r="B4910" s="3" t="s">
        <v>1569</v>
      </c>
      <c r="C4910" s="3" t="str">
        <f>IFERROR(__xludf.DUMMYFUNCTION("GOOGLETRANSLATE(B4910,""id"",""en"")"),"['APK', 'good', 'really']")</f>
        <v>['APK', 'good', 'really']</v>
      </c>
      <c r="D4910" s="3">
        <v>5.0</v>
      </c>
    </row>
    <row r="4911" ht="15.75" customHeight="1">
      <c r="A4911" s="1">
        <v>5258.0</v>
      </c>
      <c r="B4911" s="3" t="s">
        <v>4700</v>
      </c>
      <c r="C4911" s="3" t="str">
        <f>IFERROR(__xludf.DUMMYFUNCTION("GOOGLETRANSLATE(B4911,""id"",""en"")"),"['Steady', 'Download', 'speed']")</f>
        <v>['Steady', 'Download', 'speed']</v>
      </c>
      <c r="D4911" s="3">
        <v>5.0</v>
      </c>
    </row>
    <row r="4912" ht="15.75" customHeight="1">
      <c r="A4912" s="1">
        <v>5259.0</v>
      </c>
      <c r="B4912" s="3" t="s">
        <v>4701</v>
      </c>
      <c r="C4912" s="3" t="str">
        <f>IFERROR(__xludf.DUMMYFUNCTION("GOOGLETRANSLATE(B4912,""id"",""en"")"),"['promo', 'decent', 'untk', 'pengiitan', 'expenditure', 'for', 'quota', 'internet', 'thank you', 'Telkomsel']")</f>
        <v>['promo', 'decent', 'untk', 'pengiitan', 'expenditure', 'for', 'quota', 'internet', 'thank you', 'Telkomsel']</v>
      </c>
      <c r="D4912" s="3">
        <v>5.0</v>
      </c>
    </row>
    <row r="4913" ht="15.75" customHeight="1">
      <c r="A4913" s="1">
        <v>5260.0</v>
      </c>
      <c r="B4913" s="3" t="s">
        <v>4702</v>
      </c>
      <c r="C4913" s="3" t="str">
        <f>IFERROR(__xludf.DUMMYFUNCTION("GOOGLETRANSLATE(B4913,""id"",""en"")"),"['Network', 'worst', 'Indonesia', 'quota', 'replace', 'card', 'kapok', 'use', 'Telkomsel', 'disorder', 'slow', 'slow', ' Mending ',' cave ',' Patahin ',' card ',' ']")</f>
        <v>['Network', 'worst', 'Indonesia', 'quota', 'replace', 'card', 'kapok', 'use', 'Telkomsel', 'disorder', 'slow', 'slow', ' Mending ',' cave ',' Patahin ',' card ',' ']</v>
      </c>
      <c r="D4913" s="3">
        <v>1.0</v>
      </c>
    </row>
    <row r="4914" ht="15.75" customHeight="1">
      <c r="A4914" s="1">
        <v>5261.0</v>
      </c>
      <c r="B4914" s="3" t="s">
        <v>4703</v>
      </c>
      <c r="C4914" s="3" t="str">
        <f>IFERROR(__xludf.DUMMYFUNCTION("GOOGLETRANSLATE(B4914,""id"",""en"")"),"['package', 'expensive', 'broken', 'quality', 'network', 'disappointed', 'quality', 'network', 'smooth', ""]")</f>
        <v>['package', 'expensive', 'broken', 'quality', 'network', 'disappointed', 'quality', 'network', 'smooth', "]</v>
      </c>
      <c r="D4914" s="3">
        <v>1.0</v>
      </c>
    </row>
    <row r="4915" ht="15.75" customHeight="1">
      <c r="A4915" s="1">
        <v>5262.0</v>
      </c>
      <c r="B4915" s="3" t="s">
        <v>4704</v>
      </c>
      <c r="C4915" s="3" t="str">
        <f>IFERROR(__xludf.DUMMYFUNCTION("GOOGLETRANSLATE(B4915,""id"",""en"")"),"['Help', 'check', 'quata', 'buy', 'package']")</f>
        <v>['Help', 'check', 'quata', 'buy', 'package']</v>
      </c>
      <c r="D4915" s="3">
        <v>4.0</v>
      </c>
    </row>
    <row r="4916" ht="15.75" customHeight="1">
      <c r="A4916" s="1">
        <v>5263.0</v>
      </c>
      <c r="B4916" s="3" t="s">
        <v>4705</v>
      </c>
      <c r="C4916" s="3" t="str">
        <f>IFERROR(__xludf.DUMMYFUNCTION("GOOGLETRANSLATE(B4916,""id"",""en"")"),"['Service', 'wise']")</f>
        <v>['Service', 'wise']</v>
      </c>
      <c r="D4916" s="3">
        <v>5.0</v>
      </c>
    </row>
    <row r="4917" ht="15.75" customHeight="1">
      <c r="A4917" s="1">
        <v>5264.0</v>
      </c>
      <c r="B4917" s="3" t="s">
        <v>4706</v>
      </c>
      <c r="C4917" s="3" t="str">
        <f>IFERROR(__xludf.DUMMYFUNCTION("GOOGLETRANSLATE(B4917,""id"",""en"")"),"['Price', 'Cheap']")</f>
        <v>['Price', 'Cheap']</v>
      </c>
      <c r="D4917" s="3">
        <v>3.0</v>
      </c>
    </row>
    <row r="4918" ht="15.75" customHeight="1">
      <c r="A4918" s="1">
        <v>5265.0</v>
      </c>
      <c r="B4918" s="3" t="s">
        <v>4707</v>
      </c>
      <c r="C4918" s="3" t="str">
        <f>IFERROR(__xludf.DUMMYFUNCTION("GOOGLETRANSLATE(B4918,""id"",""en"")"),"['Telkomsel', 'signal', 'slow', 'cave', 'buy', 'Package', 'Telkomsel', 'used', 'Please', 'repair']")</f>
        <v>['Telkomsel', 'signal', 'slow', 'cave', 'buy', 'Package', 'Telkomsel', 'used', 'Please', 'repair']</v>
      </c>
      <c r="D4918" s="3">
        <v>1.0</v>
      </c>
    </row>
    <row r="4919" ht="15.75" customHeight="1">
      <c r="A4919" s="1">
        <v>5266.0</v>
      </c>
      <c r="B4919" s="3" t="s">
        <v>4708</v>
      </c>
      <c r="C4919" s="3" t="str">
        <f>IFERROR(__xludf.DUMMYFUNCTION("GOOGLETRANSLATE(B4919,""id"",""en"")"),"['easy', 'hopefully', 'package', 'internet', 'cheap']")</f>
        <v>['easy', 'hopefully', 'package', 'internet', 'cheap']</v>
      </c>
      <c r="D4919" s="3">
        <v>5.0</v>
      </c>
    </row>
    <row r="4920" ht="15.75" customHeight="1">
      <c r="A4920" s="1">
        <v>5267.0</v>
      </c>
      <c r="B4920" s="3" t="s">
        <v>4709</v>
      </c>
      <c r="C4920" s="3" t="str">
        <f>IFERROR(__xludf.DUMMYFUNCTION("GOOGLETRANSLATE(B4920,""id"",""en"")"),"['wrong', 'network', 'smooth', 'Indonesia', 'smooth', 'horrified', 'bngt', 'fluently', 'wake', 'smooth', 'emotion']")</f>
        <v>['wrong', 'network', 'smooth', 'Indonesia', 'smooth', 'horrified', 'bngt', 'fluently', 'wake', 'smooth', 'emotion']</v>
      </c>
      <c r="D4920" s="3">
        <v>1.0</v>
      </c>
    </row>
    <row r="4921" ht="15.75" customHeight="1">
      <c r="A4921" s="1">
        <v>5268.0</v>
      </c>
      <c r="B4921" s="3" t="s">
        <v>4710</v>
      </c>
      <c r="C4921" s="3" t="str">
        <f>IFERROR(__xludf.DUMMYFUNCTION("GOOGLETRANSLATE(B4921,""id"",""en"")"),"['Jara', 'fill', 'pusa']")</f>
        <v>['Jara', 'fill', 'pusa']</v>
      </c>
      <c r="D4921" s="3">
        <v>5.0</v>
      </c>
    </row>
    <row r="4922" ht="15.75" customHeight="1">
      <c r="A4922" s="1">
        <v>5269.0</v>
      </c>
      <c r="B4922" s="3" t="s">
        <v>4711</v>
      </c>
      <c r="C4922" s="3" t="str">
        <f>IFERROR(__xludf.DUMMYFUNCTION("GOOGLETRANSLATE(B4922,""id"",""en"")"),"['quota', 'Multimedia', 'It's better', 'enter', 'quota', 'main', 'quota', 'multi', 'media', 'slow', 'really', 'kouta', ' Multi ',' Media ',' Chat ',' Games', 'Music', 'Sosmed', 'Lemot', ""]")</f>
        <v>['quota', 'Multimedia', 'It's better', 'enter', 'quota', 'main', 'quota', 'multi', 'media', 'slow', 'really', 'kouta', ' Multi ',' Media ',' Chat ',' Games', 'Music', 'Sosmed', 'Lemot', "]</v>
      </c>
      <c r="D4922" s="3">
        <v>1.0</v>
      </c>
    </row>
    <row r="4923" ht="15.75" customHeight="1">
      <c r="A4923" s="1">
        <v>5270.0</v>
      </c>
      <c r="B4923" s="3" t="s">
        <v>4712</v>
      </c>
      <c r="C4923" s="3" t="str">
        <f>IFERROR(__xludf.DUMMYFUNCTION("GOOGLETRANSLATE(B4923,""id"",""en"")"),"['', 'area', 'city', 'bangil', 'pasuruan', 'signal', 'good', 'homecoming', 'rmh', 'parents', 'near', 'field', 'air' ',' Iswahyudi ',' signal ',' good ', ""]")</f>
        <v>['', 'area', 'city', 'bangil', 'pasuruan', 'signal', 'good', 'homecoming', 'rmh', 'parents', 'near', 'field', 'air' ',' Iswahyudi ',' signal ',' good ', "]</v>
      </c>
      <c r="D4923" s="3">
        <v>4.0</v>
      </c>
    </row>
    <row r="4924" ht="15.75" customHeight="1">
      <c r="A4924" s="1">
        <v>5271.0</v>
      </c>
      <c r="B4924" s="3" t="s">
        <v>4713</v>
      </c>
      <c r="C4924" s="3" t="str">
        <f>IFERROR(__xludf.DUMMYFUNCTION("GOOGLETRANSLATE(B4924,""id"",""en"")"),"['Help', 'at the time', 'need', 'buy', 'pulse', 'package', 'data']")</f>
        <v>['Help', 'at the time', 'need', 'buy', 'pulse', 'package', 'data']</v>
      </c>
      <c r="D4924" s="3">
        <v>5.0</v>
      </c>
    </row>
    <row r="4925" ht="15.75" customHeight="1">
      <c r="A4925" s="1">
        <v>5272.0</v>
      </c>
      <c r="B4925" s="3" t="s">
        <v>4714</v>
      </c>
      <c r="C4925" s="3" t="str">
        <f>IFERROR(__xludf.DUMMYFUNCTION("GOOGLETRANSLATE(B4925,""id"",""en"")"),"['Thank you', 'service', 'Telkomsel']")</f>
        <v>['Thank you', 'service', 'Telkomsel']</v>
      </c>
      <c r="D4925" s="3">
        <v>4.0</v>
      </c>
    </row>
    <row r="4926" ht="15.75" customHeight="1">
      <c r="A4926" s="1">
        <v>5273.0</v>
      </c>
      <c r="B4926" s="3" t="s">
        <v>4715</v>
      </c>
      <c r="C4926" s="3" t="str">
        <f>IFERROR(__xludf.DUMMYFUNCTION("GOOGLETRANSLATE(B4926,""id"",""en"")"),"['Package', 'quota', 'expensive', 'expensive']")</f>
        <v>['Package', 'quota', 'expensive', 'expensive']</v>
      </c>
      <c r="D4926" s="3">
        <v>1.0</v>
      </c>
    </row>
    <row r="4927" ht="15.75" customHeight="1">
      <c r="A4927" s="1">
        <v>5274.0</v>
      </c>
      <c r="B4927" s="3" t="s">
        <v>4716</v>
      </c>
      <c r="C4927" s="3" t="str">
        <f>IFERROR(__xludf.DUMMYFUNCTION("GOOGLETRANSLATE(B4927,""id"",""en"")"),"['application', 'provider', 'pulp']")</f>
        <v>['application', 'provider', 'pulp']</v>
      </c>
      <c r="D4927" s="3">
        <v>1.0</v>
      </c>
    </row>
    <row r="4928" ht="15.75" customHeight="1">
      <c r="A4928" s="1">
        <v>5275.0</v>
      </c>
      <c r="B4928" s="3" t="s">
        <v>4717</v>
      </c>
      <c r="C4928" s="3" t="str">
        <f>IFERROR(__xludf.DUMMYFUNCTION("GOOGLETRANSLATE(B4928,""id"",""en"")"),"['Good', 'really', '']")</f>
        <v>['Good', 'really', '']</v>
      </c>
      <c r="D4928" s="3">
        <v>5.0</v>
      </c>
    </row>
    <row r="4929" ht="15.75" customHeight="1">
      <c r="A4929" s="1">
        <v>5276.0</v>
      </c>
      <c r="B4929" s="3" t="s">
        <v>4718</v>
      </c>
      <c r="C4929" s="3" t="str">
        <f>IFERROR(__xludf.DUMMYFUNCTION("GOOGLETRANSLATE(B4929,""id"",""en"")"),"['fast', 'practical', 'just', 'choose', '']")</f>
        <v>['fast', 'practical', 'just', 'choose', '']</v>
      </c>
      <c r="D4929" s="3">
        <v>5.0</v>
      </c>
    </row>
    <row r="4930" ht="15.75" customHeight="1">
      <c r="A4930" s="1">
        <v>5277.0</v>
      </c>
      <c r="B4930" s="3" t="s">
        <v>4719</v>
      </c>
      <c r="C4930" s="3" t="str">
        <f>IFERROR(__xludf.DUMMYFUNCTION("GOOGLETRANSLATE(B4930,""id"",""en"")"),"['Good', 'really', 'application', 'diamond', 'jugak', ""]")</f>
        <v>['Good', 'really', 'application', 'diamond', 'jugak', "]</v>
      </c>
      <c r="D4930" s="3">
        <v>5.0</v>
      </c>
    </row>
    <row r="4931" ht="15.75" customHeight="1">
      <c r="A4931" s="1">
        <v>5278.0</v>
      </c>
      <c r="B4931" s="3" t="s">
        <v>4720</v>
      </c>
      <c r="C4931" s="3" t="str">
        <f>IFERROR(__xludf.DUMMYFUNCTION("GOOGLETRANSLATE(B4931,""id"",""en"")"),"['Telkom', 'Get', 'Message', 'Telkomsel', 'Press', 'Save', 'Ngelag', 'Buy']")</f>
        <v>['Telkom', 'Get', 'Message', 'Telkomsel', 'Press', 'Save', 'Ngelag', 'Buy']</v>
      </c>
      <c r="D4931" s="3">
        <v>1.0</v>
      </c>
    </row>
    <row r="4932" ht="15.75" customHeight="1">
      <c r="A4932" s="1">
        <v>5279.0</v>
      </c>
      <c r="B4932" s="3" t="s">
        <v>157</v>
      </c>
      <c r="C4932" s="3" t="str">
        <f>IFERROR(__xludf.DUMMYFUNCTION("GOOGLETRANSLATE(B4932,""id"",""en"")"),"['Good', 'boss', '']")</f>
        <v>['Good', 'boss', '']</v>
      </c>
      <c r="D4932" s="3">
        <v>5.0</v>
      </c>
    </row>
    <row r="4933" ht="15.75" customHeight="1">
      <c r="A4933" s="1">
        <v>5280.0</v>
      </c>
      <c r="B4933" s="3" t="s">
        <v>4721</v>
      </c>
      <c r="C4933" s="3" t="str">
        <f>IFERROR(__xludf.DUMMYFUNCTION("GOOGLETRANSLATE(B4933,""id"",""en"")"),"['', 'Telkomsel', 'Bags']")</f>
        <v>['', 'Telkomsel', 'Bags']</v>
      </c>
      <c r="D4933" s="3">
        <v>5.0</v>
      </c>
    </row>
    <row r="4934" ht="15.75" customHeight="1">
      <c r="A4934" s="1">
        <v>5281.0</v>
      </c>
      <c r="B4934" s="3" t="s">
        <v>3529</v>
      </c>
      <c r="C4934" s="3" t="str">
        <f>IFERROR(__xludf.DUMMYFUNCTION("GOOGLETRANSLATE(B4934,""id"",""en"")"),"['easy', '']")</f>
        <v>['easy', '']</v>
      </c>
      <c r="D4934" s="3">
        <v>5.0</v>
      </c>
    </row>
    <row r="4935" ht="15.75" customHeight="1">
      <c r="A4935" s="1">
        <v>5282.0</v>
      </c>
      <c r="B4935" s="3" t="s">
        <v>4722</v>
      </c>
      <c r="C4935" s="3" t="str">
        <f>IFERROR(__xludf.DUMMYFUNCTION("GOOGLETRANSLATE(B4935,""id"",""en"")"),"['Credit', 'Sucked', 'Package', 'Data', 'Dead', 'Buy', 'Package', 'Purchase', 'Package', 'Credit', 'Reduced', 'Different', ' Price ',' Package ']")</f>
        <v>['Credit', 'Sucked', 'Package', 'Data', 'Dead', 'Buy', 'Package', 'Purchase', 'Package', 'Credit', 'Reduced', 'Different', ' Price ',' Package ']</v>
      </c>
      <c r="D4935" s="3">
        <v>1.0</v>
      </c>
    </row>
    <row r="4936" ht="15.75" customHeight="1">
      <c r="A4936" s="1">
        <v>5283.0</v>
      </c>
      <c r="B4936" s="3" t="s">
        <v>4723</v>
      </c>
      <c r="C4936" s="3" t="str">
        <f>IFERROR(__xludf.DUMMYFUNCTION("GOOGLETRANSLATE(B4936,""id"",""en"")"),"['Package', 'promo', 'consistent', 'detrimental', 'as',' customer ',' package ',' cheerful ',' active ',' dipake ',' as', 'customer', ' Harmed ', ""]")</f>
        <v>['Package', 'promo', 'consistent', 'detrimental', 'as',' customer ',' package ',' cheerful ',' active ',' dipake ',' as', 'customer', ' Harmed ', "]</v>
      </c>
      <c r="D4936" s="3">
        <v>3.0</v>
      </c>
    </row>
    <row r="4937" ht="15.75" customHeight="1">
      <c r="A4937" s="1">
        <v>5284.0</v>
      </c>
      <c r="B4937" s="3" t="s">
        <v>4724</v>
      </c>
      <c r="C4937" s="3" t="str">
        <f>IFERROR(__xludf.DUMMYFUNCTION("GOOGLETRANSLATE(B4937,""id"",""en"")"),"['Upgrade', 'Login', 'Mulu', 'Enter', 'Satisfied', '']")</f>
        <v>['Upgrade', 'Login', 'Mulu', 'Enter', 'Satisfied', '']</v>
      </c>
      <c r="D4937" s="3">
        <v>1.0</v>
      </c>
    </row>
    <row r="4938" ht="15.75" customHeight="1">
      <c r="A4938" s="1">
        <v>5285.0</v>
      </c>
      <c r="B4938" s="3" t="s">
        <v>4725</v>
      </c>
      <c r="C4938" s="3" t="str">
        <f>IFERROR(__xludf.DUMMYFUNCTION("GOOGLETRANSLATE(B4938,""id"",""en"")"),"['Application', 'Help', 'Thank', 'Love']")</f>
        <v>['Application', 'Help', 'Thank', 'Love']</v>
      </c>
      <c r="D4938" s="3">
        <v>5.0</v>
      </c>
    </row>
    <row r="4939" ht="15.75" customHeight="1">
      <c r="A4939" s="1">
        <v>5286.0</v>
      </c>
      <c r="B4939" s="3" t="s">
        <v>4185</v>
      </c>
      <c r="C4939" s="3" t="str">
        <f>IFERROR(__xludf.DUMMYFUNCTION("GOOGLETRANSLATE(B4939,""id"",""en"")"),"['Thank you', 'help']")</f>
        <v>['Thank you', 'help']</v>
      </c>
      <c r="D4939" s="3">
        <v>5.0</v>
      </c>
    </row>
    <row r="4940" ht="15.75" customHeight="1">
      <c r="A4940" s="1">
        <v>5287.0</v>
      </c>
      <c r="B4940" s="3" t="s">
        <v>4726</v>
      </c>
      <c r="C4940" s="3" t="str">
        <f>IFERROR(__xludf.DUMMYFUNCTION("GOOGLETRANSLATE(B4940,""id"",""en"")"),"['Min', 'suggestion', 'Addin', 'Features',' Key ',' Credit ',' Quota ',' Internet ',' Abis', 'Credit', 'Direct', 'Sumpot', ' ']")</f>
        <v>['Min', 'suggestion', 'Addin', 'Features',' Key ',' Credit ',' Quota ',' Internet ',' Abis', 'Credit', 'Direct', 'Sumpot', ' ']</v>
      </c>
      <c r="D4940" s="3">
        <v>1.0</v>
      </c>
    </row>
    <row r="4941" ht="15.75" customHeight="1">
      <c r="A4941" s="1">
        <v>5288.0</v>
      </c>
      <c r="B4941" s="3" t="s">
        <v>4727</v>
      </c>
      <c r="C4941" s="3" t="str">
        <f>IFERROR(__xludf.DUMMYFUNCTION("GOOGLETRANSLATE(B4941,""id"",""en"")"),"['Happy', 'really', 'easy', 'check', 'pulse', 'package']")</f>
        <v>['Happy', 'really', 'easy', 'check', 'pulse', 'package']</v>
      </c>
      <c r="D4941" s="3">
        <v>5.0</v>
      </c>
    </row>
    <row r="4942" ht="15.75" customHeight="1">
      <c r="A4942" s="1">
        <v>5289.0</v>
      </c>
      <c r="B4942" s="3" t="s">
        <v>4728</v>
      </c>
      <c r="C4942" s="3" t="str">
        <f>IFERROR(__xludf.DUMMYFUNCTION("GOOGLETRANSLATE(B4942,""id"",""en"")"),"['Hello', 'Sis',' Telkomsel ',' like ',' Sure ',' Cave ',' I ',' Fill ',' Credit ',' Cut ',' I ',' owes', ' Whatever ',' contents', 'pulses',' eat ',' Telkomsel ',' continuous', ""]")</f>
        <v>['Hello', 'Sis',' Telkomsel ',' like ',' Sure ',' Cave ',' I ',' Fill ',' Credit ',' Cut ',' I ',' owes', ' Whatever ',' contents', 'pulses',' eat ',' Telkomsel ',' continuous', "]</v>
      </c>
      <c r="D4942" s="3">
        <v>5.0</v>
      </c>
    </row>
    <row r="4943" ht="15.75" customHeight="1">
      <c r="A4943" s="1">
        <v>5290.0</v>
      </c>
      <c r="B4943" s="3" t="s">
        <v>4729</v>
      </c>
      <c r="C4943" s="3" t="str">
        <f>IFERROR(__xludf.DUMMYFUNCTION("GOOGLETRANSLATE(B4943,""id"",""en"")"),"['quota', 'unlimited', 'used', 'slow', 'bls', 'chat', 'slow', 'sent']")</f>
        <v>['quota', 'unlimited', 'used', 'slow', 'bls', 'chat', 'slow', 'sent']</v>
      </c>
      <c r="D4943" s="3">
        <v>1.0</v>
      </c>
    </row>
    <row r="4944" ht="15.75" customHeight="1">
      <c r="A4944" s="1">
        <v>5291.0</v>
      </c>
      <c r="B4944" s="3" t="s">
        <v>4730</v>
      </c>
      <c r="C4944" s="3" t="str">
        <f>IFERROR(__xludf.DUMMYFUNCTION("GOOGLETRANSLATE(B4944,""id"",""en"")"),"['Lally', 'promo', 'quota', 'cheap']")</f>
        <v>['Lally', 'promo', 'quota', 'cheap']</v>
      </c>
      <c r="D4944" s="3">
        <v>3.0</v>
      </c>
    </row>
    <row r="4945" ht="15.75" customHeight="1">
      <c r="A4945" s="1">
        <v>5292.0</v>
      </c>
      <c r="B4945" s="3" t="s">
        <v>4731</v>
      </c>
      <c r="C4945" s="3" t="str">
        <f>IFERROR(__xludf.DUMMYFUNCTION("GOOGLETRANSLATE(B4945,""id"",""en"")"),"['Good', 'The application']")</f>
        <v>['Good', 'The application']</v>
      </c>
      <c r="D4945" s="3">
        <v>5.0</v>
      </c>
    </row>
    <row r="4946" ht="15.75" customHeight="1">
      <c r="A4946" s="1">
        <v>5294.0</v>
      </c>
      <c r="B4946" s="3" t="s">
        <v>4732</v>
      </c>
      <c r="C4946" s="3" t="str">
        <f>IFERROR(__xludf.DUMMYFUNCTION("GOOGLETRANSLATE(B4946,""id"",""en"")"),"['times', 'already', 'take', 'bonus', '']")</f>
        <v>['times', 'already', 'take', 'bonus', '']</v>
      </c>
      <c r="D4946" s="3">
        <v>1.0</v>
      </c>
    </row>
    <row r="4947" ht="15.75" customHeight="1">
      <c r="A4947" s="1">
        <v>5295.0</v>
      </c>
      <c r="B4947" s="3" t="s">
        <v>4733</v>
      </c>
      <c r="C4947" s="3" t="str">
        <f>IFERROR(__xludf.DUMMYFUNCTION("GOOGLETRANSLATE(B4947,""id"",""en"")"),"['easy', 'network', 'steady', 'Give', 'Away', 'Telkomsel', '']")</f>
        <v>['easy', 'network', 'steady', 'Give', 'Away', 'Telkomsel', '']</v>
      </c>
      <c r="D4947" s="3">
        <v>5.0</v>
      </c>
    </row>
    <row r="4948" ht="15.75" customHeight="1">
      <c r="A4948" s="1">
        <v>5296.0</v>
      </c>
      <c r="B4948" s="3" t="s">
        <v>4734</v>
      </c>
      <c r="C4948" s="3" t="str">
        <f>IFERROR(__xludf.DUMMYFUNCTION("GOOGLETRANSLATE(B4948,""id"",""en"")"),"['Terimksh', 'Telkomsel', 'Help', 'at the time', 'need', '']")</f>
        <v>['Terimksh', 'Telkomsel', 'Help', 'at the time', 'need', '']</v>
      </c>
      <c r="D4948" s="3">
        <v>3.0</v>
      </c>
    </row>
    <row r="4949" ht="15.75" customHeight="1">
      <c r="A4949" s="1">
        <v>5297.0</v>
      </c>
      <c r="B4949" s="3" t="s">
        <v>4735</v>
      </c>
      <c r="C4949" s="3" t="str">
        <f>IFERROR(__xludf.DUMMYFUNCTION("GOOGLETRANSLATE(B4949,""id"",""en"")"),"['Disappointed', 'Pay', 'Shopee', 'Pay', 'Skeg', 'Udh', '']")</f>
        <v>['Disappointed', 'Pay', 'Shopee', 'Pay', 'Skeg', 'Udh', '']</v>
      </c>
      <c r="D4949" s="3">
        <v>2.0</v>
      </c>
    </row>
    <row r="4950" ht="15.75" customHeight="1">
      <c r="A4950" s="1">
        <v>5299.0</v>
      </c>
      <c r="B4950" s="3" t="s">
        <v>4736</v>
      </c>
      <c r="C4950" s="3" t="str">
        <f>IFERROR(__xludf.DUMMYFUNCTION("GOOGLETRANSLATE(B4950,""id"",""en"")"),"['Service', 'Sometimes', 'Likes', 'Error', 'Tabulik']")</f>
        <v>['Service', 'Sometimes', 'Likes', 'Error', 'Tabulik']</v>
      </c>
      <c r="D4950" s="3">
        <v>3.0</v>
      </c>
    </row>
    <row r="4951" ht="15.75" customHeight="1">
      <c r="A4951" s="1">
        <v>5300.0</v>
      </c>
      <c r="B4951" s="3" t="s">
        <v>4737</v>
      </c>
      <c r="C4951" s="3" t="str">
        <f>IFERROR(__xludf.DUMMYFUNCTION("GOOGLETRANSLATE(B4951,""id"",""en"")"),"['lag', 'play', 'game', 'online']")</f>
        <v>['lag', 'play', 'game', 'online']</v>
      </c>
      <c r="D4951" s="3">
        <v>3.0</v>
      </c>
    </row>
    <row r="4952" ht="15.75" customHeight="1">
      <c r="A4952" s="1">
        <v>5301.0</v>
      </c>
      <c r="B4952" s="3" t="s">
        <v>4738</v>
      </c>
      <c r="C4952" s="3" t="str">
        <f>IFERROR(__xludf.DUMMYFUNCTION("GOOGLETRANSLATE(B4952,""id"",""en"")"),"['Use', 'Combo', 'Sakti', 'Use', 'Choice', 'Combo', 'Sakti', 'Sympathy', 'Loop', 'trimakasih']")</f>
        <v>['Use', 'Combo', 'Sakti', 'Use', 'Choice', 'Combo', 'Sakti', 'Sympathy', 'Loop', 'trimakasih']</v>
      </c>
      <c r="D4952" s="3">
        <v>3.0</v>
      </c>
    </row>
    <row r="4953" ht="15.75" customHeight="1">
      <c r="A4953" s="1">
        <v>5302.0</v>
      </c>
      <c r="B4953" s="3" t="s">
        <v>4739</v>
      </c>
      <c r="C4953" s="3" t="str">
        <f>IFERROR(__xludf.DUMMYFUNCTION("GOOGLETRANSLATE(B4953,""id"",""en"")"),"['Satisfied', 'discount']")</f>
        <v>['Satisfied', 'discount']</v>
      </c>
      <c r="D4953" s="3">
        <v>5.0</v>
      </c>
    </row>
    <row r="4954" ht="15.75" customHeight="1">
      <c r="A4954" s="1">
        <v>5303.0</v>
      </c>
      <c r="B4954" s="3" t="s">
        <v>4740</v>
      </c>
      <c r="C4954" s="3" t="str">
        <f>IFERROR(__xludf.DUMMYFUNCTION("GOOGLETRANSLATE(B4954,""id"",""en"")"),"['Help', 'no', 'Lottery', 'Points']")</f>
        <v>['Help', 'no', 'Lottery', 'Points']</v>
      </c>
      <c r="D4954" s="3">
        <v>5.0</v>
      </c>
    </row>
    <row r="4955" ht="15.75" customHeight="1">
      <c r="A4955" s="1">
        <v>5304.0</v>
      </c>
      <c r="B4955" s="3" t="s">
        <v>4741</v>
      </c>
      <c r="C4955" s="3" t="str">
        <f>IFERROR(__xludf.DUMMYFUNCTION("GOOGLETRANSLATE(B4955,""id"",""en"")"),"['Telkomsel', 'Sinyal', 'Lost', 'Please', 'Repaired', 'Comfort', 'Thank you']")</f>
        <v>['Telkomsel', 'Sinyal', 'Lost', 'Please', 'Repaired', 'Comfort', 'Thank you']</v>
      </c>
      <c r="D4955" s="3">
        <v>2.0</v>
      </c>
    </row>
    <row r="4956" ht="15.75" customHeight="1">
      <c r="A4956" s="1">
        <v>5305.0</v>
      </c>
      <c r="B4956" s="3" t="s">
        <v>4742</v>
      </c>
      <c r="C4956" s="3" t="str">
        <f>IFERROR(__xludf.DUMMYFUNCTION("GOOGLETRANSLATE(B4956,""id"",""en"")"),"['application', 'responding', 'error', 'impact', 'performance', 'lag', 'like', 'please', 'fix', 'Konksi', 'bad', 'cook', ' Application ',' bad ']")</f>
        <v>['application', 'responding', 'error', 'impact', 'performance', 'lag', 'like', 'please', 'fix', 'Konksi', 'bad', 'cook', ' Application ',' bad ']</v>
      </c>
      <c r="D4956" s="3">
        <v>2.0</v>
      </c>
    </row>
    <row r="4957" ht="15.75" customHeight="1">
      <c r="A4957" s="1">
        <v>5306.0</v>
      </c>
      <c r="B4957" s="3" t="s">
        <v>1184</v>
      </c>
      <c r="C4957" s="3" t="str">
        <f>IFERROR(__xludf.DUMMYFUNCTION("GOOGLETRANSLATE(B4957,""id"",""en"")"),"['Telkomsel', '']")</f>
        <v>['Telkomsel', '']</v>
      </c>
      <c r="D4957" s="3">
        <v>5.0</v>
      </c>
    </row>
    <row r="4958" ht="15.75" customHeight="1">
      <c r="A4958" s="1">
        <v>5307.0</v>
      </c>
      <c r="B4958" s="3" t="s">
        <v>4743</v>
      </c>
      <c r="C4958" s="3" t="str">
        <f>IFERROR(__xludf.DUMMYFUNCTION("GOOGLETRANSLATE(B4958,""id"",""en"")"),"['hope', 'signal', 'stable', 'fast']")</f>
        <v>['hope', 'signal', 'stable', 'fast']</v>
      </c>
      <c r="D4958" s="3">
        <v>5.0</v>
      </c>
    </row>
    <row r="4959" ht="15.75" customHeight="1">
      <c r="A4959" s="1">
        <v>5308.0</v>
      </c>
      <c r="B4959" s="3" t="s">
        <v>4744</v>
      </c>
      <c r="C4959" s="3" t="str">
        <f>IFERROR(__xludf.DUMMYFUNCTION("GOOGLETRANSLATE(B4959,""id"",""en"")"),"['Josss', 'Bngt', 'entry', 'easy', '']")</f>
        <v>['Josss', 'Bngt', 'entry', 'easy', '']</v>
      </c>
      <c r="D4959" s="3">
        <v>5.0</v>
      </c>
    </row>
    <row r="4960" ht="15.75" customHeight="1">
      <c r="A4960" s="1">
        <v>5309.0</v>
      </c>
      <c r="B4960" s="3" t="s">
        <v>4745</v>
      </c>
      <c r="C4960" s="3" t="str">
        <f>IFERROR(__xludf.DUMMYFUNCTION("GOOGLETRANSLATE(B4960,""id"",""en"")"),"['It's easy', 'combo', 'saktinya', 'belli']")</f>
        <v>['It's easy', 'combo', 'saktinya', 'belli']</v>
      </c>
      <c r="D4960" s="3">
        <v>5.0</v>
      </c>
    </row>
    <row r="4961" ht="15.75" customHeight="1">
      <c r="A4961" s="1">
        <v>5310.0</v>
      </c>
      <c r="B4961" s="3" t="s">
        <v>4746</v>
      </c>
      <c r="C4961" s="3" t="str">
        <f>IFERROR(__xludf.DUMMYFUNCTION("GOOGLETRANSLATE(B4961,""id"",""en"")"),"['Login', 'MyTelkomsel', 'Difficult', 'Refresh', 'Difficult', 'Buy', 'Package', 'Data', 'Since', 'TGL', 'October', 'Yesterday', ' Display ',' Login ',' MyTelkomsel ',' App ',' contents', 'Relogin', 'Reinstall', 'Influence', 'Try', 'Login', 'MyTelkomsel', "&amp;"'Web', 'Login' , 'use', 'sosmed', 'number', 'mobile', 'social', 'media', 'business', 'urusin', 'service', 'fluency', 'facility', '']")</f>
        <v>['Login', 'MyTelkomsel', 'Difficult', 'Refresh', 'Difficult', 'Buy', 'Package', 'Data', 'Since', 'TGL', 'October', 'Yesterday', ' Display ',' Login ',' MyTelkomsel ',' App ',' contents', 'Relogin', 'Reinstall', 'Influence', 'Try', 'Login', 'MyTelkomsel', 'Web', 'Login' , 'use', 'sosmed', 'number', 'mobile', 'social', 'media', 'business', 'urusin', 'service', 'fluency', 'facility', '']</v>
      </c>
      <c r="D4961" s="3">
        <v>5.0</v>
      </c>
    </row>
    <row r="4962" ht="15.75" customHeight="1">
      <c r="A4962" s="1">
        <v>5311.0</v>
      </c>
      <c r="B4962" s="3" t="s">
        <v>4747</v>
      </c>
      <c r="C4962" s="3" t="str">
        <f>IFERROR(__xludf.DUMMYFUNCTION("GOOGLETRANSLATE(B4962,""id"",""en"")"),"['Turn off', 'Voice']")</f>
        <v>['Turn off', 'Voice']</v>
      </c>
      <c r="D4962" s="3">
        <v>1.0</v>
      </c>
    </row>
    <row r="4963" ht="15.75" customHeight="1">
      <c r="A4963" s="1">
        <v>5312.0</v>
      </c>
      <c r="B4963" s="3" t="s">
        <v>4748</v>
      </c>
      <c r="C4963" s="3" t="str">
        <f>IFERROR(__xludf.DUMMYFUNCTION("GOOGLETRANSLATE(B4963,""id"",""en"")"),"['Please', 'Network', 'Telkomsel', 'Fix', 'Network', 'Smooth', 'Kayak', 'Network', 'Defeated', ""]")</f>
        <v>['Please', 'Network', 'Telkomsel', 'Fix', 'Network', 'Smooth', 'Kayak', 'Network', 'Defeated', "]</v>
      </c>
      <c r="D4963" s="3">
        <v>5.0</v>
      </c>
    </row>
    <row r="4964" ht="15.75" customHeight="1">
      <c r="A4964" s="1">
        <v>5313.0</v>
      </c>
      <c r="B4964" s="3" t="s">
        <v>4749</v>
      </c>
      <c r="C4964" s="3" t="str">
        <f>IFERROR(__xludf.DUMMYFUNCTION("GOOGLETRANSLATE(B4964,""id"",""en"")"),"['Package', 'expensive', 'RbU', 'GB', 'Network', 'Kek', 'Taikk', 'expensive', 'smooth', 'expensive', 'network', 'slow', ' rubbish']")</f>
        <v>['Package', 'expensive', 'RbU', 'GB', 'Network', 'Kek', 'Taikk', 'expensive', 'smooth', 'expensive', 'network', 'slow', ' rubbish']</v>
      </c>
      <c r="D4964" s="3">
        <v>1.0</v>
      </c>
    </row>
    <row r="4965" ht="15.75" customHeight="1">
      <c r="A4965" s="1">
        <v>5314.0</v>
      </c>
      <c r="B4965" s="3" t="s">
        <v>4750</v>
      </c>
      <c r="C4965" s="3" t="str">
        <f>IFERROR(__xludf.DUMMYFUNCTION("GOOGLETRANSLATE(B4965,""id"",""en"")"),"['buy', 'quota', '']")</f>
        <v>['buy', 'quota', '']</v>
      </c>
      <c r="D4965" s="3">
        <v>5.0</v>
      </c>
    </row>
    <row r="4966" ht="15.75" customHeight="1">
      <c r="A4966" s="1">
        <v>5315.0</v>
      </c>
      <c r="B4966" s="3" t="s">
        <v>4751</v>
      </c>
      <c r="C4966" s="3" t="str">
        <f>IFERROR(__xludf.DUMMYFUNCTION("GOOGLETRANSLATE(B4966,""id"",""en"")"),"['SNGT', 'easy', 'entry']")</f>
        <v>['SNGT', 'easy', 'entry']</v>
      </c>
      <c r="D4966" s="3">
        <v>5.0</v>
      </c>
    </row>
    <row r="4967" ht="15.75" customHeight="1">
      <c r="A4967" s="1">
        <v>5316.0</v>
      </c>
      <c r="B4967" s="3" t="s">
        <v>4752</v>
      </c>
      <c r="C4967" s="3" t="str">
        <f>IFERROR(__xludf.DUMMYFUNCTION("GOOGLETRANSLATE(B4967,""id"",""en"")"),"['Kayak', 'garbage', 'network', 'useful', 'package', 'expensive', 'quality', 'network', 'garbage']")</f>
        <v>['Kayak', 'garbage', 'network', 'useful', 'package', 'expensive', 'quality', 'network', 'garbage']</v>
      </c>
      <c r="D4967" s="3">
        <v>1.0</v>
      </c>
    </row>
    <row r="4968" ht="15.75" customHeight="1">
      <c r="A4968" s="1">
        <v>5317.0</v>
      </c>
      <c r="B4968" s="3" t="s">
        <v>4753</v>
      </c>
      <c r="C4968" s="3" t="str">
        <f>IFERROR(__xludf.DUMMYFUNCTION("GOOGLETRANSLATE(B4968,""id"",""en"")"),"['Network', 'Telkomsel', 'Damaged', '']")</f>
        <v>['Network', 'Telkomsel', 'Damaged', '']</v>
      </c>
      <c r="D4968" s="3">
        <v>5.0</v>
      </c>
    </row>
    <row r="4969" ht="15.75" customHeight="1">
      <c r="A4969" s="1">
        <v>5318.0</v>
      </c>
      <c r="B4969" s="3" t="s">
        <v>3351</v>
      </c>
      <c r="C4969" s="3" t="str">
        <f>IFERROR(__xludf.DUMMYFUNCTION("GOOGLETRANSLATE(B4969,""id"",""en"")"),"['Easy', 'understandable']")</f>
        <v>['Easy', 'understandable']</v>
      </c>
      <c r="D4969" s="3">
        <v>5.0</v>
      </c>
    </row>
    <row r="4970" ht="15.75" customHeight="1">
      <c r="A4970" s="1">
        <v>5319.0</v>
      </c>
      <c r="B4970" s="3" t="s">
        <v>2445</v>
      </c>
      <c r="C4970" s="3" t="str">
        <f>IFERROR(__xludf.DUMMYFUNCTION("GOOGLETRANSLATE(B4970,""id"",""en"")"),"['beneficial']")</f>
        <v>['beneficial']</v>
      </c>
      <c r="D4970" s="3">
        <v>5.0</v>
      </c>
    </row>
    <row r="4971" ht="15.75" customHeight="1">
      <c r="A4971" s="1">
        <v>5320.0</v>
      </c>
      <c r="B4971" s="3" t="s">
        <v>4754</v>
      </c>
      <c r="C4971" s="3" t="str">
        <f>IFERROR(__xludf.DUMMYFUNCTION("GOOGLETRANSLATE(B4971,""id"",""en"")"),"['Sianyal', 'unlimitid', 'sympathy', 'ugly', 'really', 'disappointed', 'really', 'buy', 'unlimitid', 'max', 'out', 'quota', ' mainly ',' speed ',' slow ',' really ',' open ',' Facebook ',' difficult ']")</f>
        <v>['Sianyal', 'unlimitid', 'sympathy', 'ugly', 'really', 'disappointed', 'really', 'buy', 'unlimitid', 'max', 'out', 'quota', ' mainly ',' speed ',' slow ',' really ',' open ',' Facebook ',' difficult ']</v>
      </c>
      <c r="D4971" s="3">
        <v>2.0</v>
      </c>
    </row>
    <row r="4972" ht="15.75" customHeight="1">
      <c r="A4972" s="1">
        <v>5321.0</v>
      </c>
      <c r="B4972" s="3" t="s">
        <v>4755</v>
      </c>
      <c r="C4972" s="3" t="str">
        <f>IFERROR(__xludf.DUMMYFUNCTION("GOOGLETRANSLATE(B4972,""id"",""en"")"),"['Good', 'really', 'network']")</f>
        <v>['Good', 'really', 'network']</v>
      </c>
      <c r="D4972" s="3">
        <v>5.0</v>
      </c>
    </row>
    <row r="4973" ht="15.75" customHeight="1">
      <c r="A4973" s="1">
        <v>5322.0</v>
      </c>
      <c r="B4973" s="3" t="s">
        <v>4756</v>
      </c>
      <c r="C4973" s="3" t="str">
        <f>IFERROR(__xludf.DUMMYFUNCTION("GOOGLETRANSLATE(B4973,""id"",""en"")"),"['warning', 'Performance', 'Telkomsel', 'decreases', 'users', 'subscribe', 'feel', 'loss', 'profit', 'believe', 'network', 'Telkomsel']")</f>
        <v>['warning', 'Performance', 'Telkomsel', 'decreases', 'users', 'subscribe', 'feel', 'loss', 'profit', 'believe', 'network', 'Telkomsel']</v>
      </c>
      <c r="D4973" s="3">
        <v>1.0</v>
      </c>
    </row>
    <row r="4974" ht="15.75" customHeight="1">
      <c r="A4974" s="1">
        <v>5323.0</v>
      </c>
      <c r="B4974" s="3" t="s">
        <v>4757</v>
      </c>
      <c r="C4974" s="3" t="str">
        <f>IFERROR(__xludf.DUMMYFUNCTION("GOOGLETRANSLATE(B4974,""id"",""en"")"),"['easy', 'info', 'promo', 'quota', 'internet']")</f>
        <v>['easy', 'info', 'promo', 'quota', 'internet']</v>
      </c>
      <c r="D4974" s="3">
        <v>2.0</v>
      </c>
    </row>
    <row r="4975" ht="15.75" customHeight="1">
      <c r="A4975" s="1">
        <v>5324.0</v>
      </c>
      <c r="B4975" s="3" t="s">
        <v>4758</v>
      </c>
      <c r="C4975" s="3" t="str">
        <f>IFERROR(__xludf.DUMMYFUNCTION("GOOGLETRANSLATE(B4975,""id"",""en"")"),"['Lottery', 'Hepi', 'per week', 'Undi', 'Yesterday', 'TNGL', 'OUT', 'Announce', 'check', 'MLH', 'retreat', 'TNGL', ' Ok ',' please ',' consistent ']")</f>
        <v>['Lottery', 'Hepi', 'per week', 'Undi', 'Yesterday', 'TNGL', 'OUT', 'Announce', 'check', 'MLH', 'retreat', 'TNGL', ' Ok ',' please ',' consistent ']</v>
      </c>
      <c r="D4975" s="3">
        <v>1.0</v>
      </c>
    </row>
    <row r="4976" ht="15.75" customHeight="1">
      <c r="A4976" s="1">
        <v>5325.0</v>
      </c>
      <c r="B4976" s="3" t="s">
        <v>4759</v>
      </c>
      <c r="C4976" s="3" t="str">
        <f>IFERROR(__xludf.DUMMYFUNCTION("GOOGLETRANSLATE(B4976,""id"",""en"")"),"['Chek', 'HSIL', 'quota', 'GB', 'claims', 'HRUS', 'PKE', 'Credit', 'Rupiah', 'trimakasih', 'MyTelkomsel']")</f>
        <v>['Chek', 'HSIL', 'quota', 'GB', 'claims', 'HRUS', 'PKE', 'Credit', 'Rupiah', 'trimakasih', 'MyTelkomsel']</v>
      </c>
      <c r="D4976" s="3">
        <v>5.0</v>
      </c>
    </row>
    <row r="4977" ht="15.75" customHeight="1">
      <c r="A4977" s="1">
        <v>5326.0</v>
      </c>
      <c r="B4977" s="3" t="s">
        <v>4760</v>
      </c>
      <c r="C4977" s="3" t="str">
        <f>IFERROR(__xludf.DUMMYFUNCTION("GOOGLETRANSLATE(B4977,""id"",""en"")"),"['pulse', 'data', 'sympathy', 'mhal']")</f>
        <v>['pulse', 'data', 'sympathy', 'mhal']</v>
      </c>
      <c r="D4977" s="3">
        <v>2.0</v>
      </c>
    </row>
    <row r="4978" ht="15.75" customHeight="1">
      <c r="A4978" s="1">
        <v>5327.0</v>
      </c>
      <c r="B4978" s="3" t="s">
        <v>4761</v>
      </c>
      <c r="C4978" s="3" t="str">
        <f>IFERROR(__xludf.DUMMYFUNCTION("GOOGLETRANSLATE(B4978,""id"",""en"")"),"['promo', 'application', 'code', 'dial']")</f>
        <v>['promo', 'application', 'code', 'dial']</v>
      </c>
      <c r="D4978" s="3">
        <v>5.0</v>
      </c>
    </row>
    <row r="4979" ht="15.75" customHeight="1">
      <c r="A4979" s="1">
        <v>5328.0</v>
      </c>
      <c r="B4979" s="3" t="s">
        <v>4762</v>
      </c>
      <c r="C4979" s="3" t="str">
        <f>IFERROR(__xludf.DUMMYFUNCTION("GOOGLETRANSLATE(B4979,""id"",""en"")"),"['', 'CASHBACK', 'CASHBACK', 'Purchase', 'Credit', 'Use', 'Gopay', 'Zonkk', ""]")</f>
        <v>['', 'CASHBACK', 'CASHBACK', 'Purchase', 'Credit', 'Use', 'Gopay', 'Zonkk', "]</v>
      </c>
      <c r="D4979" s="3">
        <v>1.0</v>
      </c>
    </row>
    <row r="4980" ht="15.75" customHeight="1">
      <c r="A4980" s="1">
        <v>5329.0</v>
      </c>
      <c r="B4980" s="3" t="s">
        <v>4763</v>
      </c>
      <c r="C4980" s="3" t="str">
        <f>IFERROR(__xludf.DUMMYFUNCTION("GOOGLETRANSLATE(B4980,""id"",""en"")"),"['Hi', 'Customer', 'MyTelkomsel', 'Telkomsel', 'limit', 'Region', 'Please', 'Action', 'Continue', 'Loss',' Buy ',' Package ',' Data ',' entry ',' Region ',' Disappointed ',' Hopefully ',' Overcome ',' Fast ',' ']")</f>
        <v>['Hi', 'Customer', 'MyTelkomsel', 'Telkomsel', 'limit', 'Region', 'Please', 'Action', 'Continue', 'Loss',' Buy ',' Package ',' Data ',' entry ',' Region ',' Disappointed ',' Hopefully ',' Overcome ',' Fast ',' ']</v>
      </c>
      <c r="D4980" s="3">
        <v>1.0</v>
      </c>
    </row>
    <row r="4981" ht="15.75" customHeight="1">
      <c r="A4981" s="1">
        <v>5330.0</v>
      </c>
      <c r="B4981" s="3" t="s">
        <v>4764</v>
      </c>
      <c r="C4981" s="3" t="str">
        <f>IFERROR(__xludf.DUMMYFUNCTION("GOOGLETRANSLATE(B4981,""id"",""en"")"),"['Not bad', 'help']")</f>
        <v>['Not bad', 'help']</v>
      </c>
      <c r="D4981" s="3">
        <v>4.0</v>
      </c>
    </row>
    <row r="4982" ht="15.75" customHeight="1">
      <c r="A4982" s="1">
        <v>5331.0</v>
      </c>
      <c r="B4982" s="3" t="s">
        <v>4765</v>
      </c>
      <c r="C4982" s="3" t="str">
        <f>IFERROR(__xludf.DUMMYFUNCTION("GOOGLETRANSLATE(B4982,""id"",""en"")"),"['reproduced', 'discount', 'package', 'manta', '']")</f>
        <v>['reproduced', 'discount', 'package', 'manta', '']</v>
      </c>
      <c r="D4982" s="3">
        <v>5.0</v>
      </c>
    </row>
    <row r="4983" ht="15.75" customHeight="1">
      <c r="A4983" s="1">
        <v>5332.0</v>
      </c>
      <c r="B4983" s="3" t="s">
        <v>4766</v>
      </c>
      <c r="C4983" s="3" t="str">
        <f>IFERROR(__xludf.DUMMYFUNCTION("GOOGLETRANSLATE(B4983,""id"",""en"")"),"['Application', 'Error', 'Abal', '']")</f>
        <v>['Application', 'Error', 'Abal', '']</v>
      </c>
      <c r="D4983" s="3">
        <v>5.0</v>
      </c>
    </row>
    <row r="4984" ht="15.75" customHeight="1">
      <c r="A4984" s="1">
        <v>5333.0</v>
      </c>
      <c r="B4984" s="3" t="s">
        <v>4767</v>
      </c>
      <c r="C4984" s="3" t="str">
        <f>IFERROR(__xludf.DUMMYFUNCTION("GOOGLETRANSLATE(B4984,""id"",""en"")"),"['What', 'Eroor', 'Palagi', 'right', 'Daily', 'checkin', 'then', 'Signal', 'like', 'missing', 'disappointed', 'network', ' Telkom ']")</f>
        <v>['What', 'Eroor', 'Palagi', 'right', 'Daily', 'checkin', 'then', 'Signal', 'like', 'missing', 'disappointed', 'network', ' Telkom ']</v>
      </c>
      <c r="D4984" s="3">
        <v>2.0</v>
      </c>
    </row>
    <row r="4985" ht="15.75" customHeight="1">
      <c r="A4985" s="1">
        <v>5334.0</v>
      </c>
      <c r="B4985" s="3" t="s">
        <v>4768</v>
      </c>
      <c r="C4985" s="3" t="str">
        <f>IFERROR(__xludf.DUMMYFUNCTION("GOOGLETRANSLATE(B4985,""id"",""en"")"),"['already', 'buy', 'pulse', 'call', 'jwb', 'pulse', 'pdahal', '']")</f>
        <v>['already', 'buy', 'pulse', 'call', 'jwb', 'pulse', 'pdahal', '']</v>
      </c>
      <c r="D4985" s="3">
        <v>4.0</v>
      </c>
    </row>
    <row r="4986" ht="15.75" customHeight="1">
      <c r="A4986" s="1">
        <v>5335.0</v>
      </c>
      <c r="B4986" s="3" t="s">
        <v>4769</v>
      </c>
      <c r="C4986" s="3" t="str">
        <f>IFERROR(__xludf.DUMMYFUNCTION("GOOGLETRANSLATE(B4986,""id"",""en"")"),"['network', 'slow', 'play', 'game', 'lmot', 'really', 'network', 'please', 'fix', 'disappointed', 'network', 'slow', ' ']")</f>
        <v>['network', 'slow', 'play', 'game', 'lmot', 'really', 'network', 'please', 'fix', 'disappointed', 'network', 'slow', ' ']</v>
      </c>
      <c r="D4986" s="3">
        <v>2.0</v>
      </c>
    </row>
    <row r="4987" ht="15.75" customHeight="1">
      <c r="A4987" s="1">
        <v>5336.0</v>
      </c>
      <c r="B4987" s="3" t="s">
        <v>4770</v>
      </c>
      <c r="C4987" s="3" t="str">
        <f>IFERROR(__xludf.DUMMYFUNCTION("GOOGLETRANSLATE(B4987,""id"",""en"")"),"['Hopefully', 'Get', 'Gift', 'Brio']")</f>
        <v>['Hopefully', 'Get', 'Gift', 'Brio']</v>
      </c>
      <c r="D4987" s="3">
        <v>5.0</v>
      </c>
    </row>
    <row r="4988" ht="15.75" customHeight="1">
      <c r="A4988" s="1">
        <v>5337.0</v>
      </c>
      <c r="B4988" s="3" t="s">
        <v>4771</v>
      </c>
      <c r="C4988" s="3" t="str">
        <f>IFERROR(__xludf.DUMMYFUNCTION("GOOGLETRANSLATE(B4988,""id"",""en"")"),"['making easier', 'purchase', 'package', 'data', 'complicated', 'trs', 'promo']")</f>
        <v>['making easier', 'purchase', 'package', 'data', 'complicated', 'trs', 'promo']</v>
      </c>
      <c r="D4988" s="3">
        <v>4.0</v>
      </c>
    </row>
    <row r="4989" ht="15.75" customHeight="1">
      <c r="A4989" s="1">
        <v>5338.0</v>
      </c>
      <c r="B4989" s="3" t="s">
        <v>4772</v>
      </c>
      <c r="C4989" s="3" t="str">
        <f>IFERROR(__xludf.DUMMYFUNCTION("GOOGLETRANSLATE(B4989,""id"",""en"")"),"['Ayogeh', 'Telkom', 'slow', 'severe', 'really', 'Tibatiba', 'changed', 'really', 'expensive', 'quality', 'good', 'expensive', ' Quality ',' Open ',' Shopee ',' Wait ',' Liat ',' Image ',' Products', 'Main', 'Game', 'Wort', 'Telkom', 'Rich', 'Gini' , 'pre"&amp;"tentious', 'focus', 'slow', 'severe', '']")</f>
        <v>['Ayogeh', 'Telkom', 'slow', 'severe', 'really', 'Tibatiba', 'changed', 'really', 'expensive', 'quality', 'good', 'expensive', ' Quality ',' Open ',' Shopee ',' Wait ',' Liat ',' Image ',' Products', 'Main', 'Game', 'Wort', 'Telkom', 'Rich', 'Gini' , 'pretentious', 'focus', 'slow', 'severe', '']</v>
      </c>
      <c r="D4989" s="3">
        <v>1.0</v>
      </c>
    </row>
    <row r="4990" ht="15.75" customHeight="1">
      <c r="A4990" s="1">
        <v>5340.0</v>
      </c>
      <c r="B4990" s="3" t="s">
        <v>4773</v>
      </c>
      <c r="C4990" s="3" t="str">
        <f>IFERROR(__xludf.DUMMYFUNCTION("GOOGLETRANSLATE(B4990,""id"",""en"")"),"['Combo', 'Sakti', 'emang', 'patent', 'Suraten', ""]")</f>
        <v>['Combo', 'Sakti', 'emang', 'patent', 'Suraten', "]</v>
      </c>
      <c r="D4990" s="3">
        <v>5.0</v>
      </c>
    </row>
    <row r="4991" ht="15.75" customHeight="1">
      <c r="A4991" s="1">
        <v>5341.0</v>
      </c>
      <c r="B4991" s="3" t="s">
        <v>4774</v>
      </c>
      <c r="C4991" s="3" t="str">
        <f>IFERROR(__xludf.DUMMYFUNCTION("GOOGLETRANSLATE(B4991,""id"",""en"")"),"['Help', 'promo', 'cheap']")</f>
        <v>['Help', 'promo', 'cheap']</v>
      </c>
      <c r="D4991" s="3">
        <v>5.0</v>
      </c>
    </row>
    <row r="4992" ht="15.75" customHeight="1">
      <c r="A4992" s="1">
        <v>5342.0</v>
      </c>
      <c r="B4992" s="3" t="s">
        <v>4775</v>
      </c>
      <c r="C4992" s="3" t="str">
        <f>IFERROR(__xludf.DUMMYFUNCTION("GOOGLETRANSLATE(B4992,""id"",""en"")"),"['Good', 'cheap', 'practical']")</f>
        <v>['Good', 'cheap', 'practical']</v>
      </c>
      <c r="D4992" s="3">
        <v>4.0</v>
      </c>
    </row>
    <row r="4993" ht="15.75" customHeight="1">
      <c r="A4993" s="1">
        <v>5343.0</v>
      </c>
      <c r="B4993" s="3" t="s">
        <v>735</v>
      </c>
      <c r="C4993" s="3" t="str">
        <f>IFERROR(__xludf.DUMMYFUNCTION("GOOGLETRANSLATE(B4993,""id"",""en"")"),"['help']")</f>
        <v>['help']</v>
      </c>
      <c r="D4993" s="3">
        <v>5.0</v>
      </c>
    </row>
    <row r="4994" ht="15.75" customHeight="1">
      <c r="A4994" s="1">
        <v>5344.0</v>
      </c>
      <c r="B4994" s="3" t="s">
        <v>4776</v>
      </c>
      <c r="C4994" s="3" t="str">
        <f>IFERROR(__xludf.DUMMYFUNCTION("GOOGLETRANSLATE(B4994,""id"",""en"")"),"['siip', 'staple', 'mntap']")</f>
        <v>['siip', 'staple', 'mntap']</v>
      </c>
      <c r="D4994" s="3">
        <v>5.0</v>
      </c>
    </row>
    <row r="4995" ht="15.75" customHeight="1">
      <c r="A4995" s="1">
        <v>5345.0</v>
      </c>
      <c r="B4995" s="3" t="s">
        <v>4777</v>
      </c>
      <c r="C4995" s="3" t="str">
        <f>IFERROR(__xludf.DUMMYFUNCTION("GOOGLETRANSLATE(B4995,""id"",""en"")"),"['The application', 'poor', 'slow', 'ugly']")</f>
        <v>['The application', 'poor', 'slow', 'ugly']</v>
      </c>
      <c r="D4995" s="3">
        <v>1.0</v>
      </c>
    </row>
    <row r="4996" ht="15.75" customHeight="1">
      <c r="A4996" s="1">
        <v>5346.0</v>
      </c>
      <c r="B4996" s="3" t="s">
        <v>4778</v>
      </c>
      <c r="C4996" s="3" t="str">
        <f>IFERROR(__xludf.DUMMYFUNCTION("GOOGLETRANSLATE(B4996,""id"",""en"")"),"['signal', 'ugly', 'application', 'likes', 'close', 'mulu', 'the application', 'good', 'quality', 'signal', 'TPI', 'here' Threat ',' Signal ',' Ancur ',' Application ',' Close ',' Mulu ',' ']")</f>
        <v>['signal', 'ugly', 'application', 'likes', 'close', 'mulu', 'the application', 'good', 'quality', 'signal', 'TPI', 'here' Threat ',' Signal ',' Ancur ',' Application ',' Close ',' Mulu ',' ']</v>
      </c>
      <c r="D4996" s="3">
        <v>1.0</v>
      </c>
    </row>
    <row r="4997" ht="15.75" customHeight="1">
      <c r="A4997" s="1">
        <v>5347.0</v>
      </c>
      <c r="B4997" s="3" t="s">
        <v>4779</v>
      </c>
      <c r="C4997" s="3" t="str">
        <f>IFERROR(__xludf.DUMMYFUNCTION("GOOGLETRANSLATE(B4997,""id"",""en"")"),"['Good', 'really', 'help', 'purchase', 'package', 'data']")</f>
        <v>['Good', 'really', 'help', 'purchase', 'package', 'data']</v>
      </c>
      <c r="D4997" s="3">
        <v>4.0</v>
      </c>
    </row>
    <row r="4998" ht="15.75" customHeight="1">
      <c r="A4998" s="1">
        <v>5349.0</v>
      </c>
      <c r="B4998" s="3" t="s">
        <v>4780</v>
      </c>
      <c r="C4998" s="3" t="str">
        <f>IFERROR(__xludf.DUMMYFUNCTION("GOOGLETRANSLATE(B4998,""id"",""en"")"),"['garbage', 'world', 'expensive', 'earnings', 'package', 'internet', 'my host', 'card', 'signal', 'already', 'replace']")</f>
        <v>['garbage', 'world', 'expensive', 'earnings', 'package', 'internet', 'my host', 'card', 'signal', 'already', 'replace']</v>
      </c>
      <c r="D4998" s="3">
        <v>1.0</v>
      </c>
    </row>
    <row r="4999" ht="15.75" customHeight="1">
      <c r="A4999" s="1">
        <v>5350.0</v>
      </c>
      <c r="B4999" s="3" t="s">
        <v>4781</v>
      </c>
      <c r="C4999" s="3" t="str">
        <f>IFERROR(__xludf.DUMMYFUNCTION("GOOGLETRANSLATE(B4999,""id"",""en"")"),"['Good', 'sorry', 'complete', 'he can'ly,' buy ',' plusin ',' please ',' package ',' internet ',' buy ', ""]")</f>
        <v>['Good', 'sorry', 'complete', 'he can'ly,' buy ',' plusin ',' please ',' package ',' internet ',' buy ', "]</v>
      </c>
      <c r="D4999" s="3">
        <v>2.0</v>
      </c>
    </row>
    <row r="5000" ht="15.75" customHeight="1">
      <c r="A5000" s="1">
        <v>5351.0</v>
      </c>
      <c r="B5000" s="3" t="s">
        <v>4782</v>
      </c>
      <c r="C5000" s="3" t="str">
        <f>IFERROR(__xludf.DUMMYFUNCTION("GOOGLETRANSLATE(B5000,""id"",""en"")"),"['Star', 'Program', 'Promo', 'Error', 'Special', 'Internet', 'Combo', 'Sakti']")</f>
        <v>['Star', 'Program', 'Promo', 'Error', 'Special', 'Internet', 'Combo', 'Sakti']</v>
      </c>
      <c r="D5000" s="3">
        <v>4.0</v>
      </c>
    </row>
    <row r="5001" ht="15.75" customHeight="1">
      <c r="A5001" s="1">
        <v>5352.0</v>
      </c>
      <c r="B5001" s="3" t="s">
        <v>4783</v>
      </c>
      <c r="C5001" s="3" t="str">
        <f>IFERROR(__xludf.DUMMYFUNCTION("GOOGLETRANSLATE(B5001,""id"",""en"")"),"['regret', 'regret', 'regret', 'buy', 'quota', 'Telkomsel', 'price', 'expensive', 'quality', 'rich', 'supah', 'want', ' Banting ',' Gara ',' Sinya ',' Lemot ',' Rich ',' Gini ', ""]")</f>
        <v>['regret', 'regret', 'regret', 'buy', 'quota', 'Telkomsel', 'price', 'expensive', 'quality', 'rich', 'supah', 'want', ' Banting ',' Gara ',' Sinya ',' Lemot ',' Rich ',' Gini ', "]</v>
      </c>
      <c r="D5001" s="3">
        <v>1.0</v>
      </c>
    </row>
    <row r="5002" ht="15.75" customHeight="1">
      <c r="A5002" s="1">
        <v>5353.0</v>
      </c>
      <c r="B5002" s="3" t="s">
        <v>4784</v>
      </c>
      <c r="C5002" s="3" t="str">
        <f>IFERROR(__xludf.DUMMYFUNCTION("GOOGLETRANSLATE(B5002,""id"",""en"")"),"['already', 'subscription', 'Telkomsel', 'era', 'signal', 'Edge', 'Sampe', 'Telkomsel', 'maintenance', 'quality', 'signal', 'bad', ' Compared to ',' Provider ',' Lost ',' Signal ',' Service ',' Main ',' Game ',' AFK ',' Gegara ',' Signal ']")</f>
        <v>['already', 'subscription', 'Telkomsel', 'era', 'signal', 'Edge', 'Sampe', 'Telkomsel', 'maintenance', 'quality', 'signal', 'bad', ' Compared to ',' Provider ',' Lost ',' Signal ',' Service ',' Main ',' Game ',' AFK ',' Gegara ',' Signal ']</v>
      </c>
      <c r="D5002" s="3">
        <v>1.0</v>
      </c>
    </row>
    <row r="5003" ht="15.75" customHeight="1">
      <c r="A5003" s="1">
        <v>5355.0</v>
      </c>
      <c r="B5003" s="3" t="s">
        <v>4785</v>
      </c>
      <c r="C5003" s="3" t="str">
        <f>IFERROR(__xludf.DUMMYFUNCTION("GOOGLETRANSLATE(B5003,""id"",""en"")"),"['success']")</f>
        <v>['success']</v>
      </c>
      <c r="D5003" s="3">
        <v>5.0</v>
      </c>
    </row>
    <row r="5004" ht="15.75" customHeight="1">
      <c r="A5004" s="1">
        <v>5356.0</v>
      </c>
      <c r="B5004" s="3" t="s">
        <v>4786</v>
      </c>
      <c r="C5004" s="3" t="str">
        <f>IFERROR(__xludf.DUMMYFUNCTION("GOOGLETRANSLATE(B5004,""id"",""en"")"),"['original', 'strong', 'quota', 'original', '']")</f>
        <v>['original', 'strong', 'quota', 'original', '']</v>
      </c>
      <c r="D5004" s="3">
        <v>5.0</v>
      </c>
    </row>
    <row r="5005" ht="15.75" customHeight="1">
      <c r="A5005" s="1">
        <v>5357.0</v>
      </c>
      <c r="B5005" s="3" t="s">
        <v>4787</v>
      </c>
      <c r="C5005" s="3" t="str">
        <f>IFERROR(__xludf.DUMMYFUNCTION("GOOGLETRANSLATE(B5005,""id"",""en"")"),"['Application', 'Good', 'Function']")</f>
        <v>['Application', 'Good', 'Function']</v>
      </c>
      <c r="D5005" s="3">
        <v>5.0</v>
      </c>
    </row>
    <row r="5006" ht="15.75" customHeight="1">
      <c r="A5006" s="1">
        <v>5358.0</v>
      </c>
      <c r="B5006" s="3" t="s">
        <v>4788</v>
      </c>
      <c r="C5006" s="3" t="str">
        <f>IFERROR(__xludf.DUMMYFUNCTION("GOOGLETRANSLATE(B5006,""id"",""en"")"),"['Disappointed', 'Telkomsel', 'mechanism', 'quota', 'Ministry of Education and Culture', 'Kutoa', 'Org', 'Chosen', 'Permendiknud', 'Teacher', 'lecturer', 'Students',' Students', 'quota', 'Kemendikbud', 'pic', 'school', 'number', 'Teacher', 'Register', 'Pl"&amp;"ease', 'explanation', ""]")</f>
        <v>['Disappointed', 'Telkomsel', 'mechanism', 'quota', 'Ministry of Education and Culture', 'Kutoa', 'Org', 'Chosen', 'Permendiknud', 'Teacher', 'lecturer', 'Students',' Students', 'quota', 'Kemendikbud', 'pic', 'school', 'number', 'Teacher', 'Register', 'Please', 'explanation', "]</v>
      </c>
      <c r="D5006" s="3">
        <v>1.0</v>
      </c>
    </row>
    <row r="5007" ht="15.75" customHeight="1">
      <c r="A5007" s="1">
        <v>5359.0</v>
      </c>
      <c r="B5007" s="3" t="s">
        <v>4789</v>
      </c>
      <c r="C5007" s="3" t="str">
        <f>IFERROR(__xludf.DUMMYFUNCTION("GOOGLETRANSLATE(B5007,""id"",""en"")"),"['ugly', 'fuss', 'wants', 'survey', 'ad', 'checked', 'pulse', 'data', 'doang', 'info', 'hidden', ""]")</f>
        <v>['ugly', 'fuss', 'wants', 'survey', 'ad', 'checked', 'pulse', 'data', 'doang', 'info', 'hidden', "]</v>
      </c>
      <c r="D5007" s="3">
        <v>1.0</v>
      </c>
    </row>
    <row r="5008" ht="15.75" customHeight="1">
      <c r="A5008" s="1">
        <v>5360.0</v>
      </c>
      <c r="B5008" s="3" t="s">
        <v>4790</v>
      </c>
      <c r="C5008" s="3" t="str">
        <f>IFERROR(__xludf.DUMMYFUNCTION("GOOGLETRANSLATE(B5008,""id"",""en"")"),"['Application', 'SAGAT', 'Selfish', 'Kya', 'Application', 'expiration', ""]")</f>
        <v>['Application', 'SAGAT', 'Selfish', 'Kya', 'Application', 'expiration', "]</v>
      </c>
      <c r="D5008" s="3">
        <v>1.0</v>
      </c>
    </row>
    <row r="5009" ht="15.75" customHeight="1">
      <c r="A5009" s="1">
        <v>5361.0</v>
      </c>
      <c r="B5009" s="3" t="s">
        <v>4791</v>
      </c>
      <c r="C5009" s="3" t="str">
        <f>IFERROR(__xludf.DUMMYFUNCTION("GOOGLETRANSLATE(B5009,""id"",""en"")"),"['', 'Mountain', 'Sousal', 'Try', 'Signal', 'above', 'Mountain']")</f>
        <v>['', 'Mountain', 'Sousal', 'Try', 'Signal', 'above', 'Mountain']</v>
      </c>
      <c r="D5009" s="3">
        <v>5.0</v>
      </c>
    </row>
    <row r="5010" ht="15.75" customHeight="1">
      <c r="A5010" s="1">
        <v>5362.0</v>
      </c>
      <c r="B5010" s="3" t="s">
        <v>4792</v>
      </c>
      <c r="C5010" s="3" t="str">
        <f>IFERROR(__xludf.DUMMYFUNCTION("GOOGLETRANSLATE(B5010,""id"",""en"")"),"['expensive', 'package', 'right', 'buy', 'package', 'combo', 'magic', 'udh', 'Lma', 'moved', 'next door']")</f>
        <v>['expensive', 'package', 'right', 'buy', 'package', 'combo', 'magic', 'udh', 'Lma', 'moved', 'next door']</v>
      </c>
      <c r="D5010" s="3">
        <v>1.0</v>
      </c>
    </row>
    <row r="5011" ht="15.75" customHeight="1">
      <c r="A5011" s="1">
        <v>5363.0</v>
      </c>
      <c r="B5011" s="3" t="s">
        <v>4793</v>
      </c>
      <c r="C5011" s="3" t="str">
        <f>IFERROR(__xludf.DUMMYFUNCTION("GOOGLETRANSLATE(B5011,""id"",""en"")"),"['Telkomsel', 'renewed', 'system', 'kouta', 'run out', 'direct', 'suck', 'pulse', 'responsibility', 'responsibility', 'pulse', 'sucked', ' ']")</f>
        <v>['Telkomsel', 'renewed', 'system', 'kouta', 'run out', 'direct', 'suck', 'pulse', 'responsibility', 'responsibility', 'pulse', 'sucked', ' ']</v>
      </c>
      <c r="D5011" s="3">
        <v>1.0</v>
      </c>
    </row>
    <row r="5012" ht="15.75" customHeight="1">
      <c r="A5012" s="1">
        <v>5364.0</v>
      </c>
      <c r="B5012" s="3" t="s">
        <v>4794</v>
      </c>
      <c r="C5012" s="3" t="str">
        <f>IFERROR(__xludf.DUMMYFUNCTION("GOOGLETRANSLATE(B5012,""id"",""en"")"),"['What', 'Install', 'enter', 'code', 'Verifikasi', 'please', 'fix']")</f>
        <v>['What', 'Install', 'enter', 'code', 'Verifikasi', 'please', 'fix']</v>
      </c>
      <c r="D5012" s="3">
        <v>1.0</v>
      </c>
    </row>
    <row r="5013" ht="15.75" customHeight="1">
      <c r="A5013" s="1">
        <v>5365.0</v>
      </c>
      <c r="B5013" s="3" t="s">
        <v>4795</v>
      </c>
      <c r="C5013" s="3" t="str">
        <f>IFERROR(__xludf.DUMMYFUNCTION("GOOGLETRANSLATE(B5013,""id"",""en"")"),"['buy', 'package', 'internet', 'none', 'via', 'application', 'solution', 'effect', 'anything', 'many years',' use ',' application ',' Disappointing ',' fix ']")</f>
        <v>['buy', 'package', 'internet', 'none', 'via', 'application', 'solution', 'effect', 'anything', 'many years',' use ',' application ',' Disappointing ',' fix ']</v>
      </c>
      <c r="D5013" s="3">
        <v>1.0</v>
      </c>
    </row>
    <row r="5014" ht="15.75" customHeight="1">
      <c r="A5014" s="1">
        <v>5366.0</v>
      </c>
      <c r="B5014" s="3" t="s">
        <v>4796</v>
      </c>
      <c r="C5014" s="3" t="str">
        <f>IFERROR(__xludf.DUMMYFUNCTION("GOOGLETRANSLATE(B5014,""id"",""en"")"),"['promo', 'varied']")</f>
        <v>['promo', 'varied']</v>
      </c>
      <c r="D5014" s="3">
        <v>5.0</v>
      </c>
    </row>
    <row r="5015" ht="15.75" customHeight="1">
      <c r="A5015" s="1">
        <v>5367.0</v>
      </c>
      <c r="B5015" s="3" t="s">
        <v>4797</v>
      </c>
      <c r="C5015" s="3" t="str">
        <f>IFERROR(__xludf.DUMMYFUNCTION("GOOGLETRANSLATE(B5015,""id"",""en"")"),"['', 'Telkomsel', 'application', 'Install', 'update']")</f>
        <v>['', 'Telkomsel', 'application', 'Install', 'update']</v>
      </c>
      <c r="D5015" s="3">
        <v>2.0</v>
      </c>
    </row>
    <row r="5016" ht="15.75" customHeight="1">
      <c r="A5016" s="1">
        <v>5368.0</v>
      </c>
      <c r="B5016" s="3" t="s">
        <v>4798</v>
      </c>
      <c r="C5016" s="3" t="str">
        <f>IFERROR(__xludf.DUMMYFUNCTION("GOOGLETRANSLATE(B5016,""id"",""en"")"),"['Application', 'Keat', 'ugly', '']")</f>
        <v>['Application', 'Keat', 'ugly', '']</v>
      </c>
      <c r="D5016" s="3">
        <v>5.0</v>
      </c>
    </row>
    <row r="5017" ht="15.75" customHeight="1">
      <c r="A5017" s="1">
        <v>5369.0</v>
      </c>
      <c r="B5017" s="3" t="s">
        <v>4799</v>
      </c>
      <c r="C5017" s="3" t="str">
        <f>IFERROR(__xludf.DUMMYFUNCTION("GOOGLETRANSLATE(B5017,""id"",""en"")"),"['Application', 'Help', 'Perfect']")</f>
        <v>['Application', 'Help', 'Perfect']</v>
      </c>
      <c r="D5017" s="3">
        <v>5.0</v>
      </c>
    </row>
    <row r="5018" ht="15.75" customHeight="1">
      <c r="A5018" s="1">
        <v>5372.0</v>
      </c>
      <c r="B5018" s="3" t="s">
        <v>4800</v>
      </c>
      <c r="C5018" s="3" t="str">
        <f>IFERROR(__xludf.DUMMYFUNCTION("GOOGLETRANSLATE(B5018,""id"",""en"")"),"['Telkomsel', 'easy']")</f>
        <v>['Telkomsel', 'easy']</v>
      </c>
      <c r="D5018" s="3">
        <v>5.0</v>
      </c>
    </row>
    <row r="5019" ht="15.75" customHeight="1">
      <c r="A5019" s="1">
        <v>5373.0</v>
      </c>
      <c r="B5019" s="3" t="s">
        <v>4801</v>
      </c>
      <c r="C5019" s="3" t="str">
        <f>IFERROR(__xludf.DUMMYFUNCTION("GOOGLETRANSLATE(B5019,""id"",""en"")"),"['Easy', 'Install']")</f>
        <v>['Easy', 'Install']</v>
      </c>
      <c r="D5019" s="3">
        <v>5.0</v>
      </c>
    </row>
    <row r="5020" ht="15.75" customHeight="1">
      <c r="A5020" s="1">
        <v>5374.0</v>
      </c>
      <c r="B5020" s="3" t="s">
        <v>4802</v>
      </c>
      <c r="C5020" s="3" t="str">
        <f>IFERROR(__xludf.DUMMYFUNCTION("GOOGLETRANSLATE(B5020,""id"",""en"")"),"['Sometimes', 'already', 'buy', 'package', 'TPI', 'enter', 'Kasi', 'bintng', 'dlu', 'please', 'dibikin']")</f>
        <v>['Sometimes', 'already', 'buy', 'package', 'TPI', 'enter', 'Kasi', 'bintng', 'dlu', 'please', 'dibikin']</v>
      </c>
      <c r="D5020" s="3">
        <v>3.0</v>
      </c>
    </row>
    <row r="5021" ht="15.75" customHeight="1">
      <c r="A5021" s="1">
        <v>5375.0</v>
      </c>
      <c r="B5021" s="3" t="s">
        <v>4803</v>
      </c>
      <c r="C5021" s="3" t="str">
        <f>IFERROR(__xludf.DUMMYFUNCTION("GOOGLETRANSLATE(B5021,""id"",""en"")"),"['Like', 'Ngelag', 'Login', 'Enter', 'APK', 'Slow', 'Buy', 'Package']")</f>
        <v>['Like', 'Ngelag', 'Login', 'Enter', 'APK', 'Slow', 'Buy', 'Package']</v>
      </c>
      <c r="D5021" s="3">
        <v>3.0</v>
      </c>
    </row>
    <row r="5022" ht="15.75" customHeight="1">
      <c r="A5022" s="1">
        <v>5377.0</v>
      </c>
      <c r="B5022" s="3" t="s">
        <v>4804</v>
      </c>
      <c r="C5022" s="3" t="str">
        <f>IFERROR(__xludf.DUMMYFUNCTION("GOOGLETRANSLATE(B5022,""id"",""en"")"),"['Application', 'Good', 'Inopatip', 'Cool', 'Easy', 'Easy', 'Ubtung']")</f>
        <v>['Application', 'Good', 'Inopatip', 'Cool', 'Easy', 'Easy', 'Ubtung']</v>
      </c>
      <c r="D5022" s="3">
        <v>5.0</v>
      </c>
    </row>
    <row r="5023" ht="15.75" customHeight="1">
      <c r="A5023" s="1">
        <v>5378.0</v>
      </c>
      <c r="B5023" s="3" t="s">
        <v>4805</v>
      </c>
      <c r="C5023" s="3" t="str">
        <f>IFERROR(__xludf.DUMMYFUNCTION("GOOGLETRANSLATE(B5023,""id"",""en"")"),"['hope', 'win', 'lucky', 'gift', 'cave', 'customers', 'Telkomsel', ""]")</f>
        <v>['hope', 'win', 'lucky', 'gift', 'cave', 'customers', 'Telkomsel', "]</v>
      </c>
      <c r="D5023" s="3">
        <v>5.0</v>
      </c>
    </row>
    <row r="5024" ht="15.75" customHeight="1">
      <c r="A5024" s="1">
        <v>5379.0</v>
      </c>
      <c r="B5024" s="3" t="s">
        <v>4806</v>
      </c>
      <c r="C5024" s="3" t="str">
        <f>IFERROR(__xludf.DUMMYFUNCTION("GOOGLETRANSLATE(B5024,""id"",""en"")"),"['update', 'mending', 'love', 'package', 'cheap', 'kah', 'free', 'kah', 'package', 'expensive', 'severe', '']")</f>
        <v>['update', 'mending', 'love', 'package', 'cheap', 'kah', 'free', 'kah', 'package', 'expensive', 'severe', '']</v>
      </c>
      <c r="D5024" s="3">
        <v>1.0</v>
      </c>
    </row>
    <row r="5025" ht="15.75" customHeight="1">
      <c r="A5025" s="1">
        <v>5380.0</v>
      </c>
      <c r="B5025" s="3" t="s">
        <v>4807</v>
      </c>
      <c r="C5025" s="3" t="str">
        <f>IFERROR(__xludf.DUMMYFUNCTION("GOOGLETRANSLATE(B5025,""id"",""en"")"),"['easy', 'easy']")</f>
        <v>['easy', 'easy']</v>
      </c>
      <c r="D5025" s="3">
        <v>4.0</v>
      </c>
    </row>
    <row r="5026" ht="15.75" customHeight="1">
      <c r="A5026" s="1">
        <v>5381.0</v>
      </c>
      <c r="B5026" s="3" t="s">
        <v>4808</v>
      </c>
      <c r="C5026" s="3" t="str">
        <f>IFERROR(__xludf.DUMMYFUNCTION("GOOGLETRANSLATE(B5026,""id"",""en"")"),"['use']")</f>
        <v>['use']</v>
      </c>
      <c r="D5026" s="3">
        <v>5.0</v>
      </c>
    </row>
    <row r="5027" ht="15.75" customHeight="1">
      <c r="A5027" s="1">
        <v>5382.0</v>
      </c>
      <c r="B5027" s="3" t="s">
        <v>4809</v>
      </c>
      <c r="C5027" s="3" t="str">
        <f>IFERROR(__xludf.DUMMYFUNCTION("GOOGLETRANSLATE(B5027,""id"",""en"")"),"['', 'signal', 'Telkomsel', 'ugly', 'lost', 'signal', 'Telkomsel', 'already', 'package', 'internet', 'expensive', 'signal', 'ugly ',' application ',' stupid ',' daily ',' login ',' date ',' agsts', 'program', 'daily', 'already', 'delete', 'beliim', 'claim"&amp;"', 'quota', 'already', 'scorched', 'poor', 'detrimental']")</f>
        <v>['', 'signal', 'Telkomsel', 'ugly', 'lost', 'signal', 'Telkomsel', 'already', 'package', 'internet', 'expensive', 'signal', 'ugly ',' application ',' stupid ',' daily ',' login ',' date ',' agsts', 'program', 'daily', 'already', 'delete', 'beliim', 'claim', 'quota', 'already', 'scorched', 'poor', 'detrimental']</v>
      </c>
      <c r="D5027" s="3">
        <v>1.0</v>
      </c>
    </row>
    <row r="5028" ht="15.75" customHeight="1">
      <c r="A5028" s="1">
        <v>5383.0</v>
      </c>
      <c r="B5028" s="3" t="s">
        <v>4810</v>
      </c>
      <c r="C5028" s="3" t="str">
        <f>IFERROR(__xludf.DUMMYFUNCTION("GOOGLETRANSLATE(B5028,""id"",""en"")"),"['Good', 'bngt', 'pokonya', 'easy', 'fast', 'process', '']")</f>
        <v>['Good', 'bngt', 'pokonya', 'easy', 'fast', 'process', '']</v>
      </c>
      <c r="D5028" s="3">
        <v>5.0</v>
      </c>
    </row>
    <row r="5029" ht="15.75" customHeight="1">
      <c r="A5029" s="1">
        <v>5384.0</v>
      </c>
      <c r="B5029" s="3" t="s">
        <v>4811</v>
      </c>
      <c r="C5029" s="3" t="str">
        <f>IFERROR(__xludf.DUMMYFUNCTION("GOOGLETRANSLATE(B5029,""id"",""en"")"),"['application', 'Telkomsel', 'makes it easy', 'in', 'melk', 'info', 'package', 'data', 'pulse']")</f>
        <v>['application', 'Telkomsel', 'makes it easy', 'in', 'melk', 'info', 'package', 'data', 'pulse']</v>
      </c>
      <c r="D5029" s="3">
        <v>5.0</v>
      </c>
    </row>
    <row r="5030" ht="15.75" customHeight="1">
      <c r="A5030" s="1">
        <v>5385.0</v>
      </c>
      <c r="B5030" s="3" t="s">
        <v>4812</v>
      </c>
      <c r="C5030" s="3" t="str">
        <f>IFERROR(__xludf.DUMMYFUNCTION("GOOGLETRANSLATE(B5030,""id"",""en"")"),"['users',' Telkomsel ',' annoyed ',' Pakrt ',' Thinking ',' just ',' a week ',' Please ',' Min ',' Feature ',' Package ',' a month ',' unlimited ',' Package ',' YouTube ',' Tiktok ',' tks']")</f>
        <v>['users',' Telkomsel ',' annoyed ',' Pakrt ',' Thinking ',' just ',' a week ',' Please ',' Min ',' Feature ',' Package ',' a month ',' unlimited ',' Package ',' YouTube ',' Tiktok ',' tks']</v>
      </c>
      <c r="D5030" s="3">
        <v>5.0</v>
      </c>
    </row>
    <row r="5031" ht="15.75" customHeight="1">
      <c r="A5031" s="1">
        <v>5386.0</v>
      </c>
      <c r="B5031" s="3" t="s">
        <v>4813</v>
      </c>
      <c r="C5031" s="3" t="str">
        <f>IFERROR(__xludf.DUMMYFUNCTION("GOOGLETRANSLATE(B5031,""id"",""en"")"),"['Its', 'application', 'bid', 'program', 'region', 'remote', '']")</f>
        <v>['Its', 'application', 'bid', 'program', 'region', 'remote', '']</v>
      </c>
      <c r="D5031" s="3">
        <v>2.0</v>
      </c>
    </row>
    <row r="5032" ht="15.75" customHeight="1">
      <c r="A5032" s="1">
        <v>5387.0</v>
      </c>
      <c r="B5032" s="3" t="s">
        <v>4814</v>
      </c>
      <c r="C5032" s="3" t="str">
        <f>IFERROR(__xludf.DUMMYFUNCTION("GOOGLETRANSLATE(B5032,""id"",""en"")"),"['Practical', 'cheap', 'Thanks']")</f>
        <v>['Practical', 'cheap', 'Thanks']</v>
      </c>
      <c r="D5032" s="3">
        <v>5.0</v>
      </c>
    </row>
    <row r="5033" ht="15.75" customHeight="1">
      <c r="A5033" s="1">
        <v>5388.0</v>
      </c>
      <c r="B5033" s="3" t="s">
        <v>4815</v>
      </c>
      <c r="C5033" s="3" t="str">
        <f>IFERROR(__xludf.DUMMYFUNCTION("GOOGLETRANSLATE(B5033,""id"",""en"")"),"['Quota', 'Notif', 'SMS', 'Access', 'Internet', 'Rates', 'Non', 'Package', 'Direct', 'Out', 'Credit', 'Voltage']")</f>
        <v>['Quota', 'Notif', 'SMS', 'Access', 'Internet', 'Rates', 'Non', 'Package', 'Direct', 'Out', 'Credit', 'Voltage']</v>
      </c>
      <c r="D5033" s="3">
        <v>1.0</v>
      </c>
    </row>
    <row r="5034" ht="15.75" customHeight="1">
      <c r="A5034" s="1">
        <v>5389.0</v>
      </c>
      <c r="B5034" s="3" t="s">
        <v>4816</v>
      </c>
      <c r="C5034" s="3" t="str">
        <f>IFERROR(__xludf.DUMMYFUNCTION("GOOGLETRANSLATE(B5034,""id"",""en"")"),"['Cuca', 'bad', 'sound', 'he got "",' repaired ',' technique ',' sophisticated ']")</f>
        <v>['Cuca', 'bad', 'sound', 'he got ",' repaired ',' technique ',' sophisticated ']</v>
      </c>
      <c r="D5034" s="3">
        <v>5.0</v>
      </c>
    </row>
    <row r="5035" ht="15.75" customHeight="1">
      <c r="A5035" s="1">
        <v>5390.0</v>
      </c>
      <c r="B5035" s="3" t="s">
        <v>1543</v>
      </c>
      <c r="C5035" s="3" t="str">
        <f>IFERROR(__xludf.DUMMYFUNCTION("GOOGLETRANSLATE(B5035,""id"",""en"")"),"['Help', 'Application']")</f>
        <v>['Help', 'Application']</v>
      </c>
      <c r="D5035" s="3">
        <v>4.0</v>
      </c>
    </row>
    <row r="5036" ht="15.75" customHeight="1">
      <c r="A5036" s="1">
        <v>5391.0</v>
      </c>
      <c r="B5036" s="3" t="s">
        <v>4817</v>
      </c>
      <c r="C5036" s="3" t="str">
        <f>IFERROR(__xludf.DUMMYFUNCTION("GOOGLETRANSLATE(B5036,""id"",""en"")"),"['Telkomsel', 'expensive', 'package', 'data', 'dipakein', 'package', 'data', 'pulses', 'sumps', 'forgiveness', 'Aah', ""]")</f>
        <v>['Telkomsel', 'expensive', 'package', 'data', 'dipakein', 'package', 'data', 'pulses', 'sumps', 'forgiveness', 'Aah', "]</v>
      </c>
      <c r="D5036" s="3">
        <v>1.0</v>
      </c>
    </row>
    <row r="5037" ht="15.75" customHeight="1">
      <c r="A5037" s="1">
        <v>5392.0</v>
      </c>
      <c r="B5037" s="3" t="s">
        <v>3771</v>
      </c>
      <c r="C5037" s="3" t="str">
        <f>IFERROR(__xludf.DUMMYFUNCTION("GOOGLETRANSLATE(B5037,""id"",""en"")"),"['disturbance']")</f>
        <v>['disturbance']</v>
      </c>
      <c r="D5037" s="3">
        <v>1.0</v>
      </c>
    </row>
    <row r="5038" ht="15.75" customHeight="1">
      <c r="A5038" s="1">
        <v>5393.0</v>
      </c>
      <c r="B5038" s="3" t="s">
        <v>4818</v>
      </c>
      <c r="C5038" s="3" t="str">
        <f>IFERROR(__xludf.DUMMYFUNCTION("GOOGLETRANSLATE(B5038,""id"",""en"")"),"['TLG', 'Increases', 'Quality', 'Expanded', 'Network', '']")</f>
        <v>['TLG', 'Increases', 'Quality', 'Expanded', 'Network', '']</v>
      </c>
      <c r="D5038" s="3">
        <v>2.0</v>
      </c>
    </row>
    <row r="5039" ht="15.75" customHeight="1">
      <c r="A5039" s="1">
        <v>5394.0</v>
      </c>
      <c r="B5039" s="3" t="s">
        <v>154</v>
      </c>
      <c r="C5039" s="3" t="str">
        <f>IFERROR(__xludf.DUMMYFUNCTION("GOOGLETRANSLATE(B5039,""id"",""en"")"),"['satisfying']")</f>
        <v>['satisfying']</v>
      </c>
      <c r="D5039" s="3">
        <v>2.0</v>
      </c>
    </row>
    <row r="5040" ht="15.75" customHeight="1">
      <c r="A5040" s="1">
        <v>5395.0</v>
      </c>
      <c r="B5040" s="3" t="s">
        <v>4819</v>
      </c>
      <c r="C5040" s="3" t="str">
        <f>IFERROR(__xludf.DUMMYFUNCTION("GOOGLETRANSLATE(B5040,""id"",""en"")"),"['Star', 'Talk']")</f>
        <v>['Star', 'Talk']</v>
      </c>
      <c r="D5040" s="3">
        <v>5.0</v>
      </c>
    </row>
    <row r="5041" ht="15.75" customHeight="1">
      <c r="A5041" s="1">
        <v>5396.0</v>
      </c>
      <c r="B5041" s="3" t="s">
        <v>4820</v>
      </c>
      <c r="C5041" s="3" t="str">
        <f>IFERROR(__xludf.DUMMYFUNCTION("GOOGLETRANSLATE(B5041,""id"",""en"")"),"['Satisfied', 'Price', 'Package', 'Mahalll', '']")</f>
        <v>['Satisfied', 'Price', 'Package', 'Mahalll', '']</v>
      </c>
      <c r="D5041" s="3">
        <v>2.0</v>
      </c>
    </row>
    <row r="5042" ht="15.75" customHeight="1">
      <c r="A5042" s="1">
        <v>5397.0</v>
      </c>
      <c r="B5042" s="3" t="s">
        <v>4821</v>
      </c>
      <c r="C5042" s="3" t="str">
        <f>IFERROR(__xludf.DUMMYFUNCTION("GOOGLETRANSLATE(B5042,""id"",""en"")"),"['here', 'promo', 'Package', 'Combo', 'Sakti', 'expensive', 'Tens',' subscribe ',' Telkomsel ',' Please ',' Help ',' Mimin ',' ']")</f>
        <v>['here', 'promo', 'Package', 'Combo', 'Sakti', 'expensive', 'Tens',' subscribe ',' Telkomsel ',' Please ',' Help ',' Mimin ',' ']</v>
      </c>
      <c r="D5042" s="3">
        <v>5.0</v>
      </c>
    </row>
    <row r="5043" ht="15.75" customHeight="1">
      <c r="A5043" s="1">
        <v>5398.0</v>
      </c>
      <c r="B5043" s="3" t="s">
        <v>4822</v>
      </c>
      <c r="C5043" s="3" t="str">
        <f>IFERROR(__xludf.DUMMYFUNCTION("GOOGLETRANSLATE(B5043,""id"",""en"")"),"['Network', 'Telkomsel', 'Severe', 'Enter', 'Room', 'Direct', 'in room', 'guest', 'bar', 'Jln', 'Full', 'Tetep', ' slow ',' severe ',' replace ',' provider ']")</f>
        <v>['Network', 'Telkomsel', 'Severe', 'Enter', 'Room', 'Direct', 'in room', 'guest', 'bar', 'Jln', 'Full', 'Tetep', ' slow ',' severe ',' replace ',' provider ']</v>
      </c>
      <c r="D5043" s="3">
        <v>1.0</v>
      </c>
    </row>
    <row r="5044" ht="15.75" customHeight="1">
      <c r="A5044" s="1">
        <v>5399.0</v>
      </c>
      <c r="B5044" s="3" t="s">
        <v>4823</v>
      </c>
      <c r="C5044" s="3" t="str">
        <f>IFERROR(__xludf.DUMMYFUNCTION("GOOGLETRANSLATE(B5044,""id"",""en"")"),"['Network', 'smooth', 'package', 'expensive', '']")</f>
        <v>['Network', 'smooth', 'package', 'expensive', '']</v>
      </c>
      <c r="D5044" s="3">
        <v>5.0</v>
      </c>
    </row>
    <row r="5045" ht="15.75" customHeight="1">
      <c r="A5045" s="1">
        <v>5400.0</v>
      </c>
      <c r="B5045" s="3" t="s">
        <v>4824</v>
      </c>
      <c r="C5045" s="3" t="str">
        <f>IFERROR(__xludf.DUMMYFUNCTION("GOOGLETRANSLATE(B5045,""id"",""en"")"),"['BUGUS', 'really', 'like', 'APK']")</f>
        <v>['BUGUS', 'really', 'like', 'APK']</v>
      </c>
      <c r="D5045" s="3">
        <v>5.0</v>
      </c>
    </row>
    <row r="5046" ht="15.75" customHeight="1">
      <c r="A5046" s="1">
        <v>5401.0</v>
      </c>
      <c r="B5046" s="3" t="s">
        <v>4825</v>
      </c>
      <c r="C5046" s="3" t="str">
        <f>IFERROR(__xludf.DUMMYFUNCTION("GOOGLETRANSLATE(B5046,""id"",""en"")"),"['Abis', 'update', 'difficult', 'Open']")</f>
        <v>['Abis', 'update', 'difficult', 'Open']</v>
      </c>
      <c r="D5046" s="3">
        <v>1.0</v>
      </c>
    </row>
    <row r="5047" ht="15.75" customHeight="1">
      <c r="A5047" s="1">
        <v>5402.0</v>
      </c>
      <c r="B5047" s="3" t="s">
        <v>4826</v>
      </c>
      <c r="C5047" s="3" t="str">
        <f>IFERROR(__xludf.DUMMYFUNCTION("GOOGLETRANSLATE(B5047,""id"",""en"")"),"['disturbance', '']")</f>
        <v>['disturbance', '']</v>
      </c>
      <c r="D5047" s="3">
        <v>3.0</v>
      </c>
    </row>
    <row r="5048" ht="15.75" customHeight="1">
      <c r="A5048" s="1">
        <v>5403.0</v>
      </c>
      <c r="B5048" s="3" t="s">
        <v>4827</v>
      </c>
      <c r="C5048" s="3" t="str">
        <f>IFERROR(__xludf.DUMMYFUNCTION("GOOGLETRANSLATE(B5048,""id"",""en"")"),"['Help', 'fill', 'package', 'promo', 'prize', '']")</f>
        <v>['Help', 'fill', 'package', 'promo', 'prize', '']</v>
      </c>
      <c r="D5048" s="3">
        <v>5.0</v>
      </c>
    </row>
    <row r="5049" ht="15.75" customHeight="1">
      <c r="A5049" s="1">
        <v>5404.0</v>
      </c>
      <c r="B5049" s="3" t="s">
        <v>4828</v>
      </c>
      <c r="C5049" s="3" t="str">
        <f>IFERROR(__xludf.DUMMYFUNCTION("GOOGLETRANSLATE(B5049,""id"",""en"")"),"['Honey', 'Easy', 'Error']")</f>
        <v>['Honey', 'Easy', 'Error']</v>
      </c>
      <c r="D5049" s="3">
        <v>5.0</v>
      </c>
    </row>
    <row r="5050" ht="15.75" customHeight="1">
      <c r="A5050" s="1">
        <v>5405.0</v>
      </c>
      <c r="B5050" s="3" t="s">
        <v>4829</v>
      </c>
      <c r="C5050" s="3" t="str">
        <f>IFERROR(__xludf.DUMMYFUNCTION("GOOGLETRANSLATE(B5050,""id"",""en"")"),"['Credit', 'truncated', 'compelled', 'package', 'anything', 'Telkomsel', 'pulse', 'truncated', 'notification', 'anything']")</f>
        <v>['Credit', 'truncated', 'compelled', 'package', 'anything', 'Telkomsel', 'pulse', 'truncated', 'notification', 'anything']</v>
      </c>
      <c r="D5050" s="3">
        <v>1.0</v>
      </c>
    </row>
    <row r="5051" ht="15.75" customHeight="1">
      <c r="A5051" s="1">
        <v>5407.0</v>
      </c>
      <c r="B5051" s="3" t="s">
        <v>80</v>
      </c>
      <c r="C5051" s="3" t="str">
        <f>IFERROR(__xludf.DUMMYFUNCTION("GOOGLETRANSLATE(B5051,""id"",""en"")"),"['help', '']")</f>
        <v>['help', '']</v>
      </c>
      <c r="D5051" s="3">
        <v>5.0</v>
      </c>
    </row>
    <row r="5052" ht="15.75" customHeight="1">
      <c r="A5052" s="1">
        <v>5408.0</v>
      </c>
      <c r="B5052" s="3" t="s">
        <v>4830</v>
      </c>
      <c r="C5052" s="3" t="str">
        <f>IFERROR(__xludf.DUMMYFUNCTION("GOOGLETRANSLATE(B5052,""id"",""en"")"),"['promo', 'bonus', 'steady', '']")</f>
        <v>['promo', 'bonus', 'steady', '']</v>
      </c>
      <c r="D5052" s="3">
        <v>5.0</v>
      </c>
    </row>
    <row r="5053" ht="15.75" customHeight="1">
      <c r="A5053" s="1">
        <v>5409.0</v>
      </c>
      <c r="B5053" s="3" t="s">
        <v>4831</v>
      </c>
      <c r="C5053" s="3" t="str">
        <f>IFERROR(__xludf.DUMMYFUNCTION("GOOGLETRANSLATE(B5053,""id"",""en"")"),"['Alkhamdulillaah', 'Help', 'APK', ""]")</f>
        <v>['Alkhamdulillaah', 'Help', 'APK', "]</v>
      </c>
      <c r="D5053" s="3">
        <v>3.0</v>
      </c>
    </row>
    <row r="5054" ht="15.75" customHeight="1">
      <c r="A5054" s="1">
        <v>5410.0</v>
      </c>
      <c r="B5054" s="3" t="s">
        <v>4832</v>
      </c>
      <c r="C5054" s="3" t="str">
        <f>IFERROR(__xludf.DUMMYFUNCTION("GOOGLETRANSLATE(B5054,""id"",""en"")"),"['already', 'package', 'internet', 'contents', 'pulse', 'sucked', 'usage', 'internet', '']")</f>
        <v>['already', 'package', 'internet', 'contents', 'pulse', 'sucked', 'usage', 'internet', '']</v>
      </c>
      <c r="D5054" s="3">
        <v>2.0</v>
      </c>
    </row>
    <row r="5055" ht="15.75" customHeight="1">
      <c r="A5055" s="1">
        <v>5411.0</v>
      </c>
      <c r="B5055" s="3" t="s">
        <v>4833</v>
      </c>
      <c r="C5055" s="3" t="str">
        <f>IFERROR(__xludf.DUMMYFUNCTION("GOOGLETRANSLATE(B5055,""id"",""en"")"),"['likes', 'Telkomsel', 'buy', 'quota', 'promo', 'affordable']")</f>
        <v>['likes', 'Telkomsel', 'buy', 'quota', 'promo', 'affordable']</v>
      </c>
      <c r="D5055" s="3">
        <v>5.0</v>
      </c>
    </row>
    <row r="5056" ht="15.75" customHeight="1">
      <c r="A5056" s="1">
        <v>5412.0</v>
      </c>
      <c r="B5056" s="3" t="s">
        <v>4834</v>
      </c>
      <c r="C5056" s="3" t="str">
        <f>IFERROR(__xludf.DUMMYFUNCTION("GOOGLETRANSLATE(B5056,""id"",""en"")"),"['Please', 'package', 'emergency', 'activated']")</f>
        <v>['Please', 'package', 'emergency', 'activated']</v>
      </c>
      <c r="D5056" s="3">
        <v>5.0</v>
      </c>
    </row>
    <row r="5057" ht="15.75" customHeight="1">
      <c r="A5057" s="1">
        <v>5413.0</v>
      </c>
      <c r="B5057" s="3" t="s">
        <v>4835</v>
      </c>
      <c r="C5057" s="3" t="str">
        <f>IFERROR(__xludf.DUMMYFUNCTION("GOOGLETRANSLATE(B5057,""id"",""en"")"),"['Speed', 'Internet', 'Open', 'APK', 'Telkomsel', 'above', 'Kbps',' APK ',' Telkomsel ',' Close ',' Speed ​​',' Internet ',' Direct ',' down ',' kbps', 'kbps',' browsing ',' google ',' youtube ',' super ',' slow ',' sense ',' akalan ',' pulse ',' regular "&amp;"' , 'Out', 'quota', 'data', 'action', 'detrimental', 'consumer', '']")</f>
        <v>['Speed', 'Internet', 'Open', 'APK', 'Telkomsel', 'above', 'Kbps',' APK ',' Telkomsel ',' Close ',' Speed ​​',' Internet ',' Direct ',' down ',' kbps', 'kbps',' browsing ',' google ',' youtube ',' super ',' slow ',' sense ',' akalan ',' pulse ',' regular ' , 'Out', 'quota', 'data', 'action', 'detrimental', 'consumer', '']</v>
      </c>
      <c r="D5057" s="3">
        <v>1.0</v>
      </c>
    </row>
    <row r="5058" ht="15.75" customHeight="1">
      <c r="A5058" s="1">
        <v>5414.0</v>
      </c>
      <c r="B5058" s="3" t="s">
        <v>4836</v>
      </c>
      <c r="C5058" s="3" t="str">
        <f>IFERROR(__xludf.DUMMYFUNCTION("GOOGLETRANSLATE(B5058,""id"",""en"")"),"['Not bad', 'list', 'package', '']")</f>
        <v>['Not bad', 'list', 'package', '']</v>
      </c>
      <c r="D5058" s="3">
        <v>4.0</v>
      </c>
    </row>
    <row r="5059" ht="15.75" customHeight="1">
      <c r="A5059" s="1">
        <v>5415.0</v>
      </c>
      <c r="B5059" s="3" t="s">
        <v>4837</v>
      </c>
      <c r="C5059" s="3" t="str">
        <f>IFERROR(__xludf.DUMMYFUNCTION("GOOGLETRANSLATE(B5059,""id"",""en"")"),"['like', 'network', 'strong']")</f>
        <v>['like', 'network', 'strong']</v>
      </c>
      <c r="D5059" s="3">
        <v>5.0</v>
      </c>
    </row>
    <row r="5060" ht="15.75" customHeight="1">
      <c r="A5060" s="1">
        <v>5416.0</v>
      </c>
      <c r="B5060" s="3" t="s">
        <v>4838</v>
      </c>
      <c r="C5060" s="3" t="str">
        <f>IFERROR(__xludf.DUMMYFUNCTION("GOOGLETRANSLATE(B5060,""id"",""en"")"),"['Network', 'Combo', 'Sakti', 'Rb', 'Good', 'Trying', 'Main', 'Game', 'Network', 'Alesil', 'Loading', 'Disappointed']")</f>
        <v>['Network', 'Combo', 'Sakti', 'Rb', 'Good', 'Trying', 'Main', 'Game', 'Network', 'Alesil', 'Loading', 'Disappointed']</v>
      </c>
      <c r="D5060" s="3">
        <v>1.0</v>
      </c>
    </row>
    <row r="5061" ht="15.75" customHeight="1">
      <c r="A5061" s="1">
        <v>5417.0</v>
      </c>
      <c r="B5061" s="3" t="s">
        <v>4839</v>
      </c>
      <c r="C5061" s="3" t="str">
        <f>IFERROR(__xludf.DUMMYFUNCTION("GOOGLETRANSLATE(B5061,""id"",""en"")"),"['easy', 'check', 'quota', 'pulse']")</f>
        <v>['easy', 'check', 'quota', 'pulse']</v>
      </c>
      <c r="D5061" s="3">
        <v>5.0</v>
      </c>
    </row>
    <row r="5062" ht="15.75" customHeight="1">
      <c r="A5062" s="1">
        <v>5418.0</v>
      </c>
      <c r="B5062" s="3" t="s">
        <v>4840</v>
      </c>
      <c r="C5062" s="3" t="str">
        <f>IFERROR(__xludf.DUMMYFUNCTION("GOOGLETRANSLATE(B5062,""id"",""en"")"),"['access', 'fast', 'promo', 'product', 'digital']")</f>
        <v>['access', 'fast', 'promo', 'product', 'digital']</v>
      </c>
      <c r="D5062" s="3">
        <v>5.0</v>
      </c>
    </row>
    <row r="5063" ht="15.75" customHeight="1">
      <c r="A5063" s="1">
        <v>5419.0</v>
      </c>
      <c r="B5063" s="3" t="s">
        <v>4841</v>
      </c>
      <c r="C5063" s="3" t="str">
        <f>IFERROR(__xludf.DUMMYFUNCTION("GOOGLETRANSLATE(B5063,""id"",""en"")"),"['Angga', 'Saputra', 'Good', 'Mantap']")</f>
        <v>['Angga', 'Saputra', 'Good', 'Mantap']</v>
      </c>
      <c r="D5063" s="3">
        <v>4.0</v>
      </c>
    </row>
    <row r="5064" ht="15.75" customHeight="1">
      <c r="A5064" s="1">
        <v>5420.0</v>
      </c>
      <c r="B5064" s="3" t="s">
        <v>4842</v>
      </c>
      <c r="C5064" s="3" t="str">
        <f>IFERROR(__xludf.DUMMYFUNCTION("GOOGLETRANSLATE(B5064,""id"",""en"")"),"['try', 'comfortable', 'star', 'tambai', '']")</f>
        <v>['try', 'comfortable', 'star', 'tambai', '']</v>
      </c>
      <c r="D5064" s="3">
        <v>2.0</v>
      </c>
    </row>
    <row r="5065" ht="15.75" customHeight="1">
      <c r="A5065" s="1">
        <v>5421.0</v>
      </c>
      <c r="B5065" s="3" t="s">
        <v>4843</v>
      </c>
      <c r="C5065" s="3" t="str">
        <f>IFERROR(__xludf.DUMMYFUNCTION("GOOGLETRANSLATE(B5065,""id"",""en"")"),"['Please', 'Add', 'Feature', 'Auto', 'Buy', 'Package', 'Data', 'System', 'Quota', 'Out', 'Credit', 'left', ' automatically ',' used ',' buy ',' package ',' data ',' pulse ',' safe ',' exposed ',' tariff ',' non ',' package ',' ']")</f>
        <v>['Please', 'Add', 'Feature', 'Auto', 'Buy', 'Package', 'Data', 'System', 'Quota', 'Out', 'Credit', 'left', ' automatically ',' used ',' buy ',' package ',' data ',' pulse ',' safe ',' exposed ',' tariff ',' non ',' package ',' ']</v>
      </c>
      <c r="D5065" s="3">
        <v>4.0</v>
      </c>
    </row>
    <row r="5066" ht="15.75" customHeight="1">
      <c r="A5066" s="1">
        <v>5422.0</v>
      </c>
      <c r="B5066" s="3" t="s">
        <v>4844</v>
      </c>
      <c r="C5066" s="3" t="str">
        <f>IFERROR(__xludf.DUMMYFUNCTION("GOOGLETRANSLATE(B5066,""id"",""en"")"),"['telkosel', 'like', 'slow', 'river', ""]")</f>
        <v>['telkosel', 'like', 'slow', 'river', "]</v>
      </c>
      <c r="D5066" s="3">
        <v>1.0</v>
      </c>
    </row>
    <row r="5067" ht="15.75" customHeight="1">
      <c r="A5067" s="1">
        <v>5423.0</v>
      </c>
      <c r="B5067" s="3" t="s">
        <v>4845</v>
      </c>
      <c r="C5067" s="3" t="str">
        <f>IFERROR(__xludf.DUMMYFUNCTION("GOOGLETRANSLATE(B5067,""id"",""en"")"),"['Gajelas', 'right', 'entry', 'already', 'fix', 'given', 'star']")</f>
        <v>['Gajelas', 'right', 'entry', 'already', 'fix', 'given', 'star']</v>
      </c>
      <c r="D5067" s="3">
        <v>3.0</v>
      </c>
    </row>
    <row r="5068" ht="15.75" customHeight="1">
      <c r="A5068" s="1">
        <v>5424.0</v>
      </c>
      <c r="B5068" s="3" t="s">
        <v>4846</v>
      </c>
      <c r="C5068" s="3" t="str">
        <f>IFERROR(__xludf.DUMMYFUNCTION("GOOGLETRANSLATE(B5068,""id"",""en"")"),"['Hopefully', 'get', 'Lottery', 'Motor', 'work']")</f>
        <v>['Hopefully', 'get', 'Lottery', 'Motor', 'work']</v>
      </c>
      <c r="D5068" s="3">
        <v>5.0</v>
      </c>
    </row>
    <row r="5069" ht="15.75" customHeight="1">
      <c r="A5069" s="1">
        <v>5425.0</v>
      </c>
      <c r="B5069" s="3" t="s">
        <v>4847</v>
      </c>
      <c r="C5069" s="3" t="str">
        <f>IFERROR(__xludf.DUMMYFUNCTION("GOOGLETRANSLATE(B5069,""id"",""en"")"),"['Good', 'really', 'easy']")</f>
        <v>['Good', 'really', 'easy']</v>
      </c>
      <c r="D5069" s="3">
        <v>5.0</v>
      </c>
    </row>
    <row r="5070" ht="15.75" customHeight="1">
      <c r="A5070" s="1">
        <v>5426.0</v>
      </c>
      <c r="B5070" s="3" t="s">
        <v>4848</v>
      </c>
      <c r="C5070" s="3" t="str">
        <f>IFERROR(__xludf.DUMMYFUNCTION("GOOGLETRANSLATE(B5070,""id"",""en"")"),"['', 'Telkomsel', 'Android', 'Install', 'Please', 'Repaired', '']")</f>
        <v>['', 'Telkomsel', 'Android', 'Install', 'Please', 'Repaired', '']</v>
      </c>
      <c r="D5070" s="3">
        <v>5.0</v>
      </c>
    </row>
    <row r="5071" ht="15.75" customHeight="1">
      <c r="A5071" s="1">
        <v>5427.0</v>
      </c>
      <c r="B5071" s="3" t="s">
        <v>4849</v>
      </c>
      <c r="C5071" s="3" t="str">
        <f>IFERROR(__xludf.DUMMYFUNCTION("GOOGLETRANSLATE(B5071,""id"",""en"")"),"['Helpful', '']")</f>
        <v>['Helpful', '']</v>
      </c>
      <c r="D5071" s="3">
        <v>5.0</v>
      </c>
    </row>
    <row r="5072" ht="15.75" customHeight="1">
      <c r="A5072" s="1">
        <v>5428.0</v>
      </c>
      <c r="B5072" s="3" t="s">
        <v>4850</v>
      </c>
      <c r="C5072" s="3" t="str">
        <f>IFERROR(__xludf.DUMMYFUNCTION("GOOGLETRANSLATE(B5072,""id"",""en"")"),"['Gara', 'Gara', 'Lost', 'Play', '']")</f>
        <v>['Gara', 'Gara', 'Lost', 'Play', '']</v>
      </c>
      <c r="D5072" s="3">
        <v>1.0</v>
      </c>
    </row>
    <row r="5073" ht="15.75" customHeight="1">
      <c r="A5073" s="1">
        <v>5429.0</v>
      </c>
      <c r="B5073" s="3" t="s">
        <v>4851</v>
      </c>
      <c r="C5073" s="3" t="str">
        <f>IFERROR(__xludf.DUMMYFUNCTION("GOOGLETRANSLATE(B5073,""id"",""en"")"),"['Credit', 'Cut']")</f>
        <v>['Credit', 'Cut']</v>
      </c>
      <c r="D5073" s="3">
        <v>1.0</v>
      </c>
    </row>
    <row r="5074" ht="15.75" customHeight="1">
      <c r="A5074" s="1">
        <v>5430.0</v>
      </c>
      <c r="B5074" s="3" t="s">
        <v>4852</v>
      </c>
      <c r="C5074" s="3" t="str">
        <f>IFERROR(__xludf.DUMMYFUNCTION("GOOGLETRANSLATE(B5074,""id"",""en"")"),"['satisfying', 'menu', 'complete', 'use', 'easy', 'easy', 'mndptkn', 'prize', 'user', 'loyal', ""]")</f>
        <v>['satisfying', 'menu', 'complete', 'use', 'easy', 'easy', 'mndptkn', 'prize', 'user', 'loyal', "]</v>
      </c>
      <c r="D5074" s="3">
        <v>5.0</v>
      </c>
    </row>
    <row r="5075" ht="15.75" customHeight="1">
      <c r="A5075" s="1">
        <v>5431.0</v>
      </c>
      <c r="B5075" s="3" t="s">
        <v>4853</v>
      </c>
      <c r="C5075" s="3" t="str">
        <f>IFERROR(__xludf.DUMMYFUNCTION("GOOGLETRANSLATE(B5075,""id"",""en"")"),"['Application', 'easy', 'use']")</f>
        <v>['Application', 'easy', 'use']</v>
      </c>
      <c r="D5075" s="3">
        <v>5.0</v>
      </c>
    </row>
    <row r="5076" ht="15.75" customHeight="1">
      <c r="A5076" s="1">
        <v>5432.0</v>
      </c>
      <c r="B5076" s="3" t="s">
        <v>4854</v>
      </c>
      <c r="C5076" s="3" t="str">
        <f>IFERROR(__xludf.DUMMYFUNCTION("GOOGLETRANSLATE(B5076,""id"",""en"")"),"['Cool', 'application', 'makes it easy', 'user']")</f>
        <v>['Cool', 'application', 'makes it easy', 'user']</v>
      </c>
      <c r="D5076" s="3">
        <v>5.0</v>
      </c>
    </row>
    <row r="5077" ht="15.75" customHeight="1">
      <c r="A5077" s="1">
        <v>5433.0</v>
      </c>
      <c r="B5077" s="3" t="s">
        <v>4855</v>
      </c>
      <c r="C5077" s="3" t="str">
        <f>IFERROR(__xludf.DUMMYFUNCTION("GOOGLETRANSLATE(B5077,""id"",""en"")"),"['already', 'dozens', 'in', 'subscribe', 'Nga', 'discount', 'Telkomsel']")</f>
        <v>['already', 'dozens', 'in', 'subscribe', 'Nga', 'discount', 'Telkomsel']</v>
      </c>
      <c r="D5077" s="3">
        <v>2.0</v>
      </c>
    </row>
    <row r="5078" ht="15.75" customHeight="1">
      <c r="A5078" s="1">
        <v>5434.0</v>
      </c>
      <c r="B5078" s="3" t="s">
        <v>4856</v>
      </c>
      <c r="C5078" s="3" t="str">
        <f>IFERROR(__xludf.DUMMYFUNCTION("GOOGLETRANSLATE(B5078,""id"",""en"")"),"['regret', 'use', 'Telkomsel', 'network', 'threat', 'severe', '']")</f>
        <v>['regret', 'use', 'Telkomsel', 'network', 'threat', 'severe', '']</v>
      </c>
      <c r="D5078" s="3">
        <v>1.0</v>
      </c>
    </row>
    <row r="5079" ht="15.75" customHeight="1">
      <c r="A5079" s="1">
        <v>5435.0</v>
      </c>
      <c r="B5079" s="3" t="s">
        <v>4857</v>
      </c>
      <c r="C5079" s="3" t="str">
        <f>IFERROR(__xludf.DUMMYFUNCTION("GOOGLETRANSLATE(B5079,""id"",""en"")"),"['Service']")</f>
        <v>['Service']</v>
      </c>
      <c r="D5079" s="3">
        <v>5.0</v>
      </c>
    </row>
    <row r="5080" ht="15.75" customHeight="1">
      <c r="A5080" s="1">
        <v>5436.0</v>
      </c>
      <c r="B5080" s="3" t="s">
        <v>4858</v>
      </c>
      <c r="C5080" s="3" t="str">
        <f>IFERROR(__xludf.DUMMYFUNCTION("GOOGLETRANSLATE(B5080,""id"",""en"")"),"['TRIMS', 'UDH', 'MSK']")</f>
        <v>['TRIMS', 'UDH', 'MSK']</v>
      </c>
      <c r="D5080" s="3">
        <v>5.0</v>
      </c>
    </row>
    <row r="5081" ht="15.75" customHeight="1">
      <c r="A5081" s="1">
        <v>5437.0</v>
      </c>
      <c r="B5081" s="3" t="s">
        <v>4859</v>
      </c>
      <c r="C5081" s="3" t="str">
        <f>IFERROR(__xludf.DUMMYFUNCTION("GOOGLETRANSLATE(B5081,""id"",""en"")"),"['Telkomsel', 'bad', 'network', 'slow', 'really']")</f>
        <v>['Telkomsel', 'bad', 'network', 'slow', 'really']</v>
      </c>
      <c r="D5081" s="3">
        <v>1.0</v>
      </c>
    </row>
    <row r="5082" ht="15.75" customHeight="1">
      <c r="A5082" s="1">
        <v>5438.0</v>
      </c>
      <c r="B5082" s="3" t="s">
        <v>4860</v>
      </c>
      <c r="C5082" s="3" t="str">
        <f>IFERROR(__xludf.DUMMYFUNCTION("GOOGLETRANSLATE(B5082,""id"",""en"")"),"['Safety', 'Come', 'Network', 'Peambanan', 'Jogja']")</f>
        <v>['Safety', 'Come', 'Network', 'Peambanan', 'Jogja']</v>
      </c>
      <c r="D5082" s="3">
        <v>5.0</v>
      </c>
    </row>
    <row r="5083" ht="15.75" customHeight="1">
      <c r="A5083" s="1">
        <v>5439.0</v>
      </c>
      <c r="B5083" s="3" t="s">
        <v>4861</v>
      </c>
      <c r="C5083" s="3" t="str">
        <f>IFERROR(__xludf.DUMMYFUNCTION("GOOGLETRANSLATE(B5083,""id"",""en"")"),"['nyedot', 'quota', 'open', 'app', 'doang']")</f>
        <v>['nyedot', 'quota', 'open', 'app', 'doang']</v>
      </c>
      <c r="D5083" s="3">
        <v>1.0</v>
      </c>
    </row>
    <row r="5084" ht="15.75" customHeight="1">
      <c r="A5084" s="1">
        <v>5440.0</v>
      </c>
      <c r="B5084" s="3" t="s">
        <v>4862</v>
      </c>
      <c r="C5084" s="3" t="str">
        <f>IFERROR(__xludf.DUMMYFUNCTION("GOOGLETRANSLATE(B5084,""id"",""en"")"),"['Application', 'Telkomsel', 'Progression', 'Top', 'Game', 'Free', 'Fire']")</f>
        <v>['Application', 'Telkomsel', 'Progression', 'Top', 'Game', 'Free', 'Fire']</v>
      </c>
      <c r="D5084" s="3">
        <v>1.0</v>
      </c>
    </row>
    <row r="5085" ht="15.75" customHeight="1">
      <c r="A5085" s="1">
        <v>5441.0</v>
      </c>
      <c r="B5085" s="3" t="s">
        <v>4863</v>
      </c>
      <c r="C5085" s="3" t="str">
        <f>IFERROR(__xludf.DUMMYFUNCTION("GOOGLETRANSLATE(B5085,""id"",""en"")"),"['quota', 'promo', 'mytelkomsel', 'friend', 'fair', 'application', 'promo', 'quota', ""]")</f>
        <v>['quota', 'promo', 'mytelkomsel', 'friend', 'fair', 'application', 'promo', 'quota', "]</v>
      </c>
      <c r="D5085" s="3">
        <v>1.0</v>
      </c>
    </row>
    <row r="5086" ht="15.75" customHeight="1">
      <c r="A5086" s="1">
        <v>5442.0</v>
      </c>
      <c r="B5086" s="3" t="s">
        <v>4864</v>
      </c>
      <c r="C5086" s="3" t="str">
        <f>IFERROR(__xludf.DUMMYFUNCTION("GOOGLETRANSLATE(B5086,""id"",""en"")"),"['wtf', 'please', 'explanation', 'buy', 'routine', 'package', 'unlimited', 'YouTube', 'TPI', 'TIME', 'TESEDOT', 'quota', ' main ',' GB ',' in ',' use ',' unlimited ',' YouTube ',' TPI ',' Reduced ',' quota ',' main ',' What ',' Hell ',' Hell ' , 'Dude', "&amp;"""]")</f>
        <v>['wtf', 'please', 'explanation', 'buy', 'routine', 'package', 'unlimited', 'YouTube', 'TPI', 'TIME', 'TESEDOT', 'quota', ' main ',' GB ',' in ',' use ',' unlimited ',' YouTube ',' TPI ',' Reduced ',' quota ',' main ',' What ',' Hell ',' Hell ' , 'Dude', "]</v>
      </c>
      <c r="D5086" s="3">
        <v>2.0</v>
      </c>
    </row>
    <row r="5087" ht="15.75" customHeight="1">
      <c r="A5087" s="1">
        <v>5443.0</v>
      </c>
      <c r="B5087" s="3" t="s">
        <v>4865</v>
      </c>
      <c r="C5087" s="3" t="str">
        <f>IFERROR(__xludf.DUMMYFUNCTION("GOOGLETRANSLATE(B5087,""id"",""en"")"),"['Leet', 'The network']")</f>
        <v>['Leet', 'The network']</v>
      </c>
      <c r="D5087" s="3">
        <v>1.0</v>
      </c>
    </row>
    <row r="5088" ht="15.75" customHeight="1">
      <c r="A5088" s="1">
        <v>5444.0</v>
      </c>
      <c r="B5088" s="3" t="s">
        <v>4866</v>
      </c>
      <c r="C5088" s="3" t="str">
        <f>IFERROR(__xludf.DUMMYFUNCTION("GOOGLETRANSLATE(B5088,""id"",""en"")"),"['Telkomsel', 'bad', 'njir', 'oath', 'bnyak', 'update', 'bad', 'network', 'disappointed']")</f>
        <v>['Telkomsel', 'bad', 'njir', 'oath', 'bnyak', 'update', 'bad', 'network', 'disappointed']</v>
      </c>
      <c r="D5088" s="3">
        <v>1.0</v>
      </c>
    </row>
    <row r="5089" ht="15.75" customHeight="1">
      <c r="A5089" s="1">
        <v>5446.0</v>
      </c>
      <c r="B5089" s="3" t="s">
        <v>4867</v>
      </c>
      <c r="C5089" s="3" t="str">
        <f>IFERROR(__xludf.DUMMYFUNCTION("GOOGLETRANSLATE(B5089,""id"",""en"")"),"['Dmna', 'jrngan']")</f>
        <v>['Dmna', 'jrngan']</v>
      </c>
      <c r="D5089" s="3">
        <v>5.0</v>
      </c>
    </row>
    <row r="5090" ht="15.75" customHeight="1">
      <c r="A5090" s="1">
        <v>5447.0</v>
      </c>
      <c r="B5090" s="3" t="s">
        <v>4868</v>
      </c>
      <c r="C5090" s="3" t="str">
        <f>IFERROR(__xludf.DUMMYFUNCTION("GOOGLETRANSLATE(B5090,""id"",""en"")"),"['satisfying', 'Telkomsel', 'emang', 'good']")</f>
        <v>['satisfying', 'Telkomsel', 'emang', 'good']</v>
      </c>
      <c r="D5090" s="3">
        <v>5.0</v>
      </c>
    </row>
    <row r="5091" ht="15.75" customHeight="1">
      <c r="A5091" s="1">
        <v>5448.0</v>
      </c>
      <c r="B5091" s="3" t="s">
        <v>4869</v>
      </c>
      <c r="C5091" s="3" t="str">
        <f>IFERROR(__xludf.DUMMYFUNCTION("GOOGLETRANSLATE(B5091,""id"",""en"")"),"['package', 'buy', 'expensive', 'signal', 'taikk', 'slow', 'use', 'play', 'game', 'COKK', 'COKK', 'Nyesell', ' Use ',' Telkomsel ',' ']")</f>
        <v>['package', 'buy', 'expensive', 'signal', 'taikk', 'slow', 'use', 'play', 'game', 'COKK', 'COKK', 'Nyesell', ' Use ',' Telkomsel ',' ']</v>
      </c>
      <c r="D5091" s="3">
        <v>1.0</v>
      </c>
    </row>
    <row r="5092" ht="15.75" customHeight="1">
      <c r="A5092" s="1">
        <v>5449.0</v>
      </c>
      <c r="B5092" s="3" t="s">
        <v>4870</v>
      </c>
      <c r="C5092" s="3" t="str">
        <f>IFERROR(__xludf.DUMMYFUNCTION("GOOGLETRANSLATE(B5092,""id"",""en"")"),"['How', 'Kallo', 'Sisan', 'pulse', 'sumps', 'sii', 'hikang', 'pulse', 'woii', 'bankrupt', 'cave']")</f>
        <v>['How', 'Kallo', 'Sisan', 'pulse', 'sumps', 'sii', 'hikang', 'pulse', 'woii', 'bankrupt', 'cave']</v>
      </c>
      <c r="D5092" s="3">
        <v>4.0</v>
      </c>
    </row>
    <row r="5093" ht="15.75" customHeight="1">
      <c r="A5093" s="1">
        <v>5450.0</v>
      </c>
      <c r="B5093" s="3" t="s">
        <v>4871</v>
      </c>
      <c r="C5093" s="3" t="str">
        <f>IFERROR(__xludf.DUMMYFUNCTION("GOOGLETRANSLATE(B5093,""id"",""en"")"),"['', 'Control', 'pulse']")</f>
        <v>['', 'Control', 'pulse']</v>
      </c>
      <c r="D5093" s="3">
        <v>1.0</v>
      </c>
    </row>
    <row r="5094" ht="15.75" customHeight="1">
      <c r="A5094" s="1">
        <v>5451.0</v>
      </c>
      <c r="B5094" s="3" t="s">
        <v>4872</v>
      </c>
      <c r="C5094" s="3" t="str">
        <f>IFERROR(__xludf.DUMMYFUNCTION("GOOGLETRANSLATE(B5094,""id"",""en"")"),"['Promo', 'expensive', 'connection', 'slow']")</f>
        <v>['Promo', 'expensive', 'connection', 'slow']</v>
      </c>
      <c r="D5094" s="3">
        <v>1.0</v>
      </c>
    </row>
    <row r="5095" ht="15.75" customHeight="1">
      <c r="A5095" s="1">
        <v>5452.0</v>
      </c>
      <c r="B5095" s="3" t="s">
        <v>4873</v>
      </c>
      <c r="C5095" s="3" t="str">
        <f>IFERROR(__xludf.DUMMYFUNCTION("GOOGLETRANSLATE(B5095,""id"",""en"")"),"['Telkomsel', 'connection', 'bad', 'speed', 'internet', 'bad']")</f>
        <v>['Telkomsel', 'connection', 'bad', 'speed', 'internet', 'bad']</v>
      </c>
      <c r="D5095" s="3">
        <v>1.0</v>
      </c>
    </row>
    <row r="5096" ht="15.75" customHeight="1">
      <c r="A5096" s="1">
        <v>5453.0</v>
      </c>
      <c r="B5096" s="3" t="s">
        <v>4874</v>
      </c>
      <c r="C5096" s="3" t="str">
        <f>IFERROR(__xludf.DUMMYFUNCTION("GOOGLETRANSLATE(B5096,""id"",""en"")"),"['The name', 'setabilia', 'play', 'game', 'online', 'sometimes', 'like', 'down', 'network']")</f>
        <v>['The name', 'setabilia', 'play', 'game', 'online', 'sometimes', 'like', 'down', 'network']</v>
      </c>
      <c r="D5096" s="3">
        <v>2.0</v>
      </c>
    </row>
    <row r="5097" ht="15.75" customHeight="1">
      <c r="A5097" s="1">
        <v>5454.0</v>
      </c>
      <c r="B5097" s="3" t="s">
        <v>4875</v>
      </c>
      <c r="C5097" s="3" t="str">
        <f>IFERROR(__xludf.DUMMYFUNCTION("GOOGLETRANSLATE(B5097,""id"",""en"")"),"['quota', 'network', 'good', 'buy', 'package', 'error', 'mulu']")</f>
        <v>['quota', 'network', 'good', 'buy', 'package', 'error', 'mulu']</v>
      </c>
      <c r="D5097" s="3">
        <v>2.0</v>
      </c>
    </row>
    <row r="5098" ht="15.75" customHeight="1">
      <c r="A5098" s="1">
        <v>5455.0</v>
      </c>
      <c r="B5098" s="3" t="s">
        <v>4876</v>
      </c>
      <c r="C5098" s="3" t="str">
        <f>IFERROR(__xludf.DUMMYFUNCTION("GOOGLETRANSLATE(B5098,""id"",""en"")"),"['Steady', 'My boss', 'Telkomsel', 'Gacor']")</f>
        <v>['Steady', 'My boss', 'Telkomsel', 'Gacor']</v>
      </c>
      <c r="D5098" s="3">
        <v>5.0</v>
      </c>
    </row>
    <row r="5099" ht="15.75" customHeight="1">
      <c r="A5099" s="1">
        <v>5456.0</v>
      </c>
      <c r="B5099" s="3" t="s">
        <v>4877</v>
      </c>
      <c r="C5099" s="3" t="str">
        <f>IFERROR(__xludf.DUMMYFUNCTION("GOOGLETRANSLATE(B5099,""id"",""en"")"),"['expensive', 'expensive', 'kouta', 'pigiii']")</f>
        <v>['expensive', 'expensive', 'kouta', 'pigiii']</v>
      </c>
      <c r="D5099" s="3">
        <v>1.0</v>
      </c>
    </row>
    <row r="5100" ht="15.75" customHeight="1">
      <c r="A5100" s="1">
        <v>5457.0</v>
      </c>
      <c r="B5100" s="3" t="s">
        <v>4878</v>
      </c>
      <c r="C5100" s="3" t="str">
        <f>IFERROR(__xludf.DUMMYFUNCTION("GOOGLETRANSLATE(B5100,""id"",""en"")"),"['signal', 'error', 'price', 'quota', 'cheap', '']")</f>
        <v>['signal', 'error', 'price', 'quota', 'cheap', '']</v>
      </c>
      <c r="D5100" s="3">
        <v>3.0</v>
      </c>
    </row>
    <row r="5101" ht="15.75" customHeight="1">
      <c r="A5101" s="1">
        <v>5458.0</v>
      </c>
      <c r="B5101" s="3" t="s">
        <v>4879</v>
      </c>
      <c r="C5101" s="3" t="str">
        <f>IFERROR(__xludf.DUMMYFUNCTION("GOOGLETRANSLATE(B5101,""id"",""en"")"),"['application', 'steady', 'love', ""]")</f>
        <v>['application', 'steady', 'love', "]</v>
      </c>
      <c r="D5101" s="3">
        <v>5.0</v>
      </c>
    </row>
    <row r="5102" ht="15.75" customHeight="1">
      <c r="A5102" s="1">
        <v>5459.0</v>
      </c>
      <c r="B5102" s="3" t="s">
        <v>4880</v>
      </c>
      <c r="C5102" s="3" t="str">
        <f>IFERROR(__xludf.DUMMYFUNCTION("GOOGLETRANSLATE(B5102,""id"",""en"")"),"['easy', 'information', 'promo', 'card', 'Telkomsel', '']")</f>
        <v>['easy', 'information', 'promo', 'card', 'Telkomsel', '']</v>
      </c>
      <c r="D5102" s="3">
        <v>4.0</v>
      </c>
    </row>
    <row r="5103" ht="15.75" customHeight="1">
      <c r="A5103" s="1">
        <v>5460.0</v>
      </c>
      <c r="B5103" s="3" t="s">
        <v>4881</v>
      </c>
      <c r="C5103" s="3" t="str">
        <f>IFERROR(__xludf.DUMMYFUNCTION("GOOGLETRANSLATE(B5103,""id"",""en"")"),"['Telkomsel', 'Anjiiing', 'Anjiiiiiing', 'Anjiiiiiing', 'Network', '']")</f>
        <v>['Telkomsel', 'Anjiiing', 'Anjiiiiiing', 'Anjiiiiiing', 'Network', '']</v>
      </c>
      <c r="D5103" s="3">
        <v>1.0</v>
      </c>
    </row>
    <row r="5104" ht="15.75" customHeight="1">
      <c r="A5104" s="1">
        <v>5461.0</v>
      </c>
      <c r="B5104" s="3" t="s">
        <v>4882</v>
      </c>
      <c r="C5104" s="3" t="str">
        <f>IFERROR(__xludf.DUMMYFUNCTION("GOOGLETRANSLATE(B5104,""id"",""en"")"),"['printed', 'combo', 'Sakti', 'once', 'already', 'fill in', 'pulse', 'direct', 'missing', 'promo', 'you', 'you' Kidding ',' ']")</f>
        <v>['printed', 'combo', 'Sakti', 'once', 'already', 'fill in', 'pulse', 'direct', 'missing', 'promo', 'you', 'you' Kidding ',' ']</v>
      </c>
      <c r="D5104" s="3">
        <v>1.0</v>
      </c>
    </row>
    <row r="5105" ht="15.75" customHeight="1">
      <c r="A5105" s="1">
        <v>5462.0</v>
      </c>
      <c r="B5105" s="3" t="s">
        <v>4883</v>
      </c>
      <c r="C5105" s="3" t="str">
        <f>IFERROR(__xludf.DUMMYFUNCTION("GOOGLETRANSLATE(B5105,""id"",""en"")"),"['just', 'gave', 'suggestion', 'signal', 'fix', 'Jan', 'style', 'ajh', 'blom', 'straight']")</f>
        <v>['just', 'gave', 'suggestion', 'signal', 'fix', 'Jan', 'style', 'ajh', 'blom', 'straight']</v>
      </c>
      <c r="D5105" s="3">
        <v>1.0</v>
      </c>
    </row>
    <row r="5106" ht="15.75" customHeight="1">
      <c r="A5106" s="1">
        <v>5463.0</v>
      </c>
      <c r="B5106" s="3" t="s">
        <v>4884</v>
      </c>
      <c r="C5106" s="3" t="str">
        <f>IFERROR(__xludf.DUMMYFUNCTION("GOOGLETRANSLATE(B5106,""id"",""en"")"),"['signal', 'ugly', 'ping', 'destroyed', 'price', 'package', 'data', 'expensive', 'move', 'provider', 'already', 'that's']")</f>
        <v>['signal', 'ugly', 'ping', 'destroyed', 'price', 'package', 'data', 'expensive', 'move', 'provider', 'already', 'that's']</v>
      </c>
      <c r="D5106" s="3">
        <v>1.0</v>
      </c>
    </row>
    <row r="5107" ht="15.75" customHeight="1">
      <c r="A5107" s="1">
        <v>5464.0</v>
      </c>
      <c r="B5107" s="3" t="s">
        <v>4885</v>
      </c>
      <c r="C5107" s="3" t="str">
        <f>IFERROR(__xludf.DUMMYFUNCTION("GOOGLETRANSLATE(B5107,""id"",""en"")"),"['Enter', 'told', 'Update', 'Update', 'Tetep', 'Enter']")</f>
        <v>['Enter', 'told', 'Update', 'Update', 'Tetep', 'Enter']</v>
      </c>
      <c r="D5107" s="3">
        <v>1.0</v>
      </c>
    </row>
    <row r="5108" ht="15.75" customHeight="1">
      <c r="A5108" s="1">
        <v>5466.0</v>
      </c>
      <c r="B5108" s="3" t="s">
        <v>4886</v>
      </c>
      <c r="C5108" s="3" t="str">
        <f>IFERROR(__xludf.DUMMYFUNCTION("GOOGLETRANSLATE(B5108,""id"",""en"")"),"['Telcomsel', 'smooth']")</f>
        <v>['Telcomsel', 'smooth']</v>
      </c>
      <c r="D5108" s="3">
        <v>5.0</v>
      </c>
    </row>
    <row r="5109" ht="15.75" customHeight="1">
      <c r="A5109" s="1">
        <v>5467.0</v>
      </c>
      <c r="B5109" s="3" t="s">
        <v>4887</v>
      </c>
      <c r="C5109" s="3" t="str">
        <f>IFERROR(__xludf.DUMMYFUNCTION("GOOGLETRANSLATE(B5109,""id"",""en"")"),"['Telkomsel', 'little', 'lag', 'signal', 'stable', 'watch', 'video', 'play', 'game', 'comfortable', 'maen', 'game', ' signal ',' error ',' lose ',' tired ',' already ',' expensive ',' ugly ',' quality ',' already ',' believe ', ""]")</f>
        <v>['Telkomsel', 'little', 'lag', 'signal', 'stable', 'watch', 'video', 'play', 'game', 'comfortable', 'maen', 'game', ' signal ',' error ',' lose ',' tired ',' already ',' expensive ',' ugly ',' quality ',' already ',' believe ', "]</v>
      </c>
      <c r="D5109" s="3">
        <v>3.0</v>
      </c>
    </row>
    <row r="5110" ht="15.75" customHeight="1">
      <c r="A5110" s="1">
        <v>5468.0</v>
      </c>
      <c r="B5110" s="3" t="s">
        <v>4888</v>
      </c>
      <c r="C5110" s="3" t="str">
        <f>IFERROR(__xludf.DUMMYFUNCTION("GOOGLETRANSLATE(B5110,""id"",""en"")"),"['Thank you', 'Telkom', 'cell', 'Hopefully', 'Pension', 'Build', 'Land', 'Agriculture', 'Earth', 'Green', 'sky', 'You', ' Lower ',' widow ',' Married ',' Mahar ',' CEO ',' Telkom ',' Dear ',' Heart ',' Certainly ',' Diligently ',' Saving ',' Pengeeeen ','"&amp;" really ' , 'Nyamnyung', 'right', 'school', 'online', 'camera', 'ugly']")</f>
        <v>['Thank you', 'Telkom', 'cell', 'Hopefully', 'Pension', 'Build', 'Land', 'Agriculture', 'Earth', 'Green', 'sky', 'You', ' Lower ',' widow ',' Married ',' Mahar ',' CEO ',' Telkom ',' Dear ',' Heart ',' Certainly ',' Diligently ',' Saving ',' Pengeeeen ',' really ' , 'Nyamnyung', 'right', 'school', 'online', 'camera', 'ugly']</v>
      </c>
      <c r="D5110" s="3">
        <v>5.0</v>
      </c>
    </row>
    <row r="5111" ht="15.75" customHeight="1">
      <c r="A5111" s="1">
        <v>5469.0</v>
      </c>
      <c r="B5111" s="3" t="s">
        <v>4889</v>
      </c>
      <c r="C5111" s="3" t="str">
        <f>IFERROR(__xludf.DUMMYFUNCTION("GOOGLETRANSLATE(B5111,""id"",""en"")"),"['Love', 'Star', 'Exchange', 'Points', 'Include', 'Credit', 'Buy', 'Quota', 'Exchange', 'Points', ""]")</f>
        <v>['Love', 'Star', 'Exchange', 'Points', 'Include', 'Credit', 'Buy', 'Quota', 'Exchange', 'Points', "]</v>
      </c>
      <c r="D5111" s="3">
        <v>1.0</v>
      </c>
    </row>
    <row r="5112" ht="15.75" customHeight="1">
      <c r="A5112" s="1">
        <v>5470.0</v>
      </c>
      <c r="B5112" s="3" t="s">
        <v>1804</v>
      </c>
      <c r="C5112" s="3" t="str">
        <f>IFERROR(__xludf.DUMMYFUNCTION("GOOGLETRANSLATE(B5112,""id"",""en"")"),"['Good', 'signal']")</f>
        <v>['Good', 'signal']</v>
      </c>
      <c r="D5112" s="3">
        <v>5.0</v>
      </c>
    </row>
    <row r="5113" ht="15.75" customHeight="1">
      <c r="A5113" s="1">
        <v>5471.0</v>
      </c>
      <c r="B5113" s="3" t="s">
        <v>4890</v>
      </c>
      <c r="C5113" s="3" t="str">
        <f>IFERROR(__xludf.DUMMYFUNCTION("GOOGLETRANSLATE(B5113,""id"",""en"")"),"['Steady', 'Continue', 'Success', 'Tuk', 'Telkmsellll', 'The', 'Best']")</f>
        <v>['Steady', 'Continue', 'Success', 'Tuk', 'Telkmsellll', 'The', 'Best']</v>
      </c>
      <c r="D5113" s="3">
        <v>5.0</v>
      </c>
    </row>
    <row r="5114" ht="15.75" customHeight="1">
      <c r="A5114" s="1">
        <v>5472.0</v>
      </c>
      <c r="B5114" s="3" t="s">
        <v>4891</v>
      </c>
      <c r="C5114" s="3" t="str">
        <f>IFERROR(__xludf.DUMMYFUNCTION("GOOGLETRANSLATE(B5114,""id"",""en"")"),"['It's easy', 'checks', 'active', 'leftover', 'quota', 'can', 'buy', 'package', 'data']")</f>
        <v>['It's easy', 'checks', 'active', 'leftover', 'quota', 'can', 'buy', 'package', 'data']</v>
      </c>
      <c r="D5114" s="3">
        <v>5.0</v>
      </c>
    </row>
    <row r="5115" ht="15.75" customHeight="1">
      <c r="A5115" s="1">
        <v>5473.0</v>
      </c>
      <c r="B5115" s="3" t="s">
        <v>4892</v>
      </c>
      <c r="C5115" s="3" t="str">
        <f>IFERROR(__xludf.DUMMYFUNCTION("GOOGLETRANSLATE(B5115,""id"",""en"")"),"['poor', 'sympathy', 'package', 'expensive', '']")</f>
        <v>['poor', 'sympathy', 'package', 'expensive', '']</v>
      </c>
      <c r="D5115" s="3">
        <v>5.0</v>
      </c>
    </row>
    <row r="5116" ht="15.75" customHeight="1">
      <c r="A5116" s="1">
        <v>5474.0</v>
      </c>
      <c r="B5116" s="3" t="s">
        <v>4893</v>
      </c>
      <c r="C5116" s="3" t="str">
        <f>IFERROR(__xludf.DUMMYFUNCTION("GOOGLETRANSLATE(B5116,""id"",""en"")"),"['sting', 'good']")</f>
        <v>['sting', 'good']</v>
      </c>
      <c r="D5116" s="3">
        <v>4.0</v>
      </c>
    </row>
    <row r="5117" ht="15.75" customHeight="1">
      <c r="A5117" s="1">
        <v>5475.0</v>
      </c>
      <c r="B5117" s="3" t="s">
        <v>4894</v>
      </c>
      <c r="C5117" s="3" t="str">
        <f>IFERROR(__xludf.DUMMYFUNCTION("GOOGLETRANSLATE(B5117,""id"",""en"")"),"['Network', 'please', 'fix']")</f>
        <v>['Network', 'please', 'fix']</v>
      </c>
      <c r="D5117" s="3">
        <v>5.0</v>
      </c>
    </row>
    <row r="5118" ht="15.75" customHeight="1">
      <c r="A5118" s="1">
        <v>5476.0</v>
      </c>
      <c r="B5118" s="3" t="s">
        <v>4895</v>
      </c>
      <c r="C5118" s="3" t="str">
        <f>IFERROR(__xludf.DUMMYFUNCTION("GOOGLETRANSLATE(B5118,""id"",""en"")"),"['Telkomsel', 'unlimited', 'network', 'slow', 'najisss',' malem ',' play ',' game ',' online ',' ping ',' red ',' trus', ' Quota ',' main ',' quota ',' unlimited ',' normal ',' lag ',' quota ',' main ',' ngelag ',' move ',' provide ',' Aah ',' proof ' , '"&amp;"proof', '']")</f>
        <v>['Telkomsel', 'unlimited', 'network', 'slow', 'najisss',' malem ',' play ',' game ',' online ',' ping ',' red ',' trus', ' Quota ',' main ',' quota ',' unlimited ',' normal ',' lag ',' quota ',' main ',' ngelag ',' move ',' provide ',' Aah ',' proof ' , 'proof', '']</v>
      </c>
      <c r="D5118" s="3">
        <v>1.0</v>
      </c>
    </row>
    <row r="5119" ht="15.75" customHeight="1">
      <c r="A5119" s="1">
        <v>5477.0</v>
      </c>
      <c r="B5119" s="3" t="s">
        <v>4896</v>
      </c>
      <c r="C5119" s="3" t="str">
        <f>IFERROR(__xludf.DUMMYFUNCTION("GOOGLETRANSLATE(B5119,""id"",""en"")"),"['Good', 'application', 'mytelkomsel']")</f>
        <v>['Good', 'application', 'mytelkomsel']</v>
      </c>
      <c r="D5119" s="3">
        <v>5.0</v>
      </c>
    </row>
    <row r="5120" ht="15.75" customHeight="1">
      <c r="A5120" s="1">
        <v>5478.0</v>
      </c>
      <c r="B5120" s="3" t="s">
        <v>4897</v>
      </c>
      <c r="C5120" s="3" t="str">
        <f>IFERROR(__xludf.DUMMYFUNCTION("GOOGLETRANSLATE(B5120,""id"",""en"")"),"['Network', 'stable', 'open', 'application', 'muter', 'dlu', 'end', 'kluar', '']")</f>
        <v>['Network', 'stable', 'open', 'application', 'muter', 'dlu', 'end', 'kluar', '']</v>
      </c>
      <c r="D5120" s="3">
        <v>3.0</v>
      </c>
    </row>
    <row r="5121" ht="15.75" customHeight="1">
      <c r="A5121" s="1">
        <v>5479.0</v>
      </c>
      <c r="B5121" s="3" t="s">
        <v>4898</v>
      </c>
      <c r="C5121" s="3" t="str">
        <f>IFERROR(__xludf.DUMMYFUNCTION("GOOGLETRANSLATE(B5121,""id"",""en"")"),"['gymna', 'Telkomsel', 'TPI', 'signal', 'ugly', 'stabilized', 'direct', ""]")</f>
        <v>['gymna', 'Telkomsel', 'TPI', 'signal', 'ugly', 'stabilized', 'direct', "]</v>
      </c>
      <c r="D5121" s="3">
        <v>1.0</v>
      </c>
    </row>
    <row r="5122" ht="15.75" customHeight="1">
      <c r="A5122" s="1">
        <v>5480.0</v>
      </c>
      <c r="B5122" s="3" t="s">
        <v>4899</v>
      </c>
      <c r="C5122" s="3" t="str">
        <f>IFERROR(__xludf.DUMMYFUNCTION("GOOGLETRANSLATE(B5122,""id"",""en"")"),"['Telkomsel', 'steady', 'promo', 'promo', '']")</f>
        <v>['Telkomsel', 'steady', 'promo', 'promo', '']</v>
      </c>
      <c r="D5122" s="3">
        <v>5.0</v>
      </c>
    </row>
    <row r="5123" ht="15.75" customHeight="1">
      <c r="A5123" s="1">
        <v>5481.0</v>
      </c>
      <c r="B5123" s="3" t="s">
        <v>4900</v>
      </c>
      <c r="C5123" s="3" t="str">
        <f>IFERROR(__xludf.DUMMYFUNCTION("GOOGLETRANSLATE(B5123,""id"",""en"")"),"['okay']")</f>
        <v>['okay']</v>
      </c>
      <c r="D5123" s="3">
        <v>5.0</v>
      </c>
    </row>
    <row r="5124" ht="15.75" customHeight="1">
      <c r="A5124" s="1">
        <v>5482.0</v>
      </c>
      <c r="B5124" s="3" t="s">
        <v>4901</v>
      </c>
      <c r="C5124" s="3" t="str">
        <f>IFERROR(__xludf.DUMMYFUNCTION("GOOGLETRANSLATE(B5124,""id"",""en"")"),"['complaint', 'work']")</f>
        <v>['complaint', 'work']</v>
      </c>
      <c r="D5124" s="3">
        <v>1.0</v>
      </c>
    </row>
    <row r="5125" ht="15.75" customHeight="1">
      <c r="A5125" s="1">
        <v>5483.0</v>
      </c>
      <c r="B5125" s="3" t="s">
        <v>4902</v>
      </c>
      <c r="C5125" s="3" t="str">
        <f>IFERROR(__xludf.DUMMYFUNCTION("GOOGLETRANSLATE(B5125,""id"",""en"")"),"['Hopefully', 'Good']")</f>
        <v>['Hopefully', 'Good']</v>
      </c>
      <c r="D5125" s="3">
        <v>3.0</v>
      </c>
    </row>
    <row r="5126" ht="15.75" customHeight="1">
      <c r="A5126" s="1">
        <v>5484.0</v>
      </c>
      <c r="B5126" s="3" t="s">
        <v>4903</v>
      </c>
      <c r="C5126" s="3" t="str">
        <f>IFERROR(__xludf.DUMMYFUNCTION("GOOGLETRANSLATE(B5126,""id"",""en"")"),"['Cool', 'easy', 'gift']")</f>
        <v>['Cool', 'easy', 'gift']</v>
      </c>
      <c r="D5126" s="3">
        <v>5.0</v>
      </c>
    </row>
    <row r="5127" ht="15.75" customHeight="1">
      <c r="A5127" s="1">
        <v>5486.0</v>
      </c>
      <c r="B5127" s="3" t="s">
        <v>4904</v>
      </c>
      <c r="C5127" s="3" t="str">
        <f>IFERROR(__xludf.DUMMYFUNCTION("GOOGLETRANSLATE(B5127,""id"",""en"")"),"['Update', 'difficult', 'Login', 'Link', 'Code', 'Verification', 'send', 'late', 'already', 'expiration', 'many', 'times',' ']")</f>
        <v>['Update', 'difficult', 'Login', 'Link', 'Code', 'Verification', 'send', 'late', 'already', 'expiration', 'many', 'times',' ']</v>
      </c>
      <c r="D5127" s="3">
        <v>1.0</v>
      </c>
    </row>
    <row r="5128" ht="15.75" customHeight="1">
      <c r="A5128" s="1">
        <v>5487.0</v>
      </c>
      <c r="B5128" s="3" t="s">
        <v>156</v>
      </c>
      <c r="C5128" s="3" t="str">
        <f>IFERROR(__xludf.DUMMYFUNCTION("GOOGLETRANSLATE(B5128,""id"",""en"")"),"['steady']")</f>
        <v>['steady']</v>
      </c>
      <c r="D5128" s="3">
        <v>5.0</v>
      </c>
    </row>
    <row r="5129" ht="15.75" customHeight="1">
      <c r="A5129" s="1">
        <v>5488.0</v>
      </c>
      <c r="B5129" s="3" t="s">
        <v>4905</v>
      </c>
      <c r="C5129" s="3" t="str">
        <f>IFERROR(__xludf.DUMMYFUNCTION("GOOGLETRANSLATE(B5129,""id"",""en"")"),"['Please', 'Note', 'Comfort', 'Price', 'Package', 'Mail', 'Network', 'Bag', '']")</f>
        <v>['Please', 'Note', 'Comfort', 'Price', 'Package', 'Mail', 'Network', 'Bag', '']</v>
      </c>
      <c r="D5129" s="3">
        <v>1.0</v>
      </c>
    </row>
    <row r="5130" ht="15.75" customHeight="1">
      <c r="A5130" s="1">
        <v>5489.0</v>
      </c>
      <c r="B5130" s="3" t="s">
        <v>4906</v>
      </c>
      <c r="C5130" s="3" t="str">
        <f>IFERROR(__xludf.DUMMYFUNCTION("GOOGLETRANSLATE(B5130,""id"",""en"")"),"['Install', '']")</f>
        <v>['Install', '']</v>
      </c>
      <c r="D5130" s="3">
        <v>4.0</v>
      </c>
    </row>
    <row r="5131" ht="15.75" customHeight="1">
      <c r="A5131" s="1">
        <v>5490.0</v>
      </c>
      <c r="B5131" s="3" t="s">
        <v>4907</v>
      </c>
      <c r="C5131" s="3" t="str">
        <f>IFERROR(__xludf.DUMMYFUNCTION("GOOGLETRANSLATE(B5131,""id"",""en"")"),"['signal', 'bar', 'naek', 'down', 'until', 'signal', 'ugly', 'android', 'please', 'enhanced', 'stay', 'bekasi', ' North ',' believe ',' really ',' sympathy ',' Telkomsel ',' disappointed ',' heavy ',' star ',' wait ',' repairs', 'thank', 'love']")</f>
        <v>['signal', 'bar', 'naek', 'down', 'until', 'signal', 'ugly', 'android', 'please', 'enhanced', 'stay', 'bekasi', ' North ',' believe ',' really ',' sympathy ',' Telkomsel ',' disappointed ',' heavy ',' star ',' wait ',' repairs', 'thank', 'love']</v>
      </c>
      <c r="D5131" s="3">
        <v>1.0</v>
      </c>
    </row>
    <row r="5132" ht="15.75" customHeight="1">
      <c r="A5132" s="1">
        <v>5491.0</v>
      </c>
      <c r="B5132" s="3" t="s">
        <v>4908</v>
      </c>
      <c r="C5132" s="3" t="str">
        <f>IFERROR(__xludf.DUMMYFUNCTION("GOOGLETRANSLATE(B5132,""id"",""en"")"),"['Honest', 'Disappointed', 'Customer', 'Telkomsel', 'Karnaken', 'Signal', 'Lemot', 'Affect', 'Activities',' Play ',' Game ',' Sometimes', ' Until ',' AFK ',' Sad ',' Come ',' Listen to ',' Curhatan ',' pity ',' gamer ', ""]")</f>
        <v>['Honest', 'Disappointed', 'Customer', 'Telkomsel', 'Karnaken', 'Signal', 'Lemot', 'Affect', 'Activities',' Play ',' Game ',' Sometimes', ' Until ',' AFK ',' Sad ',' Come ',' Listen to ',' Curhatan ',' pity ',' gamer ', "]</v>
      </c>
      <c r="D5132" s="3">
        <v>1.0</v>
      </c>
    </row>
    <row r="5133" ht="15.75" customHeight="1">
      <c r="A5133" s="1">
        <v>5492.0</v>
      </c>
      <c r="B5133" s="3" t="s">
        <v>4909</v>
      </c>
      <c r="C5133" s="3" t="str">
        <f>IFERROR(__xludf.DUMMYFUNCTION("GOOGLETRANSLATE(B5133,""id"",""en"")"),"['complement', 'area', 'play', 'mobile', 'legend', 'leg', 'lose', 'TDI', 'win', 'user', 'sympathy', 'area', ' Pesarean ',' Kec ',' Pagerbarang ',' Kab ',' Tegal ',' Indosat ',' Indosat ',' Punaya ',' Indonesia ',' Telkomyet ',' Salah ',' Telkomsel ',' Ind"&amp;"onesia ' , '']")</f>
        <v>['complement', 'area', 'play', 'mobile', 'legend', 'leg', 'lose', 'TDI', 'win', 'user', 'sympathy', 'area', ' Pesarean ',' Kec ',' Pagerbarang ',' Kab ',' Tegal ',' Indosat ',' Indosat ',' Punaya ',' Indonesia ',' Telkomyet ',' Salah ',' Telkomsel ',' Indonesia ' , '']</v>
      </c>
      <c r="D5133" s="3">
        <v>1.0</v>
      </c>
    </row>
    <row r="5134" ht="15.75" customHeight="1">
      <c r="A5134" s="1">
        <v>5493.0</v>
      </c>
      <c r="B5134" s="3" t="s">
        <v>4910</v>
      </c>
      <c r="C5134" s="3" t="str">
        <f>IFERROR(__xludf.DUMMYFUNCTION("GOOGLETRANSLATE(B5134,""id"",""en"")"),"['Hopefully', 'Car', 'Honda', 'Brio', 'Aamiinn', 'Telkomsel', 'Best']")</f>
        <v>['Hopefully', 'Car', 'Honda', 'Brio', 'Aamiinn', 'Telkomsel', 'Best']</v>
      </c>
      <c r="D5134" s="3">
        <v>5.0</v>
      </c>
    </row>
    <row r="5135" ht="15.75" customHeight="1">
      <c r="A5135" s="1">
        <v>5495.0</v>
      </c>
      <c r="B5135" s="3" t="s">
        <v>289</v>
      </c>
      <c r="C5135" s="3" t="str">
        <f>IFERROR(__xludf.DUMMYFUNCTION("GOOGLETRANSLATE(B5135,""id"",""en"")"),"['Good', 'help']")</f>
        <v>['Good', 'help']</v>
      </c>
      <c r="D5135" s="3">
        <v>5.0</v>
      </c>
    </row>
    <row r="5136" ht="15.75" customHeight="1">
      <c r="A5136" s="1">
        <v>5496.0</v>
      </c>
      <c r="B5136" s="3" t="s">
        <v>4911</v>
      </c>
      <c r="C5136" s="3" t="str">
        <f>IFERROR(__xludf.DUMMYFUNCTION("GOOGLETRANSLATE(B5136,""id"",""en"")"),"['Provider', 'Network', 'Kek', 'Chapter', '']")</f>
        <v>['Provider', 'Network', 'Kek', 'Chapter', '']</v>
      </c>
      <c r="D5136" s="3">
        <v>1.0</v>
      </c>
    </row>
    <row r="5137" ht="15.75" customHeight="1">
      <c r="A5137" s="1">
        <v>5497.0</v>
      </c>
      <c r="B5137" s="3" t="s">
        <v>4912</v>
      </c>
      <c r="C5137" s="3" t="str">
        <f>IFERROR(__xludf.DUMMYFUNCTION("GOOGLETRANSLATE(B5137,""id"",""en"")"),"['sip', 'dach', 'steady', 'soul', 'basically', ""]")</f>
        <v>['sip', 'dach', 'steady', 'soul', 'basically', "]</v>
      </c>
      <c r="D5137" s="3">
        <v>5.0</v>
      </c>
    </row>
    <row r="5138" ht="15.75" customHeight="1">
      <c r="A5138" s="1">
        <v>5498.0</v>
      </c>
      <c r="B5138" s="3" t="s">
        <v>4913</v>
      </c>
      <c r="C5138" s="3" t="str">
        <f>IFERROR(__xludf.DUMMYFUNCTION("GOOGLETRANSLATE(B5138,""id"",""en"")"),"['join']")</f>
        <v>['join']</v>
      </c>
      <c r="D5138" s="3">
        <v>5.0</v>
      </c>
    </row>
    <row r="5139" ht="15.75" customHeight="1">
      <c r="A5139" s="1">
        <v>5499.0</v>
      </c>
      <c r="B5139" s="3" t="s">
        <v>4914</v>
      </c>
      <c r="C5139" s="3" t="str">
        <f>IFERROR(__xludf.DUMMYFUNCTION("GOOGLETRANSLATE(B5139,""id"",""en"")"),"['entry', 'app', 'made easier', 'difficult', 'really', ""]")</f>
        <v>['entry', 'app', 'made easier', 'difficult', 'really', "]</v>
      </c>
      <c r="D5139" s="3">
        <v>1.0</v>
      </c>
    </row>
    <row r="5140" ht="15.75" customHeight="1">
      <c r="A5140" s="1">
        <v>5500.0</v>
      </c>
      <c r="B5140" s="3" t="s">
        <v>4915</v>
      </c>
      <c r="C5140" s="3" t="str">
        <f>IFERROR(__xludf.DUMMYFUNCTION("GOOGLETRANSLATE(B5140,""id"",""en"")"),"['Application', 'Good', 'Event', 'Credit', 'Free', 'Rare', '']")</f>
        <v>['Application', 'Good', 'Event', 'Credit', 'Free', 'Rare', '']</v>
      </c>
      <c r="D5140" s="3">
        <v>5.0</v>
      </c>
    </row>
    <row r="5141" ht="15.75" customHeight="1">
      <c r="A5141" s="1">
        <v>5501.0</v>
      </c>
      <c r="B5141" s="3" t="s">
        <v>4916</v>
      </c>
      <c r="C5141" s="3" t="str">
        <f>IFERROR(__xludf.DUMMYFUNCTION("GOOGLETRANSLATE(B5141,""id"",""en"")"),"['ugly', 'times',' Telkomsel ',' yak ',' network ',' ngelag ',' package ',' add ',' expensive ',' wants', 'Telkomsel', 'want', ' left behind ',' customer ',' loyal ',' severe ',' right ',' Telkomsel ',' weve ',' no ',' want ',' repaired ',' damage ',' kah"&amp;" ',' ']")</f>
        <v>['ugly', 'times',' Telkomsel ',' yak ',' network ',' ngelag ',' package ',' add ',' expensive ',' wants', 'Telkomsel', 'want', ' left behind ',' customer ',' loyal ',' severe ',' right ',' Telkomsel ',' weve ',' no ',' want ',' repaired ',' damage ',' kah ',' ']</v>
      </c>
      <c r="D5141" s="3">
        <v>1.0</v>
      </c>
    </row>
    <row r="5142" ht="15.75" customHeight="1">
      <c r="A5142" s="1">
        <v>5502.0</v>
      </c>
      <c r="B5142" s="3" t="s">
        <v>3251</v>
      </c>
      <c r="C5142" s="3" t="str">
        <f>IFERROR(__xludf.DUMMYFUNCTION("GOOGLETRANSLATE(B5142,""id"",""en"")"),"['APK', 'Help']")</f>
        <v>['APK', 'Help']</v>
      </c>
      <c r="D5142" s="3">
        <v>5.0</v>
      </c>
    </row>
    <row r="5143" ht="15.75" customHeight="1">
      <c r="A5143" s="1">
        <v>5503.0</v>
      </c>
      <c r="B5143" s="3" t="s">
        <v>552</v>
      </c>
      <c r="C5143" s="3" t="str">
        <f>IFERROR(__xludf.DUMMYFUNCTION("GOOGLETRANSLATE(B5143,""id"",""en"")"),"['Like', 'Telkomsel']")</f>
        <v>['Like', 'Telkomsel']</v>
      </c>
      <c r="D5143" s="3">
        <v>5.0</v>
      </c>
    </row>
    <row r="5144" ht="15.75" customHeight="1">
      <c r="A5144" s="1">
        <v>5504.0</v>
      </c>
      <c r="B5144" s="3" t="s">
        <v>4917</v>
      </c>
      <c r="C5144" s="3" t="str">
        <f>IFERROR(__xludf.DUMMYFUNCTION("GOOGLETRANSLATE(B5144,""id"",""en"")"),"['Try', 'good']")</f>
        <v>['Try', 'good']</v>
      </c>
      <c r="D5144" s="3">
        <v>4.0</v>
      </c>
    </row>
    <row r="5145" ht="15.75" customHeight="1">
      <c r="A5145" s="1">
        <v>5505.0</v>
      </c>
      <c r="B5145" s="3" t="s">
        <v>4918</v>
      </c>
      <c r="C5145" s="3" t="str">
        <f>IFERROR(__xludf.DUMMYFUNCTION("GOOGLETRANSLATE(B5145,""id"",""en"")"),"['Knpa', 'yaa', 'quota', 'daily', 'check', 'hri', 'check', 'jdi', 'please', 'prbaik', 'system', ""]")</f>
        <v>['Knpa', 'yaa', 'quota', 'daily', 'check', 'hri', 'check', 'jdi', 'please', 'prbaik', 'system', "]</v>
      </c>
      <c r="D5145" s="3">
        <v>1.0</v>
      </c>
    </row>
    <row r="5146" ht="15.75" customHeight="1">
      <c r="A5146" s="1">
        <v>5506.0</v>
      </c>
      <c r="B5146" s="3" t="s">
        <v>4919</v>
      </c>
      <c r="C5146" s="3" t="str">
        <f>IFERROR(__xludf.DUMMYFUNCTION("GOOGLETRANSLATE(B5146,""id"",""en"")"),"['hope', 'walk', 'kagi']")</f>
        <v>['hope', 'walk', 'kagi']</v>
      </c>
      <c r="D5146" s="3">
        <v>4.0</v>
      </c>
    </row>
    <row r="5147" ht="15.75" customHeight="1">
      <c r="A5147" s="1">
        <v>5507.0</v>
      </c>
      <c r="B5147" s="3" t="s">
        <v>157</v>
      </c>
      <c r="C5147" s="3" t="str">
        <f>IFERROR(__xludf.DUMMYFUNCTION("GOOGLETRANSLATE(B5147,""id"",""en"")"),"['Good', 'boss', '']")</f>
        <v>['Good', 'boss', '']</v>
      </c>
      <c r="D5147" s="3">
        <v>5.0</v>
      </c>
    </row>
    <row r="5148" ht="15.75" customHeight="1">
      <c r="A5148" s="1">
        <v>5508.0</v>
      </c>
      <c r="B5148" s="3" t="s">
        <v>4920</v>
      </c>
      <c r="C5148" s="3" t="str">
        <f>IFERROR(__xludf.DUMMYFUNCTION("GOOGLETRANSLATE(B5148,""id"",""en"")"),"['Help', 'SYAKALI']")</f>
        <v>['Help', 'SYAKALI']</v>
      </c>
      <c r="D5148" s="3">
        <v>5.0</v>
      </c>
    </row>
    <row r="5149" ht="15.75" customHeight="1">
      <c r="A5149" s="1">
        <v>5510.0</v>
      </c>
      <c r="B5149" s="3" t="s">
        <v>4921</v>
      </c>
      <c r="C5149" s="3" t="str">
        <f>IFERROR(__xludf.DUMMYFUNCTION("GOOGLETRANSLATE(B5149,""id"",""en"")"),"['Hey', 'Telkomsel', 'please', 'love', 'package', 'price', 'cheap', 'gpp', 'expensive', 'signal', 'stable', 'signal', ' Naek ',' down ',' package ',' expensive ']")</f>
        <v>['Hey', 'Telkomsel', 'please', 'love', 'package', 'price', 'cheap', 'gpp', 'expensive', 'signal', 'stable', 'signal', ' Naek ',' down ',' package ',' expensive ']</v>
      </c>
      <c r="D5149" s="3">
        <v>1.0</v>
      </c>
    </row>
    <row r="5150" ht="15.75" customHeight="1">
      <c r="A5150" s="1">
        <v>5511.0</v>
      </c>
      <c r="B5150" s="3" t="s">
        <v>4922</v>
      </c>
      <c r="C5150" s="3" t="str">
        <f>IFERROR(__xludf.DUMMYFUNCTION("GOOGLETRANSLATE(B5150,""id"",""en"")"),"['Disappointed', 'Quota', 'GB', 'Network', 'Full', 'Sosmed', 'Kek', 'YouTube', 'Etc.', 'Current', 'Gada', 'Constraints',' It's a 'play', 'game', 'stable', 'network', 'game', 'I', 'I', 'Doang', 'users', 'Telkomsel', 'ngelamin', 'disorder' , 'playing game']")</f>
        <v>['Disappointed', 'Quota', 'GB', 'Network', 'Full', 'Sosmed', 'Kek', 'YouTube', 'Etc.', 'Current', 'Gada', 'Constraints',' It's a 'play', 'game', 'stable', 'network', 'game', 'I', 'I', 'Doang', 'users', 'Telkomsel', 'ngelamin', 'disorder' , 'playing game']</v>
      </c>
      <c r="D5150" s="3">
        <v>1.0</v>
      </c>
    </row>
    <row r="5151" ht="15.75" customHeight="1">
      <c r="A5151" s="1">
        <v>5512.0</v>
      </c>
      <c r="B5151" s="3" t="s">
        <v>4923</v>
      </c>
      <c r="C5151" s="3" t="str">
        <f>IFERROR(__xludf.DUMMYFUNCTION("GOOGLETRANSLATE(B5151,""id"",""en"")"),"['Alkhamdullilah', 'smooth', 'Ngambut']")</f>
        <v>['Alkhamdullilah', 'smooth', 'Ngambut']</v>
      </c>
      <c r="D5151" s="3">
        <v>5.0</v>
      </c>
    </row>
    <row r="5152" ht="15.75" customHeight="1">
      <c r="A5152" s="1">
        <v>5513.0</v>
      </c>
      <c r="B5152" s="3" t="s">
        <v>4924</v>
      </c>
      <c r="C5152" s="3" t="str">
        <f>IFERROR(__xludf.DUMMYFUNCTION("GOOGLETRANSLATE(B5152,""id"",""en"")"),"['signal', 'rotten']")</f>
        <v>['signal', 'rotten']</v>
      </c>
      <c r="D5152" s="3">
        <v>1.0</v>
      </c>
    </row>
    <row r="5153" ht="15.75" customHeight="1">
      <c r="A5153" s="1">
        <v>5514.0</v>
      </c>
      <c r="B5153" s="3" t="s">
        <v>4925</v>
      </c>
      <c r="C5153" s="3" t="str">
        <f>IFERROR(__xludf.DUMMYFUNCTION("GOOGLETRANSLATE(B5153,""id"",""en"")"),"['Paketan', 'Free', 'BOSQQ']")</f>
        <v>['Paketan', 'Free', 'BOSQQ']</v>
      </c>
      <c r="D5153" s="3">
        <v>5.0</v>
      </c>
    </row>
    <row r="5154" ht="15.75" customHeight="1">
      <c r="A5154" s="1">
        <v>5515.0</v>
      </c>
      <c r="B5154" s="3" t="s">
        <v>4926</v>
      </c>
      <c r="C5154" s="3" t="str">
        <f>IFERROR(__xludf.DUMMYFUNCTION("GOOGLETRANSLATE(B5154,""id"",""en"")"),"['harmful']")</f>
        <v>['harmful']</v>
      </c>
      <c r="D5154" s="3">
        <v>1.0</v>
      </c>
    </row>
    <row r="5155" ht="15.75" customHeight="1">
      <c r="A5155" s="1">
        <v>5516.0</v>
      </c>
      <c r="B5155" s="3" t="s">
        <v>4927</v>
      </c>
      <c r="C5155" s="3" t="str">
        <f>IFERROR(__xludf.DUMMYFUNCTION("GOOGLETRANSLATE(B5155,""id"",""en"")"),"['Telkomsel', 'synchy', 'ugly', 'really', 'seh', 'original', 'ugly', 'bought', 'expensive', 'signal', 'full', 'a little', ' Troble ',' yesterday ',' good ',' now ',' ugly ',' really ',' star ',' ntar ',' good ',' star ',' and then ',' move ',' Mtree ' , '"&amp;"Disappointing', 'Telkomsel', '']")</f>
        <v>['Telkomsel', 'synchy', 'ugly', 'really', 'seh', 'original', 'ugly', 'bought', 'expensive', 'signal', 'full', 'a little', ' Troble ',' yesterday ',' good ',' now ',' ugly ',' really ',' star ',' ntar ',' good ',' star ',' and then ',' move ',' Mtree ' , 'Disappointing', 'Telkomsel', '']</v>
      </c>
      <c r="D5155" s="3">
        <v>1.0</v>
      </c>
    </row>
    <row r="5156" ht="15.75" customHeight="1">
      <c r="A5156" s="1">
        <v>5517.0</v>
      </c>
      <c r="B5156" s="3" t="s">
        <v>4928</v>
      </c>
      <c r="C5156" s="3" t="str">
        <f>IFERROR(__xludf.DUMMYFUNCTION("GOOGLETRANSLATE(B5156,""id"",""en"")"),"['Good', 'bonus', 'subscription', 'Amazon', 'video', 'free']")</f>
        <v>['Good', 'bonus', 'subscription', 'Amazon', 'video', 'free']</v>
      </c>
      <c r="D5156" s="3">
        <v>4.0</v>
      </c>
    </row>
    <row r="5157" ht="15.75" customHeight="1">
      <c r="A5157" s="1">
        <v>5518.0</v>
      </c>
      <c r="B5157" s="3" t="s">
        <v>4929</v>
      </c>
      <c r="C5157" s="3" t="str">
        <f>IFERROR(__xludf.DUMMYFUNCTION("GOOGLETRANSLATE(B5157,""id"",""en"")"),"['Please', 'fix', 'expensive', 'doang']")</f>
        <v>['Please', 'fix', 'expensive', 'doang']</v>
      </c>
      <c r="D5157" s="3">
        <v>1.0</v>
      </c>
    </row>
    <row r="5158" ht="15.75" customHeight="1">
      <c r="A5158" s="1">
        <v>5519.0</v>
      </c>
      <c r="B5158" s="3" t="s">
        <v>4930</v>
      </c>
      <c r="C5158" s="3" t="str">
        <f>IFERROR(__xludf.DUMMYFUNCTION("GOOGLETRANSLATE(B5158,""id"",""en"")"),"['Good', 'Missing']")</f>
        <v>['Good', 'Missing']</v>
      </c>
      <c r="D5158" s="3">
        <v>5.0</v>
      </c>
    </row>
    <row r="5159" ht="15.75" customHeight="1">
      <c r="A5159" s="1">
        <v>5520.0</v>
      </c>
      <c r="B5159" s="3" t="s">
        <v>4931</v>
      </c>
      <c r="C5159" s="3" t="str">
        <f>IFERROR(__xludf.DUMMYFUNCTION("GOOGLETRANSLATE(B5159,""id"",""en"")"),"['rare', 'bonus']")</f>
        <v>['rare', 'bonus']</v>
      </c>
      <c r="D5159" s="3">
        <v>1.0</v>
      </c>
    </row>
    <row r="5160" ht="15.75" customHeight="1">
      <c r="A5160" s="1">
        <v>5521.0</v>
      </c>
      <c r="B5160" s="3" t="s">
        <v>4932</v>
      </c>
      <c r="C5160" s="3" t="str">
        <f>IFERROR(__xludf.DUMMYFUNCTION("GOOGLETRANSLATE(B5160,""id"",""en"")"),"['Network', 'Telkomsel', 'Region', 'Wonogiri', 'Java', 'slow', 'repairs',' improvement ',' signal ',' slow down ',' dated ',' October ',' Please ',' speed up ',' improvement ',' because 'disturbing', 'school', 'learn', 'online', 'trima', 'love', ""]")</f>
        <v>['Network', 'Telkomsel', 'Region', 'Wonogiri', 'Java', 'slow', 'repairs',' improvement ',' signal ',' slow down ',' dated ',' October ',' Please ',' speed up ',' improvement ',' because 'disturbing', 'school', 'learn', 'online', 'trima', 'love', "]</v>
      </c>
      <c r="D5160" s="3">
        <v>1.0</v>
      </c>
    </row>
    <row r="5161" ht="15.75" customHeight="1">
      <c r="A5161" s="1">
        <v>5522.0</v>
      </c>
      <c r="B5161" s="3" t="s">
        <v>4933</v>
      </c>
      <c r="C5161" s="3" t="str">
        <f>IFERROR(__xludf.DUMMYFUNCTION("GOOGLETRANSLATE(B5161,""id"",""en"")"),"['Hadeh', 'Telkomsel', 'quota', 'expensive', 'quality', 'signal', 'declined', 'play', 'game', 'streaming', 'sinynya', 'jumping', ' Minutes', 'repaired', 'quality', 'according to', 'price']")</f>
        <v>['Hadeh', 'Telkomsel', 'quota', 'expensive', 'quality', 'signal', 'declined', 'play', 'game', 'streaming', 'sinynya', 'jumping', ' Minutes', 'repaired', 'quality', 'according to', 'price']</v>
      </c>
      <c r="D5161" s="3">
        <v>3.0</v>
      </c>
    </row>
    <row r="5162" ht="15.75" customHeight="1">
      <c r="A5162" s="1">
        <v>5523.0</v>
      </c>
      <c r="B5162" s="3" t="s">
        <v>4934</v>
      </c>
      <c r="C5162" s="3" t="str">
        <f>IFERROR(__xludf.DUMMYFUNCTION("GOOGLETRANSLATE(B5162,""id"",""en"")"),"['talk', 'promo', 'package', 'cheap']")</f>
        <v>['talk', 'promo', 'package', 'cheap']</v>
      </c>
      <c r="D5162" s="3">
        <v>4.0</v>
      </c>
    </row>
    <row r="5163" ht="15.75" customHeight="1">
      <c r="A5163" s="1">
        <v>5524.0</v>
      </c>
      <c r="B5163" s="3" t="s">
        <v>4935</v>
      </c>
      <c r="C5163" s="3" t="str">
        <f>IFERROR(__xludf.DUMMYFUNCTION("GOOGLETRANSLATE(B5163,""id"",""en"")"),"['signal', 'steady']")</f>
        <v>['signal', 'steady']</v>
      </c>
      <c r="D5163" s="3">
        <v>5.0</v>
      </c>
    </row>
    <row r="5164" ht="15.75" customHeight="1">
      <c r="A5164" s="1">
        <v>5525.0</v>
      </c>
      <c r="B5164" s="3" t="s">
        <v>4936</v>
      </c>
      <c r="C5164" s="3" t="str">
        <f>IFERROR(__xludf.DUMMYFUNCTION("GOOGLETRANSLATE(B5164,""id"",""en"")"),"['Yesterday', 'TGL', 'TOP', 'Credit', 'MyTelkomsel', 'Payment', 'Use', 'Shopeepay', 'Cash', 'Back', 'Coins',' Shopee ',' BLM ',' enter ',' Try ',' TGL ',' TOP ',' Credit ',' Cash ',' Back ',' Coin ',' Shopee ',' BLM ',' Enter ',' What ' , 'explanation', '"&amp;"thank', 'love', ""]")</f>
        <v>['Yesterday', 'TGL', 'TOP', 'Credit', 'MyTelkomsel', 'Payment', 'Use', 'Shopeepay', 'Cash', 'Back', 'Coins',' Shopee ',' BLM ',' enter ',' Try ',' TGL ',' TOP ',' Credit ',' Cash ',' Back ',' Coin ',' Shopee ',' BLM ',' Enter ',' What ' , 'explanation', 'thank', 'love', "]</v>
      </c>
      <c r="D5164" s="3">
        <v>3.0</v>
      </c>
    </row>
    <row r="5165" ht="15.75" customHeight="1">
      <c r="A5165" s="1">
        <v>5526.0</v>
      </c>
      <c r="B5165" s="3" t="s">
        <v>4937</v>
      </c>
      <c r="C5165" s="3" t="str">
        <f>IFERROR(__xludf.DUMMYFUNCTION("GOOGLETRANSLATE(B5165,""id"",""en"")"),"['Steady', 'Indonesia', 'really']")</f>
        <v>['Steady', 'Indonesia', 'really']</v>
      </c>
      <c r="D5165" s="3">
        <v>5.0</v>
      </c>
    </row>
    <row r="5166" ht="15.75" customHeight="1">
      <c r="A5166" s="1">
        <v>5527.0</v>
      </c>
      <c r="B5166" s="3" t="s">
        <v>4938</v>
      </c>
      <c r="C5166" s="3" t="str">
        <f>IFERROR(__xludf.DUMMYFUNCTION("GOOGLETRANSLATE(B5166,""id"",""en"")"),"['Network', 'rotten', 'package', 'Wes', 'banned', 'digawe', 'ngegame', 'lag', 'ping', 'stable', 'cokk', ""]")</f>
        <v>['Network', 'rotten', 'package', 'Wes', 'banned', 'digawe', 'ngegame', 'lag', 'ping', 'stable', 'cokk', "]</v>
      </c>
      <c r="D5166" s="3">
        <v>1.0</v>
      </c>
    </row>
    <row r="5167" ht="15.75" customHeight="1">
      <c r="A5167" s="1">
        <v>5528.0</v>
      </c>
      <c r="B5167" s="3" t="s">
        <v>4939</v>
      </c>
      <c r="C5167" s="3" t="str">
        <f>IFERROR(__xludf.DUMMYFUNCTION("GOOGLETRANSLATE(B5167,""id"",""en"")"),"['Good', 'Job', 'hope', 'smooth']")</f>
        <v>['Good', 'Job', 'hope', 'smooth']</v>
      </c>
      <c r="D5167" s="3">
        <v>5.0</v>
      </c>
    </row>
    <row r="5168" ht="15.75" customHeight="1">
      <c r="A5168" s="1">
        <v>5529.0</v>
      </c>
      <c r="B5168" s="3" t="s">
        <v>4940</v>
      </c>
      <c r="C5168" s="3" t="str">
        <f>IFERROR(__xludf.DUMMYFUNCTION("GOOGLETRANSLATE(B5168,""id"",""en"")"),"['Tlong', 'Strengthen', 'Signal', 'Area', 'Mountains']")</f>
        <v>['Tlong', 'Strengthen', 'Signal', 'Area', 'Mountains']</v>
      </c>
      <c r="D5168" s="3">
        <v>3.0</v>
      </c>
    </row>
    <row r="5169" ht="15.75" customHeight="1">
      <c r="A5169" s="1">
        <v>5530.0</v>
      </c>
      <c r="B5169" s="3" t="s">
        <v>4941</v>
      </c>
      <c r="C5169" s="3" t="str">
        <f>IFERROR(__xludf.DUMMYFUNCTION("GOOGLETRANSLATE(B5169,""id"",""en"")"),"['Network', 'rotten', 'area', 'ciganjur', 'jagakarsa', 'jakarta', 'south', 'buy', 'tasty', 'smooth', 'here', 'rot', ' network ',' regret ',' Telkomsel ',' expensive ',' package ',' replace ',' provider ',' fix ', ""]")</f>
        <v>['Network', 'rotten', 'area', 'ciganjur', 'jagakarsa', 'jakarta', 'south', 'buy', 'tasty', 'smooth', 'here', 'rot', ' network ',' regret ',' Telkomsel ',' expensive ',' package ',' replace ',' provider ',' fix ', "]</v>
      </c>
      <c r="D5169" s="3">
        <v>1.0</v>
      </c>
    </row>
    <row r="5170" ht="15.75" customHeight="1">
      <c r="A5170" s="1">
        <v>5531.0</v>
      </c>
      <c r="B5170" s="3" t="s">
        <v>4942</v>
      </c>
      <c r="C5170" s="3" t="str">
        <f>IFERROR(__xludf.DUMMYFUNCTION("GOOGLETRANSLATE(B5170,""id"",""en"")"),"['bastard', 'lag', 'mulu']")</f>
        <v>['bastard', 'lag', 'mulu']</v>
      </c>
      <c r="D5170" s="3">
        <v>1.0</v>
      </c>
    </row>
    <row r="5171" ht="15.75" customHeight="1">
      <c r="A5171" s="1">
        <v>5532.0</v>
      </c>
      <c r="B5171" s="3" t="s">
        <v>4943</v>
      </c>
      <c r="C5171" s="3" t="str">
        <f>IFERROR(__xludf.DUMMYFUNCTION("GOOGLETRANSLATE(B5171,""id"",""en"")"),"['Please', 'sound', 'opening', 'omitted', 'disturbed', '']")</f>
        <v>['Please', 'sound', 'opening', 'omitted', 'disturbed', '']</v>
      </c>
      <c r="D5171" s="3">
        <v>4.0</v>
      </c>
    </row>
    <row r="5172" ht="15.75" customHeight="1">
      <c r="A5172" s="1">
        <v>5533.0</v>
      </c>
      <c r="B5172" s="3" t="s">
        <v>4944</v>
      </c>
      <c r="C5172" s="3" t="str">
        <f>IFERROR(__xludf.DUMMYFUNCTION("GOOGLETRANSLATE(B5172,""id"",""en"")"),"['Telkom', 'area', 'dead', 'lights', 'signal', 'goib', 'yaa', 'kek', 'that's', 'signal']")</f>
        <v>['Telkom', 'area', 'dead', 'lights', 'signal', 'goib', 'yaa', 'kek', 'that's', 'signal']</v>
      </c>
      <c r="D5172" s="3">
        <v>1.0</v>
      </c>
    </row>
    <row r="5173" ht="15.75" customHeight="1">
      <c r="A5173" s="1">
        <v>5534.0</v>
      </c>
      <c r="B5173" s="3" t="s">
        <v>4945</v>
      </c>
      <c r="C5173" s="3" t="str">
        <f>IFERROR(__xludf.DUMMYFUNCTION("GOOGLETRANSLATE(B5173,""id"",""en"")"),"['Telkomsel', 'signal', 'bad', 'buy', 'quota', 'kenceng', 'abis',' afterward ',' signal ',' stable ',' disappointed ',' customer ',' Telkomsel ',' ']")</f>
        <v>['Telkomsel', 'signal', 'bad', 'buy', 'quota', 'kenceng', 'abis',' afterward ',' signal ',' stable ',' disappointed ',' customer ',' Telkomsel ',' ']</v>
      </c>
      <c r="D5173" s="3">
        <v>1.0</v>
      </c>
    </row>
    <row r="5174" ht="15.75" customHeight="1">
      <c r="A5174" s="1">
        <v>5536.0</v>
      </c>
      <c r="B5174" s="3" t="s">
        <v>4946</v>
      </c>
      <c r="C5174" s="3" t="str">
        <f>IFERROR(__xludf.DUMMYFUNCTION("GOOGLETRANSLATE(B5174,""id"",""en"")"),"['Lemot', 'Rich', 'Snail', '']")</f>
        <v>['Lemot', 'Rich', 'Snail', '']</v>
      </c>
      <c r="D5174" s="3">
        <v>1.0</v>
      </c>
    </row>
    <row r="5175" ht="15.75" customHeight="1">
      <c r="A5175" s="1">
        <v>5537.0</v>
      </c>
      <c r="B5175" s="3" t="s">
        <v>4947</v>
      </c>
      <c r="C5175" s="3" t="str">
        <f>IFERROR(__xludf.DUMMYFUNCTION("GOOGLETRANSLATE(B5175,""id"",""en"")"),"['Help', 'information', 'use', 'tsel']")</f>
        <v>['Help', 'information', 'use', 'tsel']</v>
      </c>
      <c r="D5175" s="3">
        <v>5.0</v>
      </c>
    </row>
    <row r="5176" ht="15.75" customHeight="1">
      <c r="A5176" s="1">
        <v>5538.0</v>
      </c>
      <c r="B5176" s="3" t="s">
        <v>4646</v>
      </c>
      <c r="C5176" s="3" t="str">
        <f>IFERROR(__xludf.DUMMYFUNCTION("GOOGLETRANSLATE(B5176,""id"",""en"")"),"['Kasi', 'star', '']")</f>
        <v>['Kasi', 'star', '']</v>
      </c>
      <c r="D5176" s="3">
        <v>1.0</v>
      </c>
    </row>
    <row r="5177" ht="15.75" customHeight="1">
      <c r="A5177" s="1">
        <v>5539.0</v>
      </c>
      <c r="B5177" s="3" t="s">
        <v>4948</v>
      </c>
      <c r="C5177" s="3" t="str">
        <f>IFERROR(__xludf.DUMMYFUNCTION("GOOGLETRANSLATE(B5177,""id"",""en"")"),"['Telkomsel', 'best']")</f>
        <v>['Telkomsel', 'best']</v>
      </c>
      <c r="D5177" s="3">
        <v>5.0</v>
      </c>
    </row>
    <row r="5178" ht="15.75" customHeight="1">
      <c r="A5178" s="1">
        <v>5540.0</v>
      </c>
      <c r="B5178" s="3" t="s">
        <v>4949</v>
      </c>
      <c r="C5178" s="3" t="str">
        <f>IFERROR(__xludf.DUMMYFUNCTION("GOOGLETRANSLATE(B5178,""id"",""en"")"),"['I hope all goes well']")</f>
        <v>['I hope all goes well']</v>
      </c>
      <c r="D5178" s="3">
        <v>5.0</v>
      </c>
    </row>
    <row r="5179" ht="15.75" customHeight="1">
      <c r="A5179" s="1">
        <v>5541.0</v>
      </c>
      <c r="B5179" s="3" t="s">
        <v>4950</v>
      </c>
      <c r="C5179" s="3" t="str">
        <f>IFERROR(__xludf.DUMMYFUNCTION("GOOGLETRANSLATE(B5179,""id"",""en"")"),"['No', 'the difference', 'axis',' already ',' expensive ',' delay ',' Please ',' fix ',' network ',' search ',' profit ',' doang ',' ']")</f>
        <v>['No', 'the difference', 'axis',' already ',' expensive ',' delay ',' Please ',' fix ',' network ',' search ',' profit ',' doang ',' ']</v>
      </c>
      <c r="D5179" s="3">
        <v>1.0</v>
      </c>
    </row>
    <row r="5180" ht="15.75" customHeight="1">
      <c r="A5180" s="1">
        <v>5542.0</v>
      </c>
      <c r="B5180" s="3" t="s">
        <v>4951</v>
      </c>
      <c r="C5180" s="3" t="str">
        <f>IFERROR(__xludf.DUMMYFUNCTION("GOOGLETRANSLATE(B5180,""id"",""en"")"),"['Star', 'stabilin', 'signal', 'koplok']")</f>
        <v>['Star', 'stabilin', 'signal', 'koplok']</v>
      </c>
      <c r="D5180" s="3">
        <v>1.0</v>
      </c>
    </row>
    <row r="5181" ht="15.75" customHeight="1">
      <c r="A5181" s="1">
        <v>5543.0</v>
      </c>
      <c r="B5181" s="3" t="s">
        <v>4952</v>
      </c>
      <c r="C5181" s="3" t="str">
        <f>IFERROR(__xludf.DUMMYFUNCTION("GOOGLETRANSLATE(B5181,""id"",""en"")"),"['signal', 'ugly', 'severe', 'region', 'bali', 'udh', 'many years',' use ',' telkomsel ',' skrg ',' signal ',' threat ',' Disappointed ',' Telkomsel ',' Price ',' Package ',' Already ',' Expensive ',' TPI ',' Signal ',' Threat ',' Next ',' Looks', 'Move',"&amp;" ""]")</f>
        <v>['signal', 'ugly', 'severe', 'region', 'bali', 'udh', 'many years',' use ',' telkomsel ',' skrg ',' signal ',' threat ',' Disappointed ',' Telkomsel ',' Price ',' Package ',' Already ',' Expensive ',' TPI ',' Signal ',' Threat ',' Next ',' Looks', 'Move', "]</v>
      </c>
      <c r="D5181" s="3">
        <v>1.0</v>
      </c>
    </row>
    <row r="5182" ht="15.75" customHeight="1">
      <c r="A5182" s="1">
        <v>5544.0</v>
      </c>
      <c r="B5182" s="3" t="s">
        <v>4953</v>
      </c>
      <c r="C5182" s="3" t="str">
        <f>IFERROR(__xludf.DUMMYFUNCTION("GOOGLETRANSLATE(B5182,""id"",""en"")"),"['signal', 'strong', 'subscription', 'loyal', 'Telkomsel', 'Satisfied']")</f>
        <v>['signal', 'strong', 'subscription', 'loyal', 'Telkomsel', 'Satisfied']</v>
      </c>
      <c r="D5182" s="3">
        <v>5.0</v>
      </c>
    </row>
    <row r="5183" ht="15.75" customHeight="1">
      <c r="A5183" s="1">
        <v>5545.0</v>
      </c>
      <c r="B5183" s="3" t="s">
        <v>4954</v>
      </c>
      <c r="C5183" s="3" t="str">
        <f>IFERROR(__xludf.DUMMYFUNCTION("GOOGLETRANSLATE(B5183,""id"",""en"")"),"['Help', 'Hardy', 'Exchange', 'Points', 'Credit']")</f>
        <v>['Help', 'Hardy', 'Exchange', 'Points', 'Credit']</v>
      </c>
      <c r="D5183" s="3">
        <v>3.0</v>
      </c>
    </row>
    <row r="5184" ht="15.75" customHeight="1">
      <c r="A5184" s="1">
        <v>5546.0</v>
      </c>
      <c r="B5184" s="3" t="s">
        <v>4955</v>
      </c>
      <c r="C5184" s="3" t="str">
        <f>IFERROR(__xludf.DUMMYFUNCTION("GOOGLETRANSLATE(B5184,""id"",""en"")"),"['signal', 'Telkomsel', 'setabail', 'open', 'google', 'slow', 'really', 'buy', 'quota', 'expensive', 'signal', 'down', ' Karuan ',' Sebangai ',' Tenguna ',' Telkomsel ',' Disappointed ',' Disright ',' Consumers', ""]")</f>
        <v>['signal', 'Telkomsel', 'setabail', 'open', 'google', 'slow', 'really', 'buy', 'quota', 'expensive', 'signal', 'down', ' Karuan ',' Sebangai ',' Tenguna ',' Telkomsel ',' Disappointed ',' Disright ',' Consumers', "]</v>
      </c>
      <c r="D5184" s="3">
        <v>1.0</v>
      </c>
    </row>
    <row r="5185" ht="15.75" customHeight="1">
      <c r="A5185" s="1">
        <v>5547.0</v>
      </c>
      <c r="B5185" s="3" t="s">
        <v>2299</v>
      </c>
      <c r="C5185" s="3" t="str">
        <f>IFERROR(__xludf.DUMMYFUNCTION("GOOGLETRANSLATE(B5185,""id"",""en"")"),"['Application', 'Help']")</f>
        <v>['Application', 'Help']</v>
      </c>
      <c r="D5185" s="3">
        <v>5.0</v>
      </c>
    </row>
    <row r="5186" ht="15.75" customHeight="1">
      <c r="A5186" s="1">
        <v>5548.0</v>
      </c>
      <c r="B5186" s="3" t="s">
        <v>4956</v>
      </c>
      <c r="C5186" s="3" t="str">
        <f>IFERROR(__xludf.DUMMYFUNCTION("GOOGLETRANSLATE(B5186,""id"",""en"")"),"['Kwalias', 'Signal', 'Good']")</f>
        <v>['Kwalias', 'Signal', 'Good']</v>
      </c>
      <c r="D5186" s="3">
        <v>5.0</v>
      </c>
    </row>
    <row r="5187" ht="15.75" customHeight="1">
      <c r="A5187" s="1">
        <v>5549.0</v>
      </c>
      <c r="B5187" s="3" t="s">
        <v>4957</v>
      </c>
      <c r="C5187" s="3" t="str">
        <f>IFERROR(__xludf.DUMMYFUNCTION("GOOGLETRANSLATE(B5187,""id"",""en"")"),"['Telkomsel', 'Leading', 'all', 'Network', 'Tel', 'Internet', '']")</f>
        <v>['Telkomsel', 'Leading', 'all', 'Network', 'Tel', 'Internet', '']</v>
      </c>
      <c r="D5187" s="3">
        <v>5.0</v>
      </c>
    </row>
    <row r="5188" ht="15.75" customHeight="1">
      <c r="A5188" s="1">
        <v>5550.0</v>
      </c>
      <c r="B5188" s="3" t="s">
        <v>4958</v>
      </c>
      <c r="C5188" s="3" t="str">
        <f>IFERROR(__xludf.DUMMYFUNCTION("GOOGLETRANSLATE(B5188,""id"",""en"")"),"['Signal', 'Telkomsel', 'Lost', 'Loose']")</f>
        <v>['Signal', 'Telkomsel', 'Lost', 'Loose']</v>
      </c>
      <c r="D5188" s="3">
        <v>1.0</v>
      </c>
    </row>
    <row r="5189" ht="15.75" customHeight="1">
      <c r="A5189" s="1">
        <v>5551.0</v>
      </c>
      <c r="B5189" s="3" t="s">
        <v>4959</v>
      </c>
      <c r="C5189" s="3" t="str">
        <f>IFERROR(__xludf.DUMMYFUNCTION("GOOGLETRANSLATE(B5189,""id"",""en"")"),"['Cool', 'Application', 'MyTelkomsel']")</f>
        <v>['Cool', 'Application', 'MyTelkomsel']</v>
      </c>
      <c r="D5189" s="3">
        <v>5.0</v>
      </c>
    </row>
    <row r="5190" ht="15.75" customHeight="1">
      <c r="A5190" s="1">
        <v>5552.0</v>
      </c>
      <c r="B5190" s="3" t="s">
        <v>4960</v>
      </c>
      <c r="C5190" s="3" t="str">
        <f>IFERROR(__xludf.DUMMYFUNCTION("GOOGLETRANSLATE(B5190,""id"",""en"")"),"['signal', 'slow', 'package', 'expensive', 'gyma', 'satisfying', 'pelnggan', 'gini', 'mending', 'ganty', 'memalankn', ""]")</f>
        <v>['signal', 'slow', 'package', 'expensive', 'gyma', 'satisfying', 'pelnggan', 'gini', 'mending', 'ganty', 'memalankn', "]</v>
      </c>
      <c r="D5190" s="3">
        <v>1.0</v>
      </c>
    </row>
    <row r="5191" ht="15.75" customHeight="1">
      <c r="A5191" s="1">
        <v>5554.0</v>
      </c>
      <c r="B5191" s="3" t="s">
        <v>4961</v>
      </c>
      <c r="C5191" s="3" t="str">
        <f>IFERROR(__xludf.DUMMYFUNCTION("GOOGLETRANSLATE(B5191,""id"",""en"")"),"['signal', 'slow']")</f>
        <v>['signal', 'slow']</v>
      </c>
      <c r="D5191" s="3">
        <v>1.0</v>
      </c>
    </row>
    <row r="5192" ht="15.75" customHeight="1">
      <c r="A5192" s="1">
        <v>5555.0</v>
      </c>
      <c r="B5192" s="3" t="s">
        <v>4962</v>
      </c>
      <c r="C5192" s="3" t="str">
        <f>IFERROR(__xludf.DUMMYFUNCTION("GOOGLETRANSLATE(B5192,""id"",""en"")"),"['already', 'mampus',' kah ',' already ',' a week ',' slow ',' naudzubillah ',' contents', 'quota', 'the way', 'kayak', 'keong', ' already ',' bankrupt ',' it seems']")</f>
        <v>['already', 'mampus',' kah ',' already ',' a week ',' slow ',' naudzubillah ',' contents', 'quota', 'the way', 'kayak', 'keong', ' already ',' bankrupt ',' it seems']</v>
      </c>
      <c r="D5192" s="3">
        <v>1.0</v>
      </c>
    </row>
    <row r="5193" ht="15.75" customHeight="1">
      <c r="A5193" s="1">
        <v>5556.0</v>
      </c>
      <c r="B5193" s="3" t="s">
        <v>4963</v>
      </c>
      <c r="C5193" s="3" t="str">
        <f>IFERROR(__xludf.DUMMYFUNCTION("GOOGLETRANSLATE(B5193,""id"",""en"")"),"['', 'Ribet', 'process', 'fast']")</f>
        <v>['', 'Ribet', 'process', 'fast']</v>
      </c>
      <c r="D5193" s="3">
        <v>5.0</v>
      </c>
    </row>
    <row r="5194" ht="15.75" customHeight="1">
      <c r="A5194" s="1">
        <v>5557.0</v>
      </c>
      <c r="B5194" s="3" t="s">
        <v>4964</v>
      </c>
      <c r="C5194" s="3" t="str">
        <f>IFERROR(__xludf.DUMMYFUNCTION("GOOGLETRANSLATE(B5194,""id"",""en"")"),"['The application', 'Good', 'buangetttttttttttttttttttttttttttttttttttttttttttttttttttttttttt")</f>
        <v>['The application', 'Good', 'buangetttttttttttttttttttttttttttttttttttttttttttttttttttttttttt</v>
      </c>
      <c r="D5194" s="3">
        <v>3.0</v>
      </c>
    </row>
    <row r="5195" ht="15.75" customHeight="1">
      <c r="A5195" s="1">
        <v>5558.0</v>
      </c>
      <c r="B5195" s="3" t="s">
        <v>4965</v>
      </c>
      <c r="C5195" s="3" t="str">
        <f>IFERROR(__xludf.DUMMYFUNCTION("GOOGLETRANSLATE(B5195,""id"",""en"")"),"['Benerin', 'signal', 'mas', 'girlfriend', ""]")</f>
        <v>['Benerin', 'signal', 'mas', 'girlfriend', "]</v>
      </c>
      <c r="D5195" s="3">
        <v>3.0</v>
      </c>
    </row>
    <row r="5196" ht="15.75" customHeight="1">
      <c r="A5196" s="1">
        <v>5559.0</v>
      </c>
      <c r="B5196" s="3" t="s">
        <v>4966</v>
      </c>
      <c r="C5196" s="3" t="str">
        <f>IFERROR(__xludf.DUMMYFUNCTION("GOOGLETRANSLATE(B5196,""id"",""en"")"),"['package', 'internet', 'expensive', 'package', 'internet', 'unlimited', 'card', 'many years', 'use', 'Telkomsel', ""]")</f>
        <v>['package', 'internet', 'expensive', 'package', 'internet', 'unlimited', 'card', 'many years', 'use', 'Telkomsel', "]</v>
      </c>
      <c r="D5196" s="3">
        <v>5.0</v>
      </c>
    </row>
    <row r="5197" ht="15.75" customHeight="1">
      <c r="A5197" s="1">
        <v>5560.0</v>
      </c>
      <c r="B5197" s="3" t="s">
        <v>4967</v>
      </c>
      <c r="C5197" s="3" t="str">
        <f>IFERROR(__xludf.DUMMYFUNCTION("GOOGLETRANSLATE(B5197,""id"",""en"")"),"['Telkomsel', 'difficult', 'expensive', 'trs', 'buy', 'package', 'call', 'star', 'karna', 'disappointed']")</f>
        <v>['Telkomsel', 'difficult', 'expensive', 'trs', 'buy', 'package', 'call', 'star', 'karna', 'disappointed']</v>
      </c>
      <c r="D5197" s="3">
        <v>1.0</v>
      </c>
    </row>
    <row r="5198" ht="15.75" customHeight="1">
      <c r="A5198" s="1">
        <v>5561.0</v>
      </c>
      <c r="B5198" s="3" t="s">
        <v>4968</v>
      </c>
      <c r="C5198" s="3" t="str">
        <f>IFERROR(__xludf.DUMMYFUNCTION("GOOGLETRANSLATE(B5198,""id"",""en"")"),"['Application', 'idiot', 'verification', 'valid', 'until', 'times',' installed ',' application ',' nyedot ',' quota ',' doang ',' greetings', ' stupid ',' application ',' it's easy ',' search ',' lucky ',' mandate ',' useful ',' ']")</f>
        <v>['Application', 'idiot', 'verification', 'valid', 'until', 'times',' installed ',' application ',' nyedot ',' quota ',' doang ',' greetings', ' stupid ',' application ',' it's easy ',' search ',' lucky ',' mandate ',' useful ',' ']</v>
      </c>
      <c r="D5198" s="3">
        <v>1.0</v>
      </c>
    </row>
    <row r="5199" ht="15.75" customHeight="1">
      <c r="A5199" s="1">
        <v>5562.0</v>
      </c>
      <c r="B5199" s="3" t="s">
        <v>4969</v>
      </c>
      <c r="C5199" s="3" t="str">
        <f>IFERROR(__xludf.DUMMYFUNCTION("GOOGLETRANSLATE(B5199,""id"",""en"")"),"['Alhamdulillah', 'easy', 'koq', 'many years',' use ',' telkomsel ',' use ',' the application ',' after ',' sister ',' bilng ',' Telkomsel ',' Promo ',' ']")</f>
        <v>['Alhamdulillah', 'easy', 'koq', 'many years',' use ',' telkomsel ',' use ',' the application ',' after ',' sister ',' bilng ',' Telkomsel ',' Promo ',' ']</v>
      </c>
      <c r="D5199" s="3">
        <v>5.0</v>
      </c>
    </row>
    <row r="5200" ht="15.75" customHeight="1">
      <c r="A5200" s="1">
        <v>5563.0</v>
      </c>
      <c r="B5200" s="3" t="s">
        <v>4970</v>
      </c>
      <c r="C5200" s="3" t="str">
        <f>IFERROR(__xludf.DUMMYFUNCTION("GOOGLETRANSLATE(B5200,""id"",""en"")"),"['Applikasih', 'Bagussssss', 'Bangat', '']")</f>
        <v>['Applikasih', 'Bagussssss', 'Bangat', '']</v>
      </c>
      <c r="D5200" s="3">
        <v>5.0</v>
      </c>
    </row>
    <row r="5201" ht="15.75" customHeight="1">
      <c r="A5201" s="1">
        <v>5564.0</v>
      </c>
      <c r="B5201" s="3" t="s">
        <v>4971</v>
      </c>
      <c r="C5201" s="3" t="str">
        <f>IFERROR(__xludf.DUMMYFUNCTION("GOOGLETRANSLATE(B5201,""id"",""en"")"),"['Good', 'performance', 'quota', 'nakin', 'cheap', ""]")</f>
        <v>['Good', 'performance', 'quota', 'nakin', 'cheap', "]</v>
      </c>
      <c r="D5201" s="3">
        <v>5.0</v>
      </c>
    </row>
    <row r="5202" ht="15.75" customHeight="1">
      <c r="A5202" s="1">
        <v>5565.0</v>
      </c>
      <c r="B5202" s="3" t="s">
        <v>4972</v>
      </c>
      <c r="C5202" s="3" t="str">
        <f>IFERROR(__xludf.DUMMYFUNCTION("GOOGLETRANSLATE(B5202,""id"",""en"")"),"['down', 'price', 'quota', 'internet', 'suu', '']")</f>
        <v>['down', 'price', 'quota', 'internet', 'suu', '']</v>
      </c>
      <c r="D5202" s="3">
        <v>5.0</v>
      </c>
    </row>
    <row r="5203" ht="15.75" customHeight="1">
      <c r="A5203" s="1">
        <v>5566.0</v>
      </c>
      <c r="B5203" s="3" t="s">
        <v>4973</v>
      </c>
      <c r="C5203" s="3" t="str">
        <f>IFERROR(__xludf.DUMMYFUNCTION("GOOGLETRANSLATE(B5203,""id"",""en"")"),"['Network', 'here', 'severe', 'noon', 'night', 'hope', 'ane', 'hopefully', 'Telkomsel', 'bankrupt', ""]")</f>
        <v>['Network', 'here', 'severe', 'noon', 'night', 'hope', 'ane', 'hopefully', 'Telkomsel', 'bankrupt', "]</v>
      </c>
      <c r="D5203" s="3">
        <v>1.0</v>
      </c>
    </row>
    <row r="5204" ht="15.75" customHeight="1">
      <c r="A5204" s="1">
        <v>5567.0</v>
      </c>
      <c r="B5204" s="3" t="s">
        <v>4974</v>
      </c>
      <c r="C5204" s="3" t="str">
        <f>IFERROR(__xludf.DUMMYFUNCTION("GOOGLETRANSLATE(B5204,""id"",""en"")"),"['Wooww', 'mantabb']")</f>
        <v>['Wooww', 'mantabb']</v>
      </c>
      <c r="D5204" s="3">
        <v>5.0</v>
      </c>
    </row>
    <row r="5205" ht="15.75" customHeight="1">
      <c r="A5205" s="1">
        <v>5568.0</v>
      </c>
      <c r="B5205" s="3" t="s">
        <v>4975</v>
      </c>
      <c r="C5205" s="3" t="str">
        <f>IFERROR(__xludf.DUMMYFUNCTION("GOOGLETRANSLATE(B5205,""id"",""en"")"),"['Treeji', 'card', 'slow', 'signal']")</f>
        <v>['Treeji', 'card', 'slow', 'signal']</v>
      </c>
      <c r="D5205" s="3">
        <v>5.0</v>
      </c>
    </row>
    <row r="5206" ht="15.75" customHeight="1">
      <c r="A5206" s="1">
        <v>5569.0</v>
      </c>
      <c r="B5206" s="3" t="s">
        <v>4976</v>
      </c>
      <c r="C5206" s="3" t="str">
        <f>IFERROR(__xludf.DUMMYFUNCTION("GOOGLETRANSLATE(B5206,""id"",""en"")"),"['Leet', 'open it', 'BOSM', 'It's better', 'Versilama']")</f>
        <v>['Leet', 'open it', 'BOSM', 'It's better', 'Versilama']</v>
      </c>
      <c r="D5206" s="3">
        <v>1.0</v>
      </c>
    </row>
    <row r="5207" ht="15.75" customHeight="1">
      <c r="A5207" s="1">
        <v>5570.0</v>
      </c>
      <c r="B5207" s="3" t="s">
        <v>4977</v>
      </c>
      <c r="C5207" s="3" t="str">
        <f>IFERROR(__xludf.DUMMYFUNCTION("GOOGLETRANSLATE(B5207,""id"",""en"")"),"['Doank', 'gift']")</f>
        <v>['Doank', 'gift']</v>
      </c>
      <c r="D5207" s="3">
        <v>5.0</v>
      </c>
    </row>
    <row r="5208" ht="15.75" customHeight="1">
      <c r="A5208" s="1">
        <v>5571.0</v>
      </c>
      <c r="B5208" s="3" t="s">
        <v>4978</v>
      </c>
      <c r="C5208" s="3" t="str">
        <f>IFERROR(__xludf.DUMMYFUNCTION("GOOGLETRANSLATE(B5208,""id"",""en"")"),"['Error', 'Gabisa', 'Belik', 'Package']")</f>
        <v>['Error', 'Gabisa', 'Belik', 'Package']</v>
      </c>
      <c r="D5208" s="3">
        <v>1.0</v>
      </c>
    </row>
    <row r="5209" ht="15.75" customHeight="1">
      <c r="A5209" s="1">
        <v>5572.0</v>
      </c>
      <c r="B5209" s="3" t="s">
        <v>4979</v>
      </c>
      <c r="C5209" s="3" t="str">
        <f>IFERROR(__xludf.DUMMYFUNCTION("GOOGLETRANSLATE(B5209,""id"",""en"")"),"['Good', 'makes it easy', 'purchase']")</f>
        <v>['Good', 'makes it easy', 'purchase']</v>
      </c>
      <c r="D5209" s="3">
        <v>3.0</v>
      </c>
    </row>
    <row r="5210" ht="15.75" customHeight="1">
      <c r="A5210" s="1">
        <v>5573.0</v>
      </c>
      <c r="B5210" s="3" t="s">
        <v>4980</v>
      </c>
      <c r="C5210" s="3" t="str">
        <f>IFERROR(__xludf.DUMMYFUNCTION("GOOGLETRANSLATE(B5210,""id"",""en"")"),"['Internet', 'quota', 'local', 'activation', 'quota', 'use', ""]")</f>
        <v>['Internet', 'quota', 'local', 'activation', 'quota', 'use', "]</v>
      </c>
      <c r="D5210" s="3">
        <v>1.0</v>
      </c>
    </row>
    <row r="5211" ht="15.75" customHeight="1">
      <c r="A5211" s="1">
        <v>5574.0</v>
      </c>
      <c r="B5211" s="3" t="s">
        <v>4981</v>
      </c>
      <c r="C5211" s="3" t="str">
        <f>IFERROR(__xludf.DUMMYFUNCTION("GOOGLETRANSLATE(B5211,""id"",""en"")"),"['Kasi', 'star', 'Karna', 'Masi', 'category', 'expensive']")</f>
        <v>['Kasi', 'star', 'Karna', 'Masi', 'category', 'expensive']</v>
      </c>
      <c r="D5211" s="3">
        <v>3.0</v>
      </c>
    </row>
    <row r="5212" ht="15.75" customHeight="1">
      <c r="A5212" s="1">
        <v>5575.0</v>
      </c>
      <c r="B5212" s="3" t="s">
        <v>478</v>
      </c>
      <c r="C5212" s="3" t="str">
        <f>IFERROR(__xludf.DUMMYFUNCTION("GOOGLETRANSLATE(B5212,""id"",""en"")"),"['Package', 'expensive']")</f>
        <v>['Package', 'expensive']</v>
      </c>
      <c r="D5212" s="3">
        <v>1.0</v>
      </c>
    </row>
    <row r="5213" ht="15.75" customHeight="1">
      <c r="A5213" s="1">
        <v>5576.0</v>
      </c>
      <c r="B5213" s="3" t="s">
        <v>4982</v>
      </c>
      <c r="C5213" s="3" t="str">
        <f>IFERROR(__xludf.DUMMYFUNCTION("GOOGLETRANSLATE(B5213,""id"",""en"")"),"['price', 'package', 'interner', 'expensive']")</f>
        <v>['price', 'package', 'interner', 'expensive']</v>
      </c>
      <c r="D5213" s="3">
        <v>1.0</v>
      </c>
    </row>
    <row r="5214" ht="15.75" customHeight="1">
      <c r="A5214" s="1">
        <v>5577.0</v>
      </c>
      <c r="B5214" s="3" t="s">
        <v>4983</v>
      </c>
      <c r="C5214" s="3" t="str">
        <f>IFERROR(__xludf.DUMMYFUNCTION("GOOGLETRANSLATE(B5214,""id"",""en"")"),"['active', '']")</f>
        <v>['active', '']</v>
      </c>
      <c r="D5214" s="3">
        <v>1.0</v>
      </c>
    </row>
    <row r="5215" ht="15.75" customHeight="1">
      <c r="A5215" s="1">
        <v>5578.0</v>
      </c>
      <c r="B5215" s="3" t="s">
        <v>4984</v>
      </c>
      <c r="C5215" s="3" t="str">
        <f>IFERROR(__xludf.DUMMYFUNCTION("GOOGLETRANSLATE(B5215,""id"",""en"")"),"['Min', 'Telkomsel', 'slow', 'really', 'sii', ""]")</f>
        <v>['Min', 'Telkomsel', 'slow', 'really', 'sii', "]</v>
      </c>
      <c r="D5215" s="3">
        <v>1.0</v>
      </c>
    </row>
    <row r="5216" ht="15.75" customHeight="1">
      <c r="A5216" s="1">
        <v>5579.0</v>
      </c>
      <c r="B5216" s="3" t="s">
        <v>4985</v>
      </c>
      <c r="C5216" s="3" t="str">
        <f>IFERROR(__xludf.DUMMYFUNCTION("GOOGLETRANSLATE(B5216,""id"",""en"")"),"['Paketannya', 'expensive', 'person', 'replace', 'card', 'signal', 'Telkomsel']")</f>
        <v>['Paketannya', 'expensive', 'person', 'replace', 'card', 'signal', 'Telkomsel']</v>
      </c>
      <c r="D5216" s="3">
        <v>1.0</v>
      </c>
    </row>
    <row r="5217" ht="15.75" customHeight="1">
      <c r="A5217" s="1">
        <v>5580.0</v>
      </c>
      <c r="B5217" s="3" t="s">
        <v>264</v>
      </c>
      <c r="C5217" s="3" t="str">
        <f>IFERROR(__xludf.DUMMYFUNCTION("GOOGLETRANSLATE(B5217,""id"",""en"")"),"['Network', 'good']")</f>
        <v>['Network', 'good']</v>
      </c>
      <c r="D5217" s="3">
        <v>4.0</v>
      </c>
    </row>
    <row r="5218" ht="15.75" customHeight="1">
      <c r="A5218" s="1">
        <v>5581.0</v>
      </c>
      <c r="B5218" s="3" t="s">
        <v>4986</v>
      </c>
      <c r="C5218" s="3" t="str">
        <f>IFERROR(__xludf.DUMMYFUNCTION("GOOGLETRANSLATE(B5218,""id"",""en"")"),"['easy', 'safe', 'comfortable', 'fun', 'package', 'promo', 'MyTelkomsel', '']")</f>
        <v>['easy', 'safe', 'comfortable', 'fun', 'package', 'promo', 'MyTelkomsel', '']</v>
      </c>
      <c r="D5218" s="3">
        <v>5.0</v>
      </c>
    </row>
    <row r="5219" ht="15.75" customHeight="1">
      <c r="A5219" s="1">
        <v>5582.0</v>
      </c>
      <c r="B5219" s="3" t="s">
        <v>4987</v>
      </c>
      <c r="C5219" s="3" t="str">
        <f>IFERROR(__xludf.DUMMYFUNCTION("GOOGLETRANSLATE(B5219,""id"",""en"")"),"['enter', 'application', '']")</f>
        <v>['enter', 'application', '']</v>
      </c>
      <c r="D5219" s="3">
        <v>1.0</v>
      </c>
    </row>
    <row r="5220" ht="15.75" customHeight="1">
      <c r="A5220" s="1">
        <v>5583.0</v>
      </c>
      <c r="B5220" s="3" t="s">
        <v>4988</v>
      </c>
      <c r="C5220" s="3" t="str">
        <f>IFERROR(__xludf.DUMMYFUNCTION("GOOGLETRANSLATE(B5220,""id"",""en"")"),"['Network', 'Telkomsel', 'users']")</f>
        <v>['Network', 'Telkomsel', 'users']</v>
      </c>
      <c r="D5220" s="3">
        <v>5.0</v>
      </c>
    </row>
    <row r="5221" ht="15.75" customHeight="1">
      <c r="A5221" s="1">
        <v>5584.0</v>
      </c>
      <c r="B5221" s="3" t="s">
        <v>4989</v>
      </c>
      <c r="C5221" s="3" t="str">
        <f>IFERROR(__xludf.DUMMYFUNCTION("GOOGLETRANSLATE(B5221,""id"",""en"")"),"['Steady', 'pokonya']")</f>
        <v>['Steady', 'pokonya']</v>
      </c>
      <c r="D5221" s="3">
        <v>5.0</v>
      </c>
    </row>
    <row r="5222" ht="15.75" customHeight="1">
      <c r="A5222" s="1">
        <v>5587.0</v>
      </c>
      <c r="B5222" s="3" t="s">
        <v>4990</v>
      </c>
      <c r="C5222" s="3" t="str">
        <f>IFERROR(__xludf.DUMMYFUNCTION("GOOGLETRANSLATE(B5222,""id"",""en"")"),"['apk', 'error', 'network', 'hello', 'ugly', 'really', ""]")</f>
        <v>['apk', 'error', 'network', 'hello', 'ugly', 'really', "]</v>
      </c>
      <c r="D5222" s="3">
        <v>1.0</v>
      </c>
    </row>
    <row r="5223" ht="15.75" customHeight="1">
      <c r="A5223" s="1">
        <v>5588.0</v>
      </c>
      <c r="B5223" s="3" t="s">
        <v>4991</v>
      </c>
      <c r="C5223" s="3" t="str">
        <f>IFERROR(__xludf.DUMMYFUNCTION("GOOGLETRANSLATE(B5223,""id"",""en"")"),"['signal', 'ilang', 'signal', 'slow', 'poor', 'Telkomsel']")</f>
        <v>['signal', 'ilang', 'signal', 'slow', 'poor', 'Telkomsel']</v>
      </c>
      <c r="D5223" s="3">
        <v>1.0</v>
      </c>
    </row>
    <row r="5224" ht="15.75" customHeight="1">
      <c r="A5224" s="1">
        <v>5589.0</v>
      </c>
      <c r="B5224" s="3" t="s">
        <v>2954</v>
      </c>
      <c r="C5224" s="3" t="str">
        <f>IFERROR(__xludf.DUMMYFUNCTION("GOOGLETRANSLATE(B5224,""id"",""en"")"),"['Network', 'Down']")</f>
        <v>['Network', 'Down']</v>
      </c>
      <c r="D5224" s="3">
        <v>3.0</v>
      </c>
    </row>
    <row r="5225" ht="15.75" customHeight="1">
      <c r="A5225" s="1">
        <v>5590.0</v>
      </c>
      <c r="B5225" s="3" t="s">
        <v>4992</v>
      </c>
      <c r="C5225" s="3" t="str">
        <f>IFERROR(__xludf.DUMMYFUNCTION("GOOGLETRANSLATE(B5225,""id"",""en"")"),"['good', 'package', 'expensive', 'user', 'sympathy', 'change', 'card', 'sim', 'mbok', 'yao', 'package', 'cheap', ' That's', 'Lohhh']")</f>
        <v>['good', 'package', 'expensive', 'user', 'sympathy', 'change', 'card', 'sim', 'mbok', 'yao', 'package', 'cheap', ' That's', 'Lohhh']</v>
      </c>
      <c r="D5225" s="3">
        <v>4.0</v>
      </c>
    </row>
    <row r="5226" ht="15.75" customHeight="1">
      <c r="A5226" s="1">
        <v>5591.0</v>
      </c>
      <c r="B5226" s="3" t="s">
        <v>4993</v>
      </c>
      <c r="C5226" s="3" t="str">
        <f>IFERROR(__xludf.DUMMYFUNCTION("GOOGLETRANSLATE(B5226,""id"",""en"")"),"['open', 'web', 'appears',' ad ',' quota ',' quota ',' package ',' quota ',' available ',' package ',' need ',' scorched ',' "", 'Sia', 'Period', 'Disappointed']")</f>
        <v>['open', 'web', 'appears',' ad ',' quota ',' quota ',' package ',' quota ',' available ',' package ',' need ',' scorched ',' ", 'Sia', 'Period', 'Disappointed']</v>
      </c>
      <c r="D5226" s="3">
        <v>1.0</v>
      </c>
    </row>
    <row r="5227" ht="15.75" customHeight="1">
      <c r="A5227" s="1">
        <v>5592.0</v>
      </c>
      <c r="B5227" s="3" t="s">
        <v>4994</v>
      </c>
      <c r="C5227" s="3" t="str">
        <f>IFERROR(__xludf.DUMMYFUNCTION("GOOGLETRANSLATE(B5227,""id"",""en"")"),"['Please', 'repaired', 'signal', 'County', 'Sampang', 'Subdistrict', 'Banyuates',' Village ',' trapang ',' after 'after' Magrib ',' Morning ',' signal ',' morning ',' ampe ',' afternoon ']")</f>
        <v>['Please', 'repaired', 'signal', 'County', 'Sampang', 'Subdistrict', 'Banyuates',' Village ',' trapang ',' after 'after' Magrib ',' Morning ',' signal ',' morning ',' ampe ',' afternoon ']</v>
      </c>
      <c r="D5227" s="3">
        <v>1.0</v>
      </c>
    </row>
    <row r="5228" ht="15.75" customHeight="1">
      <c r="A5228" s="1">
        <v>5593.0</v>
      </c>
      <c r="B5228" s="3" t="s">
        <v>4995</v>
      </c>
      <c r="C5228" s="3" t="str">
        <f>IFERROR(__xludf.DUMMYFUNCTION("GOOGLETRANSLATE(B5228,""id"",""en"")"),"['Star', 'prove']")</f>
        <v>['Star', 'prove']</v>
      </c>
      <c r="D5228" s="3">
        <v>5.0</v>
      </c>
    </row>
    <row r="5229" ht="15.75" customHeight="1">
      <c r="A5229" s="1">
        <v>5594.0</v>
      </c>
      <c r="B5229" s="3" t="s">
        <v>4996</v>
      </c>
      <c r="C5229" s="3" t="str">
        <f>IFERROR(__xludf.DUMMYFUNCTION("GOOGLETRANSLATE(B5229,""id"",""en"")"),"['interesting', 'yes', 'jugak']")</f>
        <v>['interesting', 'yes', 'jugak']</v>
      </c>
      <c r="D5229" s="3">
        <v>1.0</v>
      </c>
    </row>
    <row r="5230" ht="15.75" customHeight="1">
      <c r="A5230" s="1">
        <v>5595.0</v>
      </c>
      <c r="B5230" s="3" t="s">
        <v>4997</v>
      </c>
      <c r="C5230" s="3" t="str">
        <f>IFERROR(__xludf.DUMMYFUNCTION("GOOGLETRANSLATE(B5230,""id"",""en"")"),"['already', 'delicious', 'Telkomsel', 'melting', 'promo', 'stingy', 'network', 'down']")</f>
        <v>['already', 'delicious', 'Telkomsel', 'melting', 'promo', 'stingy', 'network', 'down']</v>
      </c>
      <c r="D5230" s="3">
        <v>1.0</v>
      </c>
    </row>
    <row r="5231" ht="15.75" customHeight="1">
      <c r="A5231" s="1">
        <v>5596.0</v>
      </c>
      <c r="B5231" s="3" t="s">
        <v>4998</v>
      </c>
      <c r="C5231" s="3" t="str">
        <f>IFERROR(__xludf.DUMMYFUNCTION("GOOGLETRANSLATE(B5231,""id"",""en"")"),"['Facilitates', 'Customer', '']")</f>
        <v>['Facilitates', 'Customer', '']</v>
      </c>
      <c r="D5231" s="3">
        <v>5.0</v>
      </c>
    </row>
    <row r="5232" ht="15.75" customHeight="1">
      <c r="A5232" s="1">
        <v>5597.0</v>
      </c>
      <c r="B5232" s="3" t="s">
        <v>4999</v>
      </c>
      <c r="C5232" s="3" t="str">
        <f>IFERROR(__xludf.DUMMYFUNCTION("GOOGLETRANSLATE(B5232,""id"",""en"")"),"['Love', 'Bintang', 'Karna', 'Blom', 'Try', 'Good', 'Star', 'Tapi', 'Not bad', 'Good']")</f>
        <v>['Love', 'Bintang', 'Karna', 'Blom', 'Try', 'Good', 'Star', 'Tapi', 'Not bad', 'Good']</v>
      </c>
      <c r="D5232" s="3">
        <v>2.0</v>
      </c>
    </row>
    <row r="5233" ht="15.75" customHeight="1">
      <c r="A5233" s="1">
        <v>5598.0</v>
      </c>
      <c r="B5233" s="3" t="s">
        <v>5000</v>
      </c>
      <c r="C5233" s="3" t="str">
        <f>IFERROR(__xludf.DUMMYFUNCTION("GOOGLETRANSLATE(B5233,""id"",""en"")"),"['rotten', 'really', 'signal']")</f>
        <v>['rotten', 'really', 'signal']</v>
      </c>
      <c r="D5233" s="3">
        <v>1.0</v>
      </c>
    </row>
    <row r="5234" ht="15.75" customHeight="1">
      <c r="A5234" s="1">
        <v>5599.0</v>
      </c>
      <c r="B5234" s="3" t="s">
        <v>5001</v>
      </c>
      <c r="C5234" s="3" t="str">
        <f>IFERROR(__xludf.DUMMYFUNCTION("GOOGLETRANSLATE(B5234,""id"",""en"")"),"['Star', 'already', 'honest', 'star', '']")</f>
        <v>['Star', 'already', 'honest', 'star', '']</v>
      </c>
      <c r="D5234" s="3">
        <v>1.0</v>
      </c>
    </row>
    <row r="5235" ht="15.75" customHeight="1">
      <c r="A5235" s="1">
        <v>5600.0</v>
      </c>
      <c r="B5235" s="3" t="s">
        <v>5002</v>
      </c>
      <c r="C5235" s="3" t="str">
        <f>IFERROR(__xludf.DUMMYFUNCTION("GOOGLETRANSLATE(B5235,""id"",""en"")"),"['Price', 'package', 'expensive', 'network', 'slow', 'ganguan']")</f>
        <v>['Price', 'package', 'expensive', 'network', 'slow', 'ganguan']</v>
      </c>
      <c r="D5235" s="3">
        <v>3.0</v>
      </c>
    </row>
    <row r="5236" ht="15.75" customHeight="1">
      <c r="A5236" s="1">
        <v>5601.0</v>
      </c>
      <c r="B5236" s="3" t="s">
        <v>3397</v>
      </c>
      <c r="C5236" s="3" t="str">
        <f>IFERROR(__xludf.DUMMYFUNCTION("GOOGLETRANSLATE(B5236,""id"",""en"")"),"['like']")</f>
        <v>['like']</v>
      </c>
      <c r="D5236" s="3">
        <v>5.0</v>
      </c>
    </row>
    <row r="5237" ht="15.75" customHeight="1">
      <c r="A5237" s="1">
        <v>5602.0</v>
      </c>
      <c r="B5237" s="3" t="s">
        <v>5003</v>
      </c>
      <c r="C5237" s="3" t="str">
        <f>IFERROR(__xludf.DUMMYFUNCTION("GOOGLETRANSLATE(B5237,""id"",""en"")"),"['code', 'verification', 'sent', 'run out', 'login']")</f>
        <v>['code', 'verification', 'sent', 'run out', 'login']</v>
      </c>
      <c r="D5237" s="3">
        <v>1.0</v>
      </c>
    </row>
    <row r="5238" ht="15.75" customHeight="1">
      <c r="A5238" s="1">
        <v>5603.0</v>
      </c>
      <c r="B5238" s="3" t="s">
        <v>5004</v>
      </c>
      <c r="C5238" s="3" t="str">
        <f>IFERROR(__xludf.DUMMYFUNCTION("GOOGLETRANSLATE(B5238,""id"",""en"")"),"['Good', 'fan', 'easy', 'understand']")</f>
        <v>['Good', 'fan', 'easy', 'understand']</v>
      </c>
      <c r="D5238" s="3">
        <v>5.0</v>
      </c>
    </row>
    <row r="5239" ht="15.75" customHeight="1">
      <c r="A5239" s="1">
        <v>5604.0</v>
      </c>
      <c r="B5239" s="3" t="s">
        <v>5005</v>
      </c>
      <c r="C5239" s="3" t="str">
        <f>IFERROR(__xludf.DUMMYFUNCTION("GOOGLETRANSLATE(B5239,""id"",""en"")"),"['Good', 'APK']")</f>
        <v>['Good', 'APK']</v>
      </c>
      <c r="D5239" s="3">
        <v>5.0</v>
      </c>
    </row>
    <row r="5240" ht="15.75" customHeight="1">
      <c r="A5240" s="1">
        <v>5605.0</v>
      </c>
      <c r="B5240" s="3" t="s">
        <v>5006</v>
      </c>
      <c r="C5240" s="3" t="str">
        <f>IFERROR(__xludf.DUMMYFUNCTION("GOOGLETRANSLATE(B5240,""id"",""en"")"),"['Credit', 'emergency', 'piece', 'pulse', 'emergency', 'already', 'times',' bkn ',' value ',' money ',' lho ',' really ',' Disappointed ',' Costumer ']")</f>
        <v>['Credit', 'emergency', 'piece', 'pulse', 'emergency', 'already', 'times',' bkn ',' value ',' money ',' lho ',' really ',' Disappointed ',' Costumer ']</v>
      </c>
      <c r="D5240" s="3">
        <v>1.0</v>
      </c>
    </row>
    <row r="5241" ht="15.75" customHeight="1">
      <c r="A5241" s="1">
        <v>5606.0</v>
      </c>
      <c r="B5241" s="3" t="s">
        <v>5007</v>
      </c>
      <c r="C5241" s="3" t="str">
        <f>IFERROR(__xludf.DUMMYFUNCTION("GOOGLETRANSLATE(B5241,""id"",""en"")"),"['Telkomsel', 'already', 'TLFN', 'his voice', 'Try', 'Dinahin', 'eek']")</f>
        <v>['Telkomsel', 'already', 'TLFN', 'his voice', 'Try', 'Dinahin', 'eek']</v>
      </c>
      <c r="D5241" s="3">
        <v>1.0</v>
      </c>
    </row>
    <row r="5242" ht="15.75" customHeight="1">
      <c r="A5242" s="1">
        <v>5607.0</v>
      </c>
      <c r="B5242" s="3" t="s">
        <v>5008</v>
      </c>
      <c r="C5242" s="3" t="str">
        <f>IFERROR(__xludf.DUMMYFUNCTION("GOOGLETRANSLATE(B5242,""id"",""en"")"),"['Good', 'Ajaz', 'Promotion', 'Package', 'Cheap']")</f>
        <v>['Good', 'Ajaz', 'Promotion', 'Package', 'Cheap']</v>
      </c>
      <c r="D5242" s="3">
        <v>5.0</v>
      </c>
    </row>
    <row r="5243" ht="15.75" customHeight="1">
      <c r="A5243" s="1">
        <v>5609.0</v>
      </c>
      <c r="B5243" s="3" t="s">
        <v>5009</v>
      </c>
      <c r="C5243" s="3" t="str">
        <f>IFERROR(__xludf.DUMMYFUNCTION("GOOGLETRANSLATE(B5243,""id"",""en"")"),"['Login', 'buy', 'quota', 'internet', 'how', '']")</f>
        <v>['Login', 'buy', 'quota', 'internet', 'how', '']</v>
      </c>
      <c r="D5243" s="3">
        <v>4.0</v>
      </c>
    </row>
    <row r="5244" ht="15.75" customHeight="1">
      <c r="A5244" s="1">
        <v>5610.0</v>
      </c>
      <c r="B5244" s="3" t="s">
        <v>5010</v>
      </c>
      <c r="C5244" s="3" t="str">
        <f>IFERROR(__xludf.DUMMYFUNCTION("GOOGLETRANSLATE(B5244,""id"",""en"")"),"['pay', 'at the time', 'quota', 'free', 'apk', 'Telkomsel', 'because', 'free', 'what']")</f>
        <v>['pay', 'at the time', 'quota', 'free', 'apk', 'Telkomsel', 'because', 'free', 'what']</v>
      </c>
      <c r="D5244" s="3">
        <v>4.0</v>
      </c>
    </row>
    <row r="5245" ht="15.75" customHeight="1">
      <c r="A5245" s="1">
        <v>5611.0</v>
      </c>
      <c r="B5245" s="3" t="s">
        <v>5011</v>
      </c>
      <c r="C5245" s="3" t="str">
        <f>IFERROR(__xludf.DUMMYFUNCTION("GOOGLETRANSLATE(B5245,""id"",""en"")"),"['Benerin', 'signal', 'Ouch', 'play', 'lag', 'steady', 'ngelag', 'Mulu', ""]")</f>
        <v>['Benerin', 'signal', 'Ouch', 'play', 'lag', 'steady', 'ngelag', 'Mulu', "]</v>
      </c>
      <c r="D5245" s="3">
        <v>1.0</v>
      </c>
    </row>
    <row r="5246" ht="15.75" customHeight="1">
      <c r="A5246" s="1">
        <v>5612.0</v>
      </c>
      <c r="B5246" s="3" t="s">
        <v>5012</v>
      </c>
      <c r="C5246" s="3" t="str">
        <f>IFERROR(__xludf.DUMMYFUNCTION("GOOGLETRANSLATE(B5246,""id"",""en"")"),"['application', 'good', 'match', 'use', 'card', 'sympathy']")</f>
        <v>['application', 'good', 'match', 'use', 'card', 'sympathy']</v>
      </c>
      <c r="D5246" s="3">
        <v>5.0</v>
      </c>
    </row>
    <row r="5247" ht="15.75" customHeight="1">
      <c r="A5247" s="1">
        <v>5613.0</v>
      </c>
      <c r="B5247" s="3" t="s">
        <v>5013</v>
      </c>
      <c r="C5247" s="3" t="str">
        <f>IFERROR(__xludf.DUMMYFUNCTION("GOOGLETRANSLATE(B5247,""id"",""en"")"),"['Thank you', 'Fix', 'Layana', 'Telkomsel', 'Network', 'Telkomsel']")</f>
        <v>['Thank you', 'Fix', 'Layana', 'Telkomsel', 'Network', 'Telkomsel']</v>
      </c>
      <c r="D5247" s="3">
        <v>5.0</v>
      </c>
    </row>
    <row r="5248" ht="15.75" customHeight="1">
      <c r="A5248" s="1">
        <v>5614.0</v>
      </c>
      <c r="B5248" s="3" t="s">
        <v>5014</v>
      </c>
      <c r="C5248" s="3" t="str">
        <f>IFERROR(__xludf.DUMMYFUNCTION("GOOGLETRANSLATE(B5248,""id"",""en"")"),"['APL', 'Telkomsel', 'Help']")</f>
        <v>['APL', 'Telkomsel', 'Help']</v>
      </c>
      <c r="D5248" s="3">
        <v>3.0</v>
      </c>
    </row>
    <row r="5249" ht="15.75" customHeight="1">
      <c r="A5249" s="1">
        <v>5616.0</v>
      </c>
      <c r="B5249" s="3" t="s">
        <v>5015</v>
      </c>
      <c r="C5249" s="3" t="str">
        <f>IFERROR(__xludf.DUMMYFUNCTION("GOOGLETRANSLATE(B5249,""id"",""en"")"),"['Miiin']")</f>
        <v>['Miiin']</v>
      </c>
      <c r="D5249" s="3">
        <v>5.0</v>
      </c>
    </row>
    <row r="5250" ht="15.75" customHeight="1">
      <c r="A5250" s="1">
        <v>5617.0</v>
      </c>
      <c r="B5250" s="3" t="s">
        <v>5016</v>
      </c>
      <c r="C5250" s="3" t="str">
        <f>IFERROR(__xludf.DUMMYFUNCTION("GOOGLETRANSLATE(B5250,""id"",""en"")"),"['here', 'buy', 'package', 'sediain', 'option', 'expensive', 'lgi', 'kapok']")</f>
        <v>['here', 'buy', 'package', 'sediain', 'option', 'expensive', 'lgi', 'kapok']</v>
      </c>
      <c r="D5250" s="3">
        <v>1.0</v>
      </c>
    </row>
    <row r="5251" ht="15.75" customHeight="1">
      <c r="A5251" s="1">
        <v>5619.0</v>
      </c>
      <c r="B5251" s="3" t="s">
        <v>5017</v>
      </c>
      <c r="C5251" s="3" t="str">
        <f>IFERROR(__xludf.DUMMYFUNCTION("GOOGLETRANSLATE(B5251,""id"",""en"")"),"['Package', 'data', 'interesting', 'network', 'Reliable', 'use', 'telkom', 'solution', 'replace', 'operator']")</f>
        <v>['Package', 'data', 'interesting', 'network', 'Reliable', 'use', 'telkom', 'solution', 'replace', 'operator']</v>
      </c>
      <c r="D5251" s="3">
        <v>5.0</v>
      </c>
    </row>
    <row r="5252" ht="15.75" customHeight="1">
      <c r="A5252" s="1">
        <v>5620.0</v>
      </c>
      <c r="B5252" s="3" t="s">
        <v>5018</v>
      </c>
      <c r="C5252" s="3" t="str">
        <f>IFERROR(__xludf.DUMMYFUNCTION("GOOGLETRANSLATE(B5252,""id"",""en"")"),"['Good', 'Apilkasi']")</f>
        <v>['Good', 'Apilkasi']</v>
      </c>
      <c r="D5252" s="3">
        <v>5.0</v>
      </c>
    </row>
    <row r="5253" ht="15.75" customHeight="1">
      <c r="A5253" s="1">
        <v>5621.0</v>
      </c>
      <c r="B5253" s="3" t="s">
        <v>5019</v>
      </c>
      <c r="C5253" s="3" t="str">
        <f>IFERROR(__xludf.DUMMYFUNCTION("GOOGLETRANSLATE(B5253,""id"",""en"")"),"['Telkomsel', 'Network', 'Good', 'Region', 'County', 'Bengkayak', 'West Kalimantar', 'ugly', 'User', 'Network', 'Forced', 'Network', ' Please, 'Fix', 'Network', 'Internet', 'Beam', 'Full', 'Internet', 'ugly', 'Job', 'Disrupted', ""]")</f>
        <v>['Telkomsel', 'Network', 'Good', 'Region', 'County', 'Bengkayak', 'West Kalimantar', 'ugly', 'User', 'Network', 'Forced', 'Network', ' Please, 'Fix', 'Network', 'Internet', 'Beam', 'Full', 'Internet', 'ugly', 'Job', 'Disrupted', "]</v>
      </c>
      <c r="D5253" s="3">
        <v>1.0</v>
      </c>
    </row>
    <row r="5254" ht="15.75" customHeight="1">
      <c r="A5254" s="1">
        <v>5622.0</v>
      </c>
      <c r="B5254" s="3" t="s">
        <v>5020</v>
      </c>
      <c r="C5254" s="3" t="str">
        <f>IFERROR(__xludf.DUMMYFUNCTION("GOOGLETRANSLATE(B5254,""id"",""en"")"),"['APK', 'really', 'cheap', '']")</f>
        <v>['APK', 'really', 'cheap', '']</v>
      </c>
      <c r="D5254" s="3">
        <v>5.0</v>
      </c>
    </row>
    <row r="5255" ht="15.75" customHeight="1">
      <c r="A5255" s="1">
        <v>5623.0</v>
      </c>
      <c r="B5255" s="3" t="s">
        <v>5021</v>
      </c>
      <c r="C5255" s="3" t="str">
        <f>IFERROR(__xludf.DUMMYFUNCTION("GOOGLETRANSLATE(B5255,""id"",""en"")"),"['Tens', 'buy', 'credit', 'Telkomsel', 'counted', 'Satisfied', 'Telkomsel']")</f>
        <v>['Tens', 'buy', 'credit', 'Telkomsel', 'counted', 'Satisfied', 'Telkomsel']</v>
      </c>
      <c r="D5255" s="3">
        <v>5.0</v>
      </c>
    </row>
    <row r="5256" ht="15.75" customHeight="1">
      <c r="A5256" s="1">
        <v>5624.0</v>
      </c>
      <c r="B5256" s="3" t="s">
        <v>5022</v>
      </c>
      <c r="C5256" s="3" t="str">
        <f>IFERROR(__xludf.DUMMYFUNCTION("GOOGLETRANSLATE(B5256,""id"",""en"")"),"['package', 'data', 'internet', 'coupled', 'package', 'telephone', 'sms',' sosmed ',' package ',' special ',' internet ',' package ',' Internet ',' Most ',' coupled ',' package ',' SMS ',' used ',' sms', 'redundant', 'user', 'buy', 'loss',' special ',' pa"&amp;"ckage ' , 'Data', 'Internet', 'Package', 'Choice', '']")</f>
        <v>['package', 'data', 'internet', 'coupled', 'package', 'telephone', 'sms',' sosmed ',' package ',' special ',' internet ',' package ',' Internet ',' Most ',' coupled ',' package ',' SMS ',' used ',' sms', 'redundant', 'user', 'buy', 'loss',' special ',' package ' , 'Data', 'Internet', 'Package', 'Choice', '']</v>
      </c>
      <c r="D5256" s="3">
        <v>1.0</v>
      </c>
    </row>
    <row r="5257" ht="15.75" customHeight="1">
      <c r="A5257" s="1">
        <v>5625.0</v>
      </c>
      <c r="B5257" s="3" t="s">
        <v>5023</v>
      </c>
      <c r="C5257" s="3" t="str">
        <f>IFERROR(__xludf.DUMMYFUNCTION("GOOGLETRANSLATE(B5257,""id"",""en"")"),"['MAF', 'before', 'Knak', 'trkdng', 'signal', 'missing', 'stable']")</f>
        <v>['MAF', 'before', 'Knak', 'trkdng', 'signal', 'missing', 'stable']</v>
      </c>
      <c r="D5257" s="3">
        <v>5.0</v>
      </c>
    </row>
    <row r="5258" ht="15.75" customHeight="1">
      <c r="A5258" s="1">
        <v>5626.0</v>
      </c>
      <c r="B5258" s="3" t="s">
        <v>5024</v>
      </c>
      <c r="C5258" s="3" t="str">
        <f>IFERROR(__xludf.DUMMYFUNCTION("GOOGLETRANSLATE(B5258,""id"",""en"")"),"['Telkomsel', 'emang', 'Quality', 'Locking', 'Credit', 'oath', 'Telkomsel', 'weve', 'Harm', 'really']")</f>
        <v>['Telkomsel', 'emang', 'Quality', 'Locking', 'Credit', 'oath', 'Telkomsel', 'weve', 'Harm', 'really']</v>
      </c>
      <c r="D5258" s="3">
        <v>1.0</v>
      </c>
    </row>
    <row r="5259" ht="15.75" customHeight="1">
      <c r="A5259" s="1">
        <v>5627.0</v>
      </c>
      <c r="B5259" s="3" t="s">
        <v>5025</v>
      </c>
      <c r="C5259" s="3" t="str">
        <f>IFERROR(__xludf.DUMMYFUNCTION("GOOGLETRANSLATE(B5259,""id"",""en"")"),"['quota', 'watch', 'local', 'dipake', 'streaming', 'nnton', 'application', 'Disney', 'plus',' viu ',' kecan ',' quota ',' Quota ',' Nnton ',' locally ',' Wonked ',' Telkomsel ',' Fraudster ',' ']")</f>
        <v>['quota', 'watch', 'local', 'dipake', 'streaming', 'nnton', 'application', 'Disney', 'plus',' viu ',' kecan ',' quota ',' Quota ',' Nnton ',' locally ',' Wonked ',' Telkomsel ',' Fraudster ',' ']</v>
      </c>
      <c r="D5259" s="3">
        <v>1.0</v>
      </c>
    </row>
    <row r="5260" ht="15.75" customHeight="1">
      <c r="A5260" s="1">
        <v>5628.0</v>
      </c>
      <c r="B5260" s="3" t="s">
        <v>5026</v>
      </c>
      <c r="C5260" s="3" t="str">
        <f>IFERROR(__xludf.DUMMYFUNCTION("GOOGLETRANSLATE(B5260,""id"",""en"")"),"['Application', 'Telkomsel', 'Easy', 'Buy', 'Package']")</f>
        <v>['Application', 'Telkomsel', 'Easy', 'Buy', 'Package']</v>
      </c>
      <c r="D5260" s="3">
        <v>2.0</v>
      </c>
    </row>
    <row r="5261" ht="15.75" customHeight="1">
      <c r="A5261" s="1">
        <v>5629.0</v>
      </c>
      <c r="B5261" s="3" t="s">
        <v>5027</v>
      </c>
      <c r="C5261" s="3" t="str">
        <f>IFERROR(__xludf.DUMMYFUNCTION("GOOGLETRANSLATE(B5261,""id"",""en"")"),"['Basic', 'Ahlak', 'Knpa', 'The net', 'Ngelag', 'then', 'play', 'game', 'Bkin', 'ksal', 'jringanya', 'missing']")</f>
        <v>['Basic', 'Ahlak', 'Knpa', 'The net', 'Ngelag', 'then', 'play', 'game', 'Bkin', 'ksal', 'jringanya', 'missing']</v>
      </c>
      <c r="D5261" s="3">
        <v>1.0</v>
      </c>
    </row>
    <row r="5262" ht="15.75" customHeight="1">
      <c r="A5262" s="1">
        <v>5630.0</v>
      </c>
      <c r="B5262" s="3" t="s">
        <v>5028</v>
      </c>
      <c r="C5262" s="3" t="str">
        <f>IFERROR(__xludf.DUMMYFUNCTION("GOOGLETRANSLATE(B5262,""id"",""en"")"),"['Helpful', 'Help']")</f>
        <v>['Helpful', 'Help']</v>
      </c>
      <c r="D5262" s="3">
        <v>5.0</v>
      </c>
    </row>
    <row r="5263" ht="15.75" customHeight="1">
      <c r="A5263" s="1">
        <v>5631.0</v>
      </c>
      <c r="B5263" s="3" t="s">
        <v>5029</v>
      </c>
      <c r="C5263" s="3" t="str">
        <f>IFERROR(__xludf.DUMMYFUNCTION("GOOGLETRANSLATE(B5263,""id"",""en"")"),"['Thanks', 'creating', 'APK', 'SUKAK', 'Please', 'Kasih', 'Promo', 'Cheap', 'Angry', ""]")</f>
        <v>['Thanks', 'creating', 'APK', 'SUKAK', 'Please', 'Kasih', 'Promo', 'Cheap', 'Angry', "]</v>
      </c>
      <c r="D5263" s="3">
        <v>5.0</v>
      </c>
    </row>
    <row r="5264" ht="15.75" customHeight="1">
      <c r="A5264" s="1">
        <v>5632.0</v>
      </c>
      <c r="B5264" s="3" t="s">
        <v>5030</v>
      </c>
      <c r="C5264" s="3" t="str">
        <f>IFERROR(__xludf.DUMMYFUNCTION("GOOGLETRANSLATE(B5264,""id"",""en"")"),"['Package', 'Cantumin', 'Application', 'Fraud', 'For example', 'Package', 'GameSmax', 'Gag', 'Mainin', 'Game', 'listed', 'GameSmax', ' Stuck ',' Loading ',' Network ',' Available ',' ']")</f>
        <v>['Package', 'Cantumin', 'Application', 'Fraud', 'For example', 'Package', 'GameSmax', 'Gag', 'Mainin', 'Game', 'listed', 'GameSmax', ' Stuck ',' Loading ',' Network ',' Available ',' ']</v>
      </c>
      <c r="D5264" s="3">
        <v>1.0</v>
      </c>
    </row>
    <row r="5265" ht="15.75" customHeight="1">
      <c r="A5265" s="1">
        <v>5633.0</v>
      </c>
      <c r="B5265" s="3" t="s">
        <v>5031</v>
      </c>
      <c r="C5265" s="3" t="str">
        <f>IFERROR(__xludf.DUMMYFUNCTION("GOOGLETRANSLATE(B5265,""id"",""en"")"),"['Internet', 'glide', 'cheap', 'easy', 'win', 'continue']")</f>
        <v>['Internet', 'glide', 'cheap', 'easy', 'win', 'continue']</v>
      </c>
      <c r="D5265" s="3">
        <v>5.0</v>
      </c>
    </row>
    <row r="5266" ht="15.75" customHeight="1">
      <c r="A5266" s="1">
        <v>5634.0</v>
      </c>
      <c r="B5266" s="3" t="s">
        <v>5032</v>
      </c>
      <c r="C5266" s="3" t="str">
        <f>IFERROR(__xludf.DUMMYFUNCTION("GOOGLETRANSLATE(B5266,""id"",""en"")"),"['Helpful', 'easy', 'transaction']")</f>
        <v>['Helpful', 'easy', 'transaction']</v>
      </c>
      <c r="D5266" s="3">
        <v>5.0</v>
      </c>
    </row>
    <row r="5267" ht="15.75" customHeight="1">
      <c r="A5267" s="1">
        <v>5635.0</v>
      </c>
      <c r="B5267" s="3" t="s">
        <v>5033</v>
      </c>
      <c r="C5267" s="3" t="str">
        <f>IFERROR(__xludf.DUMMYFUNCTION("GOOGLETRANSLATE(B5267,""id"",""en"")"),"['telephone', 'easy', 'Telkomsel', 'signal', 'strong']")</f>
        <v>['telephone', 'easy', 'Telkomsel', 'signal', 'strong']</v>
      </c>
      <c r="D5267" s="3">
        <v>4.0</v>
      </c>
    </row>
    <row r="5268" ht="15.75" customHeight="1">
      <c r="A5268" s="1">
        <v>5636.0</v>
      </c>
      <c r="B5268" s="3" t="s">
        <v>5034</v>
      </c>
      <c r="C5268" s="3" t="str">
        <f>IFERROR(__xludf.DUMMYFUNCTION("GOOGLETRANSLATE(B5268,""id"",""en"")"),"['The network', 'steady']")</f>
        <v>['The network', 'steady']</v>
      </c>
      <c r="D5268" s="3">
        <v>5.0</v>
      </c>
    </row>
    <row r="5269" ht="15.75" customHeight="1">
      <c r="A5269" s="1">
        <v>5637.0</v>
      </c>
      <c r="B5269" s="3" t="s">
        <v>5035</v>
      </c>
      <c r="C5269" s="3" t="str">
        <f>IFERROR(__xludf.DUMMYFUNCTION("GOOGLETRANSLATE(B5269,""id"",""en"")"),"['Thanks', 'Telkomsel', 'User', 'Cobany']")</f>
        <v>['Thanks', 'Telkomsel', 'User', 'Cobany']</v>
      </c>
      <c r="D5269" s="3">
        <v>5.0</v>
      </c>
    </row>
    <row r="5270" ht="15.75" customHeight="1">
      <c r="A5270" s="1">
        <v>5638.0</v>
      </c>
      <c r="B5270" s="3" t="s">
        <v>5036</v>
      </c>
      <c r="C5270" s="3" t="str">
        <f>IFERROR(__xludf.DUMMYFUNCTION("GOOGLETRANSLATE(B5270,""id"",""en"")"),"['Damn', 'kagak', 'suru', 'chat', 'veronika', 'child', 'nogol', 'phone', 'cs', 'busy', 'just', ""]")</f>
        <v>['Damn', 'kagak', 'suru', 'chat', 'veronika', 'child', 'nogol', 'phone', 'cs', 'busy', 'just', "]</v>
      </c>
      <c r="D5270" s="3">
        <v>1.0</v>
      </c>
    </row>
    <row r="5271" ht="15.75" customHeight="1">
      <c r="A5271" s="1">
        <v>5639.0</v>
      </c>
      <c r="B5271" s="3" t="s">
        <v>5037</v>
      </c>
      <c r="C5271" s="3" t="str">
        <f>IFERROR(__xludf.DUMMYFUNCTION("GOOGLETRANSLATE(B5271,""id"",""en"")"),"['Wow', 'Burik', 'bohungggggg']")</f>
        <v>['Wow', 'Burik', 'bohungggggg']</v>
      </c>
      <c r="D5271" s="3">
        <v>5.0</v>
      </c>
    </row>
    <row r="5272" ht="15.75" customHeight="1">
      <c r="A5272" s="1">
        <v>5640.0</v>
      </c>
      <c r="B5272" s="3" t="s">
        <v>5038</v>
      </c>
      <c r="C5272" s="3" t="str">
        <f>IFERROR(__xludf.DUMMYFUNCTION("GOOGLETRANSLATE(B5272,""id"",""en"")"),"['Telkomsel', 'ugly', 'promo', 'thousand', 'lost', 'register', 'right', 'already', 'contents', 'pulse', 'missing', 'promo']")</f>
        <v>['Telkomsel', 'ugly', 'promo', 'thousand', 'lost', 'register', 'right', 'already', 'contents', 'pulse', 'missing', 'promo']</v>
      </c>
      <c r="D5272" s="3">
        <v>1.0</v>
      </c>
    </row>
    <row r="5273" ht="15.75" customHeight="1">
      <c r="A5273" s="1">
        <v>5641.0</v>
      </c>
      <c r="B5273" s="3" t="s">
        <v>5039</v>
      </c>
      <c r="C5273" s="3" t="str">
        <f>IFERROR(__xludf.DUMMYFUNCTION("GOOGLETRANSLATE(B5273,""id"",""en"")"),"['Telkomsel', 'pwt', 'signal', 'okay', 'sometimes', 'entry', 'room', 'signal', 'good', ""]")</f>
        <v>['Telkomsel', 'pwt', 'signal', 'okay', 'sometimes', 'entry', 'room', 'signal', 'good', "]</v>
      </c>
      <c r="D5273" s="3">
        <v>5.0</v>
      </c>
    </row>
    <row r="5274" ht="15.75" customHeight="1">
      <c r="A5274" s="1">
        <v>5642.0</v>
      </c>
      <c r="B5274" s="3" t="s">
        <v>5040</v>
      </c>
      <c r="C5274" s="3" t="str">
        <f>IFERROR(__xludf.DUMMYFUNCTION("GOOGLETRANSLATE(B5274,""id"",""en"")"),"['Increases', 'Quality', 'Network', 'Region', 'Bogor', ""]")</f>
        <v>['Increases', 'Quality', 'Network', 'Region', 'Bogor', "]</v>
      </c>
      <c r="D5274" s="3">
        <v>4.0</v>
      </c>
    </row>
    <row r="5275" ht="15.75" customHeight="1">
      <c r="A5275" s="1">
        <v>5643.0</v>
      </c>
      <c r="B5275" s="3" t="s">
        <v>5041</v>
      </c>
      <c r="C5275" s="3" t="str">
        <f>IFERROR(__xludf.DUMMYFUNCTION("GOOGLETRANSLATE(B5275,""id"",""en"")"),"['Application', 'Good', 'Easy', 'User', 'User', 'Telkomsel', 'Hurry', 'Download', 'Jamin', 'Loss', 'Deh', ""]")</f>
        <v>['Application', 'Good', 'Easy', 'User', 'User', 'Telkomsel', 'Hurry', 'Download', 'Jamin', 'Loss', 'Deh', "]</v>
      </c>
      <c r="D5275" s="3">
        <v>5.0</v>
      </c>
    </row>
    <row r="5276" ht="15.75" customHeight="1">
      <c r="A5276" s="1">
        <v>5644.0</v>
      </c>
      <c r="B5276" s="3" t="s">
        <v>5042</v>
      </c>
      <c r="C5276" s="3" t="str">
        <f>IFERROR(__xludf.DUMMYFUNCTION("GOOGLETRANSLATE(B5276,""id"",""en"")"),"['Speed', 'Network', 'deteriorated', 'Download', 'KB', '']")</f>
        <v>['Speed', 'Network', 'deteriorated', 'Download', 'KB', '']</v>
      </c>
      <c r="D5276" s="3">
        <v>1.0</v>
      </c>
    </row>
    <row r="5277" ht="15.75" customHeight="1">
      <c r="A5277" s="1">
        <v>5646.0</v>
      </c>
      <c r="B5277" s="3" t="s">
        <v>5043</v>
      </c>
      <c r="C5277" s="3" t="str">
        <f>IFERROR(__xludf.DUMMYFUNCTION("GOOGLETRANSLATE(B5277,""id"",""en"")"),"['signal', 'break up', 'disappear', 'GSM', 'postpaid', 'please', 'fix', 'server', 'change', 'program', 'offer', 'postpaid', ' ']")</f>
        <v>['signal', 'break up', 'disappear', 'GSM', 'postpaid', 'please', 'fix', 'server', 'change', 'program', 'offer', 'postpaid', ' ']</v>
      </c>
      <c r="D5277" s="3">
        <v>2.0</v>
      </c>
    </row>
    <row r="5278" ht="15.75" customHeight="1">
      <c r="A5278" s="1">
        <v>5647.0</v>
      </c>
      <c r="B5278" s="3" t="s">
        <v>5044</v>
      </c>
      <c r="C5278" s="3" t="str">
        <f>IFERROR(__xludf.DUMMYFUNCTION("GOOGLETRANSLATE(B5278,""id"",""en"")"),"['Please', 'Fix', 'Network', 'Palembang', 'Ogan', 'Ilir', 'Parahhhhh', 'Sihhh', 'I', 'buy', 'expensive', 'data', ' Mala ',' Lemott ']")</f>
        <v>['Please', 'Fix', 'Network', 'Palembang', 'Ogan', 'Ilir', 'Parahhhhh', 'Sihhh', 'I', 'buy', 'expensive', 'data', ' Mala ',' Lemott ']</v>
      </c>
      <c r="D5278" s="3">
        <v>1.0</v>
      </c>
    </row>
    <row r="5279" ht="15.75" customHeight="1">
      <c r="A5279" s="1">
        <v>5648.0</v>
      </c>
      <c r="B5279" s="3" t="s">
        <v>343</v>
      </c>
      <c r="C5279" s="3" t="str">
        <f>IFERROR(__xludf.DUMMYFUNCTION("GOOGLETRANSLATE(B5279,""id"",""en"")"),"['Good', 'like']")</f>
        <v>['Good', 'like']</v>
      </c>
      <c r="D5279" s="3">
        <v>3.0</v>
      </c>
    </row>
    <row r="5280" ht="15.75" customHeight="1">
      <c r="A5280" s="1">
        <v>5649.0</v>
      </c>
      <c r="B5280" s="3" t="s">
        <v>5045</v>
      </c>
      <c r="C5280" s="3" t="str">
        <f>IFERROR(__xludf.DUMMYFUNCTION("GOOGLETRANSLATE(B5280,""id"",""en"")"),"['Telkomsel', 'buy', 'pulse', 'buy', 'package', 'right', 'buy', 'package', 'pulses', 'scorched', 'ntah', 'ppk']")</f>
        <v>['Telkomsel', 'buy', 'pulse', 'buy', 'package', 'right', 'buy', 'package', 'pulses', 'scorched', 'ntah', 'ppk']</v>
      </c>
      <c r="D5280" s="3">
        <v>1.0</v>
      </c>
    </row>
    <row r="5281" ht="15.75" customHeight="1">
      <c r="A5281" s="1">
        <v>5650.0</v>
      </c>
      <c r="B5281" s="3" t="s">
        <v>5046</v>
      </c>
      <c r="C5281" s="3" t="str">
        <f>IFERROR(__xludf.DUMMYFUNCTION("GOOGLETRANSLATE(B5281,""id"",""en"")"),"['already', 'buy', 'thousand', 'right', 'buy', 'error', 'system', 'cook', 'yes',' money ',' ilang ',' sia ',' drain']")</f>
        <v>['already', 'buy', 'thousand', 'right', 'buy', 'error', 'system', 'cook', 'yes',' money ',' ilang ',' sia ',' drain']</v>
      </c>
      <c r="D5281" s="3">
        <v>1.0</v>
      </c>
    </row>
    <row r="5282" ht="15.75" customHeight="1">
      <c r="A5282" s="1">
        <v>5651.0</v>
      </c>
      <c r="B5282" s="3" t="s">
        <v>5047</v>
      </c>
      <c r="C5282" s="3" t="str">
        <f>IFERROR(__xludf.DUMMYFUNCTION("GOOGLETRANSLATE(B5282,""id"",""en"")"),"['Semetara']")</f>
        <v>['Semetara']</v>
      </c>
      <c r="D5282" s="3">
        <v>4.0</v>
      </c>
    </row>
    <row r="5283" ht="15.75" customHeight="1">
      <c r="A5283" s="1">
        <v>5652.0</v>
      </c>
      <c r="B5283" s="3" t="s">
        <v>5048</v>
      </c>
      <c r="C5283" s="3" t="str">
        <f>IFERROR(__xludf.DUMMYFUNCTION("GOOGLETRANSLATE(B5283,""id"",""en"")"),"['Different', 'Different', 'Speed', 'internet', 'is the problem', 'Telkomsel', ""]")</f>
        <v>['Different', 'Different', 'Speed', 'internet', 'is the problem', 'Telkomsel', "]</v>
      </c>
      <c r="D5283" s="3">
        <v>3.0</v>
      </c>
    </row>
    <row r="5284" ht="15.75" customHeight="1">
      <c r="A5284" s="1">
        <v>5653.0</v>
      </c>
      <c r="B5284" s="3" t="s">
        <v>5049</v>
      </c>
      <c r="C5284" s="3" t="str">
        <f>IFERROR(__xludf.DUMMYFUNCTION("GOOGLETRANSLATE(B5284,""id"",""en"")"),"['Network', 'Sekarng', 'Severe', 'Game', 'Stable']")</f>
        <v>['Network', 'Sekarng', 'Severe', 'Game', 'Stable']</v>
      </c>
      <c r="D5284" s="3">
        <v>1.0</v>
      </c>
    </row>
    <row r="5285" ht="15.75" customHeight="1">
      <c r="A5285" s="1">
        <v>5654.0</v>
      </c>
      <c r="B5285" s="3" t="s">
        <v>5050</v>
      </c>
      <c r="C5285" s="3" t="str">
        <f>IFERROR(__xludf.DUMMYFUNCTION("GOOGLETRANSLATE(B5285,""id"",""en"")"),"['application', 'good', 'promo', '']")</f>
        <v>['application', 'good', 'promo', '']</v>
      </c>
      <c r="D5285" s="3">
        <v>1.0</v>
      </c>
    </row>
    <row r="5286" ht="15.75" customHeight="1">
      <c r="A5286" s="1">
        <v>5655.0</v>
      </c>
      <c r="B5286" s="3" t="s">
        <v>5051</v>
      </c>
      <c r="C5286" s="3" t="str">
        <f>IFERROR(__xludf.DUMMYFUNCTION("GOOGLETRANSLATE(B5286,""id"",""en"")"),"['TLNG', 'Increase', 'Quality']")</f>
        <v>['TLNG', 'Increase', 'Quality']</v>
      </c>
      <c r="D5286" s="3">
        <v>5.0</v>
      </c>
    </row>
    <row r="5287" ht="15.75" customHeight="1">
      <c r="A5287" s="1">
        <v>5656.0</v>
      </c>
      <c r="B5287" s="3" t="s">
        <v>5052</v>
      </c>
      <c r="C5287" s="3" t="str">
        <f>IFERROR(__xludf.DUMMYFUNCTION("GOOGLETRANSLATE(B5287,""id"",""en"")"),"['user']")</f>
        <v>['user']</v>
      </c>
      <c r="D5287" s="3">
        <v>3.0</v>
      </c>
    </row>
    <row r="5288" ht="15.75" customHeight="1">
      <c r="A5288" s="1">
        <v>5657.0</v>
      </c>
      <c r="B5288" s="3" t="s">
        <v>5053</v>
      </c>
      <c r="C5288" s="3" t="str">
        <f>IFERROR(__xludf.DUMMYFUNCTION("GOOGLETRANSLATE(B5288,""id"",""en"")"),"['update', 'ngak', 'progress',' memory ',' already ',' full ',' ngak ',' update ',' delete ',' times', 'application', 'delete', ' Application ',' Useful ']")</f>
        <v>['update', 'ngak', 'progress',' memory ',' already ',' full ',' ngak ',' update ',' delete ',' times', 'application', 'delete', ' Application ',' Useful ']</v>
      </c>
      <c r="D5288" s="3">
        <v>1.0</v>
      </c>
    </row>
    <row r="5289" ht="15.75" customHeight="1">
      <c r="A5289" s="1">
        <v>5658.0</v>
      </c>
      <c r="B5289" s="3" t="s">
        <v>5054</v>
      </c>
      <c r="C5289" s="3" t="str">
        <f>IFERROR(__xludf.DUMMYFUNCTION("GOOGLETRANSLATE(B5289,""id"",""en"")"),"['Application', 'updated', 'times',' Bener ',' performance ',' opened ',' heavy ',' kdang ',' mah ',' closed ',' sndri ',' bru ',' dpake ',' bbrp ',' update ',' gtu ',' then ',' ']")</f>
        <v>['Application', 'updated', 'times',' Bener ',' performance ',' opened ',' heavy ',' kdang ',' mah ',' closed ',' sndri ',' bru ',' dpake ',' bbrp ',' update ',' gtu ',' then ',' ']</v>
      </c>
      <c r="D5289" s="3">
        <v>2.0</v>
      </c>
    </row>
    <row r="5290" ht="15.75" customHeight="1">
      <c r="A5290" s="1">
        <v>5659.0</v>
      </c>
      <c r="B5290" s="3" t="s">
        <v>5055</v>
      </c>
      <c r="C5290" s="3" t="str">
        <f>IFERROR(__xludf.DUMMYFUNCTION("GOOGLETRANSLATE(B5290,""id"",""en"")"),"['Not bad', 'good', 'shortcomings']")</f>
        <v>['Not bad', 'good', 'shortcomings']</v>
      </c>
      <c r="D5290" s="3">
        <v>3.0</v>
      </c>
    </row>
    <row r="5291" ht="15.75" customHeight="1">
      <c r="A5291" s="1">
        <v>5660.0</v>
      </c>
      <c r="B5291" s="3" t="s">
        <v>5056</v>
      </c>
      <c r="C5291" s="3" t="str">
        <f>IFERROR(__xludf.DUMMYFUNCTION("GOOGLETRANSLATE(B5291,""id"",""en"")"),"['Lally', 'Bonus', 'Daily', 'Check', 'Anyway', 'Telkomsel', 'Mantap', ""]")</f>
        <v>['Lally', 'Bonus', 'Daily', 'Check', 'Anyway', 'Telkomsel', 'Mantap', "]</v>
      </c>
      <c r="D5291" s="3">
        <v>5.0</v>
      </c>
    </row>
    <row r="5292" ht="15.75" customHeight="1">
      <c r="A5292" s="1">
        <v>5661.0</v>
      </c>
      <c r="B5292" s="3" t="s">
        <v>5057</v>
      </c>
      <c r="C5292" s="3" t="str">
        <f>IFERROR(__xludf.DUMMYFUNCTION("GOOGLETRANSLATE(B5292,""id"",""en"")"),"['Limit', 'Login', 'Login', 'reset', '']")</f>
        <v>['Limit', 'Login', 'Login', 'reset', '']</v>
      </c>
      <c r="D5292" s="3">
        <v>1.0</v>
      </c>
    </row>
    <row r="5293" ht="15.75" customHeight="1">
      <c r="A5293" s="1">
        <v>5662.0</v>
      </c>
      <c r="B5293" s="3" t="s">
        <v>5058</v>
      </c>
      <c r="C5293" s="3" t="str">
        <f>IFERROR(__xludf.DUMMYFUNCTION("GOOGLETRANSLATE(B5293,""id"",""en"")"),"['Try', 'users', 'Telkomsel', 'I hope', 'in the future', '']")</f>
        <v>['Try', 'users', 'Telkomsel', 'I hope', 'in the future', '']</v>
      </c>
      <c r="D5293" s="3">
        <v>4.0</v>
      </c>
    </row>
    <row r="5294" ht="15.75" customHeight="1">
      <c r="A5294" s="1">
        <v>5663.0</v>
      </c>
      <c r="B5294" s="3" t="s">
        <v>5059</v>
      </c>
      <c r="C5294" s="3" t="str">
        <f>IFERROR(__xludf.DUMMYFUNCTION("GOOGLETRANSLATE(B5294,""id"",""en"")"),"['Steady', 'Snacious']")</f>
        <v>['Steady', 'Snacious']</v>
      </c>
      <c r="D5294" s="3">
        <v>5.0</v>
      </c>
    </row>
    <row r="5295" ht="15.75" customHeight="1">
      <c r="A5295" s="1">
        <v>5664.0</v>
      </c>
      <c r="B5295" s="3" t="s">
        <v>5060</v>
      </c>
      <c r="C5295" s="3" t="str">
        <f>IFERROR(__xludf.DUMMYFUNCTION("GOOGLETRANSLATE(B5295,""id"",""en"")"),"['Affairs', 'smooth']")</f>
        <v>['Affairs', 'smooth']</v>
      </c>
      <c r="D5295" s="3">
        <v>4.0</v>
      </c>
    </row>
    <row r="5296" ht="15.75" customHeight="1">
      <c r="A5296" s="1">
        <v>5665.0</v>
      </c>
      <c r="B5296" s="3" t="s">
        <v>5061</v>
      </c>
      <c r="C5296" s="3" t="str">
        <f>IFERROR(__xludf.DUMMYFUNCTION("GOOGLETRANSLATE(B5296,""id"",""en"")"),"['Kasi', 'mnang']")</f>
        <v>['Kasi', 'mnang']</v>
      </c>
      <c r="D5296" s="3">
        <v>5.0</v>
      </c>
    </row>
    <row r="5297" ht="15.75" customHeight="1">
      <c r="A5297" s="1">
        <v>5666.0</v>
      </c>
      <c r="B5297" s="3" t="s">
        <v>5062</v>
      </c>
      <c r="C5297" s="3" t="str">
        <f>IFERROR(__xludf.DUMMYFUNCTION("GOOGLETRANSLATE(B5297,""id"",""en"")"),"['users',' Telkomsel ',' Telkomsel ',' expensive ',' top ',' pulse ',' admin ',' big ',' kayak ',' next door ',' package ',' internet ',' Already ',' Abis', 'Direct', 'Abis',' Credit ',' Sumpot ',' Heart ',' Heart ',' Number ',' Direct ',' Block ',' Late "&amp;"',' Fill ' , 'pulses', 'dahlah', '']")</f>
        <v>['users',' Telkomsel ',' Telkomsel ',' expensive ',' top ',' pulse ',' admin ',' big ',' kayak ',' next door ',' package ',' internet ',' Already ',' Abis', 'Direct', 'Abis',' Credit ',' Sumpot ',' Heart ',' Heart ',' Number ',' Direct ',' Block ',' Late ',' Fill ' , 'pulses', 'dahlah', '']</v>
      </c>
      <c r="D5297" s="3">
        <v>1.0</v>
      </c>
    </row>
    <row r="5298" ht="15.75" customHeight="1">
      <c r="A5298" s="1">
        <v>5669.0</v>
      </c>
      <c r="B5298" s="3" t="s">
        <v>5063</v>
      </c>
      <c r="C5298" s="3" t="str">
        <f>IFERROR(__xludf.DUMMYFUNCTION("GOOGLETRANSLATE(B5298,""id"",""en"")"),"['Telkomsel', 'Maling', 'Credit', 'Please', 'Old']")</f>
        <v>['Telkomsel', 'Maling', 'Credit', 'Please', 'Old']</v>
      </c>
      <c r="D5298" s="3">
        <v>2.0</v>
      </c>
    </row>
    <row r="5299" ht="15.75" customHeight="1">
      <c r="A5299" s="1">
        <v>5670.0</v>
      </c>
      <c r="B5299" s="3" t="s">
        <v>5064</v>
      </c>
      <c r="C5299" s="3" t="str">
        <f>IFERROR(__xludf.DUMMYFUNCTION("GOOGLETRANSLATE(B5299,""id"",""en"")"),"['buy', 'package', 'appears',' error ',' connection ',' network ',' smooth ',' situ ',' told ',' Try ',' minutes', 'as a result', ' Error ',' Try ',' Tomorrow ',' ']")</f>
        <v>['buy', 'package', 'appears',' error ',' connection ',' network ',' smooth ',' situ ',' told ',' Try ',' minutes', 'as a result', ' Error ',' Try ',' Tomorrow ',' ']</v>
      </c>
      <c r="D5299" s="3">
        <v>1.0</v>
      </c>
    </row>
    <row r="5300" ht="15.75" customHeight="1">
      <c r="A5300" s="1">
        <v>5671.0</v>
      </c>
      <c r="B5300" s="3" t="s">
        <v>5065</v>
      </c>
      <c r="C5300" s="3" t="str">
        <f>IFERROR(__xludf.DUMMYFUNCTION("GOOGLETRANSLATE(B5300,""id"",""en"")"),"['Knp', 'Network', 'Tsel', 'Severe', 'Kya', 'DLU', 'Nawarin', 'Package', 'Cheap', 'TPI', 'Signal', 'ugly', ' BSA ',' Open ',' Video ',' Hope ',' Tsel ',' fix ',' his web ']")</f>
        <v>['Knp', 'Network', 'Tsel', 'Severe', 'Kya', 'DLU', 'Nawarin', 'Package', 'Cheap', 'TPI', 'Signal', 'ugly', ' BSA ',' Open ',' Video ',' Hope ',' Tsel ',' fix ',' his web ']</v>
      </c>
      <c r="D5300" s="3">
        <v>1.0</v>
      </c>
    </row>
    <row r="5301" ht="15.75" customHeight="1">
      <c r="A5301" s="1">
        <v>5673.0</v>
      </c>
      <c r="B5301" s="3" t="s">
        <v>5066</v>
      </c>
      <c r="C5301" s="3" t="str">
        <f>IFERROR(__xludf.DUMMYFUNCTION("GOOGLETRANSLATE(B5301,""id"",""en"")"),"['TelkomSelll', 'anakkk', 'Dajjall']")</f>
        <v>['TelkomSelll', 'anakkk', 'Dajjall']</v>
      </c>
      <c r="D5301" s="3">
        <v>1.0</v>
      </c>
    </row>
    <row r="5302" ht="15.75" customHeight="1">
      <c r="A5302" s="1">
        <v>5674.0</v>
      </c>
      <c r="B5302" s="3" t="s">
        <v>80</v>
      </c>
      <c r="C5302" s="3" t="str">
        <f>IFERROR(__xludf.DUMMYFUNCTION("GOOGLETRANSLATE(B5302,""id"",""en"")"),"['help', '']")</f>
        <v>['help', '']</v>
      </c>
      <c r="D5302" s="3">
        <v>5.0</v>
      </c>
    </row>
    <row r="5303" ht="15.75" customHeight="1">
      <c r="A5303" s="1">
        <v>5675.0</v>
      </c>
      <c r="B5303" s="3" t="s">
        <v>5067</v>
      </c>
      <c r="C5303" s="3" t="str">
        <f>IFERROR(__xludf.DUMMYFUNCTION("GOOGLETRANSLATE(B5303,""id"",""en"")"),"['hope', 'Mamfa', '']")</f>
        <v>['hope', 'Mamfa', '']</v>
      </c>
      <c r="D5303" s="3">
        <v>4.0</v>
      </c>
    </row>
    <row r="5304" ht="15.75" customHeight="1">
      <c r="A5304" s="1">
        <v>5676.0</v>
      </c>
      <c r="B5304" s="3" t="s">
        <v>5068</v>
      </c>
      <c r="C5304" s="3" t="str">
        <f>IFERROR(__xludf.DUMMYFUNCTION("GOOGLETRANSLATE(B5304,""id"",""en"")"),"['Telkomsel', 'okay', 'darling', 'can', 'lottery', 'ngarep', 'can', 'gift', 'car', 'nmax', 'good', 'hehehe', ' ']")</f>
        <v>['Telkomsel', 'okay', 'darling', 'can', 'lottery', 'ngarep', 'can', 'gift', 'car', 'nmax', 'good', 'hehehe', ' ']</v>
      </c>
      <c r="D5304" s="3">
        <v>5.0</v>
      </c>
    </row>
    <row r="5305" ht="15.75" customHeight="1">
      <c r="A5305" s="1">
        <v>5677.0</v>
      </c>
      <c r="B5305" s="3" t="s">
        <v>5069</v>
      </c>
      <c r="C5305" s="3" t="str">
        <f>IFERROR(__xludf.DUMMYFUNCTION("GOOGLETRANSLATE(B5305,""id"",""en"")"),"['Difficult', 'open', 'Loading']")</f>
        <v>['Difficult', 'open', 'Loading']</v>
      </c>
      <c r="D5305" s="3">
        <v>3.0</v>
      </c>
    </row>
    <row r="5306" ht="15.75" customHeight="1">
      <c r="A5306" s="1">
        <v>5678.0</v>
      </c>
      <c r="B5306" s="3" t="s">
        <v>5070</v>
      </c>
      <c r="C5306" s="3" t="str">
        <f>IFERROR(__xludf.DUMMYFUNCTION("GOOGLETRANSLATE(B5306,""id"",""en"")"),"['Signal', 'Disruption', 'Terooss', 'PDAVY', 'DEKET', 'Tower', 'Telkomsel']")</f>
        <v>['Signal', 'Disruption', 'Terooss', 'PDAVY', 'DEKET', 'Tower', 'Telkomsel']</v>
      </c>
      <c r="D5306" s="3">
        <v>1.0</v>
      </c>
    </row>
    <row r="5307" ht="15.75" customHeight="1">
      <c r="A5307" s="1">
        <v>5679.0</v>
      </c>
      <c r="B5307" s="3" t="s">
        <v>5071</v>
      </c>
      <c r="C5307" s="3" t="str">
        <f>IFERROR(__xludf.DUMMYFUNCTION("GOOGLETRANSLATE(B5307,""id"",""en"")"),"['network', 'fix', 'a little', 'peer', 'expensive', 'expensive', 'tissue', 'satisfying', 'really', 'try', 'try', 'mending', ' Search ',' Network ',' Telkomsel ',' Disappointing ',' ']")</f>
        <v>['network', 'fix', 'a little', 'peer', 'expensive', 'expensive', 'tissue', 'satisfying', 'really', 'try', 'try', 'mending', ' Search ',' Network ',' Telkomsel ',' Disappointing ',' ']</v>
      </c>
      <c r="D5307" s="3">
        <v>1.0</v>
      </c>
    </row>
    <row r="5308" ht="15.75" customHeight="1">
      <c r="A5308" s="1">
        <v>5680.0</v>
      </c>
      <c r="B5308" s="3" t="s">
        <v>5072</v>
      </c>
      <c r="C5308" s="3" t="str">
        <f>IFERROR(__xludf.DUMMYFUNCTION("GOOGLETRANSLATE(B5308,""id"",""en"")"),"['Crazy', 'Price', 'Raying', 'Change', 'Telkomsel', '']")</f>
        <v>['Crazy', 'Price', 'Raying', 'Change', 'Telkomsel', '']</v>
      </c>
      <c r="D5308" s="3">
        <v>1.0</v>
      </c>
    </row>
    <row r="5309" ht="15.75" customHeight="1">
      <c r="A5309" s="1">
        <v>5681.0</v>
      </c>
      <c r="B5309" s="3" t="s">
        <v>190</v>
      </c>
      <c r="C5309" s="3" t="str">
        <f>IFERROR(__xludf.DUMMYFUNCTION("GOOGLETRANSLATE(B5309,""id"",""en"")"),"['Promo', '']")</f>
        <v>['Promo', '']</v>
      </c>
      <c r="D5309" s="3">
        <v>5.0</v>
      </c>
    </row>
    <row r="5310" ht="15.75" customHeight="1">
      <c r="A5310" s="1">
        <v>5682.0</v>
      </c>
      <c r="B5310" s="3" t="s">
        <v>5073</v>
      </c>
      <c r="C5310" s="3" t="str">
        <f>IFERROR(__xludf.DUMMYFUNCTION("GOOGLETRANSLATE(B5310,""id"",""en"")"),"['network', 'signal', 'slow', 'dlu', 'klok', 'uda', 'season', 'rain', 'masikin', 'signal', 'slow', 'internet', ' Uda ',' comlin ',' JGK ',' Change ',' High School ',' Sedik ',' Severe ', ""]")</f>
        <v>['network', 'signal', 'slow', 'dlu', 'klok', 'uda', 'season', 'rain', 'masikin', 'signal', 'slow', 'internet', ' Uda ',' comlin ',' JGK ',' Change ',' High School ',' Sedik ',' Severe ', "]</v>
      </c>
      <c r="D5310" s="3">
        <v>1.0</v>
      </c>
    </row>
    <row r="5311" ht="15.75" customHeight="1">
      <c r="A5311" s="1">
        <v>5683.0</v>
      </c>
      <c r="B5311" s="3" t="s">
        <v>5074</v>
      </c>
      <c r="C5311" s="3" t="str">
        <f>IFERROR(__xludf.DUMMYFUNCTION("GOOGLETRANSLATE(B5311,""id"",""en"")"),"['ugly', 'net', 'like', 'getting sick', 'severe', 'Telkomsel', 'bad', 'network', 'fix', 'already', 'complement', 'help']")</f>
        <v>['ugly', 'net', 'like', 'getting sick', 'severe', 'Telkomsel', 'bad', 'network', 'fix', 'already', 'complement', 'help']</v>
      </c>
      <c r="D5311" s="3">
        <v>1.0</v>
      </c>
    </row>
    <row r="5312" ht="15.75" customHeight="1">
      <c r="A5312" s="1">
        <v>5684.0</v>
      </c>
      <c r="B5312" s="3" t="s">
        <v>5075</v>
      </c>
      <c r="C5312" s="3" t="str">
        <f>IFERROR(__xludf.DUMMYFUNCTION("GOOGLETRANSLATE(B5312,""id"",""en"")"),"['apk', 'error', 'how', 'pulse', 'send', 'pulse', 'balance', 'no', 'APK']")</f>
        <v>['apk', 'error', 'how', 'pulse', 'send', 'pulse', 'balance', 'no', 'APK']</v>
      </c>
      <c r="D5312" s="3">
        <v>1.0</v>
      </c>
    </row>
    <row r="5313" ht="15.75" customHeight="1">
      <c r="A5313" s="1">
        <v>5685.0</v>
      </c>
      <c r="B5313" s="3" t="s">
        <v>5076</v>
      </c>
      <c r="C5313" s="3" t="str">
        <f>IFERROR(__xludf.DUMMYFUNCTION("GOOGLETRANSLATE(B5313,""id"",""en"")"),"['How', 'LBH', 'Good', 'Telkomsel', 'Installing', 'Lock', 'Button', 'Regulating', 'Locking', 'Credit', 'Operator', ' Arrange ',' Application ',' Telkomsel ',' Credit ',' used ',' realized ',' Package ',' Out ']")</f>
        <v>['How', 'LBH', 'Good', 'Telkomsel', 'Installing', 'Lock', 'Button', 'Regulating', 'Locking', 'Credit', 'Operator', ' Arrange ',' Application ',' Telkomsel ',' Credit ',' used ',' realized ',' Package ',' Out ']</v>
      </c>
      <c r="D5313" s="3">
        <v>5.0</v>
      </c>
    </row>
    <row r="5314" ht="15.75" customHeight="1">
      <c r="A5314" s="1">
        <v>5686.0</v>
      </c>
      <c r="B5314" s="3" t="s">
        <v>5077</v>
      </c>
      <c r="C5314" s="3" t="str">
        <f>IFERROR(__xludf.DUMMYFUNCTION("GOOGLETRANSLATE(B5314,""id"",""en"")"),"['Sorry', 'min', 'love', 'star', 'buy', 'pulse', 'missing', 'nggk', 'subscribe', 'times',' buy ',' missing ',' ']")</f>
        <v>['Sorry', 'min', 'love', 'star', 'buy', 'pulse', 'missing', 'nggk', 'subscribe', 'times',' buy ',' missing ',' ']</v>
      </c>
      <c r="D5314" s="3">
        <v>1.0</v>
      </c>
    </row>
    <row r="5315" ht="15.75" customHeight="1">
      <c r="A5315" s="1">
        <v>5687.0</v>
      </c>
      <c r="B5315" s="3" t="s">
        <v>5078</v>
      </c>
      <c r="C5315" s="3" t="str">
        <f>IFERROR(__xludf.DUMMYFUNCTION("GOOGLETRANSLATE(B5315,""id"",""en"")"),"['Telkomsel', 'Kalimantan', 'signal', 'ugly', '']")</f>
        <v>['Telkomsel', 'Kalimantan', 'signal', 'ugly', '']</v>
      </c>
      <c r="D5315" s="3">
        <v>1.0</v>
      </c>
    </row>
    <row r="5316" ht="15.75" customHeight="1">
      <c r="A5316" s="1">
        <v>5688.0</v>
      </c>
      <c r="B5316" s="3" t="s">
        <v>5079</v>
      </c>
      <c r="C5316" s="3" t="str">
        <f>IFERROR(__xludf.DUMMYFUNCTION("GOOGLETRANSLATE(B5316,""id"",""en"")"),"['Sometimes', 'network', 'break up', 'please', 'repair']")</f>
        <v>['Sometimes', 'network', 'break up', 'please', 'repair']</v>
      </c>
      <c r="D5316" s="3">
        <v>3.0</v>
      </c>
    </row>
    <row r="5317" ht="15.75" customHeight="1">
      <c r="A5317" s="1">
        <v>5689.0</v>
      </c>
      <c r="B5317" s="3" t="s">
        <v>5080</v>
      </c>
      <c r="C5317" s="3" t="str">
        <f>IFERROR(__xludf.DUMMYFUNCTION("GOOGLETRANSLATE(B5317,""id"",""en"")"),"['quota', 'data', 'run out', 'take', 'pulse', 'donk', 'pulse', 'run out', 'count', 'second', '']")</f>
        <v>['quota', 'data', 'run out', 'take', 'pulse', 'donk', 'pulse', 'run out', 'count', 'second', '']</v>
      </c>
      <c r="D5317" s="3">
        <v>1.0</v>
      </c>
    </row>
    <row r="5318" ht="15.75" customHeight="1">
      <c r="A5318" s="1">
        <v>5690.0</v>
      </c>
      <c r="B5318" s="3" t="s">
        <v>5081</v>
      </c>
      <c r="C5318" s="3" t="str">
        <f>IFERROR(__xludf.DUMMYFUNCTION("GOOGLETRANSLATE(B5318,""id"",""en"")"),"['Star', 'pulse', 'sumps',' run out ',' package ',' internet ',' knp ',' plsa ',' ties', 'sinynya', 'severe', 'udh', ' So, ',' spend ',' pulse ',' Pulak ',' please ',' Telkomsel ',' fix ', ""]")</f>
        <v>['Star', 'pulse', 'sumps',' run out ',' package ',' internet ',' knp ',' plsa ',' ties', 'sinynya', 'severe', 'udh', ' So, ',' spend ',' pulse ',' Pulak ',' please ',' Telkomsel ',' fix ', "]</v>
      </c>
      <c r="D5318" s="3">
        <v>1.0</v>
      </c>
    </row>
    <row r="5319" ht="15.75" customHeight="1">
      <c r="A5319" s="1">
        <v>5691.0</v>
      </c>
      <c r="B5319" s="3" t="s">
        <v>5082</v>
      </c>
      <c r="C5319" s="3" t="str">
        <f>IFERROR(__xludf.DUMMYFUNCTION("GOOGLETRANSLATE(B5319,""id"",""en"")"),"['Serasa', 'Interested', 'Trying', 'Moga', 'Honest', 'Amanah', '']")</f>
        <v>['Serasa', 'Interested', 'Trying', 'Moga', 'Honest', 'Amanah', '']</v>
      </c>
      <c r="D5319" s="3">
        <v>5.0</v>
      </c>
    </row>
    <row r="5320" ht="15.75" customHeight="1">
      <c r="A5320" s="1">
        <v>5693.0</v>
      </c>
      <c r="B5320" s="3" t="s">
        <v>5083</v>
      </c>
      <c r="C5320" s="3" t="str">
        <f>IFERROR(__xludf.DUMMYFUNCTION("GOOGLETRANSLATE(B5320,""id"",""en"")"),"['Okay', 'Improvement', 'Quality', 'Change', 'Review', 'Star', 'Continue', 'Increase', 'Telkomsel', ""]")</f>
        <v>['Okay', 'Improvement', 'Quality', 'Change', 'Review', 'Star', 'Continue', 'Increase', 'Telkomsel', "]</v>
      </c>
      <c r="D5320" s="3">
        <v>5.0</v>
      </c>
    </row>
    <row r="5321" ht="15.75" customHeight="1">
      <c r="A5321" s="1">
        <v>5694.0</v>
      </c>
      <c r="B5321" s="3" t="s">
        <v>5084</v>
      </c>
      <c r="C5321" s="3" t="str">
        <f>IFERROR(__xludf.DUMMYFUNCTION("GOOGLETRANSLATE(B5321,""id"",""en"")"),"['Telkomsel', 'already', 'good', 'Not bad', 'affordable', 'likes',' login ',' waiting ',' link ',' sent ',' sagat ',' Sinkat ',' ']")</f>
        <v>['Telkomsel', 'already', 'good', 'Not bad', 'affordable', 'likes',' login ',' waiting ',' link ',' sent ',' sagat ',' Sinkat ',' ']</v>
      </c>
      <c r="D5321" s="3">
        <v>4.0</v>
      </c>
    </row>
    <row r="5322" ht="15.75" customHeight="1">
      <c r="A5322" s="1">
        <v>5695.0</v>
      </c>
      <c r="B5322" s="3" t="s">
        <v>5085</v>
      </c>
      <c r="C5322" s="3" t="str">
        <f>IFERROR(__xludf.DUMMYFUNCTION("GOOGLETRANSLATE(B5322,""id"",""en"")"),"['Squeezer', 'Money', 'Reliable']")</f>
        <v>['Squeezer', 'Money', 'Reliable']</v>
      </c>
      <c r="D5322" s="3">
        <v>1.0</v>
      </c>
    </row>
    <row r="5323" ht="15.75" customHeight="1">
      <c r="A5323" s="1">
        <v>5696.0</v>
      </c>
      <c r="B5323" s="3" t="s">
        <v>5086</v>
      </c>
      <c r="C5323" s="3" t="str">
        <f>IFERROR(__xludf.DUMMYFUNCTION("GOOGLETRANSLATE(B5323,""id"",""en"")"),"['relied upon', 'smpai', '']")</f>
        <v>['relied upon', 'smpai', '']</v>
      </c>
      <c r="D5323" s="3">
        <v>5.0</v>
      </c>
    </row>
    <row r="5324" ht="15.75" customHeight="1">
      <c r="A5324" s="1">
        <v>5697.0</v>
      </c>
      <c r="B5324" s="3" t="s">
        <v>5087</v>
      </c>
      <c r="C5324" s="3" t="str">
        <f>IFERROR(__xludf.DUMMYFUNCTION("GOOGLETRANSLATE(B5324,""id"",""en"")"),"['Good', 'really', 'the application', 'basically', 'satisfying']")</f>
        <v>['Good', 'really', 'the application', 'basically', 'satisfying']</v>
      </c>
      <c r="D5324" s="3">
        <v>5.0</v>
      </c>
    </row>
    <row r="5325" ht="15.75" customHeight="1">
      <c r="A5325" s="1">
        <v>5698.0</v>
      </c>
      <c r="B5325" s="3" t="s">
        <v>5088</v>
      </c>
      <c r="C5325" s="3" t="str">
        <f>IFERROR(__xludf.DUMMYFUNCTION("GOOGLETRANSLATE(B5325,""id"",""en"")"),"['Disappointed', 'heavy', 'signal', 'ugly', 'luemoottt', 'really', 'compared', 'operator', 'cellular', 'regret', 'buy', 'Telkomsel']")</f>
        <v>['Disappointed', 'heavy', 'signal', 'ugly', 'luemoottt', 'really', 'compared', 'operator', 'cellular', 'regret', 'buy', 'Telkomsel']</v>
      </c>
      <c r="D5325" s="3">
        <v>1.0</v>
      </c>
    </row>
    <row r="5326" ht="15.75" customHeight="1">
      <c r="A5326" s="1">
        <v>5699.0</v>
      </c>
      <c r="B5326" s="3" t="s">
        <v>5089</v>
      </c>
      <c r="C5326" s="3" t="str">
        <f>IFERROR(__xludf.DUMMYFUNCTION("GOOGLETRANSLATE(B5326,""id"",""en"")"),"['', 'Fill', 'City', 'Giga', 'October', 'Credit', 'City', 'Lost', 'SSJA', 'Enter', 'Internet', 'Location', 'Gardens ',' Villages', 'Aska', 'Kec', 'Sinjai', 'South', 'Kab', 'Sinjai', 'Klu', 'Moving', 'Card', 'Vocer', ""]")</f>
        <v>['', 'Fill', 'City', 'Giga', 'October', 'Credit', 'City', 'Lost', 'SSJA', 'Enter', 'Internet', 'Location', 'Gardens ',' Villages', 'Aska', 'Kec', 'Sinjai', 'South', 'Kab', 'Sinjai', 'Klu', 'Moving', 'Card', 'Vocer', "]</v>
      </c>
      <c r="D5326" s="3">
        <v>4.0</v>
      </c>
    </row>
    <row r="5327" ht="15.75" customHeight="1">
      <c r="A5327" s="1">
        <v>5700.0</v>
      </c>
      <c r="B5327" s="3" t="s">
        <v>5090</v>
      </c>
      <c r="C5327" s="3" t="str">
        <f>IFERROR(__xludf.DUMMYFUNCTION("GOOGLETRANSLATE(B5327,""id"",""en"")"),"['Program', 'Prizes', 'Bagus', 'interesting', 'Hopefully', 'Telkomsel', 'Jaya', 'Dihati', 'Program', 'Prizes', 'Encourage', ""]")</f>
        <v>['Program', 'Prizes', 'Bagus', 'interesting', 'Hopefully', 'Telkomsel', 'Jaya', 'Dihati', 'Program', 'Prizes', 'Encourage', "]</v>
      </c>
      <c r="D5327" s="3">
        <v>5.0</v>
      </c>
    </row>
    <row r="5328" ht="15.75" customHeight="1">
      <c r="A5328" s="1">
        <v>5701.0</v>
      </c>
      <c r="B5328" s="3" t="s">
        <v>5091</v>
      </c>
      <c r="C5328" s="3" t="str">
        <f>IFERROR(__xludf.DUMMYFUNCTION("GOOGLETRANSLATE(B5328,""id"",""en"")"),"['network', 'internet', 'area', 'difficult', 'Telkomsel', 'used', 'quota', 'beg', 'fix', 'plus',' network ',' internet ',' stable']")</f>
        <v>['network', 'internet', 'area', 'difficult', 'Telkomsel', 'used', 'quota', 'beg', 'fix', 'plus',' network ',' internet ',' stable']</v>
      </c>
      <c r="D5328" s="3">
        <v>1.0</v>
      </c>
    </row>
    <row r="5329" ht="15.75" customHeight="1">
      <c r="A5329" s="1">
        <v>5702.0</v>
      </c>
      <c r="B5329" s="3" t="s">
        <v>5092</v>
      </c>
      <c r="C5329" s="3" t="str">
        <f>IFERROR(__xludf.DUMMYFUNCTION("GOOGLETRANSLATE(B5329,""id"",""en"")"),"['Application', 'Error', 'idiot']")</f>
        <v>['Application', 'Error', 'idiot']</v>
      </c>
      <c r="D5329" s="3">
        <v>1.0</v>
      </c>
    </row>
    <row r="5330" ht="15.75" customHeight="1">
      <c r="A5330" s="1">
        <v>5703.0</v>
      </c>
      <c r="B5330" s="3" t="s">
        <v>5093</v>
      </c>
      <c r="C5330" s="3" t="str">
        <f>IFERROR(__xludf.DUMMYFUNCTION("GOOGLETRANSLATE(B5330,""id"",""en"")"),"['Easy', 'access', 'comfortable', 'network', 'Interney', 'Ngebuuuut', 'Telkomsel', 'Cool', ""]")</f>
        <v>['Easy', 'access', 'comfortable', 'network', 'Interney', 'Ngebuuuut', 'Telkomsel', 'Cool', "]</v>
      </c>
      <c r="D5330" s="3">
        <v>5.0</v>
      </c>
    </row>
    <row r="5331" ht="15.75" customHeight="1">
      <c r="A5331" s="1">
        <v>5704.0</v>
      </c>
      <c r="B5331" s="3" t="s">
        <v>5094</v>
      </c>
      <c r="C5331" s="3" t="str">
        <f>IFERROR(__xludf.DUMMYFUNCTION("GOOGLETRANSLATE(B5331,""id"",""en"")"),"['Telkom', 'Dihati']")</f>
        <v>['Telkom', 'Dihati']</v>
      </c>
      <c r="D5331" s="3">
        <v>5.0</v>
      </c>
    </row>
    <row r="5332" ht="15.75" customHeight="1">
      <c r="A5332" s="1">
        <v>5705.0</v>
      </c>
      <c r="B5332" s="3" t="s">
        <v>5095</v>
      </c>
      <c r="C5332" s="3" t="str">
        <f>IFERROR(__xludf.DUMMYFUNCTION("GOOGLETRANSLATE(B5332,""id"",""en"")"),"['Like', 'Telkomsel', 'TPI', 'Suggestions',' Bole ',' Network ',' Increase ',' Special ',' Area ',' Damphip ',' City ',' Mksh ',' ']")</f>
        <v>['Like', 'Telkomsel', 'TPI', 'Suggestions',' Bole ',' Network ',' Increase ',' Special ',' Area ',' Damphip ',' City ',' Mksh ',' ']</v>
      </c>
      <c r="D5332" s="3">
        <v>5.0</v>
      </c>
    </row>
    <row r="5333" ht="15.75" customHeight="1">
      <c r="A5333" s="1">
        <v>5707.0</v>
      </c>
      <c r="B5333" s="3" t="s">
        <v>5096</v>
      </c>
      <c r="C5333" s="3" t="str">
        <f>IFERROR(__xludf.DUMMYFUNCTION("GOOGLETRANSLATE(B5333,""id"",""en"")"),"['price', 'package', 'expensive', 'TPI', 'network', 'difficult', '']")</f>
        <v>['price', 'package', 'expensive', 'TPI', 'network', 'difficult', '']</v>
      </c>
      <c r="D5333" s="3">
        <v>2.0</v>
      </c>
    </row>
    <row r="5334" ht="15.75" customHeight="1">
      <c r="A5334" s="1">
        <v>5708.0</v>
      </c>
      <c r="B5334" s="3" t="s">
        <v>5097</v>
      </c>
      <c r="C5334" s="3" t="str">
        <f>IFERROR(__xludf.DUMMYFUNCTION("GOOGLETRANSLATE(B5334,""id"",""en"")"),"['Exchange', 'Points',' Seat ',' BSA ',' Points', 'Already', 'Reach', 'Exchange', 'Voucher', 'Exchange', 'Mist', ' ']")</f>
        <v>['Exchange', 'Points',' Seat ',' BSA ',' Points', 'Already', 'Reach', 'Exchange', 'Voucher', 'Exchange', 'Mist', ' ']</v>
      </c>
      <c r="D5334" s="3">
        <v>5.0</v>
      </c>
    </row>
    <row r="5335" ht="15.75" customHeight="1">
      <c r="A5335" s="1">
        <v>5709.0</v>
      </c>
      <c r="B5335" s="3" t="s">
        <v>5098</v>
      </c>
      <c r="C5335" s="3" t="str">
        <f>IFERROR(__xludf.DUMMYFUNCTION("GOOGLETRANSLATE(B5335,""id"",""en"")"),"['Ralat', 'service', 'bad', 'maintenance', 'bad', 'buy', 'package', 'internet', 'bad', 'device', 'xiaomi', 'note', ' warranty ',' official ',' TAM ',' yes', 'enter', 'menu', 'selection', 'package', 'bad']")</f>
        <v>['Ralat', 'service', 'bad', 'maintenance', 'bad', 'buy', 'package', 'internet', 'bad', 'device', 'xiaomi', 'note', ' warranty ',' official ',' TAM ',' yes', 'enter', 'menu', 'selection', 'package', 'bad']</v>
      </c>
      <c r="D5335" s="3">
        <v>5.0</v>
      </c>
    </row>
    <row r="5336" ht="15.75" customHeight="1">
      <c r="A5336" s="1">
        <v>5710.0</v>
      </c>
      <c r="B5336" s="3" t="s">
        <v>5099</v>
      </c>
      <c r="C5336" s="3" t="str">
        <f>IFERROR(__xludf.DUMMYFUNCTION("GOOGLETRANSLATE(B5336,""id"",""en"")"),"['Mantul', 'darling', 'no', 'package', 'help']")</f>
        <v>['Mantul', 'darling', 'no', 'package', 'help']</v>
      </c>
      <c r="D5336" s="3">
        <v>5.0</v>
      </c>
    </row>
    <row r="5337" ht="15.75" customHeight="1">
      <c r="A5337" s="1">
        <v>5711.0</v>
      </c>
      <c r="B5337" s="3" t="s">
        <v>3771</v>
      </c>
      <c r="C5337" s="3" t="str">
        <f>IFERROR(__xludf.DUMMYFUNCTION("GOOGLETRANSLATE(B5337,""id"",""en"")"),"['disturbance']")</f>
        <v>['disturbance']</v>
      </c>
      <c r="D5337" s="3">
        <v>1.0</v>
      </c>
    </row>
    <row r="5338" ht="15.75" customHeight="1">
      <c r="A5338" s="1">
        <v>5712.0</v>
      </c>
      <c r="B5338" s="3" t="s">
        <v>5100</v>
      </c>
      <c r="C5338" s="3" t="str">
        <f>IFERROR(__xludf.DUMMYFUNCTION("GOOGLETRANSLATE(B5338,""id"",""en"")"),"['Stress', 'signal', 'ilang', 'lag', 'bandung', 'village', 'rancamulya', 'impressing', 'telkomsel', 'gini', 'then']")</f>
        <v>['Stress', 'signal', 'ilang', 'lag', 'bandung', 'village', 'rancamulya', 'impressing', 'telkomsel', 'gini', 'then']</v>
      </c>
      <c r="D5338" s="3">
        <v>1.0</v>
      </c>
    </row>
    <row r="5339" ht="15.75" customHeight="1">
      <c r="A5339" s="1">
        <v>5713.0</v>
      </c>
      <c r="B5339" s="3" t="s">
        <v>5101</v>
      </c>
      <c r="C5339" s="3" t="str">
        <f>IFERROR(__xludf.DUMMYFUNCTION("GOOGLETRANSLATE(B5339,""id"",""en"")"),"['Telkomsel', 'Burikkkkkkkkkkkkkkkkkkkkkkkkkkkkkkkkkkkkkkkkkkkkkkkkkkkkkkkkkkkkkkkkkkkkkkkkkkkkkkkkkkkkkkkkkkkkkkkkkk', 'see', 'see', 'down', 'cave', 'BURIK']")</f>
        <v>['Telkomsel', 'Burikkkkkkkkkkkkkkkkkkkkkkkkkkkkkkkkkkkkkkkkkkkkkkkkkkkkkkkkkkkkkkkkkkkkkkkkkkkkkkkkkkkkkkkkkkkkkkkkkk', 'see', 'see', 'down', 'cave', 'BURIK']</v>
      </c>
      <c r="D5339" s="3">
        <v>5.0</v>
      </c>
    </row>
    <row r="5340" ht="15.75" customHeight="1">
      <c r="A5340" s="1">
        <v>5714.0</v>
      </c>
      <c r="B5340" s="3" t="s">
        <v>2146</v>
      </c>
      <c r="C5340" s="3" t="str">
        <f>IFERROR(__xludf.DUMMYFUNCTION("GOOGLETRANSLATE(B5340,""id"",""en"")"),"['App', 'Good', '']")</f>
        <v>['App', 'Good', '']</v>
      </c>
      <c r="D5340" s="3">
        <v>5.0</v>
      </c>
    </row>
    <row r="5341" ht="15.75" customHeight="1">
      <c r="A5341" s="1">
        <v>5716.0</v>
      </c>
      <c r="B5341" s="3" t="s">
        <v>5102</v>
      </c>
      <c r="C5341" s="3" t="str">
        <f>IFERROR(__xludf.DUMMYFUNCTION("GOOGLETRANSLATE(B5341,""id"",""en"")"),"['gift', 'person', 'quota', 'purchase', 'just', 'use', 'pulse', 'funds',' shopepay ',' what ',' update ',' update ',' APK ',' ']")</f>
        <v>['gift', 'person', 'quota', 'purchase', 'just', 'use', 'pulse', 'funds',' shopepay ',' what ',' update ',' update ',' APK ',' ']</v>
      </c>
      <c r="D5341" s="3">
        <v>4.0</v>
      </c>
    </row>
    <row r="5342" ht="15.75" customHeight="1">
      <c r="A5342" s="1">
        <v>5717.0</v>
      </c>
      <c r="B5342" s="3" t="s">
        <v>5103</v>
      </c>
      <c r="C5342" s="3" t="str">
        <f>IFERROR(__xludf.DUMMYFUNCTION("GOOGLETRANSLATE(B5342,""id"",""en"")"),"['Severe', 'Telkomsel', 'Network', 'Internet', 'Lemot', 'Bangat', 'Mimin', 'Telkomsel']")</f>
        <v>['Severe', 'Telkomsel', 'Network', 'Internet', 'Lemot', 'Bangat', 'Mimin', 'Telkomsel']</v>
      </c>
      <c r="D5342" s="3">
        <v>3.0</v>
      </c>
    </row>
    <row r="5343" ht="15.75" customHeight="1">
      <c r="A5343" s="1">
        <v>5718.0</v>
      </c>
      <c r="B5343" s="3" t="s">
        <v>5104</v>
      </c>
      <c r="C5343" s="3" t="str">
        <f>IFERROR(__xludf.DUMMYFUNCTION("GOOGLETRANSLATE(B5343,""id"",""en"")"),"['signal', 'Telkomsel', 'bad', 'play', 'game', 'difficult', 'package', 'expensive', 'quality', 'bad', 'gyma', 'complaint', ' signal']")</f>
        <v>['signal', 'Telkomsel', 'bad', 'play', 'game', 'difficult', 'package', 'expensive', 'quality', 'bad', 'gyma', 'complaint', ' signal']</v>
      </c>
      <c r="D5343" s="3">
        <v>1.0</v>
      </c>
    </row>
    <row r="5344" ht="15.75" customHeight="1">
      <c r="A5344" s="1">
        <v>5720.0</v>
      </c>
      <c r="B5344" s="3" t="s">
        <v>5105</v>
      </c>
      <c r="C5344" s="3" t="str">
        <f>IFERROR(__xludf.DUMMYFUNCTION("GOOGLETRANSLATE(B5344,""id"",""en"")"),"['Please', 'repaired', 'logged', 'login', 'heavy', 'no', 'open', 'application', '']")</f>
        <v>['Please', 'repaired', 'logged', 'login', 'heavy', 'no', 'open', 'application', '']</v>
      </c>
      <c r="D5344" s="3">
        <v>5.0</v>
      </c>
    </row>
    <row r="5345" ht="15.75" customHeight="1">
      <c r="A5345" s="1">
        <v>5721.0</v>
      </c>
      <c r="B5345" s="3" t="s">
        <v>5106</v>
      </c>
      <c r="C5345" s="3" t="str">
        <f>IFERROR(__xludf.DUMMYFUNCTION("GOOGLETRANSLATE(B5345,""id"",""en"")"),"['Winner', 'check', 'DMN']")</f>
        <v>['Winner', 'check', 'DMN']</v>
      </c>
      <c r="D5345" s="3">
        <v>5.0</v>
      </c>
    </row>
    <row r="5346" ht="15.75" customHeight="1">
      <c r="A5346" s="1">
        <v>5722.0</v>
      </c>
      <c r="B5346" s="3" t="s">
        <v>5107</v>
      </c>
      <c r="C5346" s="3" t="str">
        <f>IFERROR(__xludf.DUMMYFUNCTION("GOOGLETRANSLATE(B5346,""id"",""en"")"),"['Good', 'really', 'poko', '']")</f>
        <v>['Good', 'really', 'poko', '']</v>
      </c>
      <c r="D5346" s="3">
        <v>5.0</v>
      </c>
    </row>
    <row r="5347" ht="15.75" customHeight="1">
      <c r="A5347" s="1">
        <v>5723.0</v>
      </c>
      <c r="B5347" s="3" t="s">
        <v>5108</v>
      </c>
      <c r="C5347" s="3" t="str">
        <f>IFERROR(__xludf.DUMMYFUNCTION("GOOGLETRANSLATE(B5347,""id"",""en"")"),"['Want', 'gift', ""]")</f>
        <v>['Want', 'gift', "]</v>
      </c>
      <c r="D5347" s="3">
        <v>5.0</v>
      </c>
    </row>
    <row r="5348" ht="15.75" customHeight="1">
      <c r="A5348" s="1">
        <v>5724.0</v>
      </c>
      <c r="B5348" s="3" t="s">
        <v>5109</v>
      </c>
      <c r="C5348" s="3" t="str">
        <f>IFERROR(__xludf.DUMMYFUNCTION("GOOGLETRANSLATE(B5348,""id"",""en"")"),"['Package', 'cheap', 'all-round', 'expensive', 'results',' signal ',' difficult ',' stay ',' near ',' tower ',' Telkomsel ',' Ujan ',' signal ',' threat ',' disruption ',' mending ',' down ',' price ',' price ',' package ',' disappointed ',' times', 'beka"&amp;"li', 'intention', 'expensive' , 'yes', 'according to', 'strength', 'signal', 'disorder']")</f>
        <v>['Package', 'cheap', 'all-round', 'expensive', 'results',' signal ',' difficult ',' stay ',' near ',' tower ',' Telkomsel ',' Ujan ',' signal ',' threat ',' disruption ',' mending ',' down ',' price ',' price ',' package ',' disappointed ',' times', 'bekali', 'intention', 'expensive' , 'yes', 'according to', 'strength', 'signal', 'disorder']</v>
      </c>
      <c r="D5348" s="3">
        <v>1.0</v>
      </c>
    </row>
    <row r="5349" ht="15.75" customHeight="1">
      <c r="A5349" s="1">
        <v>5725.0</v>
      </c>
      <c r="B5349" s="3" t="s">
        <v>5110</v>
      </c>
      <c r="C5349" s="3" t="str">
        <f>IFERROR(__xludf.DUMMYFUNCTION("GOOGLETRANSLATE(B5349,""id"",""en"")"),"['Application', 'Useful', '']")</f>
        <v>['Application', 'Useful', '']</v>
      </c>
      <c r="D5349" s="3">
        <v>5.0</v>
      </c>
    </row>
    <row r="5350" ht="15.75" customHeight="1">
      <c r="A5350" s="1">
        <v>5726.0</v>
      </c>
      <c r="B5350" s="3" t="s">
        <v>5111</v>
      </c>
      <c r="C5350" s="3" t="str">
        <f>IFERROR(__xludf.DUMMYFUNCTION("GOOGLETRANSLATE(B5350,""id"",""en"")"),"['App', 'update', 'good', 'broken', 'enter', 'number', 'enter', 'take', 'profit', 'satisfaction', 'pelangement', 'bankrupt']")</f>
        <v>['App', 'update', 'good', 'broken', 'enter', 'number', 'enter', 'take', 'profit', 'satisfaction', 'pelangement', 'bankrupt']</v>
      </c>
      <c r="D5350" s="3">
        <v>2.0</v>
      </c>
    </row>
    <row r="5351" ht="15.75" customHeight="1">
      <c r="A5351" s="1">
        <v>5727.0</v>
      </c>
      <c r="B5351" s="3" t="s">
        <v>5112</v>
      </c>
      <c r="C5351" s="3" t="str">
        <f>IFERROR(__xludf.DUMMYFUNCTION("GOOGLETRANSLATE(B5351,""id"",""en"")"),"['Skapan', 'exchange', 'Points', 'APK', 'Simple', 'multiply', 'promo', 'package', 'cheap']")</f>
        <v>['Skapan', 'exchange', 'Points', 'APK', 'Simple', 'multiply', 'promo', 'package', 'cheap']</v>
      </c>
      <c r="D5351" s="3">
        <v>1.0</v>
      </c>
    </row>
    <row r="5352" ht="15.75" customHeight="1">
      <c r="A5352" s="1">
        <v>5728.0</v>
      </c>
      <c r="B5352" s="3" t="s">
        <v>5113</v>
      </c>
      <c r="C5352" s="3" t="str">
        <f>IFERROR(__xludf.DUMMYFUNCTION("GOOGLETRANSLATE(B5352,""id"",""en"")"),"['SERBA', 'expensive', 'net', 'NGK', 'BURIK', '']")</f>
        <v>['SERBA', 'expensive', 'net', 'NGK', 'BURIK', '']</v>
      </c>
      <c r="D5352" s="3">
        <v>1.0</v>
      </c>
    </row>
    <row r="5353" ht="15.75" customHeight="1">
      <c r="A5353" s="1">
        <v>5729.0</v>
      </c>
      <c r="B5353" s="3" t="s">
        <v>5114</v>
      </c>
      <c r="C5353" s="3" t="str">
        <f>IFERROR(__xludf.DUMMYFUNCTION("GOOGLETRANSLATE(B5353,""id"",""en"")"),"['region', 'kab', 'ciamis',' java ',' west ',' good ',' just ',' network ',' ugly ',' really ',' package ',' expensive ',' Please, 'repaired', 'response', 'slow', 'BNYK', 'responded', '']")</f>
        <v>['region', 'kab', 'ciamis',' java ',' west ',' good ',' just ',' network ',' ugly ',' really ',' package ',' expensive ',' Please, 'repaired', 'response', 'slow', 'BNYK', 'responded', '']</v>
      </c>
      <c r="D5353" s="3">
        <v>2.0</v>
      </c>
    </row>
    <row r="5354" ht="15.75" customHeight="1">
      <c r="A5354" s="1">
        <v>5730.0</v>
      </c>
      <c r="B5354" s="3" t="s">
        <v>5115</v>
      </c>
      <c r="C5354" s="3" t="str">
        <f>IFERROR(__xludf.DUMMYFUNCTION("GOOGLETRANSLATE(B5354,""id"",""en"")"),"['satisfying', 'date', 'pulse', 'buy', 'package', 'call', 'system', 'pulse', 'sufficient', 'please', 'teach', 'how' Commenting ',' Performance ',' Telkomsel ',' ']")</f>
        <v>['satisfying', 'date', 'pulse', 'buy', 'package', 'call', 'system', 'pulse', 'sufficient', 'please', 'teach', 'how' Commenting ',' Performance ',' Telkomsel ',' ']</v>
      </c>
      <c r="D5354" s="3">
        <v>1.0</v>
      </c>
    </row>
    <row r="5355" ht="15.75" customHeight="1">
      <c r="A5355" s="1">
        <v>5731.0</v>
      </c>
      <c r="B5355" s="3" t="s">
        <v>5116</v>
      </c>
      <c r="C5355" s="3" t="str">
        <f>IFERROR(__xludf.DUMMYFUNCTION("GOOGLETRANSLATE(B5355,""id"",""en"")"),"['Telkomsel', 'network', 'internet', 'ngak', 'setabilia', 'already', 'week', 'blom', 'improved', 'kab', 'bungo']")</f>
        <v>['Telkomsel', 'network', 'internet', 'ngak', 'setabilia', 'already', 'week', 'blom', 'improved', 'kab', 'bungo']</v>
      </c>
      <c r="D5355" s="3">
        <v>1.0</v>
      </c>
    </row>
    <row r="5356" ht="15.75" customHeight="1">
      <c r="A5356" s="1">
        <v>5732.0</v>
      </c>
      <c r="B5356" s="3" t="s">
        <v>5117</v>
      </c>
      <c r="C5356" s="3" t="str">
        <f>IFERROR(__xludf.DUMMYFUNCTION("GOOGLETRANSLATE(B5356,""id"",""en"")"),"['Results', 'work', 'good']")</f>
        <v>['Results', 'work', 'good']</v>
      </c>
      <c r="D5356" s="3">
        <v>4.0</v>
      </c>
    </row>
    <row r="5357" ht="15.75" customHeight="1">
      <c r="A5357" s="1">
        <v>5733.0</v>
      </c>
      <c r="B5357" s="3" t="s">
        <v>5118</v>
      </c>
      <c r="C5357" s="3" t="str">
        <f>IFERROR(__xludf.DUMMYFUNCTION("GOOGLETRANSLATE(B5357,""id"",""en"")"),"['easy', 'practical']")</f>
        <v>['easy', 'practical']</v>
      </c>
      <c r="D5357" s="3">
        <v>5.0</v>
      </c>
    </row>
    <row r="5358" ht="15.75" customHeight="1">
      <c r="A5358" s="1">
        <v>5734.0</v>
      </c>
      <c r="B5358" s="3" t="s">
        <v>5119</v>
      </c>
      <c r="C5358" s="3" t="str">
        <f>IFERROR(__xludf.DUMMYFUNCTION("GOOGLETRANSLATE(B5358,""id"",""en"")"),"['Credit', 'Geratis']")</f>
        <v>['Credit', 'Geratis']</v>
      </c>
      <c r="D5358" s="3">
        <v>5.0</v>
      </c>
    </row>
    <row r="5359" ht="15.75" customHeight="1">
      <c r="A5359" s="1">
        <v>5735.0</v>
      </c>
      <c r="B5359" s="3" t="s">
        <v>5120</v>
      </c>
      <c r="C5359" s="3" t="str">
        <f>IFERROR(__xludf.DUMMYFUNCTION("GOOGLETRANSLATE(B5359,""id"",""en"")"),"['likes', 'application', 'buy', 'package', 'internet', 'cheap', 'thank you', 'Telkomsel', 'user', 'Telkomsel', 'your settimes', ""]")</f>
        <v>['likes', 'application', 'buy', 'package', 'internet', 'cheap', 'thank you', 'Telkomsel', 'user', 'Telkomsel', 'your settimes', "]</v>
      </c>
      <c r="D5359" s="3">
        <v>5.0</v>
      </c>
    </row>
    <row r="5360" ht="15.75" customHeight="1">
      <c r="A5360" s="1">
        <v>5736.0</v>
      </c>
      <c r="B5360" s="3" t="s">
        <v>5121</v>
      </c>
      <c r="C5360" s="3" t="str">
        <f>IFERROR(__xludf.DUMMYFUNCTION("GOOGLETRANSLATE(B5360,""id"",""en"")"),"['Loading', '']")</f>
        <v>['Loading', '']</v>
      </c>
      <c r="D5360" s="3">
        <v>1.0</v>
      </c>
    </row>
    <row r="5361" ht="15.75" customHeight="1">
      <c r="A5361" s="1">
        <v>5737.0</v>
      </c>
      <c r="B5361" s="3" t="s">
        <v>5122</v>
      </c>
      <c r="C5361" s="3" t="str">
        <f>IFERROR(__xludf.DUMMYFUNCTION("GOOGLETRANSLATE(B5361,""id"",""en"")"),"['Gajelas', 'Package', 'bought', 'Disruption', 'Mulu']")</f>
        <v>['Gajelas', 'Package', 'bought', 'Disruption', 'Mulu']</v>
      </c>
      <c r="D5361" s="3">
        <v>1.0</v>
      </c>
    </row>
    <row r="5362" ht="15.75" customHeight="1">
      <c r="A5362" s="1">
        <v>5738.0</v>
      </c>
      <c r="B5362" s="3" t="s">
        <v>5123</v>
      </c>
      <c r="C5362" s="3" t="str">
        <f>IFERROR(__xludf.DUMMYFUNCTION("GOOGLETRANSLATE(B5362,""id"",""en"")"),"['my', 'package', 'cheap', 'woi', '']")</f>
        <v>['my', 'package', 'cheap', 'woi', '']</v>
      </c>
      <c r="D5362" s="3">
        <v>5.0</v>
      </c>
    </row>
    <row r="5363" ht="15.75" customHeight="1">
      <c r="A5363" s="1">
        <v>5739.0</v>
      </c>
      <c r="B5363" s="3" t="s">
        <v>5124</v>
      </c>
      <c r="C5363" s="3" t="str">
        <f>IFERROR(__xludf.DUMMYFUNCTION("GOOGLETRANSLATE(B5363,""id"",""en"")"),"['Cool', 'really', 'gift', 'hope', 'fortune', 'Hadia', 'amin']")</f>
        <v>['Cool', 'really', 'gift', 'hope', 'fortune', 'Hadia', 'amin']</v>
      </c>
      <c r="D5363" s="3">
        <v>5.0</v>
      </c>
    </row>
    <row r="5364" ht="15.75" customHeight="1">
      <c r="A5364" s="1">
        <v>5740.0</v>
      </c>
      <c r="B5364" s="3" t="s">
        <v>5125</v>
      </c>
      <c r="C5364" s="3" t="str">
        <f>IFERROR(__xludf.DUMMYFUNCTION("GOOGLETRANSLATE(B5364,""id"",""en"")"),"['Good', 'Telkomsel', 'bru', 'bnyk', 'quota', 'lbh', 'economical', 'quota']")</f>
        <v>['Good', 'Telkomsel', 'bru', 'bnyk', 'quota', 'lbh', 'economical', 'quota']</v>
      </c>
      <c r="D5364" s="3">
        <v>4.0</v>
      </c>
    </row>
    <row r="5365" ht="15.75" customHeight="1">
      <c r="A5365" s="1">
        <v>5741.0</v>
      </c>
      <c r="B5365" s="3" t="s">
        <v>5126</v>
      </c>
      <c r="C5365" s="3" t="str">
        <f>IFERROR(__xludf.DUMMYFUNCTION("GOOGLETRANSLATE(B5365,""id"",""en"")"),"['Network', 'Internet', 'Telkomsel', 'slow', 'data', 'internet', 'wasted', 'Sia', 'expensive', 'Jayawijaya', 'Papua']")</f>
        <v>['Network', 'Internet', 'Telkomsel', 'slow', 'data', 'internet', 'wasted', 'Sia', 'expensive', 'Jayawijaya', 'Papua']</v>
      </c>
      <c r="D5365" s="3">
        <v>2.0</v>
      </c>
    </row>
    <row r="5366" ht="15.75" customHeight="1">
      <c r="A5366" s="1">
        <v>5742.0</v>
      </c>
      <c r="B5366" s="3" t="s">
        <v>5127</v>
      </c>
      <c r="C5366" s="3" t="str">
        <f>IFERROR(__xludf.DUMMYFUNCTION("GOOGLETRANSLATE(B5366,""id"",""en"")"),"['rain', 'down', 'ping', 'significant', 'proud', 'plate', 'red', 'level', ""]")</f>
        <v>['rain', 'down', 'ping', 'significant', 'proud', 'plate', 'red', 'level', "]</v>
      </c>
      <c r="D5366" s="3">
        <v>1.0</v>
      </c>
    </row>
    <row r="5367" ht="15.75" customHeight="1">
      <c r="A5367" s="1">
        <v>5743.0</v>
      </c>
      <c r="B5367" s="3" t="s">
        <v>5128</v>
      </c>
      <c r="C5367" s="3" t="str">
        <f>IFERROR(__xludf.DUMMYFUNCTION("GOOGLETRANSLATE(B5367,""id"",""en"")"),"['slow', 'signal', 'already', 'speed', 'cmn', 'subscription', 'daei', 'age', 'bad', 'signal', 'expensive', 'signal', ' Stable ',' please ',' repaired ',' signal ',' thank you ', ""]")</f>
        <v>['slow', 'signal', 'already', 'speed', 'cmn', 'subscription', 'daei', 'age', 'bad', 'signal', 'expensive', 'signal', ' Stable ',' please ',' repaired ',' signal ',' thank you ', "]</v>
      </c>
      <c r="D5367" s="3">
        <v>2.0</v>
      </c>
    </row>
    <row r="5368" ht="15.75" customHeight="1">
      <c r="A5368" s="1">
        <v>5744.0</v>
      </c>
      <c r="B5368" s="3" t="s">
        <v>5129</v>
      </c>
      <c r="C5368" s="3" t="str">
        <f>IFERROR(__xludf.DUMMYFUNCTION("GOOGLETRANSLATE(B5368,""id"",""en"")"),"['Steady', 'hope', 'Tbah']")</f>
        <v>['Steady', 'hope', 'Tbah']</v>
      </c>
      <c r="D5368" s="3">
        <v>5.0</v>
      </c>
    </row>
    <row r="5369" ht="15.75" customHeight="1">
      <c r="A5369" s="1">
        <v>5745.0</v>
      </c>
      <c r="B5369" s="3" t="s">
        <v>1672</v>
      </c>
      <c r="C5369" s="3" t="str">
        <f>IFERROR(__xludf.DUMMYFUNCTION("GOOGLETRANSLATE(B5369,""id"",""en"")"),"['suitable']")</f>
        <v>['suitable']</v>
      </c>
      <c r="D5369" s="3">
        <v>5.0</v>
      </c>
    </row>
    <row r="5370" ht="15.75" customHeight="1">
      <c r="A5370" s="1">
        <v>5746.0</v>
      </c>
      <c r="B5370" s="3" t="s">
        <v>5130</v>
      </c>
      <c r="C5370" s="3" t="str">
        <f>IFERROR(__xludf.DUMMYFUNCTION("GOOGLETRANSLATE(B5370,""id"",""en"")"),"['SETERUS', 'CHEAP', '' ']")</f>
        <v>['SETERUS', 'CHEAP', '' ']</v>
      </c>
      <c r="D5370" s="3">
        <v>5.0</v>
      </c>
    </row>
    <row r="5371" ht="15.75" customHeight="1">
      <c r="A5371" s="1">
        <v>5747.0</v>
      </c>
      <c r="B5371" s="3" t="s">
        <v>5131</v>
      </c>
      <c r="C5371" s="3" t="str">
        <f>IFERROR(__xludf.DUMMYFUNCTION("GOOGLETRANSLATE(B5371,""id"",""en"")"),"['Telkomsel', 'steady', 'high', 'signal', 'bad', 'brief', 'bankrupt', 'aminnnnn', 'signal', 'pigiiii']")</f>
        <v>['Telkomsel', 'steady', 'high', 'signal', 'bad', 'brief', 'bankrupt', 'aminnnnn', 'signal', 'pigiiii']</v>
      </c>
      <c r="D5371" s="3">
        <v>1.0</v>
      </c>
    </row>
    <row r="5372" ht="15.75" customHeight="1">
      <c r="A5372" s="1">
        <v>5748.0</v>
      </c>
      <c r="B5372" s="3" t="s">
        <v>5132</v>
      </c>
      <c r="C5372" s="3" t="str">
        <f>IFERROR(__xludf.DUMMYFUNCTION("GOOGLETRANSLATE(B5372,""id"",""en"")"),"['Price', 'expensive', 'card', 'classy', 'Perfoma', 'network', 'bad', 'exis',' right ',' please ',' right ',' price ',' Perfoma ',' Please ',' Down ',' Price ',' Sell ',' Bonus', 'Reduced', 'Try']")</f>
        <v>['Price', 'expensive', 'card', 'classy', 'Perfoma', 'network', 'bad', 'exis',' right ',' please ',' right ',' price ',' Perfoma ',' Please ',' Down ',' Price ',' Sell ',' Bonus', 'Reduced', 'Try']</v>
      </c>
      <c r="D5372" s="3">
        <v>1.0</v>
      </c>
    </row>
    <row r="5373" ht="15.75" customHeight="1">
      <c r="A5373" s="1">
        <v>5749.0</v>
      </c>
      <c r="B5373" s="3" t="s">
        <v>5133</v>
      </c>
      <c r="C5373" s="3" t="str">
        <f>IFERROR(__xludf.DUMMYFUNCTION("GOOGLETRANSLATE(B5373,""id"",""en"")"),"['Credit', 'cave', 'COK', 'Talikin']")</f>
        <v>['Credit', 'cave', 'COK', 'Talikin']</v>
      </c>
      <c r="D5373" s="3">
        <v>1.0</v>
      </c>
    </row>
    <row r="5374" ht="15.75" customHeight="1">
      <c r="A5374" s="1">
        <v>5750.0</v>
      </c>
      <c r="B5374" s="3" t="s">
        <v>5134</v>
      </c>
      <c r="C5374" s="3" t="str">
        <f>IFERROR(__xludf.DUMMYFUNCTION("GOOGLETRANSLATE(B5374,""id"",""en"")"),"['network', 'slow', 'package', 'expensive', '']")</f>
        <v>['network', 'slow', 'package', 'expensive', '']</v>
      </c>
      <c r="D5374" s="3">
        <v>1.0</v>
      </c>
    </row>
    <row r="5375" ht="15.75" customHeight="1">
      <c r="A5375" s="1">
        <v>5751.0</v>
      </c>
      <c r="B5375" s="3" t="s">
        <v>5135</v>
      </c>
      <c r="C5375" s="3" t="str">
        <f>IFERROR(__xludf.DUMMYFUNCTION("GOOGLETRANSLATE(B5375,""id"",""en"")"),"['Gara', 'Gara', 'Update', 'Login', 'Enter']")</f>
        <v>['Gara', 'Gara', 'Update', 'Login', 'Enter']</v>
      </c>
      <c r="D5375" s="3">
        <v>1.0</v>
      </c>
    </row>
    <row r="5376" ht="15.75" customHeight="1">
      <c r="A5376" s="1">
        <v>5752.0</v>
      </c>
      <c r="B5376" s="3" t="s">
        <v>5136</v>
      </c>
      <c r="C5376" s="3" t="str">
        <f>IFERROR(__xludf.DUMMYFUNCTION("GOOGLETRANSLATE(B5376,""id"",""en"")"),"['Help', 'makes it easy']")</f>
        <v>['Help', 'makes it easy']</v>
      </c>
      <c r="D5376" s="3">
        <v>5.0</v>
      </c>
    </row>
    <row r="5377" ht="15.75" customHeight="1">
      <c r="A5377" s="1">
        <v>5753.0</v>
      </c>
      <c r="B5377" s="3" t="s">
        <v>5137</v>
      </c>
      <c r="C5377" s="3" t="str">
        <f>IFERROR(__xludf.DUMMYFUNCTION("GOOGLETRANSLATE(B5377,""id"",""en"")"),"['APK', 'mntap']")</f>
        <v>['APK', 'mntap']</v>
      </c>
      <c r="D5377" s="3">
        <v>5.0</v>
      </c>
    </row>
    <row r="5378" ht="15.75" customHeight="1">
      <c r="A5378" s="1">
        <v>5754.0</v>
      </c>
      <c r="B5378" s="3" t="s">
        <v>5138</v>
      </c>
      <c r="C5378" s="3" t="str">
        <f>IFERROR(__xludf.DUMMYFUNCTION("GOOGLETRANSLATE(B5378,""id"",""en"")"),"['company', 'segede', 'telkom', 'signal', 'macem', 'gini', 'oath', 'gedek', 'really']")</f>
        <v>['company', 'segede', 'telkom', 'signal', 'macem', 'gini', 'oath', 'gedek', 'really']</v>
      </c>
      <c r="D5378" s="3">
        <v>1.0</v>
      </c>
    </row>
    <row r="5379" ht="15.75" customHeight="1">
      <c r="A5379" s="1">
        <v>5755.0</v>
      </c>
      <c r="B5379" s="3" t="s">
        <v>5139</v>
      </c>
      <c r="C5379" s="3" t="str">
        <f>IFERROR(__xludf.DUMMYFUNCTION("GOOGLETRANSLATE(B5379,""id"",""en"")"),"['Contents', 'pulse', 'missing', 'Telkomsel', 'please', 'take', 'pulse', 'permission', ""]")</f>
        <v>['Contents', 'pulse', 'missing', 'Telkomsel', 'please', 'take', 'pulse', 'permission', "]</v>
      </c>
      <c r="D5379" s="3">
        <v>1.0</v>
      </c>
    </row>
    <row r="5380" ht="15.75" customHeight="1">
      <c r="A5380" s="1">
        <v>5757.0</v>
      </c>
      <c r="B5380" s="3" t="s">
        <v>5140</v>
      </c>
      <c r="C5380" s="3" t="str">
        <f>IFERROR(__xludf.DUMMYFUNCTION("GOOGLETRANSLATE(B5380,""id"",""en"")"),"['package', 'internet', 'expensive', 'network', 'hurrieduuuukk', 'waste', 'money', 'buy', 'packetan']")</f>
        <v>['package', 'internet', 'expensive', 'network', 'hurrieduuuukk', 'waste', 'money', 'buy', 'packetan']</v>
      </c>
      <c r="D5380" s="3">
        <v>1.0</v>
      </c>
    </row>
    <row r="5381" ht="15.75" customHeight="1">
      <c r="A5381" s="1">
        <v>5758.0</v>
      </c>
      <c r="B5381" s="3" t="s">
        <v>5141</v>
      </c>
      <c r="C5381" s="3" t="str">
        <f>IFERROR(__xludf.DUMMYFUNCTION("GOOGLETRANSLATE(B5381,""id"",""en"")"),"['Anyway', 'Mantab']")</f>
        <v>['Anyway', 'Mantab']</v>
      </c>
      <c r="D5381" s="3">
        <v>5.0</v>
      </c>
    </row>
    <row r="5382" ht="15.75" customHeight="1">
      <c r="A5382" s="1">
        <v>5759.0</v>
      </c>
      <c r="B5382" s="3" t="s">
        <v>5142</v>
      </c>
      <c r="C5382" s="3" t="str">
        <f>IFERROR(__xludf.DUMMYFUNCTION("GOOGLETRANSLATE(B5382,""id"",""en"")"),"['loyal', 'Telkomsel', 'disappointing', 'smooth', 'Jaya', 'Telkomsel']")</f>
        <v>['loyal', 'Telkomsel', 'disappointing', 'smooth', 'Jaya', 'Telkomsel']</v>
      </c>
      <c r="D5382" s="3">
        <v>5.0</v>
      </c>
    </row>
    <row r="5383" ht="15.75" customHeight="1">
      <c r="A5383" s="1">
        <v>5760.0</v>
      </c>
      <c r="B5383" s="3" t="s">
        <v>5143</v>
      </c>
      <c r="C5383" s="3" t="str">
        <f>IFERROR(__xludf.DUMMYFUNCTION("GOOGLETRANSLATE(B5383,""id"",""en"")"),"['Telokom', 'kepa', 'cave', 'packagein', 'multimitid', 'quota', 'cave', 'abis',' loss', 'cave', 'bastard', 'tlol', ' Ajik ']")</f>
        <v>['Telokom', 'kepa', 'cave', 'packagein', 'multimitid', 'quota', 'cave', 'abis',' loss', 'cave', 'bastard', 'tlol', ' Ajik ']</v>
      </c>
      <c r="D5383" s="3">
        <v>1.0</v>
      </c>
    </row>
    <row r="5384" ht="15.75" customHeight="1">
      <c r="A5384" s="1">
        <v>5761.0</v>
      </c>
      <c r="B5384" s="3" t="s">
        <v>5144</v>
      </c>
      <c r="C5384" s="3" t="str">
        <f>IFERROR(__xludf.DUMMYFUNCTION("GOOGLETRANSLATE(B5384,""id"",""en"")"),"['Steady', 'Kepo', 'already', 'donlod', 'ajj', 'good']")</f>
        <v>['Steady', 'Kepo', 'already', 'donlod', 'ajj', 'good']</v>
      </c>
      <c r="D5384" s="3">
        <v>5.0</v>
      </c>
    </row>
    <row r="5385" ht="15.75" customHeight="1">
      <c r="A5385" s="1">
        <v>5762.0</v>
      </c>
      <c r="B5385" s="3" t="s">
        <v>5145</v>
      </c>
      <c r="C5385" s="3" t="str">
        <f>IFERROR(__xludf.DUMMYFUNCTION("GOOGLETRANSLATE(B5385,""id"",""en"")"),"['application', 'open', 'disorder', '']")</f>
        <v>['application', 'open', 'disorder', '']</v>
      </c>
      <c r="D5385" s="3">
        <v>1.0</v>
      </c>
    </row>
    <row r="5386" ht="15.75" customHeight="1">
      <c r="A5386" s="1">
        <v>5763.0</v>
      </c>
      <c r="B5386" s="3" t="s">
        <v>5146</v>
      </c>
      <c r="C5386" s="3" t="str">
        <f>IFERROR(__xludf.DUMMYFUNCTION("GOOGLETRANSLATE(B5386,""id"",""en"")"),"['Price', 'package', 'expensive', 'NOT', 'Cheap', 'expensive', 'disappointing', '']")</f>
        <v>['Price', 'package', 'expensive', 'NOT', 'Cheap', 'expensive', 'disappointing', '']</v>
      </c>
      <c r="D5386" s="3">
        <v>1.0</v>
      </c>
    </row>
    <row r="5387" ht="15.75" customHeight="1">
      <c r="A5387" s="1">
        <v>5764.0</v>
      </c>
      <c r="B5387" s="3" t="s">
        <v>5147</v>
      </c>
      <c r="C5387" s="3" t="str">
        <f>IFERROR(__xludf.DUMMYFUNCTION("GOOGLETRANSLATE(B5387,""id"",""en"")"),"['Quota', 'Hbs',' Langgsung ',' Eat ',' Credit ',' Terms', 'Langgsung', 'Disappear', 'Deliberate', 'Stop', 'Love', 'Option', ' Continue ',' Browsing ',' Credit ',' ']")</f>
        <v>['Quota', 'Hbs',' Langgsung ',' Eat ',' Credit ',' Terms', 'Langgsung', 'Disappear', 'Deliberate', 'Stop', 'Love', 'Option', ' Continue ',' Browsing ',' Credit ',' ']</v>
      </c>
      <c r="D5387" s="3">
        <v>1.0</v>
      </c>
    </row>
    <row r="5388" ht="15.75" customHeight="1">
      <c r="A5388" s="1">
        <v>5765.0</v>
      </c>
      <c r="B5388" s="3" t="s">
        <v>5148</v>
      </c>
      <c r="C5388" s="3" t="str">
        <f>IFERROR(__xludf.DUMMYFUNCTION("GOOGLETRANSLATE(B5388,""id"",""en"")"),"['quota', 'giga', 'week', 'run out', 'search', 'money', 'liein', 'person', 'poor', 'times',' imi ',' strange ',' Class', 'Telkomsel', 'Honest', ""]")</f>
        <v>['quota', 'giga', 'week', 'run out', 'search', 'money', 'liein', 'person', 'poor', 'times',' imi ',' strange ',' Class', 'Telkomsel', 'Honest', "]</v>
      </c>
      <c r="D5388" s="3">
        <v>1.0</v>
      </c>
    </row>
    <row r="5389" ht="15.75" customHeight="1">
      <c r="A5389" s="1">
        <v>5766.0</v>
      </c>
      <c r="B5389" s="3" t="s">
        <v>5149</v>
      </c>
      <c r="C5389" s="3" t="str">
        <f>IFERROR(__xludf.DUMMYFUNCTION("GOOGLETRANSLATE(B5389,""id"",""en"")"),"['It's easy', 'MyTelkomsel']")</f>
        <v>['It's easy', 'MyTelkomsel']</v>
      </c>
      <c r="D5389" s="3">
        <v>5.0</v>
      </c>
    </row>
    <row r="5390" ht="15.75" customHeight="1">
      <c r="A5390" s="1">
        <v>5767.0</v>
      </c>
      <c r="B5390" s="3" t="s">
        <v>5150</v>
      </c>
      <c r="C5390" s="3" t="str">
        <f>IFERROR(__xludf.DUMMYFUNCTION("GOOGLETRANSLATE(B5390,""id"",""en"")"),"['Response', 'fast', 'trksh']")</f>
        <v>['Response', 'fast', 'trksh']</v>
      </c>
      <c r="D5390" s="3">
        <v>5.0</v>
      </c>
    </row>
    <row r="5391" ht="15.75" customHeight="1">
      <c r="A5391" s="1">
        <v>5768.0</v>
      </c>
      <c r="B5391" s="3" t="s">
        <v>5151</v>
      </c>
      <c r="C5391" s="3" t="str">
        <f>IFERROR(__xludf.DUMMYFUNCTION("GOOGLETRANSLATE(B5391,""id"",""en"")"),"['Network', 'good', 'cave', 'understand', 'Telkomsel', 'UDH', 'Trying', 'Hard', 'Benerin', 'spirit', ""]")</f>
        <v>['Network', 'good', 'cave', 'understand', 'Telkomsel', 'UDH', 'Trying', 'Hard', 'Benerin', 'spirit', "]</v>
      </c>
      <c r="D5391" s="3">
        <v>5.0</v>
      </c>
    </row>
    <row r="5392" ht="15.75" customHeight="1">
      <c r="A5392" s="1">
        <v>5769.0</v>
      </c>
      <c r="B5392" s="3" t="s">
        <v>5152</v>
      </c>
      <c r="C5392" s="3" t="str">
        <f>IFERROR(__xludf.DUMMYFUNCTION("GOOGLETRANSLATE(B5392,""id"",""en"")"),"['Updated', 'Network', 'Bad', '']")</f>
        <v>['Updated', 'Network', 'Bad', '']</v>
      </c>
      <c r="D5392" s="3">
        <v>1.0</v>
      </c>
    </row>
    <row r="5393" ht="15.75" customHeight="1">
      <c r="A5393" s="1">
        <v>5770.0</v>
      </c>
      <c r="B5393" s="3" t="s">
        <v>5153</v>
      </c>
      <c r="C5393" s="3" t="str">
        <f>IFERROR(__xludf.DUMMYFUNCTION("GOOGLETRANSLATE(B5393,""id"",""en"")"),"['disruption', 'lost', 'signal', 'network', 'best', 'package', 'expensive', 'service', 'cheap']")</f>
        <v>['disruption', 'lost', 'signal', 'network', 'best', 'package', 'expensive', 'service', 'cheap']</v>
      </c>
      <c r="D5393" s="3">
        <v>1.0</v>
      </c>
    </row>
    <row r="5394" ht="15.75" customHeight="1">
      <c r="A5394" s="1">
        <v>5771.0</v>
      </c>
      <c r="B5394" s="3" t="s">
        <v>408</v>
      </c>
      <c r="C5394" s="3" t="str">
        <f>IFERROR(__xludf.DUMMYFUNCTION("GOOGLETRANSLATE(B5394,""id"",""en"")"),"['try']")</f>
        <v>['try']</v>
      </c>
      <c r="D5394" s="3">
        <v>5.0</v>
      </c>
    </row>
    <row r="5395" ht="15.75" customHeight="1">
      <c r="A5395" s="1">
        <v>5774.0</v>
      </c>
      <c r="B5395" s="3" t="s">
        <v>5154</v>
      </c>
      <c r="C5395" s="3" t="str">
        <f>IFERROR(__xludf.DUMMYFUNCTION("GOOGLETRANSLATE(B5395,""id"",""en"")"),"['Customer', 'cell', 'blur', 'customer', 'replace', 'number', 'and then', 'cell', 'disappointed', 'times',' tuning ',' results', ' used ',' sell ',' quota ',' youtub ',' already ',' bought ',' kepake ',' quota ',' main ',' pulse ',' run out ',' left ',' s"&amp;"teady ' , 'Anyway', 'Service', 'OTW', 'Move']")</f>
        <v>['Customer', 'cell', 'blur', 'customer', 'replace', 'number', 'and then', 'cell', 'disappointed', 'times',' tuning ',' results', ' used ',' sell ',' quota ',' youtub ',' already ',' bought ',' kepake ',' quota ',' main ',' pulse ',' run out ',' left ',' steady ' , 'Anyway', 'Service', 'OTW', 'Move']</v>
      </c>
      <c r="D5395" s="3">
        <v>1.0</v>
      </c>
    </row>
    <row r="5396" ht="15.75" customHeight="1">
      <c r="A5396" s="1">
        <v>5775.0</v>
      </c>
      <c r="B5396" s="3" t="s">
        <v>5155</v>
      </c>
      <c r="C5396" s="3" t="str">
        <f>IFERROR(__xludf.DUMMYFUNCTION("GOOGLETRANSLATE(B5396,""id"",""en"")"),"['Package', 'unlimited', 'ngeta', 'ngepain', 'ngelag']")</f>
        <v>['Package', 'unlimited', 'ngeta', 'ngepain', 'ngelag']</v>
      </c>
      <c r="D5396" s="3">
        <v>1.0</v>
      </c>
    </row>
    <row r="5397" ht="15.75" customHeight="1">
      <c r="A5397" s="1">
        <v>5776.0</v>
      </c>
      <c r="B5397" s="3" t="s">
        <v>5156</v>
      </c>
      <c r="C5397" s="3" t="str">
        <f>IFERROR(__xludf.DUMMYFUNCTION("GOOGLETRANSLATE(B5397,""id"",""en"")"),"['Help', 'makes it easy', 'people', 'buy', 'package', 'quota', 'fast', '']")</f>
        <v>['Help', 'makes it easy', 'people', 'buy', 'package', 'quota', 'fast', '']</v>
      </c>
      <c r="D5397" s="3">
        <v>5.0</v>
      </c>
    </row>
    <row r="5398" ht="15.75" customHeight="1">
      <c r="A5398" s="1">
        <v>5777.0</v>
      </c>
      <c r="B5398" s="3" t="s">
        <v>5157</v>
      </c>
      <c r="C5398" s="3" t="str">
        <f>IFERROR(__xludf.DUMMYFUNCTION("GOOGLETRANSLATE(B5398,""id"",""en"")"),"['Come', 'Network', 'Bad', 'Overcast', 'Drop', 'Rain', 'ilang', 'Nilagan', 'Disappointed', 'ASLINA', 'User', 'Telkomsel', ' Disappointed ',' compensation ',' haduhh ', ""]")</f>
        <v>['Come', 'Network', 'Bad', 'Overcast', 'Drop', 'Rain', 'ilang', 'Nilagan', 'Disappointed', 'ASLINA', 'User', 'Telkomsel', ' Disappointed ',' compensation ',' haduhh ', "]</v>
      </c>
      <c r="D5398" s="3">
        <v>1.0</v>
      </c>
    </row>
    <row r="5399" ht="15.75" customHeight="1">
      <c r="A5399" s="1">
        <v>5778.0</v>
      </c>
      <c r="B5399" s="3" t="s">
        <v>5158</v>
      </c>
      <c r="C5399" s="3" t="str">
        <f>IFERROR(__xludf.DUMMYFUNCTION("GOOGLETRANSLATE(B5399,""id"",""en"")"),"['Signal', 'strong', 'breakup']")</f>
        <v>['Signal', 'strong', 'breakup']</v>
      </c>
      <c r="D5399" s="3">
        <v>5.0</v>
      </c>
    </row>
    <row r="5400" ht="15.75" customHeight="1">
      <c r="A5400" s="1">
        <v>5779.0</v>
      </c>
      <c r="B5400" s="3" t="s">
        <v>5159</v>
      </c>
      <c r="C5400" s="3" t="str">
        <f>IFERROR(__xludf.DUMMYFUNCTION("GOOGLETRANSLATE(B5400,""id"",""en"")"),"['pulse', 'sucked', 'mea', 'use', 'wifi', 'contact', 'email', 'application', 'telkomsel', 'pulse', 'truncated', 'loss',' customer', '']")</f>
        <v>['pulse', 'sucked', 'mea', 'use', 'wifi', 'contact', 'email', 'application', 'telkomsel', 'pulse', 'truncated', 'loss',' customer', '']</v>
      </c>
      <c r="D5400" s="3">
        <v>1.0</v>
      </c>
    </row>
    <row r="5401" ht="15.75" customHeight="1">
      <c r="A5401" s="1">
        <v>5780.0</v>
      </c>
      <c r="B5401" s="3" t="s">
        <v>5160</v>
      </c>
      <c r="C5401" s="3" t="str">
        <f>IFERROR(__xludf.DUMMYFUNCTION("GOOGLETRANSLATE(B5401,""id"",""en"")"),"['Sound', 'Disgueness', 'Ten', 'Tong', 'Teng', 'Ngeapain', 'Features', 'Welcome']")</f>
        <v>['Sound', 'Disgueness', 'Ten', 'Tong', 'Teng', 'Ngeapain', 'Features', 'Welcome']</v>
      </c>
      <c r="D5401" s="3">
        <v>2.0</v>
      </c>
    </row>
    <row r="5402" ht="15.75" customHeight="1">
      <c r="A5402" s="1">
        <v>5781.0</v>
      </c>
      <c r="B5402" s="3" t="s">
        <v>5161</v>
      </c>
      <c r="C5402" s="3" t="str">
        <f>IFERROR(__xludf.DUMMYFUNCTION("GOOGLETRANSLATE(B5402,""id"",""en"")"),"['Success', 'Starin', 'Sebuian', 'lots']")</f>
        <v>['Success', 'Starin', 'Sebuian', 'lots']</v>
      </c>
      <c r="D5402" s="3">
        <v>2.0</v>
      </c>
    </row>
    <row r="5403" ht="15.75" customHeight="1">
      <c r="A5403" s="1">
        <v>5782.0</v>
      </c>
      <c r="B5403" s="3" t="s">
        <v>5162</v>
      </c>
      <c r="C5403" s="3" t="str">
        <f>IFERROR(__xludf.DUMMYFUNCTION("GOOGLETRANSLATE(B5403,""id"",""en"")"),"['The application', 'gini', 'gini', 'doank', 'update', 'development', 'signal', 'sympathy', 'severe', 'tower', 'right', 'dead', ' Lights', 'signal', 'bad', 'signal', '']")</f>
        <v>['The application', 'gini', 'gini', 'doank', 'update', 'development', 'signal', 'sympathy', 'severe', 'tower', 'right', 'dead', ' Lights', 'signal', 'bad', 'signal', '']</v>
      </c>
      <c r="D5403" s="3">
        <v>2.0</v>
      </c>
    </row>
    <row r="5404" ht="15.75" customHeight="1">
      <c r="A5404" s="1">
        <v>5783.0</v>
      </c>
      <c r="B5404" s="3" t="s">
        <v>154</v>
      </c>
      <c r="C5404" s="3" t="str">
        <f>IFERROR(__xludf.DUMMYFUNCTION("GOOGLETRANSLATE(B5404,""id"",""en"")"),"['satisfying']")</f>
        <v>['satisfying']</v>
      </c>
      <c r="D5404" s="3">
        <v>5.0</v>
      </c>
    </row>
    <row r="5405" ht="15.75" customHeight="1">
      <c r="A5405" s="1">
        <v>5784.0</v>
      </c>
      <c r="B5405" s="3" t="s">
        <v>5163</v>
      </c>
      <c r="C5405" s="3" t="str">
        <f>IFERROR(__xludf.DUMMYFUNCTION("GOOGLETRANSLATE(B5405,""id"",""en"")"),"['Telkomsel', 'please', 'expanded', 'reach', 'signal', 'in the area', 'remote', 'just', 'bar', 'even', 'Mbps',' plus', ' Tower ',' BTS ']")</f>
        <v>['Telkomsel', 'please', 'expanded', 'reach', 'signal', 'in the area', 'remote', 'just', 'bar', 'even', 'Mbps',' plus', ' Tower ',' BTS ']</v>
      </c>
      <c r="D5405" s="3">
        <v>1.0</v>
      </c>
    </row>
    <row r="5406" ht="15.75" customHeight="1">
      <c r="A5406" s="1">
        <v>5785.0</v>
      </c>
      <c r="B5406" s="3" t="s">
        <v>5164</v>
      </c>
      <c r="C5406" s="3" t="str">
        <f>IFERROR(__xludf.DUMMYFUNCTION("GOOGLETRANSLATE(B5406,""id"",""en"")"),"['application', 'Sometimes', 'slow', 'error', 'back', 'hope', 'change', 'lbh']")</f>
        <v>['application', 'Sometimes', 'slow', 'error', 'back', 'hope', 'change', 'lbh']</v>
      </c>
      <c r="D5406" s="3">
        <v>3.0</v>
      </c>
    </row>
    <row r="5407" ht="15.75" customHeight="1">
      <c r="A5407" s="1">
        <v>5786.0</v>
      </c>
      <c r="B5407" s="3" t="s">
        <v>1465</v>
      </c>
      <c r="C5407" s="3" t="str">
        <f>IFERROR(__xludf.DUMMYFUNCTION("GOOGLETRANSLATE(B5407,""id"",""en"")"),"['APK', 'Good']")</f>
        <v>['APK', 'Good']</v>
      </c>
      <c r="D5407" s="3">
        <v>5.0</v>
      </c>
    </row>
    <row r="5408" ht="15.75" customHeight="1">
      <c r="A5408" s="1">
        <v>5787.0</v>
      </c>
      <c r="B5408" s="3" t="s">
        <v>5165</v>
      </c>
      <c r="C5408" s="3" t="str">
        <f>IFERROR(__xludf.DUMMYFUNCTION("GOOGLETRANSLATE(B5408,""id"",""en"")"),"['price', 'package', 'expensive', 'blockk', 'already', 'pandemic', 'decreases',' economy ',' price ',' package ',' data ',' was changed ',' enter']")</f>
        <v>['price', 'package', 'expensive', 'blockk', 'already', 'pandemic', 'decreases',' economy ',' price ',' package ',' data ',' was changed ',' enter']</v>
      </c>
      <c r="D5408" s="3">
        <v>1.0</v>
      </c>
    </row>
    <row r="5409" ht="15.75" customHeight="1">
      <c r="A5409" s="1">
        <v>5788.0</v>
      </c>
      <c r="B5409" s="3" t="s">
        <v>5166</v>
      </c>
      <c r="C5409" s="3" t="str">
        <f>IFERROR(__xludf.DUMMYFUNCTION("GOOGLETRANSLATE(B5409,""id"",""en"")"),"['Network', 'My place', 'Bad', 'Pol', 'Paketan', 'Removed', 'Service', 'Bengek', ""]")</f>
        <v>['Network', 'My place', 'Bad', 'Pol', 'Paketan', 'Removed', 'Service', 'Bengek', "]</v>
      </c>
      <c r="D5409" s="3">
        <v>1.0</v>
      </c>
    </row>
    <row r="5410" ht="15.75" customHeight="1">
      <c r="A5410" s="1">
        <v>5789.0</v>
      </c>
      <c r="B5410" s="3" t="s">
        <v>5167</v>
      </c>
      <c r="C5410" s="3" t="str">
        <f>IFERROR(__xludf.DUMMYFUNCTION("GOOGLETRANSLATE(B5410,""id"",""en"")"),"['Signal', 'smooth', 'village', 'TPI', 'package', 'data', 'price', 'Not bad', 'yaa', 'collapsed', 'price', 'package', ' Data ',' ']")</f>
        <v>['Signal', 'smooth', 'village', 'TPI', 'package', 'data', 'price', 'Not bad', 'yaa', 'collapsed', 'price', 'package', ' Data ',' ']</v>
      </c>
      <c r="D5410" s="3">
        <v>5.0</v>
      </c>
    </row>
    <row r="5411" ht="15.75" customHeight="1">
      <c r="A5411" s="1">
        <v>5791.0</v>
      </c>
      <c r="B5411" s="3" t="s">
        <v>5168</v>
      </c>
      <c r="C5411" s="3" t="str">
        <f>IFERROR(__xludf.DUMMYFUNCTION("GOOGLETRANSLATE(B5411,""id"",""en"")"),"['knapa', 'promo', 'package', 'game']")</f>
        <v>['knapa', 'promo', 'package', 'game']</v>
      </c>
      <c r="D5411" s="3">
        <v>3.0</v>
      </c>
    </row>
    <row r="5412" ht="15.75" customHeight="1">
      <c r="A5412" s="1">
        <v>5792.0</v>
      </c>
      <c r="B5412" s="3" t="s">
        <v>5169</v>
      </c>
      <c r="C5412" s="3" t="str">
        <f>IFERROR(__xludf.DUMMYFUNCTION("GOOGLETRANSLATE(B5412,""id"",""en"")"),"['Tuker', 'Points', 'Prizes', 'Made', 'Prizes']")</f>
        <v>['Tuker', 'Points', 'Prizes', 'Made', 'Prizes']</v>
      </c>
      <c r="D5412" s="3">
        <v>4.0</v>
      </c>
    </row>
    <row r="5413" ht="15.75" customHeight="1">
      <c r="A5413" s="1">
        <v>5793.0</v>
      </c>
      <c r="B5413" s="3" t="s">
        <v>5170</v>
      </c>
      <c r="C5413" s="3" t="str">
        <f>IFERROR(__xludf.DUMMYFUNCTION("GOOGLETRANSLATE(B5413,""id"",""en"")"),"['bad', 'support', 'mat', 'signal', 'ugly', 'really', 'pantes',' price ',' quota ',' bought ',' expensive ',' expensive ',' Mending ',' Support ',' Mat ',' Pantes', 'Network', 'Buriq', 'All', 'Customer', 'Disappointed', 'Hopefully', 'Fast', 'Bankrupt', """&amp;"]")</f>
        <v>['bad', 'support', 'mat', 'signal', 'ugly', 'really', 'pantes',' price ',' quota ',' bought ',' expensive ',' expensive ',' Mending ',' Support ',' Mat ',' Pantes', 'Network', 'Buriq', 'All', 'Customer', 'Disappointed', 'Hopefully', 'Fast', 'Bankrupt', "]</v>
      </c>
      <c r="D5413" s="3">
        <v>1.0</v>
      </c>
    </row>
    <row r="5414" ht="15.75" customHeight="1">
      <c r="A5414" s="1">
        <v>5794.0</v>
      </c>
      <c r="B5414" s="3" t="s">
        <v>5171</v>
      </c>
      <c r="C5414" s="3" t="str">
        <f>IFERROR(__xludf.DUMMYFUNCTION("GOOGLETRANSLATE(B5414,""id"",""en"")"),"['already', 'price', 'package', 'skrng', 'expensive', 'really', 'network', 'pound', 'bad', 'card', '']")</f>
        <v>['already', 'price', 'package', 'skrng', 'expensive', 'really', 'network', 'pound', 'bad', 'card', '']</v>
      </c>
      <c r="D5414" s="3">
        <v>1.0</v>
      </c>
    </row>
    <row r="5415" ht="15.75" customHeight="1">
      <c r="A5415" s="1">
        <v>5796.0</v>
      </c>
      <c r="B5415" s="3" t="s">
        <v>5172</v>
      </c>
      <c r="C5415" s="3" t="str">
        <f>IFERROR(__xludf.DUMMYFUNCTION("GOOGLETRANSLATE(B5415,""id"",""en"")"),"['family', '']")</f>
        <v>['family', '']</v>
      </c>
      <c r="D5415" s="3">
        <v>5.0</v>
      </c>
    </row>
    <row r="5416" ht="15.75" customHeight="1">
      <c r="A5416" s="1">
        <v>5797.0</v>
      </c>
      <c r="B5416" s="3" t="s">
        <v>5173</v>
      </c>
      <c r="C5416" s="3" t="str">
        <f>IFERROR(__xludf.DUMMYFUNCTION("GOOGLETRANSLATE(B5416,""id"",""en"")"),"['Overcome', 'Install', 'APK', 'Package', 'GB', 'Kudahkan', 'Lost', 'Gegara', 'Install', 'APK', 'Trap', 'APK', ' Missing ',' Package ',' Promo ',' GB ',' PDAH ',' SDAH ',' PACKAGE ',' PROMO ',' GB ',' Use ',' Trap ', ""]")</f>
        <v>['Overcome', 'Install', 'APK', 'Package', 'GB', 'Kudahkan', 'Lost', 'Gegara', 'Install', 'APK', 'Trap', 'APK', ' Missing ',' Package ',' Promo ',' GB ',' PDAH ',' SDAH ',' PACKAGE ',' PROMO ',' GB ',' Use ',' Trap ', "]</v>
      </c>
      <c r="D5416" s="3">
        <v>1.0</v>
      </c>
    </row>
    <row r="5417" ht="15.75" customHeight="1">
      <c r="A5417" s="1">
        <v>5798.0</v>
      </c>
      <c r="B5417" s="3" t="s">
        <v>5174</v>
      </c>
      <c r="C5417" s="3" t="str">
        <f>IFERROR(__xludf.DUMMYFUNCTION("GOOGLETRANSLATE(B5417,""id"",""en"")"),"['Signal', 'Telkomsel', 'Slow', 'Update', 'Application', 'Mutah', 'Try', 'Application', 'Telkomsel', 'Disturbance', 'Login', 'Login', ' reset ',' Download ']")</f>
        <v>['Signal', 'Telkomsel', 'Slow', 'Update', 'Application', 'Mutah', 'Try', 'Application', 'Telkomsel', 'Disturbance', 'Login', 'Login', ' reset ',' Download ']</v>
      </c>
      <c r="D5417" s="3">
        <v>2.0</v>
      </c>
    </row>
    <row r="5418" ht="15.75" customHeight="1">
      <c r="A5418" s="1">
        <v>5799.0</v>
      </c>
      <c r="B5418" s="3" t="s">
        <v>5175</v>
      </c>
      <c r="C5418" s="3" t="str">
        <f>IFERROR(__xludf.DUMMYFUNCTION("GOOGLETRANSLATE(B5418,""id"",""en"")"),"['Try', 'see', 'ending']")</f>
        <v>['Try', 'see', 'ending']</v>
      </c>
      <c r="D5418" s="3">
        <v>5.0</v>
      </c>
    </row>
    <row r="5419" ht="15.75" customHeight="1">
      <c r="A5419" s="1">
        <v>5800.0</v>
      </c>
      <c r="B5419" s="3" t="s">
        <v>5176</v>
      </c>
      <c r="C5419" s="3" t="str">
        <f>IFERROR(__xludf.DUMMYFUNCTION("GOOGLETRANSLATE(B5419,""id"",""en"")"),"['Okay', 'Telkomsell']")</f>
        <v>['Okay', 'Telkomsell']</v>
      </c>
      <c r="D5419" s="3">
        <v>5.0</v>
      </c>
    </row>
    <row r="5420" ht="15.75" customHeight="1">
      <c r="A5420" s="1">
        <v>5801.0</v>
      </c>
      <c r="B5420" s="3" t="s">
        <v>5177</v>
      </c>
      <c r="C5420" s="3" t="str">
        <f>IFERROR(__xludf.DUMMYFUNCTION("GOOGLETRANSLATE(B5420,""id"",""en"")"),"['Credit', 'Reduced', 'Reasons',' Credit ',' Reduced ',' Take ',' Internet ',' Free ',' Daily ',' Check ',' Redeem ',' Use ',' Credit ',' redeem ', ""]")</f>
        <v>['Credit', 'Reduced', 'Reasons',' Credit ',' Reduced ',' Take ',' Internet ',' Free ',' Daily ',' Check ',' Redeem ',' Use ',' Credit ',' redeem ', "]</v>
      </c>
      <c r="D5420" s="3">
        <v>1.0</v>
      </c>
    </row>
    <row r="5421" ht="15.75" customHeight="1">
      <c r="A5421" s="1">
        <v>5803.0</v>
      </c>
      <c r="B5421" s="3" t="s">
        <v>5178</v>
      </c>
      <c r="C5421" s="3" t="str">
        <f>IFERROR(__xludf.DUMMYFUNCTION("GOOGLETRANSLATE(B5421,""id"",""en"")"),"['Good', 'item']")</f>
        <v>['Good', 'item']</v>
      </c>
      <c r="D5421" s="3">
        <v>5.0</v>
      </c>
    </row>
    <row r="5422" ht="15.75" customHeight="1">
      <c r="A5422" s="1">
        <v>5804.0</v>
      </c>
      <c r="B5422" s="3" t="s">
        <v>5179</v>
      </c>
      <c r="C5422" s="3" t="str">
        <f>IFERROR(__xludf.DUMMYFUNCTION("GOOGLETRANSLATE(B5422,""id"",""en"")"),"['package', 'expensive', 'package', 'cheap', 'save', 'package', 'cheriah', 'direct', 'missing', 'that's',' signal ',' Low ',' city']")</f>
        <v>['package', 'expensive', 'package', 'cheap', 'save', 'package', 'cheriah', 'direct', 'missing', 'that's',' signal ',' Low ',' city']</v>
      </c>
      <c r="D5422" s="3">
        <v>1.0</v>
      </c>
    </row>
    <row r="5423" ht="15.75" customHeight="1">
      <c r="A5423" s="1">
        <v>5805.0</v>
      </c>
      <c r="B5423" s="3" t="s">
        <v>5180</v>
      </c>
      <c r="C5423" s="3" t="str">
        <f>IFERROR(__xludf.DUMMYFUNCTION("GOOGLETRANSLATE(B5423,""id"",""en"")"),"['buy', 'pulse', 'application', 'Telkomsel', 'payment', 'sitem', 'virtual', 'bank', 'pulse', 'enter', 'wrong', 'original', ' Dilapidated ',' system ',' payment ',' following ',' Step ',' Original ',' Disappointed ',' Sitem ',' Harm ']")</f>
        <v>['buy', 'pulse', 'application', 'Telkomsel', 'payment', 'sitem', 'virtual', 'bank', 'pulse', 'enter', 'wrong', 'original', ' Dilapidated ',' system ',' payment ',' following ',' Step ',' Original ',' Disappointed ',' Sitem ',' Harm ']</v>
      </c>
      <c r="D5423" s="3">
        <v>1.0</v>
      </c>
    </row>
    <row r="5424" ht="15.75" customHeight="1">
      <c r="A5424" s="1">
        <v>5806.0</v>
      </c>
      <c r="B5424" s="3" t="s">
        <v>5181</v>
      </c>
      <c r="C5424" s="3" t="str">
        <f>IFERROR(__xludf.DUMMYFUNCTION("GOOGLETRANSLATE(B5424,""id"",""en"")"),"['trimakasih', 'hope', 'best']")</f>
        <v>['trimakasih', 'hope', 'best']</v>
      </c>
      <c r="D5424" s="3">
        <v>5.0</v>
      </c>
    </row>
    <row r="5425" ht="15.75" customHeight="1">
      <c r="A5425" s="1">
        <v>5807.0</v>
      </c>
      <c r="B5425" s="3" t="s">
        <v>5182</v>
      </c>
      <c r="C5425" s="3" t="str">
        <f>IFERROR(__xludf.DUMMYFUNCTION("GOOGLETRANSLATE(B5425,""id"",""en"")"),"['Jeblok', 'signal']")</f>
        <v>['Jeblok', 'signal']</v>
      </c>
      <c r="D5425" s="3">
        <v>1.0</v>
      </c>
    </row>
    <row r="5426" ht="15.75" customHeight="1">
      <c r="A5426" s="1">
        <v>5808.0</v>
      </c>
      <c r="B5426" s="3" t="s">
        <v>5183</v>
      </c>
      <c r="C5426" s="3" t="str">
        <f>IFERROR(__xludf.DUMMYFUNCTION("GOOGLETRANSLATE(B5426,""id"",""en"")"),"['Application', 'Good', 'Skali', 'Bid', 'Cheap', 'Good', 'Skali', ""]")</f>
        <v>['Application', 'Good', 'Skali', 'Bid', 'Cheap', 'Good', 'Skali', "]</v>
      </c>
      <c r="D5426" s="3">
        <v>4.0</v>
      </c>
    </row>
    <row r="5427" ht="15.75" customHeight="1">
      <c r="A5427" s="1">
        <v>5809.0</v>
      </c>
      <c r="B5427" s="3" t="s">
        <v>5184</v>
      </c>
      <c r="C5427" s="3" t="str">
        <f>IFERROR(__xludf.DUMMYFUNCTION("GOOGLETRANSLATE(B5427,""id"",""en"")"),"['mantaap', 'the application']")</f>
        <v>['mantaap', 'the application']</v>
      </c>
      <c r="D5427" s="3">
        <v>5.0</v>
      </c>
    </row>
    <row r="5428" ht="15.75" customHeight="1">
      <c r="A5428" s="1">
        <v>5810.0</v>
      </c>
      <c r="B5428" s="3" t="s">
        <v>5185</v>
      </c>
      <c r="C5428" s="3" t="str">
        <f>IFERROR(__xludf.DUMMYFUNCTION("GOOGLETRANSLATE(B5428,""id"",""en"")"),"['Application', 'Telkomsel', 'steady']")</f>
        <v>['Application', 'Telkomsel', 'steady']</v>
      </c>
      <c r="D5428" s="3">
        <v>5.0</v>
      </c>
    </row>
    <row r="5429" ht="15.75" customHeight="1">
      <c r="A5429" s="1">
        <v>5811.0</v>
      </c>
      <c r="B5429" s="3" t="s">
        <v>5186</v>
      </c>
      <c r="C5429" s="3" t="str">
        <f>IFERROR(__xludf.DUMMYFUNCTION("GOOGLETRANSLATE(B5429,""id"",""en"")"),"['disappointed', 'service', 'fed up', 'package', 'expensive', 'no', 'stable', 'stable']")</f>
        <v>['disappointed', 'service', 'fed up', 'package', 'expensive', 'no', 'stable', 'stable']</v>
      </c>
      <c r="D5429" s="3">
        <v>1.0</v>
      </c>
    </row>
    <row r="5430" ht="15.75" customHeight="1">
      <c r="A5430" s="1">
        <v>5812.0</v>
      </c>
      <c r="B5430" s="3" t="s">
        <v>8</v>
      </c>
      <c r="C5430" s="3" t="str">
        <f>IFERROR(__xludf.DUMMYFUNCTION("GOOGLETRANSLATE(B5430,""id"",""en"")"),"['application']")</f>
        <v>['application']</v>
      </c>
      <c r="D5430" s="3">
        <v>5.0</v>
      </c>
    </row>
    <row r="5431" ht="15.75" customHeight="1">
      <c r="A5431" s="1">
        <v>5813.0</v>
      </c>
      <c r="B5431" s="3" t="s">
        <v>5187</v>
      </c>
      <c r="C5431" s="3" t="str">
        <f>IFERROR(__xludf.DUMMYFUNCTION("GOOGLETRANSLATE(B5431,""id"",""en"")"),"['like', 'complaining', 'people', 'thanks',' loud ',' connect ',' family ',' friend ',' yes', 'yaa', 'Naturally', 'human', ' Sometimes', 'smooth', 'sometimes',' yaa ',' Naturally ',' usually ',' complain ',' grateful ',' usually ',' ngeluh ',' doang ',' g"&amp;"egara ',' network ' , 'Error', 'Direct', 'Love', 'Rate', 'ugly', 'Noobs', ""]")</f>
        <v>['like', 'complaining', 'people', 'thanks',' loud ',' connect ',' family ',' friend ',' yes', 'yaa', 'Naturally', 'human', ' Sometimes', 'smooth', 'sometimes',' yaa ',' Naturally ',' usually ',' complain ',' grateful ',' usually ',' ngeluh ',' doang ',' gegara ',' network ' , 'Error', 'Direct', 'Love', 'Rate', 'ugly', 'Noobs', "]</v>
      </c>
      <c r="D5431" s="3">
        <v>5.0</v>
      </c>
    </row>
    <row r="5432" ht="15.75" customHeight="1">
      <c r="A5432" s="1">
        <v>5814.0</v>
      </c>
      <c r="B5432" s="3" t="s">
        <v>5188</v>
      </c>
      <c r="C5432" s="3" t="str">
        <f>IFERROR(__xludf.DUMMYFUNCTION("GOOGLETRANSLATE(B5432,""id"",""en"")"),"['Please', 'System', 'Points',' Telkomsel ',' Klow ',' Exchange ',' Package ',' Data ',' Cut ',' Credit ',' Points', 'Exchange', ' quota ',' hrs', 'use', 'money', 'pulse', '']")</f>
        <v>['Please', 'System', 'Points',' Telkomsel ',' Klow ',' Exchange ',' Package ',' Data ',' Cut ',' Credit ',' Points', 'Exchange', ' quota ',' hrs', 'use', 'money', 'pulse', '']</v>
      </c>
      <c r="D5432" s="3">
        <v>5.0</v>
      </c>
    </row>
    <row r="5433" ht="15.75" customHeight="1">
      <c r="A5433" s="1">
        <v>5815.0</v>
      </c>
      <c r="B5433" s="3" t="s">
        <v>5189</v>
      </c>
      <c r="C5433" s="3" t="str">
        <f>IFERROR(__xludf.DUMMYFUNCTION("GOOGLETRANSLATE(B5433,""id"",""en"")"),"['The network', 'ugly', 'Season', 'Pakenya', ""]")</f>
        <v>['The network', 'ugly', 'Season', 'Pakenya', "]</v>
      </c>
      <c r="D5433" s="3">
        <v>1.0</v>
      </c>
    </row>
    <row r="5434" ht="15.75" customHeight="1">
      <c r="A5434" s="1">
        <v>5816.0</v>
      </c>
      <c r="B5434" s="3" t="s">
        <v>5190</v>
      </c>
      <c r="C5434" s="3" t="str">
        <f>IFERROR(__xludf.DUMMYFUNCTION("GOOGLETRANSLATE(B5434,""id"",""en"")"),"['signal', 'Increase', 'error', 'use']")</f>
        <v>['signal', 'Increase', 'error', 'use']</v>
      </c>
      <c r="D5434" s="3">
        <v>2.0</v>
      </c>
    </row>
    <row r="5435" ht="15.75" customHeight="1">
      <c r="A5435" s="1">
        <v>5817.0</v>
      </c>
      <c r="B5435" s="3" t="s">
        <v>5191</v>
      </c>
      <c r="C5435" s="3" t="str">
        <f>IFERROR(__xludf.DUMMYFUNCTION("GOOGLETRANSLATE(B5435,""id"",""en"")"),"['like', 'application', 'easy', 'check', 'quota', 'buy', 'package', 'Sakti', '']")</f>
        <v>['like', 'application', 'easy', 'check', 'quota', 'buy', 'package', 'Sakti', '']</v>
      </c>
      <c r="D5435" s="3">
        <v>5.0</v>
      </c>
    </row>
    <row r="5436" ht="15.75" customHeight="1">
      <c r="A5436" s="1">
        <v>5818.0</v>
      </c>
      <c r="B5436" s="3" t="s">
        <v>5192</v>
      </c>
      <c r="C5436" s="3" t="str">
        <f>IFERROR(__xludf.DUMMYFUNCTION("GOOGLETRANSLATE(B5436,""id"",""en"")"),"['price', 'already', 'process', 'fast']")</f>
        <v>['price', 'already', 'process', 'fast']</v>
      </c>
      <c r="D5436" s="3">
        <v>5.0</v>
      </c>
    </row>
    <row r="5437" ht="15.75" customHeight="1">
      <c r="A5437" s="1">
        <v>5819.0</v>
      </c>
      <c r="B5437" s="3" t="s">
        <v>5193</v>
      </c>
      <c r="C5437" s="3" t="str">
        <f>IFERROR(__xludf.DUMMYFUNCTION("GOOGLETRANSLATE(B5437,""id"",""en"")"),"['good, good']")</f>
        <v>['good, good']</v>
      </c>
      <c r="D5437" s="3">
        <v>5.0</v>
      </c>
    </row>
    <row r="5438" ht="15.75" customHeight="1">
      <c r="A5438" s="1">
        <v>5820.0</v>
      </c>
      <c r="B5438" s="3" t="s">
        <v>5194</v>
      </c>
      <c r="C5438" s="3" t="str">
        <f>IFERROR(__xludf.DUMMYFUNCTION("GOOGLETRANSLATE(B5438,""id"",""en"")"),"['makes it easy', 'customer']")</f>
        <v>['makes it easy', 'customer']</v>
      </c>
      <c r="D5438" s="3">
        <v>5.0</v>
      </c>
    </row>
    <row r="5439" ht="15.75" customHeight="1">
      <c r="A5439" s="1">
        <v>5821.0</v>
      </c>
      <c r="B5439" s="3" t="s">
        <v>5195</v>
      </c>
      <c r="C5439" s="3" t="str">
        <f>IFERROR(__xludf.DUMMYFUNCTION("GOOGLETRANSLATE(B5439,""id"",""en"")"),"['Please', 'please', 'repaired', 'use', 'quota', 'sgt', 'detrimental', 'experience', 'buy', 'package', 'education', 'zoom', ' use ',' zoom ',' apply ',' used ',' quota ',' main ',' loss', 'times',' buy ',' package ',' night ',' used ',' quota ' , 'main', "&amp;"'clock', 'morning', 'suggestion', 'features', 'choose', 'quota', 'have', 'type', 'quota', ""]")</f>
        <v>['Please', 'please', 'repaired', 'use', 'quota', 'sgt', 'detrimental', 'experience', 'buy', 'package', 'education', 'zoom', ' use ',' zoom ',' apply ',' used ',' quota ',' main ',' loss', 'times',' buy ',' package ',' night ',' used ',' quota ' , 'main', 'clock', 'morning', 'suggestion', 'features', 'choose', 'quota', 'have', 'type', 'quota', "]</v>
      </c>
      <c r="D5439" s="3">
        <v>1.0</v>
      </c>
    </row>
    <row r="5440" ht="15.75" customHeight="1">
      <c r="A5440" s="1">
        <v>5822.0</v>
      </c>
      <c r="B5440" s="3" t="s">
        <v>5196</v>
      </c>
      <c r="C5440" s="3" t="str">
        <f>IFERROR(__xludf.DUMMYFUNCTION("GOOGLETRANSLATE(B5440,""id"",""en"")"),"['Ngerti', 'APK', 'complaints',' pulse ',' Sumpot ',' Gara ',' Gara ',' quota ',' Out ',' Belom ',' repair ',' Mending ',' Notif ',' quota ',' run out ',' notification ',' first ',' pulse ',' sumps', 'notif', 'quota', 'run out', 'ngeeselin', 'suck', 'puls"&amp;"es' , 'quota', 'oath', 'needs',' card ',' Telkomsel ',' I ',' already ',' moved ',' provider ',' package ',' expensive ',' servicenya ',' bad', '']")</f>
        <v>['Ngerti', 'APK', 'complaints',' pulse ',' Sumpot ',' Gara ',' Gara ',' quota ',' Out ',' Belom ',' repair ',' Mending ',' Notif ',' quota ',' run out ',' notification ',' first ',' pulse ',' sumps', 'notif', 'quota', 'run out', 'ngeeselin', 'suck', 'pulses' , 'quota', 'oath', 'needs',' card ',' Telkomsel ',' I ',' already ',' moved ',' provider ',' package ',' expensive ',' servicenya ',' bad', '']</v>
      </c>
      <c r="D5440" s="3">
        <v>1.0</v>
      </c>
    </row>
    <row r="5441" ht="15.75" customHeight="1">
      <c r="A5441" s="1">
        <v>5823.0</v>
      </c>
      <c r="B5441" s="3" t="s">
        <v>5197</v>
      </c>
      <c r="C5441" s="3" t="str">
        <f>IFERROR(__xludf.DUMMYFUNCTION("GOOGLETRANSLATE(B5441,""id"",""en"")"),"['Daily', 'check', 'gift', 'quota', 'active', 'already', 'since' migration ',' Telkomsel ',' hello ']")</f>
        <v>['Daily', 'check', 'gift', 'quota', 'active', 'already', 'since' migration ',' Telkomsel ',' hello ']</v>
      </c>
      <c r="D5441" s="3">
        <v>3.0</v>
      </c>
    </row>
    <row r="5442" ht="15.75" customHeight="1">
      <c r="A5442" s="1">
        <v>5824.0</v>
      </c>
      <c r="B5442" s="3" t="s">
        <v>5198</v>
      </c>
      <c r="C5442" s="3" t="str">
        <f>IFERROR(__xludf.DUMMYFUNCTION("GOOGLETRANSLATE(B5442,""id"",""en"")"),"['petrified', 'check', ""]")</f>
        <v>['petrified', 'check', "]</v>
      </c>
      <c r="D5442" s="3">
        <v>5.0</v>
      </c>
    </row>
    <row r="5443" ht="15.75" customHeight="1">
      <c r="A5443" s="1">
        <v>5825.0</v>
      </c>
      <c r="B5443" s="3" t="s">
        <v>5199</v>
      </c>
      <c r="C5443" s="3" t="str">
        <f>IFERROR(__xludf.DUMMYFUNCTION("GOOGLETRANSLATE(B5443,""id"",""en"")"),"['Package', 'Telfon', 'expensive', 'package', 'Internet', 'expensive', 'Network', 'Severe']")</f>
        <v>['Package', 'Telfon', 'expensive', 'package', 'Internet', 'expensive', 'Network', 'Severe']</v>
      </c>
      <c r="D5443" s="3">
        <v>1.0</v>
      </c>
    </row>
    <row r="5444" ht="15.75" customHeight="1">
      <c r="A5444" s="1">
        <v>5826.0</v>
      </c>
      <c r="B5444" s="3" t="s">
        <v>5200</v>
      </c>
      <c r="C5444" s="3" t="str">
        <f>IFERROR(__xludf.DUMMYFUNCTION("GOOGLETRANSLATE(B5444,""id"",""en"")"),"['Fix', 'signal']")</f>
        <v>['Fix', 'signal']</v>
      </c>
      <c r="D5444" s="3">
        <v>4.0</v>
      </c>
    </row>
    <row r="5445" ht="15.75" customHeight="1">
      <c r="A5445" s="1">
        <v>5827.0</v>
      </c>
      <c r="B5445" s="3" t="s">
        <v>5201</v>
      </c>
      <c r="C5445" s="3" t="str">
        <f>IFERROR(__xludf.DUMMYFUNCTION("GOOGLETRANSLATE(B5445,""id"",""en"")"),"['Dear', 'Telkomsel', 'pulses', 'run out', 'used', '']")</f>
        <v>['Dear', 'Telkomsel', 'pulses', 'run out', 'used', '']</v>
      </c>
      <c r="D5445" s="3">
        <v>1.0</v>
      </c>
    </row>
    <row r="5446" ht="15.75" customHeight="1">
      <c r="A5446" s="1">
        <v>5828.0</v>
      </c>
      <c r="B5446" s="3" t="s">
        <v>5202</v>
      </c>
      <c r="C5446" s="3" t="str">
        <f>IFERROR(__xludf.DUMMYFUNCTION("GOOGLETRANSLATE(B5446,""id"",""en"")"),"['Application', 'Easy', 'DSN']")</f>
        <v>['Application', 'Easy', 'DSN']</v>
      </c>
      <c r="D5446" s="3">
        <v>5.0</v>
      </c>
    </row>
    <row r="5447" ht="15.75" customHeight="1">
      <c r="A5447" s="1">
        <v>5829.0</v>
      </c>
      <c r="B5447" s="3" t="s">
        <v>3025</v>
      </c>
      <c r="C5447" s="3" t="str">
        <f>IFERROR(__xludf.DUMMYFUNCTION("GOOGLETRANSLATE(B5447,""id"",""en"")"),"['experience']")</f>
        <v>['experience']</v>
      </c>
      <c r="D5447" s="3">
        <v>1.0</v>
      </c>
    </row>
    <row r="5448" ht="15.75" customHeight="1">
      <c r="A5448" s="1">
        <v>5831.0</v>
      </c>
      <c r="B5448" s="3" t="s">
        <v>5203</v>
      </c>
      <c r="C5448" s="3" t="str">
        <f>IFERROR(__xludf.DUMMYFUNCTION("GOOGLETRANSLATE(B5448,""id"",""en"")"),"['steady', 'process', 'fast', '']")</f>
        <v>['steady', 'process', 'fast', '']</v>
      </c>
      <c r="D5448" s="3">
        <v>5.0</v>
      </c>
    </row>
    <row r="5449" ht="15.75" customHeight="1">
      <c r="A5449" s="1">
        <v>5832.0</v>
      </c>
      <c r="B5449" s="3" t="s">
        <v>2917</v>
      </c>
      <c r="C5449" s="3" t="str">
        <f>IFERROR(__xludf.DUMMYFUNCTION("GOOGLETRANSLATE(B5449,""id"",""en"")"),"['Good', 'user', 'Telkomsel']")</f>
        <v>['Good', 'user', 'Telkomsel']</v>
      </c>
      <c r="D5449" s="3">
        <v>4.0</v>
      </c>
    </row>
    <row r="5450" ht="15.75" customHeight="1">
      <c r="A5450" s="1">
        <v>5833.0</v>
      </c>
      <c r="B5450" s="3" t="s">
        <v>5204</v>
      </c>
      <c r="C5450" s="3" t="str">
        <f>IFERROR(__xludf.DUMMYFUNCTION("GOOGLETRANSLATE(B5450,""id"",""en"")"),"['confused', 'Telkomsel', 'fill', 'quota', 'clock', 'make sure', 'quota', 'active', 'use', 'quota', 'reduced', 'pulse', ' Decreases', 'how', 'pulse', 'leftover', 'used', 'vain', 'vain', 'quota', 'whole', ""]")</f>
        <v>['confused', 'Telkomsel', 'fill', 'quota', 'clock', 'make sure', 'quota', 'active', 'use', 'quota', 'reduced', 'pulse', ' Decreases', 'how', 'pulse', 'leftover', 'used', 'vain', 'vain', 'quota', 'whole', "]</v>
      </c>
      <c r="D5450" s="3">
        <v>2.0</v>
      </c>
    </row>
    <row r="5451" ht="15.75" customHeight="1">
      <c r="A5451" s="1">
        <v>5834.0</v>
      </c>
      <c r="B5451" s="3" t="s">
        <v>5205</v>
      </c>
      <c r="C5451" s="3" t="str">
        <f>IFERROR(__xludf.DUMMYFUNCTION("GOOGLETRANSLATE(B5451,""id"",""en"")"),"['Love', 'Bintang', 'Try', 'Application']")</f>
        <v>['Love', 'Bintang', 'Try', 'Application']</v>
      </c>
      <c r="D5451" s="3">
        <v>3.0</v>
      </c>
    </row>
    <row r="5452" ht="15.75" customHeight="1">
      <c r="A5452" s="1">
        <v>5836.0</v>
      </c>
      <c r="B5452" s="3" t="s">
        <v>5206</v>
      </c>
      <c r="C5452" s="3" t="str">
        <f>IFERROR(__xludf.DUMMYFUNCTION("GOOGLETRANSLATE(B5452,""id"",""en"")"),"['Good', 'Telkomsel', 'easy', 'buy', 'need', 'pket', 'data', 'according to', '']")</f>
        <v>['Good', 'Telkomsel', 'easy', 'buy', 'need', 'pket', 'data', 'according to', '']</v>
      </c>
      <c r="D5452" s="3">
        <v>5.0</v>
      </c>
    </row>
    <row r="5453" ht="15.75" customHeight="1">
      <c r="A5453" s="1">
        <v>5837.0</v>
      </c>
      <c r="B5453" s="3" t="s">
        <v>5207</v>
      </c>
      <c r="C5453" s="3" t="str">
        <f>IFERROR(__xludf.DUMMYFUNCTION("GOOGLETRANSLATE(B5453,""id"",""en"")"),"['Telkomsel', 'times',' signal ',' in the area ',' sometimes', 'brosing', 'room', 'please', 'enhanced', 'height', 'Telkomsel', 'belongs',' Public ',' Good ',' ']")</f>
        <v>['Telkomsel', 'times',' signal ',' in the area ',' sometimes', 'brosing', 'room', 'please', 'enhanced', 'height', 'Telkomsel', 'belongs',' Public ',' Good ',' ']</v>
      </c>
      <c r="D5453" s="3">
        <v>3.0</v>
      </c>
    </row>
    <row r="5454" ht="15.75" customHeight="1">
      <c r="A5454" s="1">
        <v>5838.0</v>
      </c>
      <c r="B5454" s="3" t="s">
        <v>5208</v>
      </c>
      <c r="C5454" s="3" t="str">
        <f>IFERROR(__xludf.DUMMYFUNCTION("GOOGLETRANSLATE(B5454,""id"",""en"")"),"['application', 'good', 'bangettttt', '']")</f>
        <v>['application', 'good', 'bangettttt', '']</v>
      </c>
      <c r="D5454" s="3">
        <v>4.0</v>
      </c>
    </row>
    <row r="5455" ht="15.75" customHeight="1">
      <c r="A5455" s="1">
        <v>5839.0</v>
      </c>
      <c r="B5455" s="3" t="s">
        <v>5209</v>
      </c>
      <c r="C5455" s="3" t="str">
        <f>IFERROR(__xludf.DUMMYFUNCTION("GOOGLETRANSLATE(B5455,""id"",""en"")"),"['MyTelkomsel', 'no' sgguh ',' sgat ',' best ', ""]")</f>
        <v>['MyTelkomsel', 'no' sgguh ',' sgat ',' best ', "]</v>
      </c>
      <c r="D5455" s="3">
        <v>5.0</v>
      </c>
    </row>
    <row r="5456" ht="15.75" customHeight="1">
      <c r="A5456" s="1">
        <v>5840.0</v>
      </c>
      <c r="B5456" s="3" t="s">
        <v>5210</v>
      </c>
      <c r="C5456" s="3" t="str">
        <f>IFERROR(__xludf.DUMMYFUNCTION("GOOGLETRANSLATE(B5456,""id"",""en"")"),"['Piha', 'Telkomsel', 'Data', 'Results', 'Check', 'Enter', 'Claims', 'Credit', 'Cut']")</f>
        <v>['Piha', 'Telkomsel', 'Data', 'Results', 'Check', 'Enter', 'Claims', 'Credit', 'Cut']</v>
      </c>
      <c r="D5456" s="3">
        <v>1.0</v>
      </c>
    </row>
    <row r="5457" ht="15.75" customHeight="1">
      <c r="A5457" s="1">
        <v>5841.0</v>
      </c>
      <c r="B5457" s="3" t="s">
        <v>5211</v>
      </c>
      <c r="C5457" s="3" t="str">
        <f>IFERROR(__xludf.DUMMYFUNCTION("GOOGLETRANSLATE(B5457,""id"",""en"")"),"['expensive', 'package']")</f>
        <v>['expensive', 'package']</v>
      </c>
      <c r="D5457" s="3">
        <v>3.0</v>
      </c>
    </row>
    <row r="5458" ht="15.75" customHeight="1">
      <c r="A5458" s="1">
        <v>5842.0</v>
      </c>
      <c r="B5458" s="3" t="s">
        <v>5212</v>
      </c>
      <c r="C5458" s="3" t="str">
        <f>IFERROR(__xludf.DUMMYFUNCTION("GOOGLETRANSLATE(B5458,""id"",""en"")"),"['Where', 'Network', 'Where', 'Tariff', 'Telkomsel', 'Expensive', 'Star', 'Network', 'Satisfied', 'Price', 'Toll', 'Tlpn', ' Internet ']")</f>
        <v>['Where', 'Network', 'Where', 'Tariff', 'Telkomsel', 'Expensive', 'Star', 'Network', 'Satisfied', 'Price', 'Toll', 'Tlpn', ' Internet ']</v>
      </c>
      <c r="D5458" s="3">
        <v>4.0</v>
      </c>
    </row>
    <row r="5459" ht="15.75" customHeight="1">
      <c r="A5459" s="1">
        <v>5843.0</v>
      </c>
      <c r="B5459" s="3" t="s">
        <v>4033</v>
      </c>
      <c r="C5459" s="3" t="str">
        <f>IFERROR(__xludf.DUMMYFUNCTION("GOOGLETRANSLATE(B5459,""id"",""en"")"),"['Help', 'thank', 'love']")</f>
        <v>['Help', 'thank', 'love']</v>
      </c>
      <c r="D5459" s="3">
        <v>5.0</v>
      </c>
    </row>
    <row r="5460" ht="15.75" customHeight="1">
      <c r="A5460" s="1">
        <v>5844.0</v>
      </c>
      <c r="B5460" s="3" t="s">
        <v>5213</v>
      </c>
      <c r="C5460" s="3" t="str">
        <f>IFERROR(__xludf.DUMMYFUNCTION("GOOGLETRANSLATE(B5460,""id"",""en"")"),"['steady', 'information', 'gift', 'bonus', 'just', 'basically', 'innovation', 'lose', 'vendor', 'spirit', ""]")</f>
        <v>['steady', 'information', 'gift', 'bonus', 'just', 'basically', 'innovation', 'lose', 'vendor', 'spirit', "]</v>
      </c>
      <c r="D5460" s="3">
        <v>4.0</v>
      </c>
    </row>
    <row r="5461" ht="15.75" customHeight="1">
      <c r="A5461" s="1">
        <v>5845.0</v>
      </c>
      <c r="B5461" s="3" t="s">
        <v>5214</v>
      </c>
      <c r="C5461" s="3" t="str">
        <f>IFERROR(__xludf.DUMMYFUNCTION("GOOGLETRANSLATE(B5461,""id"",""en"")"),"['Opportunity', 'Direct', '']")</f>
        <v>['Opportunity', 'Direct', '']</v>
      </c>
      <c r="D5461" s="3">
        <v>5.0</v>
      </c>
    </row>
    <row r="5462" ht="15.75" customHeight="1">
      <c r="A5462" s="1">
        <v>5846.0</v>
      </c>
      <c r="B5462" s="3" t="s">
        <v>5215</v>
      </c>
      <c r="C5462" s="3" t="str">
        <f>IFERROR(__xludf.DUMMYFUNCTION("GOOGLETRANSLATE(B5462,""id"",""en"")"),"['siip', 'The info']")</f>
        <v>['siip', 'The info']</v>
      </c>
      <c r="D5462" s="3">
        <v>5.0</v>
      </c>
    </row>
    <row r="5463" ht="15.75" customHeight="1">
      <c r="A5463" s="1">
        <v>5847.0</v>
      </c>
      <c r="B5463" s="3" t="s">
        <v>2459</v>
      </c>
      <c r="C5463" s="3" t="str">
        <f>IFERROR(__xludf.DUMMYFUNCTION("GOOGLETRANSLATE(B5463,""id"",""en"")"),"['Increase', ""]")</f>
        <v>['Increase', "]</v>
      </c>
      <c r="D5463" s="3">
        <v>3.0</v>
      </c>
    </row>
    <row r="5464" ht="15.75" customHeight="1">
      <c r="A5464" s="1">
        <v>5848.0</v>
      </c>
      <c r="B5464" s="3" t="s">
        <v>5216</v>
      </c>
      <c r="C5464" s="3" t="str">
        <f>IFERROR(__xludf.DUMMYFUNCTION("GOOGLETRANSLATE(B5464,""id"",""en"")"),"['Quality', 'Network', 'Bad']")</f>
        <v>['Quality', 'Network', 'Bad']</v>
      </c>
      <c r="D5464" s="3">
        <v>1.0</v>
      </c>
    </row>
    <row r="5465" ht="15.75" customHeight="1">
      <c r="A5465" s="1">
        <v>5849.0</v>
      </c>
      <c r="B5465" s="3" t="s">
        <v>5217</v>
      </c>
      <c r="C5465" s="3" t="str">
        <f>IFERROR(__xludf.DUMMYFUNCTION("GOOGLETRANSLATE(B5465,""id"",""en"")"),"['Thank you', 'Telkomsel', 'Love', 'Nnti', 'Prizes', 'Nyusul', 'Click', 'Pull']")</f>
        <v>['Thank you', 'Telkomsel', 'Love', 'Nnti', 'Prizes', 'Nyusul', 'Click', 'Pull']</v>
      </c>
      <c r="D5465" s="3">
        <v>4.0</v>
      </c>
    </row>
    <row r="5466" ht="15.75" customHeight="1">
      <c r="A5466" s="1">
        <v>5850.0</v>
      </c>
      <c r="B5466" s="3" t="s">
        <v>5218</v>
      </c>
      <c r="C5466" s="3" t="str">
        <f>IFERROR(__xludf.DUMMYFUNCTION("GOOGLETRANSLATE(B5466,""id"",""en"")"),"['Telkomsel', 'airs', 'Telkomsel', 'no', ""]")</f>
        <v>['Telkomsel', 'airs', 'Telkomsel', 'no', "]</v>
      </c>
      <c r="D5466" s="3">
        <v>5.0</v>
      </c>
    </row>
    <row r="5467" ht="15.75" customHeight="1">
      <c r="A5467" s="1">
        <v>5851.0</v>
      </c>
      <c r="B5467" s="3" t="s">
        <v>5219</v>
      </c>
      <c r="C5467" s="3" t="str">
        <f>IFERROR(__xludf.DUMMYFUNCTION("GOOGLETRANSLATE(B5467,""id"",""en"")"),"['Out', 'Kouta', 'buy', 'package', 'DIPK', 'Telkm', 'forget', 'Menon', 'Activate', 'Data', 'cellular', 'pulses',' run out ',' cut ',' purchase ',' package ',' data ',' ']")</f>
        <v>['Out', 'Kouta', 'buy', 'package', 'DIPK', 'Telkm', 'forget', 'Menon', 'Activate', 'Data', 'cellular', 'pulses',' run out ',' cut ',' purchase ',' package ',' data ',' ']</v>
      </c>
      <c r="D5467" s="3">
        <v>3.0</v>
      </c>
    </row>
    <row r="5468" ht="15.75" customHeight="1">
      <c r="A5468" s="1">
        <v>5852.0</v>
      </c>
      <c r="B5468" s="3" t="s">
        <v>5220</v>
      </c>
      <c r="C5468" s="3" t="str">
        <f>IFERROR(__xludf.DUMMYFUNCTION("GOOGLETRANSLATE(B5468,""id"",""en"")"),"['Network', 'Telkomsel', 'Good', '']")</f>
        <v>['Network', 'Telkomsel', 'Good', '']</v>
      </c>
      <c r="D5468" s="3">
        <v>4.0</v>
      </c>
    </row>
    <row r="5469" ht="15.75" customHeight="1">
      <c r="A5469" s="1">
        <v>5853.0</v>
      </c>
      <c r="B5469" s="3" t="s">
        <v>5221</v>
      </c>
      <c r="C5469" s="3" t="str">
        <f>IFERROR(__xludf.DUMMYFUNCTION("GOOGLETRANSLATE(B5469,""id"",""en"")"),"['Try', 'buy', 'quota', 'APK', 'payment', 'shopeepay', 'pay', 'notification', 'process',' failed ',' then ',' gmna ',' ']")</f>
        <v>['Try', 'buy', 'quota', 'APK', 'payment', 'shopeepay', 'pay', 'notification', 'process',' failed ',' then ',' gmna ',' ']</v>
      </c>
      <c r="D5469" s="3">
        <v>1.0</v>
      </c>
    </row>
    <row r="5470" ht="15.75" customHeight="1">
      <c r="A5470" s="1">
        <v>5854.0</v>
      </c>
      <c r="B5470" s="3" t="s">
        <v>5222</v>
      </c>
      <c r="C5470" s="3" t="str">
        <f>IFERROR(__xludf.DUMMYFUNCTION("GOOGLETRANSLATE(B5470,""id"",""en"")"),"['Telkomsel', 'Dihati']")</f>
        <v>['Telkomsel', 'Dihati']</v>
      </c>
      <c r="D5470" s="3">
        <v>5.0</v>
      </c>
    </row>
    <row r="5471" ht="15.75" customHeight="1">
      <c r="A5471" s="1">
        <v>5855.0</v>
      </c>
      <c r="B5471" s="3" t="s">
        <v>5223</v>
      </c>
      <c r="C5471" s="3" t="str">
        <f>IFERROR(__xludf.DUMMYFUNCTION("GOOGLETRANSLATE(B5471,""id"",""en"")"),"['quality', 'network', 'bad', 'expensive', 'doang', 'signal', 'ugly', 'city', 'forest']")</f>
        <v>['quality', 'network', 'bad', 'expensive', 'doang', 'signal', 'ugly', 'city', 'forest']</v>
      </c>
      <c r="D5471" s="3">
        <v>1.0</v>
      </c>
    </row>
    <row r="5472" ht="15.75" customHeight="1">
      <c r="A5472" s="1">
        <v>5856.0</v>
      </c>
      <c r="B5472" s="3" t="s">
        <v>5224</v>
      </c>
      <c r="C5472" s="3" t="str">
        <f>IFERROR(__xludf.DUMMYFUNCTION("GOOGLETRANSLATE(B5472,""id"",""en"")"),"['Okay', 'really', 'the speed ""]")</f>
        <v>['Okay', 'really', 'the speed "]</v>
      </c>
      <c r="D5472" s="3">
        <v>4.0</v>
      </c>
    </row>
    <row r="5473" ht="15.75" customHeight="1">
      <c r="A5473" s="1">
        <v>5857.0</v>
      </c>
      <c r="B5473" s="3" t="s">
        <v>5225</v>
      </c>
      <c r="C5473" s="3" t="str">
        <f>IFERROR(__xludf.DUMMYFUNCTION("GOOGLETRANSLATE(B5473,""id"",""en"")"),"['Telkomsel', 'data', 'secret', 'hope', 'access', 'operator', 'note', 'mid', '']")</f>
        <v>['Telkomsel', 'data', 'secret', 'hope', 'access', 'operator', 'note', 'mid', '']</v>
      </c>
      <c r="D5473" s="3">
        <v>2.0</v>
      </c>
    </row>
    <row r="5474" ht="15.75" customHeight="1">
      <c r="A5474" s="1">
        <v>5858.0</v>
      </c>
      <c r="B5474" s="3" t="s">
        <v>5226</v>
      </c>
      <c r="C5474" s="3" t="str">
        <f>IFERROR(__xludf.DUMMYFUNCTION("GOOGLETRANSLATE(B5474,""id"",""en"")"),"['How', 'Points', 'Get', 'Lottery', 'Voucher', 'JT']")</f>
        <v>['How', 'Points', 'Get', 'Lottery', 'Voucher', 'JT']</v>
      </c>
      <c r="D5474" s="3">
        <v>1.0</v>
      </c>
    </row>
    <row r="5475" ht="15.75" customHeight="1">
      <c r="A5475" s="1">
        <v>5859.0</v>
      </c>
      <c r="B5475" s="3" t="s">
        <v>5227</v>
      </c>
      <c r="C5475" s="3" t="str">
        <f>IFERROR(__xludf.DUMMYFUNCTION("GOOGLETRANSLATE(B5475,""id"",""en"")"),"['need', 'good', 'help', ""]")</f>
        <v>['need', 'good', 'help', "]</v>
      </c>
      <c r="D5475" s="3">
        <v>5.0</v>
      </c>
    </row>
    <row r="5476" ht="15.75" customHeight="1">
      <c r="A5476" s="1">
        <v>5860.0</v>
      </c>
      <c r="B5476" s="3" t="s">
        <v>5228</v>
      </c>
      <c r="C5476" s="3" t="str">
        <f>IFERROR(__xludf.DUMMYFUNCTION("GOOGLETRANSLATE(B5476,""id"",""en"")"),"['Open', 'Application', 'WiFi', 'Traffic', 'Upload', 'Download', 'Compared', 'Straight', 'Indeed', 'Data', 'Telkomsel', 'Upload', ' Take ',' Heart ',' Heart ',' Potential ',' Theft ',' Data ',' Guys', '']")</f>
        <v>['Open', 'Application', 'WiFi', 'Traffic', 'Upload', 'Download', 'Compared', 'Straight', 'Indeed', 'Data', 'Telkomsel', 'Upload', ' Take ',' Heart ',' Heart ',' Potential ',' Theft ',' Data ',' Guys', '']</v>
      </c>
      <c r="D5476" s="3">
        <v>1.0</v>
      </c>
    </row>
    <row r="5477" ht="15.75" customHeight="1">
      <c r="A5477" s="1">
        <v>5861.0</v>
      </c>
      <c r="B5477" s="3" t="s">
        <v>1993</v>
      </c>
      <c r="C5477" s="3" t="str">
        <f>IFERROR(__xludf.DUMMYFUNCTION("GOOGLETRANSLATE(B5477,""id"",""en"")"),"['It's easier for', 'users']")</f>
        <v>['It's easier for', 'users']</v>
      </c>
      <c r="D5477" s="3">
        <v>5.0</v>
      </c>
    </row>
    <row r="5478" ht="15.75" customHeight="1">
      <c r="A5478" s="1">
        <v>5862.0</v>
      </c>
      <c r="B5478" s="3" t="s">
        <v>137</v>
      </c>
      <c r="C5478" s="3" t="str">
        <f>IFERROR(__xludf.DUMMYFUNCTION("GOOGLETRANSLATE(B5478,""id"",""en"")"),"Of course")</f>
        <v>Of course</v>
      </c>
      <c r="D5478" s="3">
        <v>5.0</v>
      </c>
    </row>
    <row r="5479" ht="15.75" customHeight="1">
      <c r="A5479" s="1">
        <v>5863.0</v>
      </c>
      <c r="B5479" s="3" t="s">
        <v>5229</v>
      </c>
      <c r="C5479" s="3" t="str">
        <f>IFERROR(__xludf.DUMMYFUNCTION("GOOGLETRANSLATE(B5479,""id"",""en"")"),"['Application', 'Telkomsel', 'JDI', 'Karuan', 'Buy', 'Credit', 'Payment', 'Via', 'SMS', 'Banking', 'Success',' Credit ',' Enter ',' Telkomsel ']")</f>
        <v>['Application', 'Telkomsel', 'JDI', 'Karuan', 'Buy', 'Credit', 'Payment', 'Via', 'SMS', 'Banking', 'Success',' Credit ',' Enter ',' Telkomsel ']</v>
      </c>
      <c r="D5479" s="3">
        <v>3.0</v>
      </c>
    </row>
    <row r="5480" ht="15.75" customHeight="1">
      <c r="A5480" s="1">
        <v>5864.0</v>
      </c>
      <c r="B5480" s="3" t="s">
        <v>5230</v>
      </c>
      <c r="C5480" s="3" t="str">
        <f>IFERROR(__xludf.DUMMYFUNCTION("GOOGLETRANSLATE(B5480,""id"",""en"")"),"['Sometimes', 'good', 'sometimes', 'no', '']")</f>
        <v>['Sometimes', 'good', 'sometimes', 'no', '']</v>
      </c>
      <c r="D5480" s="3">
        <v>2.0</v>
      </c>
    </row>
    <row r="5481" ht="15.75" customHeight="1">
      <c r="A5481" s="1">
        <v>5865.0</v>
      </c>
      <c r="B5481" s="3" t="s">
        <v>5231</v>
      </c>
      <c r="C5481" s="3" t="str">
        <f>IFERROR(__xludf.DUMMYFUNCTION("GOOGLETRANSLATE(B5481,""id"",""en"")"),"['Profitable']")</f>
        <v>['Profitable']</v>
      </c>
      <c r="D5481" s="3">
        <v>5.0</v>
      </c>
    </row>
    <row r="5482" ht="15.75" customHeight="1">
      <c r="A5482" s="1">
        <v>5866.0</v>
      </c>
      <c r="B5482" s="3" t="s">
        <v>5232</v>
      </c>
      <c r="C5482" s="3" t="str">
        <f>IFERROR(__xludf.DUMMYFUNCTION("GOOGLETRANSLATE(B5482,""id"",""en"")"),"['Satisfied', 'Comfortable', 'Easy', 'Make', 'Package', 'Quota', 'Credit', 'Telkomsel']")</f>
        <v>['Satisfied', 'Comfortable', 'Easy', 'Make', 'Package', 'Quota', 'Credit', 'Telkomsel']</v>
      </c>
      <c r="D5482" s="3">
        <v>5.0</v>
      </c>
    </row>
    <row r="5483" ht="15.75" customHeight="1">
      <c r="A5483" s="1">
        <v>5867.0</v>
      </c>
      <c r="B5483" s="3" t="s">
        <v>5233</v>
      </c>
      <c r="C5483" s="3" t="str">
        <f>IFERROR(__xludf.DUMMYFUNCTION("GOOGLETRANSLATE(B5483,""id"",""en"")"),"['What's', 'TELKOMSEX', 'Inet', 'Illang', 'Ngilance', 'Mulu', 'pig']")</f>
        <v>['What's', 'TELKOMSEX', 'Inet', 'Illang', 'Ngilance', 'Mulu', 'pig']</v>
      </c>
      <c r="D5483" s="3">
        <v>1.0</v>
      </c>
    </row>
    <row r="5484" ht="15.75" customHeight="1">
      <c r="A5484" s="1">
        <v>5868.0</v>
      </c>
      <c r="B5484" s="3" t="s">
        <v>5234</v>
      </c>
      <c r="C5484" s="3" t="str">
        <f>IFERROR(__xludf.DUMMYFUNCTION("GOOGLETRANSLATE(B5484,""id"",""en"")"),"['Reach', 'broad', '']")</f>
        <v>['Reach', 'broad', '']</v>
      </c>
      <c r="D5484" s="3">
        <v>5.0</v>
      </c>
    </row>
    <row r="5485" ht="15.75" customHeight="1">
      <c r="A5485" s="1">
        <v>5869.0</v>
      </c>
      <c r="B5485" s="3" t="s">
        <v>5235</v>
      </c>
      <c r="C5485" s="3" t="str">
        <f>IFERROR(__xludf.DUMMYFUNCTION("GOOGLETRANSLATE(B5485,""id"",""en"")"),"['Increases', 'Service', 'Star', 'Increase']")</f>
        <v>['Increases', 'Service', 'Star', 'Increase']</v>
      </c>
      <c r="D5485" s="3">
        <v>4.0</v>
      </c>
    </row>
    <row r="5486" ht="15.75" customHeight="1">
      <c r="A5486" s="1">
        <v>5870.0</v>
      </c>
      <c r="B5486" s="3" t="s">
        <v>5236</v>
      </c>
      <c r="C5486" s="3" t="str">
        <f>IFERROR(__xludf.DUMMYFUNCTION("GOOGLETRANSLATE(B5486,""id"",""en"")"),"['Telkomsel', 'steady', 'signal', '']")</f>
        <v>['Telkomsel', 'steady', 'signal', '']</v>
      </c>
      <c r="D5486" s="3">
        <v>5.0</v>
      </c>
    </row>
    <row r="5487" ht="15.75" customHeight="1">
      <c r="A5487" s="1">
        <v>5871.0</v>
      </c>
      <c r="B5487" s="3" t="s">
        <v>5237</v>
      </c>
      <c r="C5487" s="3" t="str">
        <f>IFERROR(__xludf.DUMMYFUNCTION("GOOGLETRANSLATE(B5487,""id"",""en"")"),"['Afraid', 'Promo', 'Different', 'Operator', '']")</f>
        <v>['Afraid', 'Promo', 'Different', 'Operator', '']</v>
      </c>
      <c r="D5487" s="3">
        <v>3.0</v>
      </c>
    </row>
    <row r="5488" ht="15.75" customHeight="1">
      <c r="A5488" s="1">
        <v>5872.0</v>
      </c>
      <c r="B5488" s="3" t="s">
        <v>5238</v>
      </c>
      <c r="C5488" s="3" t="str">
        <f>IFERROR(__xludf.DUMMYFUNCTION("GOOGLETRANSLATE(B5488,""id"",""en"")"),"['quota', 'watch', 'save', 'gabisa', 'dipake', 'anjirr', 'bought']")</f>
        <v>['quota', 'watch', 'save', 'gabisa', 'dipake', 'anjirr', 'bought']</v>
      </c>
      <c r="D5488" s="3">
        <v>1.0</v>
      </c>
    </row>
    <row r="5489" ht="15.75" customHeight="1">
      <c r="A5489" s="1">
        <v>5873.0</v>
      </c>
      <c r="B5489" s="3" t="s">
        <v>5239</v>
      </c>
      <c r="C5489" s="3" t="str">
        <f>IFERROR(__xludf.DUMMYFUNCTION("GOOGLETRANSLATE(B5489,""id"",""en"")"),"['Star', 'service', 'credit', 'truncated', 'answer', 'got', 'cost', 'GPRS', 'funny', 'package', 'data', 'off', ' GPRS ',' pulses', 'logic', 'use', 'byu', 'orbit', 'Telkomsel', 'use', 'wifi', 'data', 'off', 'number' , 'pulses', 'Sumpot', 'Kalai', 'Corn', '"&amp;"GPRS', 'number', 'ilang', 'pulses']")</f>
        <v>['Star', 'service', 'credit', 'truncated', 'answer', 'got', 'cost', 'GPRS', 'funny', 'package', 'data', 'off', ' GPRS ',' pulses', 'logic', 'use', 'byu', 'orbit', 'Telkomsel', 'use', 'wifi', 'data', 'off', 'number' , 'pulses', 'Sumpot', 'Kalai', 'Corn', 'GPRS', 'number', 'ilang', 'pulses']</v>
      </c>
      <c r="D5489" s="3">
        <v>1.0</v>
      </c>
    </row>
    <row r="5490" ht="15.75" customHeight="1">
      <c r="A5490" s="1">
        <v>5874.0</v>
      </c>
      <c r="B5490" s="3" t="s">
        <v>5240</v>
      </c>
      <c r="C5490" s="3" t="str">
        <f>IFERROR(__xludf.DUMMYFUNCTION("GOOGLETRANSLATE(B5490,""id"",""en"")"),"['love', 'rating', 'love', 'user', 'village', 'network', 'slow', 'package', 'expensive', 'according to', 'service', 'fresh', ' price']")</f>
        <v>['love', 'rating', 'love', 'user', 'village', 'network', 'slow', 'package', 'expensive', 'according to', 'service', 'fresh', ' price']</v>
      </c>
      <c r="D5490" s="3">
        <v>1.0</v>
      </c>
    </row>
    <row r="5491" ht="15.75" customHeight="1">
      <c r="A5491" s="1">
        <v>5875.0</v>
      </c>
      <c r="B5491" s="3" t="s">
        <v>5241</v>
      </c>
      <c r="C5491" s="3" t="str">
        <f>IFERROR(__xludf.DUMMYFUNCTION("GOOGLETRANSLATE(B5491,""id"",""en"")"),"['Telkomsel', 'Sinyal', 'Severe', 'Super', 'Lemotttt', 'Slogan', 'Signal', 'Strong', 'Changed', 'Quality', 'Signal', 'Worst', ' operator', '']")</f>
        <v>['Telkomsel', 'Sinyal', 'Severe', 'Super', 'Lemotttt', 'Slogan', 'Signal', 'Strong', 'Changed', 'Quality', 'Signal', 'Worst', ' operator', '']</v>
      </c>
      <c r="D5491" s="3">
        <v>1.0</v>
      </c>
    </row>
    <row r="5492" ht="15.75" customHeight="1">
      <c r="A5492" s="1">
        <v>5876.0</v>
      </c>
      <c r="B5492" s="3" t="s">
        <v>5242</v>
      </c>
      <c r="C5492" s="3" t="str">
        <f>IFERROR(__xludf.DUMMYFUNCTION("GOOGLETRANSLATE(B5492,""id"",""en"")"),"['quota', 'multimedia', 'unlimited', 'application', 'gapernah', '']")</f>
        <v>['quota', 'multimedia', 'unlimited', 'application', 'gapernah', '']</v>
      </c>
      <c r="D5492" s="3">
        <v>4.0</v>
      </c>
    </row>
    <row r="5493" ht="15.75" customHeight="1">
      <c r="A5493" s="1">
        <v>5877.0</v>
      </c>
      <c r="B5493" s="3" t="s">
        <v>5243</v>
      </c>
      <c r="C5493" s="3" t="str">
        <f>IFERROR(__xludf.DUMMYFUNCTION("GOOGLETRANSLATE(B5493,""id"",""en"")"),"['Ole', 'thank you']")</f>
        <v>['Ole', 'thank you']</v>
      </c>
      <c r="D5493" s="3">
        <v>5.0</v>
      </c>
    </row>
    <row r="5494" ht="15.75" customHeight="1">
      <c r="A5494" s="1">
        <v>5878.0</v>
      </c>
      <c r="B5494" s="3" t="s">
        <v>5244</v>
      </c>
      <c r="C5494" s="3" t="str">
        <f>IFERROR(__xludf.DUMMYFUNCTION("GOOGLETRANSLATE(B5494,""id"",""en"")"),"['Network', 'Bad', 'PDAH', 'Kota', 'Kota', 'Move', 'Telkomsel', 'Karna', 'Signal', 'Good', 'Rich', 'Star']")</f>
        <v>['Network', 'Bad', 'PDAH', 'Kota', 'Kota', 'Move', 'Telkomsel', 'Karna', 'Signal', 'Good', 'Rich', 'Star']</v>
      </c>
      <c r="D5494" s="3">
        <v>1.0</v>
      </c>
    </row>
    <row r="5495" ht="15.75" customHeight="1">
      <c r="A5495" s="1">
        <v>5879.0</v>
      </c>
      <c r="B5495" s="3" t="s">
        <v>5245</v>
      </c>
      <c r="C5495" s="3" t="str">
        <f>IFERROR(__xludf.DUMMYFUNCTION("GOOGLETRANSLATE(B5495,""id"",""en"")"),"['Telkomsel', 'severe', 'klw', 'rain', 'tissue', 'difficult', 'really', ""]")</f>
        <v>['Telkomsel', 'severe', 'klw', 'rain', 'tissue', 'difficult', 'really', "]</v>
      </c>
      <c r="D5495" s="3">
        <v>1.0</v>
      </c>
    </row>
    <row r="5496" ht="15.75" customHeight="1">
      <c r="A5496" s="1">
        <v>5880.0</v>
      </c>
      <c r="B5496" s="3" t="s">
        <v>5246</v>
      </c>
      <c r="C5496" s="3" t="str">
        <f>IFERROR(__xludf.DUMMYFUNCTION("GOOGLETRANSLATE(B5496,""id"",""en"")"),"['signal', 'ugly', 'affordable', 'area', 'area', 'urban', 'undi', 'hepi', 'win', 'really', 'kah', '']")</f>
        <v>['signal', 'ugly', 'affordable', 'area', 'area', 'urban', 'undi', 'hepi', 'win', 'really', 'kah', '']</v>
      </c>
      <c r="D5496" s="3">
        <v>1.0</v>
      </c>
    </row>
    <row r="5497" ht="15.75" customHeight="1">
      <c r="A5497" s="1">
        <v>5881.0</v>
      </c>
      <c r="B5497" s="3" t="s">
        <v>5247</v>
      </c>
      <c r="C5497" s="3" t="str">
        <f>IFERROR(__xludf.DUMMYFUNCTION("GOOGLETRANSLATE(B5497,""id"",""en"")"),"['area', 'Deepest', 'Telkomsel', 'Tetep', 'reach']")</f>
        <v>['area', 'Deepest', 'Telkomsel', 'Tetep', 'reach']</v>
      </c>
      <c r="D5497" s="3">
        <v>5.0</v>
      </c>
    </row>
    <row r="5498" ht="15.75" customHeight="1">
      <c r="A5498" s="1">
        <v>5882.0</v>
      </c>
      <c r="B5498" s="3" t="s">
        <v>5248</v>
      </c>
      <c r="C5498" s="3" t="str">
        <f>IFERROR(__xludf.DUMMYFUNCTION("GOOGLETRANSLATE(B5498,""id"",""en"")"),"['choice', 'package', '']")</f>
        <v>['choice', 'package', '']</v>
      </c>
      <c r="D5498" s="3">
        <v>1.0</v>
      </c>
    </row>
    <row r="5499" ht="15.75" customHeight="1">
      <c r="A5499" s="1">
        <v>5883.0</v>
      </c>
      <c r="B5499" s="3" t="s">
        <v>5249</v>
      </c>
      <c r="C5499" s="3" t="str">
        <f>IFERROR(__xludf.DUMMYFUNCTION("GOOGLETRANSLATE(B5499,""id"",""en"")"),"['Suggestion', 'Addin', 'Features', 'Key', 'Pulse', 'AXIS', 'Kouta', 'Internet', 'Safe', 'Credit', ""]")</f>
        <v>['Suggestion', 'Addin', 'Features', 'Key', 'Pulse', 'AXIS', 'Kouta', 'Internet', 'Safe', 'Credit', "]</v>
      </c>
      <c r="D5499" s="3">
        <v>2.0</v>
      </c>
    </row>
    <row r="5500" ht="15.75" customHeight="1">
      <c r="A5500" s="1">
        <v>5884.0</v>
      </c>
      <c r="B5500" s="3" t="s">
        <v>4609</v>
      </c>
      <c r="C5500" s="3" t="str">
        <f>IFERROR(__xludf.DUMMYFUNCTION("GOOGLETRANSLATE(B5500,""id"",""en"")"),"['Practical', 'easy']")</f>
        <v>['Practical', 'easy']</v>
      </c>
      <c r="D5500" s="3">
        <v>4.0</v>
      </c>
    </row>
    <row r="5501" ht="15.75" customHeight="1">
      <c r="A5501" s="1">
        <v>5885.0</v>
      </c>
      <c r="B5501" s="3" t="s">
        <v>5250</v>
      </c>
      <c r="C5501" s="3" t="str">
        <f>IFERROR(__xludf.DUMMYFUNCTION("GOOGLETRANSLATE(B5501,""id"",""en"")"),"['sakarang', 'msuknya', '']")</f>
        <v>['sakarang', 'msuknya', '']</v>
      </c>
      <c r="D5501" s="3">
        <v>3.0</v>
      </c>
    </row>
    <row r="5502" ht="15.75" customHeight="1">
      <c r="A5502" s="1">
        <v>5886.0</v>
      </c>
      <c r="B5502" s="3" t="s">
        <v>5251</v>
      </c>
      <c r="C5502" s="3" t="str">
        <f>IFERROR(__xludf.DUMMYFUNCTION("GOOGLETRANSLATE(B5502,""id"",""en"")"),"['Good', 'application', 'makes it easy', 'monitor', 'quota', 'San', 'purchase', 'quota']")</f>
        <v>['Good', 'application', 'makes it easy', 'monitor', 'quota', 'San', 'purchase', 'quota']</v>
      </c>
      <c r="D5502" s="3">
        <v>5.0</v>
      </c>
    </row>
    <row r="5503" ht="15.75" customHeight="1">
      <c r="A5503" s="1">
        <v>5887.0</v>
      </c>
      <c r="B5503" s="3" t="s">
        <v>5252</v>
      </c>
      <c r="C5503" s="3" t="str">
        <f>IFERROR(__xludf.DUMMYFUNCTION("GOOGLETRANSLATE(B5503,""id"",""en"")"),"['Kouta', 'multimedia', 'used', 'out', 'kouta', 'main', 'hey', 'boss',' person ',' likes', 'drakor', 'open', ' Application ',' ping ',' mechanical ',' data ',' decent ',' ']")</f>
        <v>['Kouta', 'multimedia', 'used', 'out', 'kouta', 'main', 'hey', 'boss',' person ',' likes', 'drakor', 'open', ' Application ',' ping ',' mechanical ',' data ',' decent ',' ']</v>
      </c>
      <c r="D5503" s="3">
        <v>1.0</v>
      </c>
    </row>
    <row r="5504" ht="15.75" customHeight="1">
      <c r="A5504" s="1">
        <v>5888.0</v>
      </c>
      <c r="B5504" s="3" t="s">
        <v>5253</v>
      </c>
      <c r="C5504" s="3" t="str">
        <f>IFERROR(__xludf.DUMMYFUNCTION("GOOGLETRANSLATE(B5504,""id"",""en"")"),"['poor', 'SIK', 'sympathy', 'skarang', 'already', 'sympathy', 'udh', 'weak', 'skarang']")</f>
        <v>['poor', 'SIK', 'sympathy', 'skarang', 'already', 'sympathy', 'udh', 'weak', 'skarang']</v>
      </c>
      <c r="D5504" s="3">
        <v>1.0</v>
      </c>
    </row>
    <row r="5505" ht="15.75" customHeight="1">
      <c r="A5505" s="1">
        <v>5889.0</v>
      </c>
      <c r="B5505" s="3" t="s">
        <v>5254</v>
      </c>
      <c r="C5505" s="3" t="str">
        <f>IFERROR(__xludf.DUMMYFUNCTION("GOOGLETRANSLATE(B5505,""id"",""en"")"),"['gini', 'right', 'open', 'application', 'told', 'update', 'ngak', 'transact', 'difficult', 'signal', 'Telkomsel', 'lost', ' ']")</f>
        <v>['gini', 'right', 'open', 'application', 'told', 'update', 'ngak', 'transact', 'difficult', 'signal', 'Telkomsel', 'lost', ' ']</v>
      </c>
      <c r="D5505" s="3">
        <v>3.0</v>
      </c>
    </row>
    <row r="5506" ht="15.75" customHeight="1">
      <c r="A5506" s="1">
        <v>5890.0</v>
      </c>
      <c r="B5506" s="3" t="s">
        <v>5255</v>
      </c>
      <c r="C5506" s="3" t="str">
        <f>IFERROR(__xludf.DUMMYFUNCTION("GOOGLETRANSLATE(B5506,""id"",""en"")"),"['Please', 'Min', 'ACC', 'Help', 'Lock', 'Unlock', 'Plz', 'Cut', 'Internet', 'Package', 'Internet']")</f>
        <v>['Please', 'Min', 'ACC', 'Help', 'Lock', 'Unlock', 'Plz', 'Cut', 'Internet', 'Package', 'Internet']</v>
      </c>
      <c r="D5506" s="3">
        <v>3.0</v>
      </c>
    </row>
    <row r="5507" ht="15.75" customHeight="1">
      <c r="A5507" s="1">
        <v>5891.0</v>
      </c>
      <c r="B5507" s="3" t="s">
        <v>5256</v>
      </c>
      <c r="C5507" s="3" t="str">
        <f>IFERROR(__xludf.DUMMYFUNCTION("GOOGLETRANSLATE(B5507,""id"",""en"")"),"['knapa', 'renewal', 'package', 'mifi', 'play', 'sya', 'tdak', 'dquaim', 'please', 'love', 'solution', 'thank', ' love']")</f>
        <v>['knapa', 'renewal', 'package', 'mifi', 'play', 'sya', 'tdak', 'dquaim', 'please', 'love', 'solution', 'thank', ' love']</v>
      </c>
      <c r="D5507" s="3">
        <v>2.0</v>
      </c>
    </row>
    <row r="5508" ht="15.75" customHeight="1">
      <c r="A5508" s="1">
        <v>5892.0</v>
      </c>
      <c r="B5508" s="3" t="s">
        <v>5257</v>
      </c>
      <c r="C5508" s="3" t="str">
        <f>IFERROR(__xludf.DUMMYFUNCTION("GOOGLETRANSLATE(B5508,""id"",""en"")"),"['signal', 'broke', 'gajelas', 'detrimental', 'gamers', 'card', 'because' forced ',' rating ',' below ',' zero ',' cave ',' Kasi ',' Elu ',' Telkomsel ', ""]")</f>
        <v>['signal', 'broke', 'gajelas', 'detrimental', 'gamers', 'card', 'because' forced ',' rating ',' below ',' zero ',' cave ',' Kasi ',' Elu ',' Telkomsel ', "]</v>
      </c>
      <c r="D5508" s="3">
        <v>1.0</v>
      </c>
    </row>
    <row r="5509" ht="15.75" customHeight="1">
      <c r="A5509" s="1">
        <v>5893.0</v>
      </c>
      <c r="B5509" s="3" t="s">
        <v>5258</v>
      </c>
      <c r="C5509" s="3" t="str">
        <f>IFERROR(__xludf.DUMMYFUNCTION("GOOGLETRANSLATE(B5509,""id"",""en"")"),"['package', 'combo', 'saktinya', 'kayak', 'open', 'sosmed', 'youtube', 'calculated', 'quota', 'main', 'quota', 'multimedia', ' turn ',' quota ',' main ',' run out ',' sosmed ',' slow ',' quota ',' multimedian ']")</f>
        <v>['package', 'combo', 'saktinya', 'kayak', 'open', 'sosmed', 'youtube', 'calculated', 'quota', 'main', 'quota', 'multimedia', ' turn ',' quota ',' main ',' run out ',' sosmed ',' slow ',' quota ',' multimedian ']</v>
      </c>
      <c r="D5509" s="3">
        <v>1.0</v>
      </c>
    </row>
    <row r="5510" ht="15.75" customHeight="1">
      <c r="A5510" s="1">
        <v>5894.0</v>
      </c>
      <c r="B5510" s="3" t="s">
        <v>5259</v>
      </c>
      <c r="C5510" s="3" t="str">
        <f>IFERROR(__xludf.DUMMYFUNCTION("GOOGLETRANSLATE(B5510,""id"",""en"")"),"['Operator', 'greedy', 'package', 'internet', 'pulse', 'sucked', 'Come', 'Rame', 'Report', 'Application', 'click', 'point', ' right corner', '']")</f>
        <v>['Operator', 'greedy', 'package', 'internet', 'pulse', 'sucked', 'Come', 'Rame', 'Report', 'Application', 'click', 'point', ' right corner', '']</v>
      </c>
      <c r="D5510" s="3">
        <v>1.0</v>
      </c>
    </row>
    <row r="5511" ht="15.75" customHeight="1">
      <c r="A5511" s="1">
        <v>5895.0</v>
      </c>
      <c r="B5511" s="3" t="s">
        <v>5260</v>
      </c>
      <c r="C5511" s="3" t="str">
        <f>IFERROR(__xludf.DUMMYFUNCTION("GOOGLETRANSLATE(B5511,""id"",""en"")"),"['already', 'expensive', 'network', 'slow', 'nauzubillah']")</f>
        <v>['already', 'expensive', 'network', 'slow', 'nauzubillah']</v>
      </c>
      <c r="D5511" s="3">
        <v>1.0</v>
      </c>
    </row>
    <row r="5512" ht="15.75" customHeight="1">
      <c r="A5512" s="1">
        <v>5896.0</v>
      </c>
      <c r="B5512" s="3" t="s">
        <v>5261</v>
      </c>
      <c r="C5512" s="3" t="str">
        <f>IFERROR(__xludf.DUMMYFUNCTION("GOOGLETRANSLATE(B5512,""id"",""en"")"),"['quota', 'buy', 'expensive', 'signal', 'full', 'buffring', 'mulu', 'game', 'open', 'app', 'weak', 'mercy', ' Like ',' Keyel ',' here ',' Weak ',' Bet ',' Signal ',' Network ',' ']")</f>
        <v>['quota', 'buy', 'expensive', 'signal', 'full', 'buffring', 'mulu', 'game', 'open', 'app', 'weak', 'mercy', ' Like ',' Keyel ',' here ',' Weak ',' Bet ',' Signal ',' Network ',' ']</v>
      </c>
      <c r="D5512" s="3">
        <v>2.0</v>
      </c>
    </row>
    <row r="5513" ht="15.75" customHeight="1">
      <c r="A5513" s="1">
        <v>5897.0</v>
      </c>
      <c r="B5513" s="3" t="s">
        <v>5262</v>
      </c>
      <c r="C5513" s="3" t="str">
        <f>IFERROR(__xludf.DUMMYFUNCTION("GOOGLETRANSLATE(B5513,""id"",""en"")"),"['Signal', 'Telkomsel', 'Bad', 'streaming', 'YouTube', 'buffering', 'Season', '']")</f>
        <v>['Signal', 'Telkomsel', 'Bad', 'streaming', 'YouTube', 'buffering', 'Season', '']</v>
      </c>
      <c r="D5513" s="3">
        <v>1.0</v>
      </c>
    </row>
    <row r="5514" ht="15.75" customHeight="1">
      <c r="A5514" s="1">
        <v>5898.0</v>
      </c>
      <c r="B5514" s="3" t="s">
        <v>5263</v>
      </c>
      <c r="C5514" s="3" t="str">
        <f>IFERROR(__xludf.DUMMYFUNCTION("GOOGLETRANSLATE(B5514,""id"",""en"")"),"['Application', 'Mantul', 'Mantap']")</f>
        <v>['Application', 'Mantul', 'Mantap']</v>
      </c>
      <c r="D5514" s="3">
        <v>5.0</v>
      </c>
    </row>
    <row r="5515" ht="15.75" customHeight="1">
      <c r="A5515" s="1">
        <v>5899.0</v>
      </c>
      <c r="B5515" s="3" t="s">
        <v>5264</v>
      </c>
      <c r="C5515" s="3" t="str">
        <f>IFERROR(__xludf.DUMMYFUNCTION("GOOGLETRANSLATE(B5515,""id"",""en"")"),"['Ari', 'setiawan', 'application', 'makes it easier', 'purchase', 'quota', 'pulse', 'success',' bust ',' Telkomsel ',' easy ',' gift ',' DPT ',' ']")</f>
        <v>['Ari', 'setiawan', 'application', 'makes it easier', 'purchase', 'quota', 'pulse', 'success',' bust ',' Telkomsel ',' easy ',' gift ',' DPT ',' ']</v>
      </c>
      <c r="D5515" s="3">
        <v>5.0</v>
      </c>
    </row>
    <row r="5516" ht="15.75" customHeight="1">
      <c r="A5516" s="1">
        <v>5900.0</v>
      </c>
      <c r="B5516" s="3" t="s">
        <v>5265</v>
      </c>
      <c r="C5516" s="3" t="str">
        <f>IFERROR(__xludf.DUMMYFUNCTION("GOOGLETRANSLATE(B5516,""id"",""en"")"),"['Increases', 'The Network', '']")</f>
        <v>['Increases', 'The Network', '']</v>
      </c>
      <c r="D5516" s="3">
        <v>5.0</v>
      </c>
    </row>
    <row r="5517" ht="15.75" customHeight="1">
      <c r="A5517" s="1">
        <v>5901.0</v>
      </c>
      <c r="B5517" s="3" t="s">
        <v>5266</v>
      </c>
      <c r="C5517" s="3" t="str">
        <f>IFERROR(__xludf.DUMMYFUNCTION("GOOGLETRANSLATE(B5517,""id"",""en"")"),"['Log', 'out', 'and', 'enter', 'annoying', 'kya', 'bugs']")</f>
        <v>['Log', 'out', 'and', 'enter', 'annoying', 'kya', 'bugs']</v>
      </c>
      <c r="D5517" s="3">
        <v>2.0</v>
      </c>
    </row>
    <row r="5518" ht="15.75" customHeight="1">
      <c r="A5518" s="1">
        <v>5902.0</v>
      </c>
      <c r="B5518" s="3" t="s">
        <v>5267</v>
      </c>
      <c r="C5518" s="3" t="str">
        <f>IFERROR(__xludf.DUMMYFUNCTION("GOOGLETRANSLATE(B5518,""id"",""en"")"),"['Provider', 'maker', 'sin', 'Events', 'Games', 'Signal', 'Main', 'Games', 'Stable', 'Info', 'Edge', ""]")</f>
        <v>['Provider', 'maker', 'sin', 'Events', 'Games', 'Signal', 'Main', 'Games', 'Stable', 'Info', 'Edge', "]</v>
      </c>
      <c r="D5518" s="3">
        <v>1.0</v>
      </c>
    </row>
    <row r="5519" ht="15.75" customHeight="1">
      <c r="A5519" s="1">
        <v>5903.0</v>
      </c>
      <c r="B5519" s="3" t="s">
        <v>3923</v>
      </c>
      <c r="C5519" s="3" t="str">
        <f>IFERROR(__xludf.DUMMYFUNCTION("GOOGLETRANSLATE(B5519,""id"",""en"")"),"['easy', 'cheap']")</f>
        <v>['easy', 'cheap']</v>
      </c>
      <c r="D5519" s="3">
        <v>4.0</v>
      </c>
    </row>
    <row r="5520" ht="15.75" customHeight="1">
      <c r="A5520" s="1">
        <v>5904.0</v>
      </c>
      <c r="B5520" s="3" t="s">
        <v>5268</v>
      </c>
      <c r="C5520" s="3" t="str">
        <f>IFERROR(__xludf.DUMMYFUNCTION("GOOGLETRANSLATE(B5520,""id"",""en"")"),"['Please', 'Performed', 'Either', 'Network', 'Region', 'Weak', 'Jarigan', 'Telkom', 'Cell', 'Teuna', 'Telkom', 'Hoping', ' at least ',' Jarigan ',' Lemot ']")</f>
        <v>['Please', 'Performed', 'Either', 'Network', 'Region', 'Weak', 'Jarigan', 'Telkom', 'Cell', 'Teuna', 'Telkom', 'Hoping', ' at least ',' Jarigan ',' Lemot ']</v>
      </c>
      <c r="D5520" s="3">
        <v>3.0</v>
      </c>
    </row>
    <row r="5521" ht="15.75" customHeight="1">
      <c r="A5521" s="1">
        <v>5905.0</v>
      </c>
      <c r="B5521" s="3" t="s">
        <v>1664</v>
      </c>
      <c r="C5521" s="3" t="str">
        <f>IFERROR(__xludf.DUMMYFUNCTION("GOOGLETRANSLATE(B5521,""id"",""en"")"),"['Network', 'stable']")</f>
        <v>['Network', 'stable']</v>
      </c>
      <c r="D5521" s="3">
        <v>5.0</v>
      </c>
    </row>
    <row r="5522" ht="15.75" customHeight="1">
      <c r="A5522" s="1">
        <v>5906.0</v>
      </c>
      <c r="B5522" s="3" t="s">
        <v>5269</v>
      </c>
      <c r="C5522" s="3" t="str">
        <f>IFERROR(__xludf.DUMMYFUNCTION("GOOGLETRANSLATE(B5522,""id"",""en"")"),"['Come', 'stable', 'connection', 'disappointed']")</f>
        <v>['Come', 'stable', 'connection', 'disappointed']</v>
      </c>
      <c r="D5522" s="3">
        <v>1.0</v>
      </c>
    </row>
    <row r="5523" ht="15.75" customHeight="1">
      <c r="A5523" s="1">
        <v>5907.0</v>
      </c>
      <c r="B5523" s="3" t="s">
        <v>5270</v>
      </c>
      <c r="C5523" s="3" t="str">
        <f>IFERROR(__xludf.DUMMYFUNCTION("GOOGLETRANSLATE(B5523,""id"",""en"")"),"['Please', 'Region', 'Lampung', 'East', 'Kecamatan', 'Melinting', 'Village', 'Sumberhadi', 'Tower', 'Tower', 'Telkomsel', 'Sinyal', ' Kecang ',' Down ',' AFK ',' Main ',' Game ']")</f>
        <v>['Please', 'Region', 'Lampung', 'East', 'Kecamatan', 'Melinting', 'Village', 'Sumberhadi', 'Tower', 'Tower', 'Telkomsel', 'Sinyal', ' Kecang ',' Down ',' AFK ',' Main ',' Game ']</v>
      </c>
      <c r="D5523" s="3">
        <v>3.0</v>
      </c>
    </row>
    <row r="5524" ht="15.75" customHeight="1">
      <c r="A5524" s="1">
        <v>5908.0</v>
      </c>
      <c r="B5524" s="3" t="s">
        <v>5271</v>
      </c>
      <c r="C5524" s="3" t="str">
        <f>IFERROR(__xludf.DUMMYFUNCTION("GOOGLETRANSLATE(B5524,""id"",""en"")"),"['Disappointed', 'really', 'play', 'game', 'ping', 'jumping', 'Cape', 'cave', 'Rank', 'down', 'Gara', 'Gara', ' network', '']")</f>
        <v>['Disappointed', 'really', 'play', 'game', 'ping', 'jumping', 'Cape', 'cave', 'Rank', 'down', 'Gara', 'Gara', ' network', '']</v>
      </c>
      <c r="D5524" s="3">
        <v>1.0</v>
      </c>
    </row>
    <row r="5525" ht="15.75" customHeight="1">
      <c r="A5525" s="1">
        <v>5909.0</v>
      </c>
      <c r="B5525" s="3" t="s">
        <v>5272</v>
      </c>
      <c r="C5525" s="3" t="str">
        <f>IFERROR(__xludf.DUMMYFUNCTION("GOOGLETRANSLATE(B5525,""id"",""en"")"),"['Alah', 'Sia', 'Boy']")</f>
        <v>['Alah', 'Sia', 'Boy']</v>
      </c>
      <c r="D5525" s="3">
        <v>5.0</v>
      </c>
    </row>
    <row r="5526" ht="15.75" customHeight="1">
      <c r="A5526" s="1">
        <v>5910.0</v>
      </c>
      <c r="B5526" s="3" t="s">
        <v>5273</v>
      </c>
      <c r="C5526" s="3" t="str">
        <f>IFERROR(__xludf.DUMMYFUNCTION("GOOGLETRANSLATE(B5526,""id"",""en"")"),"['interesting', 'package']")</f>
        <v>['interesting', 'package']</v>
      </c>
      <c r="D5526" s="3">
        <v>1.0</v>
      </c>
    </row>
    <row r="5527" ht="15.75" customHeight="1">
      <c r="A5527" s="1">
        <v>5911.0</v>
      </c>
      <c r="B5527" s="3" t="s">
        <v>5274</v>
      </c>
      <c r="C5527" s="3" t="str">
        <f>IFERROR(__xludf.DUMMYFUNCTION("GOOGLETRANSLATE(B5527,""id"",""en"")"),"['Tea', 'Bandung', 'Baguz', 'Pizan', 'Application', 'Unfortunately', 'Tea', 'Like', 'Mun', 'Check', 'City', 'Tea', ' Punten ',' kang ',' teteh ',' naha ',' tea ',' gini ',' love ',' star ',' pretentious', ""]")</f>
        <v>['Tea', 'Bandung', 'Baguz', 'Pizan', 'Application', 'Unfortunately', 'Tea', 'Like', 'Mun', 'Check', 'City', 'Tea', ' Punten ',' kang ',' teteh ',' naha ',' tea ',' gini ',' love ',' star ',' pretentious', "]</v>
      </c>
      <c r="D5527" s="3">
        <v>5.0</v>
      </c>
    </row>
    <row r="5528" ht="15.75" customHeight="1">
      <c r="A5528" s="1">
        <v>5913.0</v>
      </c>
      <c r="B5528" s="3" t="s">
        <v>5275</v>
      </c>
      <c r="C5528" s="3" t="str">
        <f>IFERROR(__xludf.DUMMYFUNCTION("GOOGLETRANSLATE(B5528,""id"",""en"")"),"['Disappointed', 'Application', 'Telkomsel', 'Buy', 'Package', 'Expensive', 'Install', 'Application', 'Telkomsel', 'Install', 'Enter', 'Many' times', 'Try', 'Install', 'Disappointed', '']")</f>
        <v>['Disappointed', 'Application', 'Telkomsel', 'Buy', 'Package', 'Expensive', 'Install', 'Application', 'Telkomsel', 'Install', 'Enter', 'Many' times', 'Try', 'Install', 'Disappointed', '']</v>
      </c>
      <c r="D5528" s="3">
        <v>1.0</v>
      </c>
    </row>
    <row r="5529" ht="15.75" customHeight="1">
      <c r="A5529" s="1">
        <v>5914.0</v>
      </c>
      <c r="B5529" s="3" t="s">
        <v>5276</v>
      </c>
      <c r="C5529" s="3" t="str">
        <f>IFERROR(__xludf.DUMMYFUNCTION("GOOGLETRANSLATE(B5529,""id"",""en"")"),"['package', 'expensive', 'service', 'signal', 'stable', 'according to', 'loss', 'customer']")</f>
        <v>['package', 'expensive', 'service', 'signal', 'stable', 'according to', 'loss', 'customer']</v>
      </c>
      <c r="D5529" s="3">
        <v>1.0</v>
      </c>
    </row>
    <row r="5530" ht="15.75" customHeight="1">
      <c r="A5530" s="1">
        <v>5915.0</v>
      </c>
      <c r="B5530" s="3" t="s">
        <v>5277</v>
      </c>
      <c r="C5530" s="3" t="str">
        <f>IFERROR(__xludf.DUMMYFUNCTION("GOOGLETRANSLATE(B5530,""id"",""en"")"),"['quota', 'quota', 'main', 'run out', 'tnggal', 'multimedia', 'sma', 'degan', 'lie', 'network', 'slow', 'regret', ' Use ',' Telkomsel ',' Change ',' Card ']")</f>
        <v>['quota', 'quota', 'main', 'run out', 'tnggal', 'multimedia', 'sma', 'degan', 'lie', 'network', 'slow', 'regret', ' Use ',' Telkomsel ',' Change ',' Card ']</v>
      </c>
      <c r="D5530" s="3">
        <v>1.0</v>
      </c>
    </row>
    <row r="5531" ht="15.75" customHeight="1">
      <c r="A5531" s="1">
        <v>5916.0</v>
      </c>
      <c r="B5531" s="3" t="s">
        <v>5278</v>
      </c>
      <c r="C5531" s="3" t="str">
        <f>IFERROR(__xludf.DUMMYFUNCTION("GOOGLETRANSLATE(B5531,""id"",""en"")"),"['signal', 'Telkomsel', 'defective', 'play', 'game', 'ngelag', 'Mulu', 'severe']")</f>
        <v>['signal', 'Telkomsel', 'defective', 'play', 'game', 'ngelag', 'Mulu', 'severe']</v>
      </c>
      <c r="D5531" s="3">
        <v>1.0</v>
      </c>
    </row>
    <row r="5532" ht="15.75" customHeight="1">
      <c r="A5532" s="1">
        <v>5917.0</v>
      </c>
      <c r="B5532" s="3" t="s">
        <v>5279</v>
      </c>
      <c r="C5532" s="3" t="str">
        <f>IFERROR(__xludf.DUMMYFUNCTION("GOOGLETRANSLATE(B5532,""id"",""en"")"),"['Number', 'late', 'contents', 'pulse', 'pulse', 'hilanh', 'disabled', 'Telkomsel', 'activated']")</f>
        <v>['Number', 'late', 'contents', 'pulse', 'pulse', 'hilanh', 'disabled', 'Telkomsel', 'activated']</v>
      </c>
      <c r="D5532" s="3">
        <v>5.0</v>
      </c>
    </row>
    <row r="5533" ht="15.75" customHeight="1">
      <c r="A5533" s="1">
        <v>5918.0</v>
      </c>
      <c r="B5533" s="3" t="s">
        <v>5280</v>
      </c>
      <c r="C5533" s="3" t="str">
        <f>IFERROR(__xludf.DUMMYFUNCTION("GOOGLETRANSLATE(B5533,""id"",""en"")"),"['ugly', 'Bangat', 'skrg', 'signal', 'network', 'telkomsel', 'payaaah', 'kayak', 'lemooooooot', 'watch', 'yotube', 'use', ' Telkomsel ',' Watch ',' Emotion ',' Daraaah ',' Krna ',' Change ',' Provider ', ""]")</f>
        <v>['ugly', 'Bangat', 'skrg', 'signal', 'network', 'telkomsel', 'payaaah', 'kayak', 'lemooooooot', 'watch', 'yotube', 'use', ' Telkomsel ',' Watch ',' Emotion ',' Daraaah ',' Krna ',' Change ',' Provider ', "]</v>
      </c>
      <c r="D5533" s="3">
        <v>1.0</v>
      </c>
    </row>
    <row r="5534" ht="15.75" customHeight="1">
      <c r="A5534" s="1">
        <v>5919.0</v>
      </c>
      <c r="B5534" s="3" t="s">
        <v>5281</v>
      </c>
      <c r="C5534" s="3" t="str">
        <f>IFERROR(__xludf.DUMMYFUNCTION("GOOGLETRANSLATE(B5534,""id"",""en"")"),"['Thank you', 'Telkomsel', 'Thanks',' Package ',' GameSmax ',' Diamond ',' Credit ',' Score ',' Reduced ',' Enter ',' Gameplay ',' Gameplay ',' signal ',' red ',' recommended ',' really ',' deh ',' just ',' friend ',' stress', 'game', 'please', 'buy', 'pa"&amp;"ckage' , 'gamesmax', 'diamond', 'Telkomsel', 'gameplay', 'broken', 'signal', 'threat', 'dapet', 'diamond', 'wrong', 'congratulations',' enjoy ',' game ',' emotion ',' signal ',' waaah ']")</f>
        <v>['Thank you', 'Telkomsel', 'Thanks',' Package ',' GameSmax ',' Diamond ',' Credit ',' Score ',' Reduced ',' Enter ',' Gameplay ',' Gameplay ',' signal ',' red ',' recommended ',' really ',' deh ',' just ',' friend ',' stress', 'game', 'please', 'buy', 'package' , 'gamesmax', 'diamond', 'Telkomsel', 'gameplay', 'broken', 'signal', 'threat', 'dapet', 'diamond', 'wrong', 'congratulations',' enjoy ',' game ',' emotion ',' signal ',' waaah ']</v>
      </c>
      <c r="D5534" s="3">
        <v>2.0</v>
      </c>
    </row>
    <row r="5535" ht="15.75" customHeight="1">
      <c r="A5535" s="1">
        <v>5920.0</v>
      </c>
      <c r="B5535" s="3" t="s">
        <v>5282</v>
      </c>
      <c r="C5535" s="3" t="str">
        <f>IFERROR(__xludf.DUMMYFUNCTION("GOOGLETRANSLATE(B5535,""id"",""en"")"),"['signal', 'like', 'missing', 'already', 'buy', 'package', 'expensive', 'signal', 'slow', 'wind', 'a little', 'rain', ' little ',' signal ',' direct ',' slow ',' die ',' lights', 'signal', 'direct', 'missing', 'please', 'repair', 'regarding', 'convenience"&amp;"' , 'User', 'Pelangement', '']")</f>
        <v>['signal', 'like', 'missing', 'already', 'buy', 'package', 'expensive', 'signal', 'slow', 'wind', 'a little', 'rain', ' little ',' signal ',' direct ',' slow ',' die ',' lights', 'signal', 'direct', 'missing', 'please', 'repair', 'regarding', 'convenience' , 'User', 'Pelangement', '']</v>
      </c>
      <c r="D5535" s="3">
        <v>1.0</v>
      </c>
    </row>
    <row r="5536" ht="15.75" customHeight="1">
      <c r="A5536" s="1">
        <v>5921.0</v>
      </c>
      <c r="B5536" s="3" t="s">
        <v>5283</v>
      </c>
      <c r="C5536" s="3" t="str">
        <f>IFERROR(__xludf.DUMMYFUNCTION("GOOGLETRANSLATE(B5536,""id"",""en"")"),"['Disappointed', 'just', 'buy', 'pulse', 'credit', 'directly', 'run out', 'use', 'anything', 'detrimental', 'users',' Telkomsel ',' Please ',' fix ',' buy ',' pulse ',' run out ',' usage ',' anything ',' chat ',' customer ',' service ',' application ',' r"&amp;"esponse ',' response ' , 'chat', 'slow', 'signal', 'adequate', 'internet']")</f>
        <v>['Disappointed', 'just', 'buy', 'pulse', 'credit', 'directly', 'run out', 'use', 'anything', 'detrimental', 'users',' Telkomsel ',' Please ',' fix ',' buy ',' pulse ',' run out ',' usage ',' anything ',' chat ',' customer ',' service ',' application ',' response ',' response ' , 'chat', 'slow', 'signal', 'adequate', 'internet']</v>
      </c>
      <c r="D5536" s="3">
        <v>1.0</v>
      </c>
    </row>
    <row r="5537" ht="15.75" customHeight="1">
      <c r="A5537" s="1">
        <v>5922.0</v>
      </c>
      <c r="B5537" s="3" t="s">
        <v>5284</v>
      </c>
      <c r="C5537" s="3" t="str">
        <f>IFERROR(__xludf.DUMMYFUNCTION("GOOGLETRANSLATE(B5537,""id"",""en"")"),"['Bismillah', 'Hopefully', 'Helpful', 'Flash', '']")</f>
        <v>['Bismillah', 'Hopefully', 'Helpful', 'Flash', '']</v>
      </c>
      <c r="D5537" s="3">
        <v>5.0</v>
      </c>
    </row>
    <row r="5538" ht="15.75" customHeight="1">
      <c r="A5538" s="1">
        <v>5923.0</v>
      </c>
      <c r="B5538" s="3" t="s">
        <v>5285</v>
      </c>
      <c r="C5538" s="3" t="str">
        <f>IFERROR(__xludf.DUMMYFUNCTION("GOOGLETRANSLATE(B5538,""id"",""en"")"),"['min', 'please', 'update', 'latest', 'setting', 'lost', 'sound', 'opening', 'app', 'night', 'open', 'app', ' Auto ',' shocked ',' maxih ']")</f>
        <v>['min', 'please', 'update', 'latest', 'setting', 'lost', 'sound', 'opening', 'app', 'night', 'open', 'app', ' Auto ',' shocked ',' maxih ']</v>
      </c>
      <c r="D5538" s="3">
        <v>5.0</v>
      </c>
    </row>
    <row r="5539" ht="15.75" customHeight="1">
      <c r="A5539" s="1">
        <v>5924.0</v>
      </c>
      <c r="B5539" s="3" t="s">
        <v>5286</v>
      </c>
      <c r="C5539" s="3" t="str">
        <f>IFERROR(__xludf.DUMMYFUNCTION("GOOGLETRANSLATE(B5539,""id"",""en"")"),"['Love', 'Star', 'Rich', 'Gini', 'Application', 'Error', 'System']")</f>
        <v>['Love', 'Star', 'Rich', 'Gini', 'Application', 'Error', 'System']</v>
      </c>
      <c r="D5539" s="3">
        <v>1.0</v>
      </c>
    </row>
    <row r="5540" ht="15.75" customHeight="1">
      <c r="A5540" s="1">
        <v>5925.0</v>
      </c>
      <c r="B5540" s="3" t="s">
        <v>5287</v>
      </c>
      <c r="C5540" s="3" t="str">
        <f>IFERROR(__xludf.DUMMYFUNCTION("GOOGLETRANSLATE(B5540,""id"",""en"")"),"['Telkomsel', 'yes',' Telkomsel ',' name ',' Telkomtol ',' Aasuuu ',' right ',' steal ',' Lord ',' sudden ',' lag ',' right ',' Abis', 'play', 'muter', 'package', 'cheap']")</f>
        <v>['Telkomsel', 'yes',' Telkomsel ',' name ',' Telkomtol ',' Aasuuu ',' right ',' steal ',' Lord ',' sudden ',' lag ',' right ',' Abis', 'play', 'muter', 'package', 'cheap']</v>
      </c>
      <c r="D5540" s="3">
        <v>1.0</v>
      </c>
    </row>
    <row r="5541" ht="15.75" customHeight="1">
      <c r="A5541" s="1">
        <v>5926.0</v>
      </c>
      <c r="B5541" s="3" t="s">
        <v>5288</v>
      </c>
      <c r="C5541" s="3" t="str">
        <f>IFERROR(__xludf.DUMMYFUNCTION("GOOGLETRANSLATE(B5541,""id"",""en"")"),"['plis',' Woii ',' Telkomsel ',' network ',' repaired ',' play ',' good ',' Ancurr ',' Paketan ',' expensive ',' quality ',' network ',' Leet ',' lag ']")</f>
        <v>['plis',' Woii ',' Telkomsel ',' network ',' repaired ',' play ',' good ',' Ancurr ',' Paketan ',' expensive ',' quality ',' network ',' Leet ',' lag ']</v>
      </c>
      <c r="D5541" s="3">
        <v>2.0</v>
      </c>
    </row>
    <row r="5542" ht="15.75" customHeight="1">
      <c r="A5542" s="1">
        <v>5927.0</v>
      </c>
      <c r="B5542" s="3" t="s">
        <v>5289</v>
      </c>
      <c r="C5542" s="3" t="str">
        <f>IFERROR(__xludf.DUMMYFUNCTION("GOOGLETRANSLATE(B5542,""id"",""en"")"),"['signal', 'ugly', 'expensive', 'lose', 'tree', 'cheap', 'signal', 'good', 'disappointed', 'heavy', ""]")</f>
        <v>['signal', 'ugly', 'expensive', 'lose', 'tree', 'cheap', 'signal', 'good', 'disappointed', 'heavy', "]</v>
      </c>
      <c r="D5542" s="3">
        <v>1.0</v>
      </c>
    </row>
    <row r="5543" ht="15.75" customHeight="1">
      <c r="A5543" s="1">
        <v>5928.0</v>
      </c>
      <c r="B5543" s="3" t="s">
        <v>5290</v>
      </c>
      <c r="C5543" s="3" t="str">
        <f>IFERROR(__xludf.DUMMYFUNCTION("GOOGLETRANSLATE(B5543,""id"",""en"")"),"['skrg', 'signal', 'prnh', 'stable', 'price', 'package', 'raised', 'quality', 'signal', 'service', '']")</f>
        <v>['skrg', 'signal', 'prnh', 'stable', 'price', 'package', 'raised', 'quality', 'signal', 'service', '']</v>
      </c>
      <c r="D5543" s="3">
        <v>3.0</v>
      </c>
    </row>
    <row r="5544" ht="15.75" customHeight="1">
      <c r="A5544" s="1">
        <v>5929.0</v>
      </c>
      <c r="B5544" s="3" t="s">
        <v>5291</v>
      </c>
      <c r="C5544" s="3" t="str">
        <f>IFERROR(__xludf.DUMMYFUNCTION("GOOGLETRANSLATE(B5544,""id"",""en"")"),"['buy', 'package', 'phone', 'difficult', 'forgiveness',' description ',' sorry ',' disruption ',' system ',' until ',' try ',' uninstall ',' Then ',' Install ',' Since ',' Update ',' Latest ',' Ungk ',' Application ',' Buy ',' Package ',' Call ',' Package"&amp;" ',' Internet ',' Application ' , 'Telkomsel', '']")</f>
        <v>['buy', 'package', 'phone', 'difficult', 'forgiveness',' description ',' sorry ',' disruption ',' system ',' until ',' try ',' uninstall ',' Then ',' Install ',' Since ',' Update ',' Latest ',' Ungk ',' Application ',' Buy ',' Package ',' Call ',' Package ',' Internet ',' Application ' , 'Telkomsel', '']</v>
      </c>
      <c r="D5544" s="3">
        <v>1.0</v>
      </c>
    </row>
    <row r="5545" ht="15.75" customHeight="1">
      <c r="A5545" s="1">
        <v>5930.0</v>
      </c>
      <c r="B5545" s="3" t="s">
        <v>5292</v>
      </c>
      <c r="C5545" s="3" t="str">
        <f>IFERROR(__xludf.DUMMYFUNCTION("GOOGLETRANSLATE(B5545,""id"",""en"")"),"['Choice', 'Unreg', 'Package']")</f>
        <v>['Choice', 'Unreg', 'Package']</v>
      </c>
      <c r="D5545" s="3">
        <v>1.0</v>
      </c>
    </row>
    <row r="5546" ht="15.75" customHeight="1">
      <c r="A5546" s="1">
        <v>5931.0</v>
      </c>
      <c r="B5546" s="3" t="s">
        <v>5293</v>
      </c>
      <c r="C5546" s="3" t="str">
        <f>IFERROR(__xludf.DUMMYFUNCTION("GOOGLETRANSLATE(B5546,""id"",""en"")"),"['', 'buy', 'Package', 'Telkomsel','AAA ',' ']")</f>
        <v>['', 'buy', 'Package', 'Telkomsel','AAA ',' ']</v>
      </c>
      <c r="D5546" s="3">
        <v>1.0</v>
      </c>
    </row>
    <row r="5547" ht="15.75" customHeight="1">
      <c r="A5547" s="1">
        <v>5932.0</v>
      </c>
      <c r="B5547" s="3" t="s">
        <v>5294</v>
      </c>
      <c r="C5547" s="3" t="str">
        <f>IFERROR(__xludf.DUMMYFUNCTION("GOOGLETRANSLATE(B5547,""id"",""en"")"),"['coin', 'APH', 'Boss',' Exchange ',' Jangn ',' Ngadain ',' Coins', 'Tuker', 'Tayna', 'Jabwannya', 'Conflating', 'Stitch', ' Prose ',' stay ',' ']")</f>
        <v>['coin', 'APH', 'Boss',' Exchange ',' Jangn ',' Ngadain ',' Coins', 'Tuker', 'Tayna', 'Jabwannya', 'Conflating', 'Stitch', ' Prose ',' stay ',' ']</v>
      </c>
      <c r="D5547" s="3">
        <v>1.0</v>
      </c>
    </row>
    <row r="5548" ht="15.75" customHeight="1">
      <c r="A5548" s="1">
        <v>5933.0</v>
      </c>
      <c r="B5548" s="3" t="s">
        <v>5295</v>
      </c>
      <c r="C5548" s="3" t="str">
        <f>IFERROR(__xludf.DUMMYFUNCTION("GOOGLETRANSLATE(B5548,""id"",""en"")"),"['', 'signal', 'ugly', 'like', 'stable', 'region', 'urban', 'package', 'expensive', 'used', 'package', 'data', 'pulses ',' Package ',' Internet ',' buy ',' ']")</f>
        <v>['', 'signal', 'ugly', 'like', 'stable', 'region', 'urban', 'package', 'expensive', 'used', 'package', 'data', 'pulses ',' Package ',' Internet ',' buy ',' ']</v>
      </c>
      <c r="D5548" s="3">
        <v>1.0</v>
      </c>
    </row>
    <row r="5549" ht="15.75" customHeight="1">
      <c r="A5549" s="1">
        <v>5934.0</v>
      </c>
      <c r="B5549" s="3" t="s">
        <v>5296</v>
      </c>
      <c r="C5549" s="3" t="str">
        <f>IFERROR(__xludf.DUMMYFUNCTION("GOOGLETRANSLATE(B5549,""id"",""en"")"),"['Males', 'package', 'expensive', 'pdhal', 'speed', 'wonder']")</f>
        <v>['Males', 'package', 'expensive', 'pdhal', 'speed', 'wonder']</v>
      </c>
      <c r="D5549" s="3">
        <v>1.0</v>
      </c>
    </row>
    <row r="5550" ht="15.75" customHeight="1">
      <c r="A5550" s="1">
        <v>5935.0</v>
      </c>
      <c r="B5550" s="3" t="s">
        <v>5297</v>
      </c>
      <c r="C5550" s="3" t="str">
        <f>IFERROR(__xludf.DUMMYFUNCTION("GOOGLETRANSLATE(B5550,""id"",""en"")"),"['crisis',' signal ',' access', 'data', 'Telkomsel', 'trim', 'guess',' network ',' downgrade ',' speed ',' stability ',' launcurin ',' The benefits', 'Switch', 'spared', 'network', 'equivalent', 'hahaha', 'silly']")</f>
        <v>['crisis',' signal ',' access', 'data', 'Telkomsel', 'trim', 'guess',' network ',' downgrade ',' speed ',' stability ',' launcurin ',' The benefits', 'Switch', 'spared', 'network', 'equivalent', 'hahaha', 'silly']</v>
      </c>
      <c r="D5550" s="3">
        <v>1.0</v>
      </c>
    </row>
    <row r="5551" ht="15.75" customHeight="1">
      <c r="A5551" s="1">
        <v>5936.0</v>
      </c>
      <c r="B5551" s="3" t="s">
        <v>5298</v>
      </c>
      <c r="C5551" s="3" t="str">
        <f>IFERROR(__xludf.DUMMYFUNCTION("GOOGLETRANSLATE(B5551,""id"",""en"")"),"['Package', 'expensive', 'network', 'bad']")</f>
        <v>['Package', 'expensive', 'network', 'bad']</v>
      </c>
      <c r="D5551" s="3">
        <v>1.0</v>
      </c>
    </row>
    <row r="5552" ht="15.75" customHeight="1">
      <c r="A5552" s="1">
        <v>5937.0</v>
      </c>
      <c r="B5552" s="3" t="s">
        <v>5299</v>
      </c>
      <c r="C5552" s="3" t="str">
        <f>IFERROR(__xludf.DUMMYFUNCTION("GOOGLETRANSLATE(B5552,""id"",""en"")"),"['bad', 'disappointed', 'quota', 'games',' max ',' quota ',' games', 'sumps',' pulse ',' sumps', 'love', 'star', ' Hopefully ',' Lock ',' Lock ',' Credit ',' ']")</f>
        <v>['bad', 'disappointed', 'quota', 'games',' max ',' quota ',' games', 'sumps',' pulse ',' sumps', 'love', 'star', ' Hopefully ',' Lock ',' Lock ',' Credit ',' ']</v>
      </c>
      <c r="D5552" s="3">
        <v>1.0</v>
      </c>
    </row>
    <row r="5553" ht="15.75" customHeight="1">
      <c r="A5553" s="1">
        <v>5938.0</v>
      </c>
      <c r="B5553" s="3" t="s">
        <v>5300</v>
      </c>
      <c r="C5553" s="3" t="str">
        <f>IFERROR(__xludf.DUMMYFUNCTION("GOOGLETRANSLATE(B5553,""id"",""en"")"),"['Please', 'min', 'number', 'package', 'kouta', 'voltage', 'education', 'daily', 'dsb', 'plis',' response ',' min ',' Disappointed ',' ilang ',' that's']")</f>
        <v>['Please', 'min', 'number', 'package', 'kouta', 'voltage', 'education', 'daily', 'dsb', 'plis',' response ',' min ',' Disappointed ',' ilang ',' that's']</v>
      </c>
      <c r="D5553" s="3">
        <v>3.0</v>
      </c>
    </row>
    <row r="5554" ht="15.75" customHeight="1">
      <c r="A5554" s="1">
        <v>5939.0</v>
      </c>
      <c r="B5554" s="3" t="s">
        <v>5301</v>
      </c>
      <c r="C5554" s="3" t="str">
        <f>IFERROR(__xludf.DUMMYFUNCTION("GOOGLETRANSLATE(B5554,""id"",""en"")"),"['Good', 'really', 'apk', 'please', 'price', 'package', 'cheap', 'little', 'ppkm', ""]")</f>
        <v>['Good', 'really', 'apk', 'please', 'price', 'package', 'cheap', 'little', 'ppkm', "]</v>
      </c>
      <c r="D5554" s="3">
        <v>5.0</v>
      </c>
    </row>
    <row r="5555" ht="15.75" customHeight="1">
      <c r="A5555" s="1">
        <v>5940.0</v>
      </c>
      <c r="B5555" s="3" t="s">
        <v>5302</v>
      </c>
      <c r="C5555" s="3" t="str">
        <f>IFERROR(__xludf.DUMMYFUNCTION("GOOGLETRANSLATE(B5555,""id"",""en"")"),"['Type', 'Package']")</f>
        <v>['Type', 'Package']</v>
      </c>
      <c r="D5555" s="3">
        <v>4.0</v>
      </c>
    </row>
    <row r="5556" ht="15.75" customHeight="1">
      <c r="A5556" s="1">
        <v>5941.0</v>
      </c>
      <c r="B5556" s="3" t="s">
        <v>5303</v>
      </c>
      <c r="C5556" s="3" t="str">
        <f>IFERROR(__xludf.DUMMYFUNCTION("GOOGLETRANSLATE(B5556,""id"",""en"")"),"['update', 'signal', 'divided', 'buy', 'package', 'unlimited', 'youtube', 'sometimes',' open ',' sometimes', 'lost', 'connection', ' Gajelas', 'Provider', 'sell', 'package', 'data', 'signal', 'divided', '']")</f>
        <v>['update', 'signal', 'divided', 'buy', 'package', 'unlimited', 'youtube', 'sometimes',' open ',' sometimes', 'lost', 'connection', ' Gajelas', 'Provider', 'sell', 'package', 'data', 'signal', 'divided', '']</v>
      </c>
      <c r="D5556" s="3">
        <v>2.0</v>
      </c>
    </row>
    <row r="5557" ht="15.75" customHeight="1">
      <c r="A5557" s="1">
        <v>5942.0</v>
      </c>
      <c r="B5557" s="3" t="s">
        <v>5304</v>
      </c>
      <c r="C5557" s="3" t="str">
        <f>IFERROR(__xludf.DUMMYFUNCTION("GOOGLETRANSLATE(B5557,""id"",""en"")"),"['Telkomsel', 'zoom', 'appears',' internet ',' annoying ',' right ',' card ',' please ',' fix ',' link ',' zoom ',' appears', ' Internet ',' Hadehhh ']")</f>
        <v>['Telkomsel', 'zoom', 'appears',' internet ',' annoying ',' right ',' card ',' please ',' fix ',' link ',' zoom ',' appears', ' Internet ',' Hadehhh ']</v>
      </c>
      <c r="D5557" s="3">
        <v>1.0</v>
      </c>
    </row>
    <row r="5558" ht="15.75" customHeight="1">
      <c r="A5558" s="1">
        <v>5943.0</v>
      </c>
      <c r="B5558" s="3" t="s">
        <v>5305</v>
      </c>
      <c r="C5558" s="3" t="str">
        <f>IFERROR(__xludf.DUMMYFUNCTION("GOOGLETRANSLATE(B5558,""id"",""en"")"),"['Ampunnnn', 'Dahhh', 'Tissue', 'Telkom', 'Price', 'Expensive', 'Signal', 'Region', 'City', 'Kinerahhh', 'Dahhhh', 'Telkom']")</f>
        <v>['Ampunnnn', 'Dahhh', 'Tissue', 'Telkom', 'Price', 'Expensive', 'Signal', 'Region', 'City', 'Kinerahhh', 'Dahhhh', 'Telkom']</v>
      </c>
      <c r="D5558" s="3">
        <v>1.0</v>
      </c>
    </row>
    <row r="5559" ht="15.75" customHeight="1">
      <c r="A5559" s="1">
        <v>5945.0</v>
      </c>
      <c r="B5559" s="3" t="s">
        <v>5306</v>
      </c>
      <c r="C5559" s="3" t="str">
        <f>IFERROR(__xludf.DUMMYFUNCTION("GOOGLETRANSLATE(B5559,""id"",""en"")"),"['Telkomsel', 'signal', 'stable', 'quota', 'wasted', 'kepakai', 'quota', 'active', 'run out', ""]")</f>
        <v>['Telkomsel', 'signal', 'stable', 'quota', 'wasted', 'kepakai', 'quota', 'active', 'run out', "]</v>
      </c>
      <c r="D5559" s="3">
        <v>5.0</v>
      </c>
    </row>
    <row r="5560" ht="15.75" customHeight="1">
      <c r="A5560" s="1">
        <v>5946.0</v>
      </c>
      <c r="B5560" s="3" t="s">
        <v>5307</v>
      </c>
      <c r="C5560" s="3" t="str">
        <f>IFERROR(__xludf.DUMMYFUNCTION("GOOGLETRANSLATE(B5560,""id"",""en"")"),"['Filly', 'pulse', 'pakek', 'mbangking', 'enter', 'kaco', '']")</f>
        <v>['Filly', 'pulse', 'pakek', 'mbangking', 'enter', 'kaco', '']</v>
      </c>
      <c r="D5560" s="3">
        <v>1.0</v>
      </c>
    </row>
    <row r="5561" ht="15.75" customHeight="1">
      <c r="A5561" s="1">
        <v>5947.0</v>
      </c>
      <c r="B5561" s="3" t="s">
        <v>5308</v>
      </c>
      <c r="C5561" s="3" t="str">
        <f>IFERROR(__xludf.DUMMYFUNCTION("GOOGLETRANSLATE(B5561,""id"",""en"")"),"['Love', 'Star', 'Signal', 'Ditpat', 'ugly', 'Choose', 'Choose', 'Tempts', 'Bru', ""]")</f>
        <v>['Love', 'Star', 'Signal', 'Ditpat', 'ugly', 'Choose', 'Choose', 'Tempts', 'Bru', "]</v>
      </c>
      <c r="D5561" s="3">
        <v>1.0</v>
      </c>
    </row>
    <row r="5562" ht="15.75" customHeight="1">
      <c r="A5562" s="1">
        <v>5948.0</v>
      </c>
      <c r="B5562" s="3" t="s">
        <v>5309</v>
      </c>
      <c r="C5562" s="3" t="str">
        <f>IFERROR(__xludf.DUMMYFUNCTION("GOOGLETRANSLATE(B5562,""id"",""en"")"),"['Reduce', 'Star', 'Min', 'Service', 'Data', 'Telkomsel', 'Lemot', 'Min']")</f>
        <v>['Reduce', 'Star', 'Min', 'Service', 'Data', 'Telkomsel', 'Lemot', 'Min']</v>
      </c>
      <c r="D5562" s="3">
        <v>3.0</v>
      </c>
    </row>
    <row r="5563" ht="15.75" customHeight="1">
      <c r="A5563" s="1">
        <v>5949.0</v>
      </c>
      <c r="B5563" s="3" t="s">
        <v>5310</v>
      </c>
      <c r="C5563" s="3" t="str">
        <f>IFERROR(__xludf.DUMMYFUNCTION("GOOGLETRANSLATE(B5563,""id"",""en"")"),"['Sngat', 'help']")</f>
        <v>['Sngat', 'help']</v>
      </c>
      <c r="D5563" s="3">
        <v>4.0</v>
      </c>
    </row>
    <row r="5564" ht="15.75" customHeight="1">
      <c r="A5564" s="1">
        <v>5950.0</v>
      </c>
      <c r="B5564" s="3" t="s">
        <v>5311</v>
      </c>
      <c r="C5564" s="3" t="str">
        <f>IFERROR(__xludf.DUMMYFUNCTION("GOOGLETRANSLATE(B5564,""id"",""en"")"),"['Option', 'Pay', 'Virtual', 'Bank', 'Account', 'Please', 'Enlightenment']")</f>
        <v>['Option', 'Pay', 'Virtual', 'Bank', 'Account', 'Please', 'Enlightenment']</v>
      </c>
      <c r="D5564" s="3">
        <v>3.0</v>
      </c>
    </row>
    <row r="5565" ht="15.75" customHeight="1">
      <c r="A5565" s="1">
        <v>5951.0</v>
      </c>
      <c r="B5565" s="3" t="s">
        <v>5312</v>
      </c>
      <c r="C5565" s="3" t="str">
        <f>IFERROR(__xludf.DUMMYFUNCTION("GOOGLETRANSLATE(B5565,""id"",""en"")"),"['Disconec', 'missing', 'signal', 'lemoot', 'tetep', 'ambyaaarr']")</f>
        <v>['Disconec', 'missing', 'signal', 'lemoot', 'tetep', 'ambyaaarr']</v>
      </c>
      <c r="D5565" s="3">
        <v>5.0</v>
      </c>
    </row>
    <row r="5566" ht="15.75" customHeight="1">
      <c r="A5566" s="1">
        <v>5952.0</v>
      </c>
      <c r="B5566" s="3" t="s">
        <v>5313</v>
      </c>
      <c r="C5566" s="3" t="str">
        <f>IFERROR(__xludf.DUMMYFUNCTION("GOOGLETRANSLATE(B5566,""id"",""en"")"),"['oath', 'application', 'operator', 'fraud', 'value', 'buy', 'install', 'the application']")</f>
        <v>['oath', 'application', 'operator', 'fraud', 'value', 'buy', 'install', 'the application']</v>
      </c>
      <c r="D5566" s="3">
        <v>1.0</v>
      </c>
    </row>
    <row r="5567" ht="15.75" customHeight="1">
      <c r="A5567" s="1">
        <v>5953.0</v>
      </c>
      <c r="B5567" s="3" t="s">
        <v>5314</v>
      </c>
      <c r="C5567" s="3" t="str">
        <f>IFERROR(__xludf.DUMMYFUNCTION("GOOGLETRANSLATE(B5567,""id"",""en"")"),"['Severe', 'Severe', 'Severe', 'Your Signal']")</f>
        <v>['Severe', 'Severe', 'Severe', 'Your Signal']</v>
      </c>
      <c r="D5567" s="3">
        <v>1.0</v>
      </c>
    </row>
    <row r="5568" ht="15.75" customHeight="1">
      <c r="A5568" s="1">
        <v>5954.0</v>
      </c>
      <c r="B5568" s="3" t="s">
        <v>5315</v>
      </c>
      <c r="C5568" s="3" t="str">
        <f>IFERROR(__xludf.DUMMYFUNCTION("GOOGLETRANSLATE(B5568,""id"",""en"")"),"['Not bad', 'information']")</f>
        <v>['Not bad', 'information']</v>
      </c>
      <c r="D5568" s="3">
        <v>5.0</v>
      </c>
    </row>
    <row r="5569" ht="15.75" customHeight="1">
      <c r="A5569" s="1">
        <v>5955.0</v>
      </c>
      <c r="B5569" s="3" t="s">
        <v>5316</v>
      </c>
      <c r="C5569" s="3" t="str">
        <f>IFERROR(__xludf.DUMMYFUNCTION("GOOGLETRANSLATE(B5569,""id"",""en"")"),"['Good', 'contents', 'package', 'easy', 'just', 'please', 'love', 'promo', 'package', 'price', 'friendly', '']")</f>
        <v>['Good', 'contents', 'package', 'easy', 'just', 'please', 'love', 'promo', 'package', 'price', 'friendly', '']</v>
      </c>
      <c r="D5569" s="3">
        <v>5.0</v>
      </c>
    </row>
    <row r="5570" ht="15.75" customHeight="1">
      <c r="A5570" s="1">
        <v>5956.0</v>
      </c>
      <c r="B5570" s="3" t="s">
        <v>5317</v>
      </c>
      <c r="C5570" s="3" t="str">
        <f>IFERROR(__xludf.DUMMYFUNCTION("GOOGLETRANSLATE(B5570,""id"",""en"")"),"['just', 'love', 'suggestion', 'Telkomsel', 'package', 'call', 'a month', 'minutes',' need it ',' Telkomsel ',' Live ',' subscription ',' Hang out ',' Qatri ',' GraPARI ']")</f>
        <v>['just', 'love', 'suggestion', 'Telkomsel', 'package', 'call', 'a month', 'minutes',' need it ',' Telkomsel ',' Live ',' subscription ',' Hang out ',' Qatri ',' GraPARI ']</v>
      </c>
      <c r="D5570" s="3">
        <v>4.0</v>
      </c>
    </row>
    <row r="5571" ht="15.75" customHeight="1">
      <c r="A5571" s="1">
        <v>5957.0</v>
      </c>
      <c r="B5571" s="3" t="s">
        <v>5318</v>
      </c>
      <c r="C5571" s="3" t="str">
        <f>IFERROR(__xludf.DUMMYFUNCTION("GOOGLETRANSLATE(B5571,""id"",""en"")"),"['signal', 'BGS', 'Dimna', 'kpnpun', 'The', 'Best']")</f>
        <v>['signal', 'BGS', 'Dimna', 'kpnpun', 'The', 'Best']</v>
      </c>
      <c r="D5571" s="3">
        <v>5.0</v>
      </c>
    </row>
    <row r="5572" ht="15.75" customHeight="1">
      <c r="A5572" s="1">
        <v>5958.0</v>
      </c>
      <c r="B5572" s="3" t="s">
        <v>5319</v>
      </c>
      <c r="C5572" s="3" t="str">
        <f>IFERROR(__xludf.DUMMYFUNCTION("GOOGLETRANSLATE(B5572,""id"",""en"")"),"['Kenp', 'Satty', 'SSH', 'Please', 'SGR', 'Fix']")</f>
        <v>['Kenp', 'Satty', 'SSH', 'Please', 'SGR', 'Fix']</v>
      </c>
      <c r="D5572" s="3">
        <v>1.0</v>
      </c>
    </row>
    <row r="5573" ht="15.75" customHeight="1">
      <c r="A5573" s="1">
        <v>5959.0</v>
      </c>
      <c r="B5573" s="3" t="s">
        <v>5320</v>
      </c>
      <c r="C5573" s="3" t="str">
        <f>IFERROR(__xludf.DUMMYFUNCTION("GOOGLETRANSLATE(B5573,""id"",""en"")"),"['Buy', 'Package', 'Stay', 'Unlimited', 'YouTube', 'Ampass']")</f>
        <v>['Buy', 'Package', 'Stay', 'Unlimited', 'YouTube', 'Ampass']</v>
      </c>
      <c r="D5573" s="3">
        <v>1.0</v>
      </c>
    </row>
    <row r="5574" ht="15.75" customHeight="1">
      <c r="A5574" s="1">
        <v>5960.0</v>
      </c>
      <c r="B5574" s="3" t="s">
        <v>5321</v>
      </c>
      <c r="C5574" s="3" t="str">
        <f>IFERROR(__xludf.DUMMYFUNCTION("GOOGLETRANSLATE(B5574,""id"",""en"")"),"['activity', 'test', 'shipping', 'data', 'online', 'faced', 'jammed', 'failed', 'waste', 'pulses',' data ',' hope ',' Understandably ',' Please ',' His attention ',' Thank "", 'Love',""]")</f>
        <v>['activity', 'test', 'shipping', 'data', 'online', 'faced', 'jammed', 'failed', 'waste', 'pulses',' data ',' hope ',' Understandably ',' Please ',' His attention ',' Thank ", 'Love',"]</v>
      </c>
      <c r="D5574" s="3">
        <v>5.0</v>
      </c>
    </row>
    <row r="5575" ht="15.75" customHeight="1">
      <c r="A5575" s="1">
        <v>5961.0</v>
      </c>
      <c r="B5575" s="3" t="s">
        <v>5322</v>
      </c>
      <c r="C5575" s="3" t="str">
        <f>IFERROR(__xludf.DUMMYFUNCTION("GOOGLETRANSLATE(B5575,""id"",""en"")"),"['Telkomsel', 'proud', 'disappointing', 'Singal', 'bad', 'Network', 'Cinere', 'Depok', 'Good', 'Region', 'Mountains']")</f>
        <v>['Telkomsel', 'proud', 'disappointing', 'Singal', 'bad', 'Network', 'Cinere', 'Depok', 'Good', 'Region', 'Mountains']</v>
      </c>
      <c r="D5575" s="3">
        <v>1.0</v>
      </c>
    </row>
    <row r="5576" ht="15.75" customHeight="1">
      <c r="A5576" s="1">
        <v>5962.0</v>
      </c>
      <c r="B5576" s="3" t="s">
        <v>5323</v>
      </c>
      <c r="C5576" s="3" t="str">
        <f>IFERROR(__xludf.DUMMYFUNCTION("GOOGLETRANSLATE(B5576,""id"",""en"")"),"['Sometimes', 'Likes', 'Error', 'Ribet']")</f>
        <v>['Sometimes', 'Likes', 'Error', 'Ribet']</v>
      </c>
      <c r="D5576" s="3">
        <v>4.0</v>
      </c>
    </row>
    <row r="5577" ht="15.75" customHeight="1">
      <c r="A5577" s="1">
        <v>5963.0</v>
      </c>
      <c r="B5577" s="3" t="s">
        <v>5324</v>
      </c>
      <c r="C5577" s="3" t="str">
        <f>IFERROR(__xludf.DUMMYFUNCTION("GOOGLETRANSLATE(B5577,""id"",""en"")"),"['Connection', 'Labor', 'Level', 'Purchase', 'Most expensive', 'Service', 'Connection', 'Worth', 'Prioritize', 'Karna', 'Quality', 'Dibroch']")</f>
        <v>['Connection', 'Labor', 'Level', 'Purchase', 'Most expensive', 'Service', 'Connection', 'Worth', 'Prioritize', 'Karna', 'Quality', 'Dibroch']</v>
      </c>
      <c r="D5577" s="3">
        <v>2.0</v>
      </c>
    </row>
    <row r="5578" ht="15.75" customHeight="1">
      <c r="A5578" s="1">
        <v>5964.0</v>
      </c>
      <c r="B5578" s="3" t="s">
        <v>5325</v>
      </c>
      <c r="C5578" s="3" t="str">
        <f>IFERROR(__xludf.DUMMYFUNCTION("GOOGLETRANSLATE(B5578,""id"",""en"")"),"['range', 'network', 'updated', 'along with', 'speed', 'download', 'upload', 'repaired', ""]")</f>
        <v>['range', 'network', 'updated', 'along with', 'speed', 'download', 'upload', 'repaired', "]</v>
      </c>
      <c r="D5578" s="3">
        <v>4.0</v>
      </c>
    </row>
    <row r="5579" ht="15.75" customHeight="1">
      <c r="A5579" s="1">
        <v>5965.0</v>
      </c>
      <c r="B5579" s="3" t="s">
        <v>5326</v>
      </c>
      <c r="C5579" s="3" t="str">
        <f>IFERROR(__xludf.DUMMYFUNCTION("GOOGLETRANSLATE(B5579,""id"",""en"")"),"['easy', 'check', 'pulse', 'quota', 'buy', 'quota', 'easy', '']")</f>
        <v>['easy', 'check', 'pulse', 'quota', 'buy', 'quota', 'easy', '']</v>
      </c>
      <c r="D5579" s="3">
        <v>5.0</v>
      </c>
    </row>
    <row r="5580" ht="15.75" customHeight="1">
      <c r="A5580" s="1">
        <v>5967.0</v>
      </c>
      <c r="B5580" s="3" t="s">
        <v>5327</v>
      </c>
      <c r="C5580" s="3" t="str">
        <f>IFERROR(__xludf.DUMMYFUNCTION("GOOGLETRANSLATE(B5580,""id"",""en"")"),"['Please', 'Optimal']")</f>
        <v>['Please', 'Optimal']</v>
      </c>
      <c r="D5580" s="3">
        <v>5.0</v>
      </c>
    </row>
    <row r="5581" ht="15.75" customHeight="1">
      <c r="A5581" s="1">
        <v>5968.0</v>
      </c>
      <c r="B5581" s="3" t="s">
        <v>5328</v>
      </c>
      <c r="C5581" s="3" t="str">
        <f>IFERROR(__xludf.DUMMYFUNCTION("GOOGLETRANSLATE(B5581,""id"",""en"")"),"['Selebrating', 'Telkomsel', 'Network', 'Telkomsel', 'ugly', 'Paketan', 'Mahalskali', 'users', 'Telkomsel', 'Mending', 'Moving', 'Telkomsel']")</f>
        <v>['Selebrating', 'Telkomsel', 'Network', 'Telkomsel', 'ugly', 'Paketan', 'Mahalskali', 'users', 'Telkomsel', 'Mending', 'Moving', 'Telkomsel']</v>
      </c>
      <c r="D5581" s="3">
        <v>1.0</v>
      </c>
    </row>
    <row r="5582" ht="15.75" customHeight="1">
      <c r="A5582" s="1">
        <v>5969.0</v>
      </c>
      <c r="B5582" s="3" t="s">
        <v>5329</v>
      </c>
      <c r="C5582" s="3" t="str">
        <f>IFERROR(__xludf.DUMMYFUNCTION("GOOGLETRANSLATE(B5582,""id"",""en"")"),"['Out', 'Update', 'Login', 'UDH', 'Expensive', 'Sinyel', 'Leet']")</f>
        <v>['Out', 'Update', 'Login', 'UDH', 'Expensive', 'Sinyel', 'Leet']</v>
      </c>
      <c r="D5582" s="3">
        <v>1.0</v>
      </c>
    </row>
    <row r="5583" ht="15.75" customHeight="1">
      <c r="A5583" s="1">
        <v>5970.0</v>
      </c>
      <c r="B5583" s="3" t="s">
        <v>5330</v>
      </c>
      <c r="C5583" s="3" t="str">
        <f>IFERROR(__xludf.DUMMYFUNCTION("GOOGLETRANSLATE(B5583,""id"",""en"")"),"['price', 'package', 'expensive', 'according to', 'signal', 'slow', 'sometimes',' lost ',' signal ',' tried ',' card ',' Telkomsel ',' slow ',' Severe ',' Manas', 'Congratulations',' Live ',' Telkomsel ']")</f>
        <v>['price', 'package', 'expensive', 'according to', 'signal', 'slow', 'sometimes',' lost ',' signal ',' tried ',' card ',' Telkomsel ',' slow ',' Severe ',' Manas', 'Congratulations',' Live ',' Telkomsel ']</v>
      </c>
      <c r="D5583" s="3">
        <v>1.0</v>
      </c>
    </row>
    <row r="5584" ht="15.75" customHeight="1">
      <c r="A5584" s="1">
        <v>5971.0</v>
      </c>
      <c r="B5584" s="3" t="s">
        <v>5331</v>
      </c>
      <c r="C5584" s="3" t="str">
        <f>IFERROR(__xludf.DUMMYFUNCTION("GOOGLETRANSLATE(B5584,""id"",""en"")"),"['Discount', 'Not bad']")</f>
        <v>['Discount', 'Not bad']</v>
      </c>
      <c r="D5584" s="3">
        <v>5.0</v>
      </c>
    </row>
    <row r="5585" ht="15.75" customHeight="1">
      <c r="A5585" s="1">
        <v>5972.0</v>
      </c>
      <c r="B5585" s="3" t="s">
        <v>5332</v>
      </c>
      <c r="C5585" s="3" t="str">
        <f>IFERROR(__xludf.DUMMYFUNCTION("GOOGLETRANSLATE(B5585,""id"",""en"")"),"['Please', 'Signal', 'repaired', 'Open', 'Learning', 'Wait', 'Minutes',' Anjay ',' Exam ',' Main ',' Game ',' Ping ',' ugly ',' really ',' price ',' official ',' quality ',' commoner ']")</f>
        <v>['Please', 'Signal', 'repaired', 'Open', 'Learning', 'Wait', 'Minutes',' Anjay ',' Exam ',' Main ',' Game ',' Ping ',' ugly ',' really ',' price ',' official ',' quality ',' commoner ']</v>
      </c>
      <c r="D5585" s="3">
        <v>1.0</v>
      </c>
    </row>
    <row r="5586" ht="15.75" customHeight="1">
      <c r="A5586" s="1">
        <v>5973.0</v>
      </c>
      <c r="B5586" s="3" t="s">
        <v>5333</v>
      </c>
      <c r="C5586" s="3" t="str">
        <f>IFERROR(__xludf.DUMMYFUNCTION("GOOGLETRANSLATE(B5586,""id"",""en"")"),"['Forward', 'Telkomsel']")</f>
        <v>['Forward', 'Telkomsel']</v>
      </c>
      <c r="D5586" s="3">
        <v>5.0</v>
      </c>
    </row>
    <row r="5587" ht="15.75" customHeight="1">
      <c r="A5587" s="1">
        <v>5974.0</v>
      </c>
      <c r="B5587" s="3" t="s">
        <v>5334</v>
      </c>
      <c r="C5587" s="3" t="str">
        <f>IFERROR(__xludf.DUMMYFUNCTION("GOOGLETRANSLATE(B5587,""id"",""en"")"),"['pulse', 'run out', 'sucked', 'feeling', 'yesterday', 'buy', 'quota', 'cheap', 'finished', 'pulseku', 'straight', 'Telkomsel', ' Suck ',' pulse ',' permission ',' pulseku ',' run out ',' yesterday ',' stay ',' rupiah ',' mytelkomsel ',' safe ',' safe ','"&amp;" mytelkomsel ',' lite ' , 'MyTelkomsel', 'pulses',' drained ',' canal ',' use ',' base ',' destroyed ',' deh ',' pulses', 'out', 'Please', 'Telkomsel', ' repair', '']")</f>
        <v>['pulse', 'run out', 'sucked', 'feeling', 'yesterday', 'buy', 'quota', 'cheap', 'finished', 'pulseku', 'straight', 'Telkomsel', ' Suck ',' pulse ',' permission ',' pulseku ',' run out ',' yesterday ',' stay ',' rupiah ',' mytelkomsel ',' safe ',' safe ',' mytelkomsel ',' lite ' , 'MyTelkomsel', 'pulses',' drained ',' canal ',' use ',' base ',' destroyed ',' deh ',' pulses', 'out', 'Please', 'Telkomsel', ' repair', '']</v>
      </c>
      <c r="D5587" s="3">
        <v>1.0</v>
      </c>
    </row>
    <row r="5588" ht="15.75" customHeight="1">
      <c r="A5588" s="1">
        <v>5976.0</v>
      </c>
      <c r="B5588" s="3" t="s">
        <v>5335</v>
      </c>
      <c r="C5588" s="3" t="str">
        <f>IFERROR(__xludf.DUMMYFUNCTION("GOOGLETRANSLATE(B5588,""id"",""en"")"),"['Telkomsel', 'steady', 'satisfied', 'Telkomsel', 'thank', 'love', 'Telkomsel', ""]")</f>
        <v>['Telkomsel', 'steady', 'satisfied', 'Telkomsel', 'thank', 'love', 'Telkomsel', "]</v>
      </c>
      <c r="D5588" s="3">
        <v>5.0</v>
      </c>
    </row>
    <row r="5589" ht="15.75" customHeight="1">
      <c r="A5589" s="1">
        <v>5977.0</v>
      </c>
      <c r="B5589" s="3" t="s">
        <v>5336</v>
      </c>
      <c r="C5589" s="3" t="str">
        <f>IFERROR(__xludf.DUMMYFUNCTION("GOOGLETRANSLATE(B5589,""id"",""en"")"),"['already', 'network', 'problematic', 'sometimes',' like ',' clock ',' unexpected ',' kgk ',' dead ',' lights', 'network', 'ugly', ' livestreaming ',' ama ',' Meeting ',' problematic ',' please ',' repaired ',' cable ',' coated ',' iron ',' steel ',' bitt"&amp;"en ',' ama ',' shark ' , 'badly damaged']")</f>
        <v>['already', 'network', 'problematic', 'sometimes',' like ',' clock ',' unexpected ',' kgk ',' dead ',' lights', 'network', 'ugly', ' livestreaming ',' ama ',' Meeting ',' problematic ',' please ',' repaired ',' cable ',' coated ',' iron ',' steel ',' bitten ',' ama ',' shark ' , 'badly damaged']</v>
      </c>
      <c r="D5589" s="3">
        <v>1.0</v>
      </c>
    </row>
    <row r="5590" ht="15.75" customHeight="1">
      <c r="A5590" s="1">
        <v>5978.0</v>
      </c>
      <c r="B5590" s="3" t="s">
        <v>5337</v>
      </c>
      <c r="C5590" s="3" t="str">
        <f>IFERROR(__xludf.DUMMYFUNCTION("GOOGLETRANSLATE(B5590,""id"",""en"")"),"['Open', 'Application', 'Telkomsel', 'Lemott', 'Open', 'Application', 'Lemot', 'Lho', 'Mhn', 'Fix']")</f>
        <v>['Open', 'Application', 'Telkomsel', 'Lemott', 'Open', 'Application', 'Lemot', 'Lho', 'Mhn', 'Fix']</v>
      </c>
      <c r="D5590" s="3">
        <v>5.0</v>
      </c>
    </row>
    <row r="5591" ht="15.75" customHeight="1">
      <c r="A5591" s="1">
        <v>5979.0</v>
      </c>
      <c r="B5591" s="3" t="s">
        <v>5338</v>
      </c>
      <c r="C5591" s="3" t="str">
        <f>IFERROR(__xludf.DUMMYFUNCTION("GOOGLETRANSLATE(B5591,""id"",""en"")"),"['Package', 'unlimited', 'max', 'no', 'nge', 'game', 'quota', 'run out', 'no', 'rich', 'expensive', 'package', ' Then ',' The network ',' Red ']")</f>
        <v>['Package', 'unlimited', 'max', 'no', 'nge', 'game', 'quota', 'run out', 'no', 'rich', 'expensive', 'package', ' Then ',' The network ',' Red ']</v>
      </c>
      <c r="D5591" s="3">
        <v>1.0</v>
      </c>
    </row>
    <row r="5592" ht="15.75" customHeight="1">
      <c r="A5592" s="1">
        <v>5980.0</v>
      </c>
      <c r="B5592" s="3" t="s">
        <v>5339</v>
      </c>
      <c r="C5592" s="3" t="str">
        <f>IFERROR(__xludf.DUMMYFUNCTION("GOOGLETRANSLATE(B5592,""id"",""en"")"),"['Please', 'option', 'payment', 'plus',' card ',' debit ',' credit ',' Mager ',' counter ',' buy ',' Vocer ',' complicated ',' fill in ',' pulse ',' buy ',' package ']")</f>
        <v>['Please', 'option', 'payment', 'plus',' card ',' debit ',' credit ',' Mager ',' counter ',' buy ',' Vocer ',' complicated ',' fill in ',' pulse ',' buy ',' package ']</v>
      </c>
      <c r="D5592" s="3">
        <v>5.0</v>
      </c>
    </row>
    <row r="5593" ht="15.75" customHeight="1">
      <c r="A5593" s="1">
        <v>5981.0</v>
      </c>
      <c r="B5593" s="3" t="s">
        <v>5340</v>
      </c>
      <c r="C5593" s="3" t="str">
        <f>IFERROR(__xludf.DUMMYFUNCTION("GOOGLETRANSLATE(B5593,""id"",""en"")"),"['Life', 'Life', 'Signal', 'Destroyed', 'About', 'Task', 'Exam', 'Student', 'Late', 'Send', 'Provider', 'Admin', ' Delete ',' burden ',' activity ',' in the past ',' pandemic ',' clock ',' afternoon ',' destroyed ',' connectivity ',' smartfren ',' smooth "&amp;"',' position ',' city ' , 'Medan', 'remote', 'pdhl', 'price', 'package', 'above', 'price', 'rb', 'service', 'smarftren', 'below', 'thousand']")</f>
        <v>['Life', 'Life', 'Signal', 'Destroyed', 'About', 'Task', 'Exam', 'Student', 'Late', 'Send', 'Provider', 'Admin', ' Delete ',' burden ',' activity ',' in the past ',' pandemic ',' clock ',' afternoon ',' destroyed ',' connectivity ',' smartfren ',' smooth ',' position ',' city ' , 'Medan', 'remote', 'pdhl', 'price', 'package', 'above', 'price', 'rb', 'service', 'smarftren', 'below', 'thousand']</v>
      </c>
      <c r="D5593" s="3">
        <v>1.0</v>
      </c>
    </row>
    <row r="5594" ht="15.75" customHeight="1">
      <c r="A5594" s="1">
        <v>5982.0</v>
      </c>
      <c r="B5594" s="3" t="s">
        <v>5341</v>
      </c>
      <c r="C5594" s="3" t="str">
        <f>IFERROR(__xludf.DUMMYFUNCTION("GOOGLETRANSLATE(B5594,""id"",""en"")"),"['Like', 'Bngtt', 'APK', 'Package', 'Tingl', 'exchange', 'Points',' Choose ',' Gift ',' Prizes', 'Anydue', ' ',' Choose ',' APK ',' ']")</f>
        <v>['Like', 'Bngtt', 'APK', 'Package', 'Tingl', 'exchange', 'Points',' Choose ',' Gift ',' Prizes', 'Anydue', ' ',' Choose ',' APK ',' ']</v>
      </c>
      <c r="D5594" s="3">
        <v>5.0</v>
      </c>
    </row>
    <row r="5595" ht="15.75" customHeight="1">
      <c r="A5595" s="1">
        <v>5983.0</v>
      </c>
      <c r="B5595" s="3" t="s">
        <v>5342</v>
      </c>
      <c r="C5595" s="3" t="str">
        <f>IFERROR(__xludf.DUMMYFUNCTION("GOOGLETRANSLATE(B5595,""id"",""en"")"),"['Thank "",' Love ',' Hopefully ',' The Line ']")</f>
        <v>['Thank ",' Love ',' Hopefully ',' The Line ']</v>
      </c>
      <c r="D5595" s="3">
        <v>5.0</v>
      </c>
    </row>
    <row r="5596" ht="15.75" customHeight="1">
      <c r="A5596" s="1">
        <v>5984.0</v>
      </c>
      <c r="B5596" s="3" t="s">
        <v>5343</v>
      </c>
      <c r="C5596" s="3" t="str">
        <f>IFERROR(__xludf.DUMMYFUNCTION("GOOGLETRANSLATE(B5596,""id"",""en"")"),"['repaired', 'connection', 'the network', 'obstacles',' lam ',' need ',' reason ',' promise ',' doang ',' need ',' fix ',' the network ',' connection ',' bad ',' signal ',' good ',' following ',' online ',' a day ',' a week ', ""]")</f>
        <v>['repaired', 'connection', 'the network', 'obstacles',' lam ',' need ',' reason ',' promise ',' doang ',' need ',' fix ',' the network ',' connection ',' bad ',' signal ',' good ',' following ',' online ',' a day ',' a week ', "]</v>
      </c>
      <c r="D5596" s="3">
        <v>1.0</v>
      </c>
    </row>
    <row r="5597" ht="15.75" customHeight="1">
      <c r="A5597" s="1">
        <v>5986.0</v>
      </c>
      <c r="B5597" s="3" t="s">
        <v>5344</v>
      </c>
      <c r="C5597" s="3" t="str">
        <f>IFERROR(__xludf.DUMMYFUNCTION("GOOGLETRANSLATE(B5597,""id"",""en"")"),"['Halah', 'Exchange', 'Points', 'Package', 'Data', 'System', 'Busy', 'Pekah', '']")</f>
        <v>['Halah', 'Exchange', 'Points', 'Package', 'Data', 'System', 'Busy', 'Pekah', '']</v>
      </c>
      <c r="D5597" s="3">
        <v>1.0</v>
      </c>
    </row>
    <row r="5598" ht="15.75" customHeight="1">
      <c r="A5598" s="1">
        <v>5987.0</v>
      </c>
      <c r="B5598" s="3" t="s">
        <v>323</v>
      </c>
      <c r="C5598" s="3" t="str">
        <f>IFERROR(__xludf.DUMMYFUNCTION("GOOGLETRANSLATE(B5598,""id"",""en"")"),"['Telkomsel']")</f>
        <v>['Telkomsel']</v>
      </c>
      <c r="D5598" s="3">
        <v>5.0</v>
      </c>
    </row>
    <row r="5599" ht="15.75" customHeight="1">
      <c r="A5599" s="1">
        <v>5989.0</v>
      </c>
      <c r="B5599" s="3" t="s">
        <v>5345</v>
      </c>
      <c r="C5599" s="3" t="str">
        <f>IFERROR(__xludf.DUMMYFUNCTION("GOOGLETRANSLATE(B5599,""id"",""en"")"),"['MyTelkomsel', 'Excellent', 'Application', 'Helping', 'User', 'Following', 'Sequence', 'Procedure', 'Charging', 'Credit', 'Online', 'Meregister', ' cards', 'activate', 'number', 'enter', 'network', 'dst']")</f>
        <v>['MyTelkomsel', 'Excellent', 'Application', 'Helping', 'User', 'Following', 'Sequence', 'Procedure', 'Charging', 'Credit', 'Online', 'Meregister', ' cards', 'activate', 'number', 'enter', 'network', 'dst']</v>
      </c>
      <c r="D5599" s="3">
        <v>5.0</v>
      </c>
    </row>
    <row r="5600" ht="15.75" customHeight="1">
      <c r="A5600" s="1">
        <v>5990.0</v>
      </c>
      <c r="B5600" s="3" t="s">
        <v>5346</v>
      </c>
      <c r="C5600" s="3" t="str">
        <f>IFERROR(__xludf.DUMMYFUNCTION("GOOGLETRANSLATE(B5600,""id"",""en"")"),"['Provider', 'Worst', 'quota', 'unlimited', 'used', 'used', 'Tiktok', 'quota', 'main', 'quota', 'main', 'buy', ' Unlimited ',' Different ',' purchase ',' suck ',' quota ',' main ',' unlimited ',' quota ',' expensive ',' pay ',' quality ',' signal ',' bad "&amp;"' , 'service', 'ugly']")</f>
        <v>['Provider', 'Worst', 'quota', 'unlimited', 'used', 'used', 'Tiktok', 'quota', 'main', 'quota', 'main', 'buy', ' Unlimited ',' Different ',' purchase ',' suck ',' quota ',' main ',' unlimited ',' quota ',' expensive ',' pay ',' quality ',' signal ',' bad ' , 'service', 'ugly']</v>
      </c>
      <c r="D5600" s="3">
        <v>1.0</v>
      </c>
    </row>
    <row r="5601" ht="15.75" customHeight="1">
      <c r="A5601" s="1">
        <v>5991.0</v>
      </c>
      <c r="B5601" s="3" t="s">
        <v>5347</v>
      </c>
      <c r="C5601" s="3" t="str">
        <f>IFERROR(__xludf.DUMMYFUNCTION("GOOGLETRANSLATE(B5601,""id"",""en"")"),"['The application', 'good', 'check', 'quota', 'just', 'suggestion', 'ads',' put ',' watch ',' youtube ',' as', 'customer', ' Telkomsel ',' Kcewa ',' ads', 'annoying', 'watch', 'youtube', 'customer', 'loss',' klau ',' bgin ',' please ',' eliminated ',' cus"&amp;"tomer ' , 'satisfied', '']")</f>
        <v>['The application', 'good', 'check', 'quota', 'just', 'suggestion', 'ads',' put ',' watch ',' youtube ',' as', 'customer', ' Telkomsel ',' Kcewa ',' ads', 'annoying', 'watch', 'youtube', 'customer', 'loss',' klau ',' bgin ',' please ',' eliminated ',' customer ' , 'satisfied', '']</v>
      </c>
      <c r="D5601" s="3">
        <v>2.0</v>
      </c>
    </row>
    <row r="5602" ht="15.75" customHeight="1">
      <c r="A5602" s="1">
        <v>5992.0</v>
      </c>
      <c r="B5602" s="3" t="s">
        <v>5348</v>
      </c>
      <c r="C5602" s="3" t="str">
        <f>IFERROR(__xludf.DUMMYFUNCTION("GOOGLETRANSLATE(B5602,""id"",""en"")"),"['Mantap', 'Membanbtu']")</f>
        <v>['Mantap', 'Membanbtu']</v>
      </c>
      <c r="D5602" s="3">
        <v>5.0</v>
      </c>
    </row>
    <row r="5603" ht="15.75" customHeight="1">
      <c r="A5603" s="1">
        <v>5993.0</v>
      </c>
      <c r="B5603" s="3" t="s">
        <v>5349</v>
      </c>
      <c r="C5603" s="3" t="str">
        <f>IFERROR(__xludf.DUMMYFUNCTION("GOOGLETRANSLATE(B5603,""id"",""en"")"),"['signal', 'ilang', 'play', 'game', 'online', 'goibih', 'signal']")</f>
        <v>['signal', 'ilang', 'play', 'game', 'online', 'goibih', 'signal']</v>
      </c>
      <c r="D5603" s="3">
        <v>1.0</v>
      </c>
    </row>
    <row r="5604" ht="15.75" customHeight="1">
      <c r="A5604" s="1">
        <v>5994.0</v>
      </c>
      <c r="B5604" s="3" t="s">
        <v>5350</v>
      </c>
      <c r="C5604" s="3" t="str">
        <f>IFERROR(__xludf.DUMMYFUNCTION("GOOGLETRANSLATE(B5604,""id"",""en"")"),"['Level', 'Quality', 'Network', 'Lotsin', 'Promo', 'Rates', 'Cheap']")</f>
        <v>['Level', 'Quality', 'Network', 'Lotsin', 'Promo', 'Rates', 'Cheap']</v>
      </c>
      <c r="D5604" s="3">
        <v>3.0</v>
      </c>
    </row>
    <row r="5605" ht="15.75" customHeight="1">
      <c r="A5605" s="1">
        <v>5995.0</v>
      </c>
      <c r="B5605" s="3" t="s">
        <v>5351</v>
      </c>
      <c r="C5605" s="3" t="str">
        <f>IFERROR(__xludf.DUMMYFUNCTION("GOOGLETRANSLATE(B5605,""id"",""en"")"),"['Price', 'expensive', 'signal', 'bad', 'card', 'Indonesia', 'pdahal', 'cheap', 'TPI', 'fast']")</f>
        <v>['Price', 'expensive', 'signal', 'bad', 'card', 'Indonesia', 'pdahal', 'cheap', 'TPI', 'fast']</v>
      </c>
      <c r="D5605" s="3">
        <v>1.0</v>
      </c>
    </row>
    <row r="5606" ht="15.75" customHeight="1">
      <c r="A5606" s="1">
        <v>5996.0</v>
      </c>
      <c r="B5606" s="3" t="s">
        <v>5352</v>
      </c>
      <c r="C5606" s="3" t="str">
        <f>IFERROR(__xludf.DUMMYFUNCTION("GOOGLETRANSLATE(B5606,""id"",""en"")"),"['steady', 'please', 'promo', 'data', 'mksh']")</f>
        <v>['steady', 'please', 'promo', 'data', 'mksh']</v>
      </c>
      <c r="D5606" s="3">
        <v>5.0</v>
      </c>
    </row>
    <row r="5607" ht="15.75" customHeight="1">
      <c r="A5607" s="1">
        <v>5997.0</v>
      </c>
      <c r="B5607" s="3" t="s">
        <v>5353</v>
      </c>
      <c r="C5607" s="3" t="str">
        <f>IFERROR(__xludf.DUMMYFUNCTION("GOOGLETRANSLATE(B5607,""id"",""en"")"),"['Forced', 'Telkomsel', 'Provider', 'Lian', 'Monopoly', 'Telkomsel', 'Territory', 'East', 'Paketan', 'Internet', 'Telkomsel', 'expensive']")</f>
        <v>['Forced', 'Telkomsel', 'Provider', 'Lian', 'Monopoly', 'Telkomsel', 'Territory', 'East', 'Paketan', 'Internet', 'Telkomsel', 'expensive']</v>
      </c>
      <c r="D5607" s="3">
        <v>1.0</v>
      </c>
    </row>
    <row r="5608" ht="15.75" customHeight="1">
      <c r="A5608" s="1">
        <v>5998.0</v>
      </c>
      <c r="B5608" s="3" t="s">
        <v>5354</v>
      </c>
      <c r="C5608" s="3" t="str">
        <f>IFERROR(__xludf.DUMMYFUNCTION("GOOGLETRANSLATE(B5608,""id"",""en"")"),"['', 'gift', 'ATAW', 'award', 'number', 'skali', 'use', 'Telkomsel', 'Tolg', 'Consider', '']")</f>
        <v>['', 'gift', 'ATAW', 'award', 'number', 'skali', 'use', 'Telkomsel', 'Tolg', 'Consider', '']</v>
      </c>
      <c r="D5608" s="3">
        <v>4.0</v>
      </c>
    </row>
    <row r="5609" ht="15.75" customHeight="1">
      <c r="A5609" s="1">
        <v>5999.0</v>
      </c>
      <c r="B5609" s="3" t="s">
        <v>5355</v>
      </c>
      <c r="C5609" s="3" t="str">
        <f>IFERROR(__xludf.DUMMYFUNCTION("GOOGLETRANSLATE(B5609,""id"",""en"")"),"['Okay', 'Tsel', 'complaints', 'responded to', 'Hopefully', 'response', 'DNG', 'Addin', ""]")</f>
        <v>['Okay', 'Tsel', 'complaints', 'responded to', 'Hopefully', 'response', 'DNG', 'Addin', "]</v>
      </c>
      <c r="D5609" s="3">
        <v>5.0</v>
      </c>
    </row>
    <row r="5610" ht="15.75" customHeight="1">
      <c r="A5610" s="1">
        <v>6000.0</v>
      </c>
      <c r="B5610" s="3" t="s">
        <v>5356</v>
      </c>
      <c r="C5610" s="3" t="str">
        <f>IFERROR(__xludf.DUMMYFUNCTION("GOOGLETRANSLATE(B5610,""id"",""en"")"),"['The network', 'useful', 'Telkomsel', 'thinking', 'repairs',' response ',' service ',' bad ',' solution ',' use ',' Telkomsel ',' bad ',' Tsel ',' concern ',' comfort ',' consumer ']")</f>
        <v>['The network', 'useful', 'Telkomsel', 'thinking', 'repairs',' response ',' service ',' bad ',' solution ',' use ',' Telkomsel ',' bad ',' Tsel ',' concern ',' comfort ',' consumer ']</v>
      </c>
      <c r="D5610" s="3">
        <v>1.0</v>
      </c>
    </row>
    <row r="5611" ht="15.75" customHeight="1">
      <c r="A5611" s="1">
        <v>6001.0</v>
      </c>
      <c r="B5611" s="3" t="s">
        <v>5357</v>
      </c>
      <c r="C5611" s="3" t="str">
        <f>IFERROR(__xludf.DUMMYFUNCTION("GOOGLETRANSLATE(B5611,""id"",""en"")"),"['MyTelkomsel', 'Help', 'satisfying']")</f>
        <v>['MyTelkomsel', 'Help', 'satisfying']</v>
      </c>
      <c r="D5611" s="3">
        <v>5.0</v>
      </c>
    </row>
    <row r="5612" ht="15.75" customHeight="1">
      <c r="A5612" s="1">
        <v>6002.0</v>
      </c>
      <c r="B5612" s="3" t="s">
        <v>5358</v>
      </c>
      <c r="C5612" s="3" t="str">
        <f>IFERROR(__xludf.DUMMYFUNCTION("GOOGLETRANSLATE(B5612,""id"",""en"")"),"['', 'buy', 'package', 'telephone', 'sms',' price ',' active ',' active ',' active ',' package ',' corruption ',' Telkomsel ',' Hedeh ',' ']")</f>
        <v>['', 'buy', 'package', 'telephone', 'sms',' price ',' active ',' active ',' active ',' package ',' corruption ',' Telkomsel ',' Hedeh ',' ']</v>
      </c>
      <c r="D5612" s="3">
        <v>4.0</v>
      </c>
    </row>
    <row r="5613" ht="15.75" customHeight="1">
      <c r="A5613" s="1">
        <v>6003.0</v>
      </c>
      <c r="B5613" s="3" t="s">
        <v>5359</v>
      </c>
      <c r="C5613" s="3" t="str">
        <f>IFERROR(__xludf.DUMMYFUNCTION("GOOGLETRANSLATE(B5613,""id"",""en"")"),"['delicious', 'simple', 'gqfang', 'access', 'sometimes', 'logout', '']")</f>
        <v>['delicious', 'simple', 'gqfang', 'access', 'sometimes', 'logout', '']</v>
      </c>
      <c r="D5613" s="3">
        <v>5.0</v>
      </c>
    </row>
    <row r="5614" ht="15.75" customHeight="1">
      <c r="A5614" s="1">
        <v>6004.0</v>
      </c>
      <c r="B5614" s="3" t="s">
        <v>5360</v>
      </c>
      <c r="C5614" s="3" t="str">
        <f>IFERROR(__xludf.DUMMYFUNCTION("GOOGLETRANSLATE(B5614,""id"",""en"")"),"['application', 'quota', 'internet', 'save', 'anywapun', 'open', 'youtube', 'open', 'games',' quota ',' internet ',' save ',' Download ',' Application ',' Telkomsel ',' Come ',' As soon as', 'Download', 'Application']")</f>
        <v>['application', 'quota', 'internet', 'save', 'anywapun', 'open', 'youtube', 'open', 'games',' quota ',' internet ',' save ',' Download ',' Application ',' Telkomsel ',' Come ',' As soon as', 'Download', 'Application']</v>
      </c>
      <c r="D5614" s="3">
        <v>5.0</v>
      </c>
    </row>
    <row r="5615" ht="15.75" customHeight="1">
      <c r="A5615" s="1">
        <v>6005.0</v>
      </c>
      <c r="B5615" s="3" t="s">
        <v>5361</v>
      </c>
      <c r="C5615" s="3" t="str">
        <f>IFERROR(__xludf.DUMMYFUNCTION("GOOGLETRANSLATE(B5615,""id"",""en"")"),"['Please', 'Lahhh', 'System', 'Suck', 'Credit', 'Deleted', 'Harm', 'Consumer', 'Please', 'Study', 'System', 'convenience', ' customers', 'block', 'access',' internet ',' package ',' data ',' run out ',' play ',' suck ',' pulses', '']")</f>
        <v>['Please', 'Lahhh', 'System', 'Suck', 'Credit', 'Deleted', 'Harm', 'Consumer', 'Please', 'Study', 'System', 'convenience', ' customers', 'block', 'access',' internet ',' package ',' data ',' run out ',' play ',' suck ',' pulses', '']</v>
      </c>
      <c r="D5615" s="3">
        <v>1.0</v>
      </c>
    </row>
    <row r="5616" ht="15.75" customHeight="1">
      <c r="A5616" s="1">
        <v>6006.0</v>
      </c>
      <c r="B5616" s="3" t="s">
        <v>5362</v>
      </c>
      <c r="C5616" s="3" t="str">
        <f>IFERROR(__xludf.DUMMYFUNCTION("GOOGLETRANSLATE(B5616,""id"",""en"")"),"['buy', 'package', 'failed', 'appears', 'oopss', 'something', 'wrong', 'error', 'try', 'already', 'try', 'tetep']")</f>
        <v>['buy', 'package', 'failed', 'appears', 'oopss', 'something', 'wrong', 'error', 'try', 'already', 'try', 'tetep']</v>
      </c>
      <c r="D5616" s="3">
        <v>3.0</v>
      </c>
    </row>
    <row r="5617" ht="15.75" customHeight="1">
      <c r="A5617" s="1">
        <v>6007.0</v>
      </c>
      <c r="B5617" s="3" t="s">
        <v>5363</v>
      </c>
      <c r="C5617" s="3" t="str">
        <f>IFERROR(__xludf.DUMMYFUNCTION("GOOGLETRANSLATE(B5617,""id"",""en"")"),"['Update', 'Paketan', 'Telvon', 'Daily', 'CMA', 'Stlah', 'Update', 'Steady', 'Times',' Ride ',' Price ',' Law ',' Clowns', 'Paketan', 'Ngilak', '']")</f>
        <v>['Update', 'Paketan', 'Telvon', 'Daily', 'CMA', 'Stlah', 'Update', 'Steady', 'Times',' Ride ',' Price ',' Law ',' Clowns', 'Paketan', 'Ngilak', '']</v>
      </c>
      <c r="D5617" s="3">
        <v>1.0</v>
      </c>
    </row>
    <row r="5618" ht="15.75" customHeight="1">
      <c r="A5618" s="1">
        <v>6008.0</v>
      </c>
      <c r="B5618" s="3" t="s">
        <v>5364</v>
      </c>
      <c r="C5618" s="3" t="str">
        <f>IFERROR(__xludf.DUMMYFUNCTION("GOOGLETRANSLATE(B5618,""id"",""en"")"),"['Mahu', 'enter', 'Sound', ""]")</f>
        <v>['Mahu', 'enter', 'Sound', "]</v>
      </c>
      <c r="D5618" s="3">
        <v>5.0</v>
      </c>
    </row>
    <row r="5619" ht="15.75" customHeight="1">
      <c r="A5619" s="1">
        <v>6009.0</v>
      </c>
      <c r="B5619" s="3" t="s">
        <v>5365</v>
      </c>
      <c r="C5619" s="3" t="str">
        <f>IFERROR(__xludf.DUMMYFUNCTION("GOOGLETRANSLATE(B5619,""id"",""en"")"),"['Package', 'call', 'a month', 'RbU', 'RbU', 'expensive', 'Telkom', 'cell', 'disappointed', ""]")</f>
        <v>['Package', 'call', 'a month', 'RbU', 'RbU', 'expensive', 'Telkom', 'cell', 'disappointed', "]</v>
      </c>
      <c r="D5619" s="3">
        <v>1.0</v>
      </c>
    </row>
    <row r="5620" ht="15.75" customHeight="1">
      <c r="A5620" s="1">
        <v>6010.0</v>
      </c>
      <c r="B5620" s="3" t="s">
        <v>5366</v>
      </c>
      <c r="C5620" s="3" t="str">
        <f>IFERROR(__xludf.DUMMYFUNCTION("GOOGLETRANSLATE(B5620,""id"",""en"")"),"['Package', 'expensive', 'signal', 'ugly', 'bad', 'karuan', 'hadehhhhhhhhhhhhhhhhhhhhhhhhhhhhhhhhhhhhhhhhhhhhhhhhhhhhhhhhhhhhhhhhhhhhhhhhhhhhhhhhhhhhhhhhhhhhhhhhhhhhhhhhhhhhhhhhhhhhhhhhhhhhhhhhhhhhhhhhhhhhhhhhhhhhh")</f>
        <v>['Package', 'expensive', 'signal', 'ugly', 'bad', 'karuan', 'hadehhhhhhhhhhhhhhhhhhhhhhhhhhhhhhhhhhhhhhhhhhhhhhhhhhhhhhhhhhhhhhhhhhhhhhhhhhhhhhhhhhhhhhhhhhhhhhhhhhhhhhhhhhhhhhhhhhhhhhhhhhhhhhhhhhhhhhhhhhhhhhhhhhhhh</v>
      </c>
      <c r="D5620" s="3">
        <v>1.0</v>
      </c>
    </row>
    <row r="5621" ht="15.75" customHeight="1">
      <c r="A5621" s="1">
        <v>6011.0</v>
      </c>
      <c r="B5621" s="3" t="s">
        <v>5367</v>
      </c>
      <c r="C5621" s="3" t="str">
        <f>IFERROR(__xludf.DUMMYFUNCTION("GOOGLETRANSLATE(B5621,""id"",""en"")"),"['It's easy', '']")</f>
        <v>['It's easy', '']</v>
      </c>
      <c r="D5621" s="3">
        <v>5.0</v>
      </c>
    </row>
    <row r="5622" ht="15.75" customHeight="1">
      <c r="A5622" s="1">
        <v>6012.0</v>
      </c>
      <c r="B5622" s="3" t="s">
        <v>5368</v>
      </c>
      <c r="C5622" s="3" t="str">
        <f>IFERROR(__xludf.DUMMYFUNCTION("GOOGLETRANSLATE(B5622,""id"",""en"")"),"['Love', 'star', 'questions', 'in the region', 'network', 'good', 'Please', 'fix', 'region']")</f>
        <v>['Love', 'star', 'questions', 'in the region', 'network', 'good', 'Please', 'fix', 'region']</v>
      </c>
      <c r="D5622" s="3">
        <v>1.0</v>
      </c>
    </row>
    <row r="5623" ht="15.75" customHeight="1">
      <c r="A5623" s="1">
        <v>6013.0</v>
      </c>
      <c r="B5623" s="3" t="s">
        <v>5369</v>
      </c>
      <c r="C5623" s="3" t="str">
        <f>IFERROR(__xludf.DUMMYFUNCTION("GOOGLETRANSLATE(B5623,""id"",""en"")"),"['bad network', '']")</f>
        <v>['bad network', '']</v>
      </c>
      <c r="D5623" s="3">
        <v>4.0</v>
      </c>
    </row>
    <row r="5624" ht="15.75" customHeight="1">
      <c r="A5624" s="1">
        <v>6014.0</v>
      </c>
      <c r="B5624" s="3" t="s">
        <v>5370</v>
      </c>
      <c r="C5624" s="3" t="str">
        <f>IFERROR(__xludf.DUMMYFUNCTION("GOOGLETRANSLATE(B5624,""id"",""en"")"),"['Fraudster', 'Credit', 'Install', 'Log', 'Telkom', 'Hoax', 'Install', 'Penypi']")</f>
        <v>['Fraudster', 'Credit', 'Install', 'Log', 'Telkom', 'Hoax', 'Install', 'Penypi']</v>
      </c>
      <c r="D5624" s="3">
        <v>1.0</v>
      </c>
    </row>
    <row r="5625" ht="15.75" customHeight="1">
      <c r="A5625" s="1">
        <v>6015.0</v>
      </c>
      <c r="B5625" s="3" t="s">
        <v>4900</v>
      </c>
      <c r="C5625" s="3" t="str">
        <f>IFERROR(__xludf.DUMMYFUNCTION("GOOGLETRANSLATE(B5625,""id"",""en"")"),"['okay']")</f>
        <v>['okay']</v>
      </c>
      <c r="D5625" s="3">
        <v>5.0</v>
      </c>
    </row>
    <row r="5626" ht="15.75" customHeight="1">
      <c r="A5626" s="1">
        <v>6016.0</v>
      </c>
      <c r="B5626" s="3" t="s">
        <v>5371</v>
      </c>
      <c r="C5626" s="3" t="str">
        <f>IFERROR(__xludf.DUMMYFUNCTION("GOOGLETRANSLATE(B5626,""id"",""en"")"),"['signal', 'ugly', 'really', 'wasteful', 'kouta']")</f>
        <v>['signal', 'ugly', 'really', 'wasteful', 'kouta']</v>
      </c>
      <c r="D5626" s="3">
        <v>1.0</v>
      </c>
    </row>
    <row r="5627" ht="15.75" customHeight="1">
      <c r="A5627" s="1">
        <v>6017.0</v>
      </c>
      <c r="B5627" s="3" t="s">
        <v>5372</v>
      </c>
      <c r="C5627" s="3" t="str">
        <f>IFERROR(__xludf.DUMMYFUNCTION("GOOGLETRANSLATE(B5627,""id"",""en"")"),"['enter', 'APK']")</f>
        <v>['enter', 'APK']</v>
      </c>
      <c r="D5627" s="3">
        <v>5.0</v>
      </c>
    </row>
    <row r="5628" ht="15.75" customHeight="1">
      <c r="A5628" s="1">
        <v>6018.0</v>
      </c>
      <c r="B5628" s="3" t="s">
        <v>5373</v>
      </c>
      <c r="C5628" s="3" t="str">
        <f>IFERROR(__xludf.DUMMYFUNCTION("GOOGLETRANSLATE(B5628,""id"",""en"")"),"['program', 'quota', 'internet', 'help', 'based', 'online', '']")</f>
        <v>['program', 'quota', 'internet', 'help', 'based', 'online', '']</v>
      </c>
      <c r="D5628" s="3">
        <v>5.0</v>
      </c>
    </row>
    <row r="5629" ht="15.75" customHeight="1">
      <c r="A5629" s="1">
        <v>6019.0</v>
      </c>
      <c r="B5629" s="3" t="s">
        <v>5374</v>
      </c>
      <c r="C5629" s="3" t="str">
        <f>IFERROR(__xludf.DUMMYFUNCTION("GOOGLETRANSLATE(B5629,""id"",""en"")"),"['apk', 'difficult', 'opened', 'hpus', 'data', 'then' login ',' open ',' ntar ',' klw ',' kluar ',' hrus ',' repeat ',' Kayk ',' That's', 'Please', 'Fix', 'Jujus',' Customer ',' Loyal ',' Telkomsel ',' Network ',' Signal ',' Telkomsel ',' Friendly ' , 'st"&amp;"able', 'slow', 'Lola', 'so as',' Please ',' Increase ',' Communication ',' Current ',' Trutama ',' Customer ',' Stia ',' Telkomsel ',' ']")</f>
        <v>['apk', 'difficult', 'opened', 'hpus', 'data', 'then' login ',' open ',' ntar ',' klw ',' kluar ',' hrus ',' repeat ',' Kayk ',' That's', 'Please', 'Fix', 'Jujus',' Customer ',' Loyal ',' Telkomsel ',' Network ',' Signal ',' Telkomsel ',' Friendly ' , 'stable', 'slow', 'Lola', 'so as',' Please ',' Increase ',' Communication ',' Current ',' Trutama ',' Customer ',' Stia ',' Telkomsel ',' ']</v>
      </c>
      <c r="D5629" s="3">
        <v>5.0</v>
      </c>
    </row>
    <row r="5630" ht="15.75" customHeight="1">
      <c r="A5630" s="1">
        <v>6020.0</v>
      </c>
      <c r="B5630" s="3" t="s">
        <v>5375</v>
      </c>
      <c r="C5630" s="3" t="str">
        <f>IFERROR(__xludf.DUMMYFUNCTION("GOOGLETRANSLATE(B5630,""id"",""en"")"),"['Information', 'community', 'Indonesia', 'I hope', 'Jaya']")</f>
        <v>['Information', 'community', 'Indonesia', 'I hope', 'Jaya']</v>
      </c>
      <c r="D5630" s="3">
        <v>5.0</v>
      </c>
    </row>
    <row r="5631" ht="15.75" customHeight="1">
      <c r="A5631" s="1">
        <v>6022.0</v>
      </c>
      <c r="B5631" s="3" t="s">
        <v>5376</v>
      </c>
      <c r="C5631" s="3" t="str">
        <f>IFERROR(__xludf.DUMMYFUNCTION("GOOGLETRANSLATE(B5631,""id"",""en"")"),"['sucked', 'pulse', 'smart', 'Telkomsel', 'package', 'sumps', 'pulse', 'top', 'thief']")</f>
        <v>['sucked', 'pulse', 'smart', 'Telkomsel', 'package', 'sumps', 'pulse', 'top', 'thief']</v>
      </c>
      <c r="D5631" s="3">
        <v>1.0</v>
      </c>
    </row>
    <row r="5632" ht="15.75" customHeight="1">
      <c r="A5632" s="1">
        <v>6023.0</v>
      </c>
      <c r="B5632" s="3" t="s">
        <v>5377</v>
      </c>
      <c r="C5632" s="3" t="str">
        <f>IFERROR(__xludf.DUMMYFUNCTION("GOOGLETRANSLATE(B5632,""id"",""en"")"),"['', 'BNGET', 'Anyway']")</f>
        <v>['', 'BNGET', 'Anyway']</v>
      </c>
      <c r="D5632" s="3">
        <v>5.0</v>
      </c>
    </row>
    <row r="5633" ht="15.75" customHeight="1">
      <c r="A5633" s="1">
        <v>6024.0</v>
      </c>
      <c r="B5633" s="3" t="s">
        <v>5378</v>
      </c>
      <c r="C5633" s="3" t="str">
        <f>IFERROR(__xludf.DUMMYFUNCTION("GOOGLETRANSLATE(B5633,""id"",""en"")"),"['knp', 'already', 'cave', 'update', 'ngak', 'entry']")</f>
        <v>['knp', 'already', 'cave', 'update', 'ngak', 'entry']</v>
      </c>
      <c r="D5633" s="3">
        <v>2.0</v>
      </c>
    </row>
    <row r="5634" ht="15.75" customHeight="1">
      <c r="A5634" s="1">
        <v>6025.0</v>
      </c>
      <c r="B5634" s="3" t="s">
        <v>4800</v>
      </c>
      <c r="C5634" s="3" t="str">
        <f>IFERROR(__xludf.DUMMYFUNCTION("GOOGLETRANSLATE(B5634,""id"",""en"")"),"['Telkomsel', 'easy']")</f>
        <v>['Telkomsel', 'easy']</v>
      </c>
      <c r="D5634" s="3">
        <v>5.0</v>
      </c>
    </row>
    <row r="5635" ht="15.75" customHeight="1">
      <c r="A5635" s="1">
        <v>6026.0</v>
      </c>
      <c r="B5635" s="3" t="s">
        <v>5379</v>
      </c>
      <c r="C5635" s="3" t="str">
        <f>IFERROR(__xludf.DUMMYFUNCTION("GOOGLETRANSLATE(B5635,""id"",""en"")"),"['Telkomsel', 'rotten', 'fix', 'change', 'card', '']")</f>
        <v>['Telkomsel', 'rotten', 'fix', 'change', 'card', '']</v>
      </c>
      <c r="D5635" s="3">
        <v>1.0</v>
      </c>
    </row>
    <row r="5636" ht="15.75" customHeight="1">
      <c r="A5636" s="1">
        <v>6027.0</v>
      </c>
      <c r="B5636" s="3" t="s">
        <v>5380</v>
      </c>
      <c r="C5636" s="3" t="str">
        <f>IFERROR(__xludf.DUMMYFUNCTION("GOOGLETRANSLATE(B5636,""id"",""en"")"),"['', 'Housing', 'Graha', 'Martubung', 'Severe', 'times',' KLI ',' Inernet ',' PnTesan ',' Dsini ',' BNYK ',' PKE ',' Product ',' Axiata ']")</f>
        <v>['', 'Housing', 'Graha', 'Martubung', 'Severe', 'times',' KLI ',' Inernet ',' PnTesan ',' Dsini ',' BNYK ',' PKE ',' Product ',' Axiata ']</v>
      </c>
      <c r="D5636" s="3">
        <v>2.0</v>
      </c>
    </row>
    <row r="5637" ht="15.75" customHeight="1">
      <c r="A5637" s="1">
        <v>6028.0</v>
      </c>
      <c r="B5637" s="3" t="s">
        <v>5381</v>
      </c>
      <c r="C5637" s="3" t="str">
        <f>IFERROR(__xludf.DUMMYFUNCTION("GOOGLETRANSLATE(B5637,""id"",""en"")"),"['Love', 'star', 'satisfying', 'star', '']")</f>
        <v>['Love', 'star', 'satisfying', 'star', '']</v>
      </c>
      <c r="D5637" s="3">
        <v>5.0</v>
      </c>
    </row>
    <row r="5638" ht="15.75" customHeight="1">
      <c r="A5638" s="1">
        <v>6029.0</v>
      </c>
      <c r="B5638" s="3" t="s">
        <v>5382</v>
      </c>
      <c r="C5638" s="3" t="str">
        <f>IFERROR(__xludf.DUMMYFUNCTION("GOOGLETRANSLATE(B5638,""id"",""en"")"),"['The application', 'Good', 'Love', 'Star', 'Signal', 'Low', 'Look', 'Level', 'Bar', 'Please', 'Fix']")</f>
        <v>['The application', 'Good', 'Love', 'Star', 'Signal', 'Low', 'Look', 'Level', 'Bar', 'Please', 'Fix']</v>
      </c>
      <c r="D5638" s="3">
        <v>4.0</v>
      </c>
    </row>
    <row r="5639" ht="15.75" customHeight="1">
      <c r="A5639" s="1">
        <v>6030.0</v>
      </c>
      <c r="B5639" s="3" t="s">
        <v>5383</v>
      </c>
      <c r="C5639" s="3" t="str">
        <f>IFERROR(__xludf.DUMMYFUNCTION("GOOGLETRANSLATE(B5639,""id"",""en"")"),"['Telkomsel', 'package', 'internet', 'area', 'expensive', 'njingggg', 'Telkomsel', 'fast', 'rich', 'what', 'expensive', 'really']")</f>
        <v>['Telkomsel', 'package', 'internet', 'area', 'expensive', 'njingggg', 'Telkomsel', 'fast', 'rich', 'what', 'expensive', 'really']</v>
      </c>
      <c r="D5639" s="3">
        <v>3.0</v>
      </c>
    </row>
    <row r="5640" ht="15.75" customHeight="1">
      <c r="A5640" s="1">
        <v>6031.0</v>
      </c>
      <c r="B5640" s="3" t="s">
        <v>5384</v>
      </c>
      <c r="C5640" s="3" t="str">
        <f>IFERROR(__xludf.DUMMYFUNCTION("GOOGLETRANSLATE(B5640,""id"",""en"")"),"['', 'promo', 'internet', 'cheap', 'telkomel']")</f>
        <v>['', 'promo', 'internet', 'cheap', 'telkomel']</v>
      </c>
      <c r="D5640" s="3">
        <v>5.0</v>
      </c>
    </row>
    <row r="5641" ht="15.75" customHeight="1">
      <c r="A5641" s="1">
        <v>6032.0</v>
      </c>
      <c r="B5641" s="3" t="s">
        <v>5385</v>
      </c>
      <c r="C5641" s="3" t="str">
        <f>IFERROR(__xludf.DUMMYFUNCTION("GOOGLETRANSLATE(B5641,""id"",""en"")"),"['The application', 'Useful']")</f>
        <v>['The application', 'Useful']</v>
      </c>
      <c r="D5641" s="3">
        <v>5.0</v>
      </c>
    </row>
    <row r="5642" ht="15.75" customHeight="1">
      <c r="A5642" s="1">
        <v>6033.0</v>
      </c>
      <c r="B5642" s="3" t="s">
        <v>5386</v>
      </c>
      <c r="C5642" s="3" t="str">
        <f>IFERROR(__xludf.DUMMYFUNCTION("GOOGLETRANSLATE(B5642,""id"",""en"")"),"['', 'loyal', 'Telkom', 'Karene', 'aspects', 'signal', 'package', 'internet', 'rare', 'trobel', ""]")</f>
        <v>['', 'loyal', 'Telkom', 'Karene', 'aspects', 'signal', 'package', 'internet', 'rare', 'trobel', "]</v>
      </c>
      <c r="D5642" s="3">
        <v>5.0</v>
      </c>
    </row>
    <row r="5643" ht="15.75" customHeight="1">
      <c r="A5643" s="1">
        <v>6034.0</v>
      </c>
      <c r="B5643" s="3" t="s">
        <v>5387</v>
      </c>
      <c r="C5643" s="3" t="str">
        <f>IFERROR(__xludf.DUMMYFUNCTION("GOOGLETRANSLATE(B5643,""id"",""en"")"),"['Help', 'setting', 'usage', 'quota', 'call']")</f>
        <v>['Help', 'setting', 'usage', 'quota', 'call']</v>
      </c>
      <c r="D5643" s="3">
        <v>5.0</v>
      </c>
    </row>
    <row r="5644" ht="15.75" customHeight="1">
      <c r="A5644" s="1">
        <v>6035.0</v>
      </c>
      <c r="B5644" s="3" t="s">
        <v>5388</v>
      </c>
      <c r="C5644" s="3" t="str">
        <f>IFERROR(__xludf.DUMMYFUNCTION("GOOGLETRANSLATE(B5644,""id"",""en"")"),"['quota', 'expensive', 'reach', 'broad', 'BUMN', 'Tetep', 'die', 'lights', 'signal', 'dead', 'provider', 'until' Several ']")</f>
        <v>['quota', 'expensive', 'reach', 'broad', 'BUMN', 'Tetep', 'die', 'lights', 'signal', 'dead', 'provider', 'until' Several ']</v>
      </c>
      <c r="D5644" s="3">
        <v>1.0</v>
      </c>
    </row>
    <row r="5645" ht="15.75" customHeight="1">
      <c r="A5645" s="1">
        <v>6036.0</v>
      </c>
      <c r="B5645" s="3" t="s">
        <v>5389</v>
      </c>
      <c r="C5645" s="3" t="str">
        <f>IFERROR(__xludf.DUMMYFUNCTION("GOOGLETRANSLATE(B5645,""id"",""en"")"),"['Bgus', 'Baget', 'Youna', 'Pakek', 'Kek', 'Ginian']")</f>
        <v>['Bgus', 'Baget', 'Youna', 'Pakek', 'Kek', 'Ginian']</v>
      </c>
      <c r="D5645" s="3">
        <v>5.0</v>
      </c>
    </row>
    <row r="5646" ht="15.75" customHeight="1">
      <c r="A5646" s="1">
        <v>6037.0</v>
      </c>
      <c r="B5646" s="3" t="s">
        <v>5390</v>
      </c>
      <c r="C5646" s="3" t="str">
        <f>IFERROR(__xludf.DUMMYFUNCTION("GOOGLETRANSLATE(B5646,""id"",""en"")"),"['Use', 'Application', 'Telkomsel', 'efficient', 'Please', 'made easier', ""]")</f>
        <v>['Use', 'Application', 'Telkomsel', 'efficient', 'Please', 'made easier', "]</v>
      </c>
      <c r="D5646" s="3">
        <v>4.0</v>
      </c>
    </row>
    <row r="5647" ht="15.75" customHeight="1">
      <c r="A5647" s="1">
        <v>6038.0</v>
      </c>
      <c r="B5647" s="3" t="s">
        <v>5391</v>
      </c>
      <c r="C5647" s="3" t="str">
        <f>IFERROR(__xludf.DUMMYFUNCTION("GOOGLETRANSLATE(B5647,""id"",""en"")"),"['Syyak', 'Bad', 'Bngt', 'in the area', 'dead', 'Lampung', 'signal', 'direct', 'ilang']")</f>
        <v>['Syyak', 'Bad', 'Bngt', 'in the area', 'dead', 'Lampung', 'signal', 'direct', 'ilang']</v>
      </c>
      <c r="D5647" s="3">
        <v>1.0</v>
      </c>
    </row>
    <row r="5648" ht="15.75" customHeight="1">
      <c r="A5648" s="1">
        <v>6039.0</v>
      </c>
      <c r="B5648" s="3" t="s">
        <v>5392</v>
      </c>
      <c r="C5648" s="3" t="str">
        <f>IFERROR(__xludf.DUMMYFUNCTION("GOOGLETRANSLATE(B5648,""id"",""en"")"),"['It's easy', 'check', 'buy', 'quota']")</f>
        <v>['It's easy', 'check', 'buy', 'quota']</v>
      </c>
      <c r="D5648" s="3">
        <v>4.0</v>
      </c>
    </row>
    <row r="5649" ht="15.75" customHeight="1">
      <c r="A5649" s="1">
        <v>6040.0</v>
      </c>
      <c r="B5649" s="3" t="s">
        <v>5393</v>
      </c>
      <c r="C5649" s="3" t="str">
        <f>IFERROR(__xludf.DUMMYFUNCTION("GOOGLETRANSLATE(B5649,""id"",""en"")"),"['Love', 'star', 'Min', 'unlimited', 'youtube', 'eat', 'quota', 'local', 'quota', 'local', 'finished', 'eat', ' Quota ',' Multimedia ',' quota ',' Multimedia ',' Out ',' YouTube ',' Stop ',' Berarrti ',' Unlimited ',' YouTube ',' Min ',' Date ',' apply ' "&amp;", 'data']")</f>
        <v>['Love', 'star', 'Min', 'unlimited', 'youtube', 'eat', 'quota', 'local', 'quota', 'local', 'finished', 'eat', ' Quota ',' Multimedia ',' quota ',' Multimedia ',' Out ',' YouTube ',' Stop ',' Berarrti ',' Unlimited ',' YouTube ',' Min ',' Date ',' apply ' , 'data']</v>
      </c>
      <c r="D5649" s="3">
        <v>1.0</v>
      </c>
    </row>
    <row r="5650" ht="15.75" customHeight="1">
      <c r="A5650" s="1">
        <v>6041.0</v>
      </c>
      <c r="B5650" s="3" t="s">
        <v>5394</v>
      </c>
      <c r="C5650" s="3" t="str">
        <f>IFERROR(__xludf.DUMMYFUNCTION("GOOGLETRANSLATE(B5650,""id"",""en"")"),"['admin', 'Telkomsel', 'Dear', 'please', 'network', 'Telkomsel', 'area', 'fruit', 'stone', 'bandung', 'ugly']")</f>
        <v>['admin', 'Telkomsel', 'Dear', 'please', 'network', 'Telkomsel', 'area', 'fruit', 'stone', 'bandung', 'ugly']</v>
      </c>
      <c r="D5650" s="3">
        <v>2.0</v>
      </c>
    </row>
    <row r="5651" ht="15.75" customHeight="1">
      <c r="A5651" s="1">
        <v>6042.0</v>
      </c>
      <c r="B5651" s="3" t="s">
        <v>5395</v>
      </c>
      <c r="C5651" s="3" t="str">
        <f>IFERROR(__xludf.DUMMYFUNCTION("GOOGLETRANSLATE(B5651,""id"",""en"")"),"['Telkomsel', 'strange', 'already', 'cave', 'contents',' pulse ',' package ',' already ',' buy ',' package ',' the network ',' strange ',' Disappointed ',' cave ']")</f>
        <v>['Telkomsel', 'strange', 'already', 'cave', 'contents',' pulse ',' package ',' already ',' buy ',' package ',' the network ',' strange ',' Disappointed ',' cave ']</v>
      </c>
      <c r="D5651" s="3">
        <v>1.0</v>
      </c>
    </row>
    <row r="5652" ht="15.75" customHeight="1">
      <c r="A5652" s="1">
        <v>6043.0</v>
      </c>
      <c r="B5652" s="3" t="s">
        <v>5396</v>
      </c>
      <c r="C5652" s="3" t="str">
        <f>IFERROR(__xludf.DUMMYFUNCTION("GOOGLETRANSLATE(B5652,""id"",""en"")"),"['', 'card', 'I', 'Sumpot', 'pulses',' quota ',' signal ',' slow ',' package ',' expensive ',' mending ',' moved ',' Axis ']")</f>
        <v>['', 'card', 'I', 'Sumpot', 'pulses',' quota ',' signal ',' slow ',' package ',' expensive ',' mending ',' moved ',' Axis ']</v>
      </c>
      <c r="D5652" s="3">
        <v>1.0</v>
      </c>
    </row>
    <row r="5653" ht="15.75" customHeight="1">
      <c r="A5653" s="1">
        <v>6044.0</v>
      </c>
      <c r="B5653" s="3" t="s">
        <v>5397</v>
      </c>
      <c r="C5653" s="3" t="str">
        <f>IFERROR(__xludf.DUMMYFUNCTION("GOOGLETRANSLATE(B5653,""id"",""en"")"),"['application', 'quality']")</f>
        <v>['application', 'quality']</v>
      </c>
      <c r="D5653" s="3">
        <v>5.0</v>
      </c>
    </row>
    <row r="5654" ht="15.75" customHeight="1">
      <c r="A5654" s="1">
        <v>6045.0</v>
      </c>
      <c r="B5654" s="3" t="s">
        <v>5398</v>
      </c>
      <c r="C5654" s="3" t="str">
        <f>IFERROR(__xludf.DUMMYFUNCTION("GOOGLETRANSLATE(B5654,""id"",""en"")"),"['Alhamdulillah', 'Family', 'Telkomsel', 'Help', 'Family', 'Communicate', 'Thank "",' Love ',' Telkomsel ',""]")</f>
        <v>['Alhamdulillah', 'Family', 'Telkomsel', 'Help', 'Family', 'Communicate', 'Thank ",' Love ',' Telkomsel ',"]</v>
      </c>
      <c r="D5654" s="3">
        <v>5.0</v>
      </c>
    </row>
    <row r="5655" ht="15.75" customHeight="1">
      <c r="A5655" s="1">
        <v>6047.0</v>
      </c>
      <c r="B5655" s="3" t="s">
        <v>5399</v>
      </c>
      <c r="C5655" s="3" t="str">
        <f>IFERROR(__xludf.DUMMYFUNCTION("GOOGLETRANSLATE(B5655,""id"",""en"")"),"['Telkomsel', 'Costs',' Transfer ',' Credit ',' expensive ',' expensive ',' price ',' buy ',' pulses', 'already', 'Telkomsel', 'right', ' Bener ',' Disappointed ',' Transfer ',' Credit ',' Costs', 'spend', 'pulses']")</f>
        <v>['Telkomsel', 'Costs',' Transfer ',' Credit ',' expensive ',' expensive ',' price ',' buy ',' pulses', 'already', 'Telkomsel', 'right', ' Bener ',' Disappointed ',' Transfer ',' Credit ',' Costs', 'spend', 'pulses']</v>
      </c>
      <c r="D5655" s="3">
        <v>1.0</v>
      </c>
    </row>
    <row r="5656" ht="15.75" customHeight="1">
      <c r="A5656" s="1">
        <v>6048.0</v>
      </c>
      <c r="B5656" s="3" t="s">
        <v>5400</v>
      </c>
      <c r="C5656" s="3" t="str">
        <f>IFERROR(__xludf.DUMMYFUNCTION("GOOGLETRANSLATE(B5656,""id"",""en"")"),"['Package', 'price', 'expensive']")</f>
        <v>['Package', 'price', 'expensive']</v>
      </c>
      <c r="D5656" s="3">
        <v>1.0</v>
      </c>
    </row>
    <row r="5657" ht="15.75" customHeight="1">
      <c r="A5657" s="1">
        <v>6049.0</v>
      </c>
      <c r="B5657" s="3" t="s">
        <v>5401</v>
      </c>
      <c r="C5657" s="3" t="str">
        <f>IFERROR(__xludf.DUMMYFUNCTION("GOOGLETRANSLATE(B5657,""id"",""en"")"),"['', 'told', 'update', 'trs', 'emang', 'quota', 'loss', 'bgin', 'telkomsel']")</f>
        <v>['', 'told', 'update', 'trs', 'emang', 'quota', 'loss', 'bgin', 'telkomsel']</v>
      </c>
      <c r="D5657" s="3">
        <v>2.0</v>
      </c>
    </row>
    <row r="5658" ht="15.75" customHeight="1">
      <c r="A5658" s="1">
        <v>6050.0</v>
      </c>
      <c r="B5658" s="3" t="s">
        <v>5402</v>
      </c>
      <c r="C5658" s="3" t="str">
        <f>IFERROR(__xludf.DUMMYFUNCTION("GOOGLETRANSLATE(B5658,""id"",""en"")"),"['', 'Gramapuri', 'Persada', 'Cibitung', 'signal', 'ugly', 'please', 'repaired', 'good', 'auto', 'star', 'thank', 'thank you ',' ']")</f>
        <v>['', 'Gramapuri', 'Persada', 'Cibitung', 'signal', 'ugly', 'please', 'repaired', 'good', 'auto', 'star', 'thank', 'thank you ',' ']</v>
      </c>
      <c r="D5658" s="3">
        <v>1.0</v>
      </c>
    </row>
    <row r="5659" ht="15.75" customHeight="1">
      <c r="A5659" s="1">
        <v>6051.0</v>
      </c>
      <c r="B5659" s="3" t="s">
        <v>5403</v>
      </c>
      <c r="C5659" s="3" t="str">
        <f>IFERROR(__xludf.DUMMYFUNCTION("GOOGLETRANSLATE(B5659,""id"",""en"")"),"['Cool', 'easy']")</f>
        <v>['Cool', 'easy']</v>
      </c>
      <c r="D5659" s="3">
        <v>4.0</v>
      </c>
    </row>
    <row r="5660" ht="15.75" customHeight="1">
      <c r="A5660" s="1">
        <v>6052.0</v>
      </c>
      <c r="B5660" s="3" t="s">
        <v>5404</v>
      </c>
      <c r="C5660" s="3" t="str">
        <f>IFERROR(__xludf.DUMMYFUNCTION("GOOGLETRANSLATE(B5660,""id"",""en"")"),"['Okay', 'deh', 'miles', 'line', 'beach', '']")</f>
        <v>['Okay', 'deh', 'miles', 'line', 'beach', '']</v>
      </c>
      <c r="D5660" s="3">
        <v>5.0</v>
      </c>
    </row>
    <row r="5661" ht="15.75" customHeight="1">
      <c r="A5661" s="1">
        <v>6053.0</v>
      </c>
      <c r="B5661" s="3" t="s">
        <v>5405</v>
      </c>
      <c r="C5661" s="3" t="str">
        <f>IFERROR(__xludf.DUMMYFUNCTION("GOOGLETRANSLATE(B5661,""id"",""en"")"),"['Please', 'rendem', 'Points', 'made', 'edit', 'Points', 'exchanged', 'tks']")</f>
        <v>['Please', 'rendem', 'Points', 'made', 'edit', 'Points', 'exchanged', 'tks']</v>
      </c>
      <c r="D5661" s="3">
        <v>5.0</v>
      </c>
    </row>
    <row r="5662" ht="15.75" customHeight="1">
      <c r="A5662" s="1">
        <v>6054.0</v>
      </c>
      <c r="B5662" s="3" t="s">
        <v>5406</v>
      </c>
      <c r="C5662" s="3" t="str">
        <f>IFERROR(__xludf.DUMMYFUNCTION("GOOGLETRANSLATE(B5662,""id"",""en"")"),"['Level', 'service', 'Telkomsel']")</f>
        <v>['Level', 'service', 'Telkomsel']</v>
      </c>
      <c r="D5662" s="3">
        <v>5.0</v>
      </c>
    </row>
    <row r="5663" ht="15.75" customHeight="1">
      <c r="A5663" s="1">
        <v>6055.0</v>
      </c>
      <c r="B5663" s="3" t="s">
        <v>5407</v>
      </c>
      <c r="C5663" s="3" t="str">
        <f>IFERROR(__xludf.DUMMYFUNCTION("GOOGLETRANSLATE(B5663,""id"",""en"")"),"['Good', 'Wrong', 'Select', '']")</f>
        <v>['Good', 'Wrong', 'Select', '']</v>
      </c>
      <c r="D5663" s="3">
        <v>5.0</v>
      </c>
    </row>
    <row r="5664" ht="15.75" customHeight="1">
      <c r="A5664" s="1">
        <v>6056.0</v>
      </c>
      <c r="B5664" s="3" t="s">
        <v>5408</v>
      </c>
      <c r="C5664" s="3" t="str">
        <f>IFERROR(__xludf.DUMMYFUNCTION("GOOGLETRANSLATE(B5664,""id"",""en"")"),"['Good', 'easy', 'to', 'buy', 'package']")</f>
        <v>['Good', 'easy', 'to', 'buy', 'package']</v>
      </c>
      <c r="D5664" s="3">
        <v>5.0</v>
      </c>
    </row>
    <row r="5665" ht="15.75" customHeight="1">
      <c r="A5665" s="1">
        <v>6057.0</v>
      </c>
      <c r="B5665" s="3" t="s">
        <v>5409</v>
      </c>
      <c r="C5665" s="3" t="str">
        <f>IFERROR(__xludf.DUMMYFUNCTION("GOOGLETRANSLATE(B5665,""id"",""en"")"),"['easy', 'do it']")</f>
        <v>['easy', 'do it']</v>
      </c>
      <c r="D5665" s="3">
        <v>5.0</v>
      </c>
    </row>
    <row r="5666" ht="15.75" customHeight="1">
      <c r="A5666" s="1">
        <v>6059.0</v>
      </c>
      <c r="B5666" s="3" t="s">
        <v>5410</v>
      </c>
      <c r="C5666" s="3" t="str">
        <f>IFERROR(__xludf.DUMMYFUNCTION("GOOGLETRANSLATE(B5666,""id"",""en"")"),"['Disruption', 'Network']")</f>
        <v>['Disruption', 'Network']</v>
      </c>
      <c r="D5666" s="3">
        <v>5.0</v>
      </c>
    </row>
    <row r="5667" ht="15.75" customHeight="1">
      <c r="A5667" s="1">
        <v>6060.0</v>
      </c>
      <c r="B5667" s="3" t="s">
        <v>5411</v>
      </c>
      <c r="C5667" s="3" t="str">
        <f>IFERROR(__xludf.DUMMYFUNCTION("GOOGLETRANSLATE(B5667,""id"",""en"")"),"['free', 'Telkomsel']")</f>
        <v>['free', 'Telkomsel']</v>
      </c>
      <c r="D5667" s="3">
        <v>5.0</v>
      </c>
    </row>
    <row r="5668" ht="15.75" customHeight="1">
      <c r="A5668" s="1">
        <v>6061.0</v>
      </c>
      <c r="B5668" s="3" t="s">
        <v>5412</v>
      </c>
      <c r="C5668" s="3" t="str">
        <f>IFERROR(__xludf.DUMMYFUNCTION("GOOGLETRANSLATE(B5668,""id"",""en"")"),"['Network', 'Internet', 'Area', 'Cempaka', 'White', 'Jakpus', 'Bad']")</f>
        <v>['Network', 'Internet', 'Area', 'Cempaka', 'White', 'Jakpus', 'Bad']</v>
      </c>
      <c r="D5668" s="3">
        <v>3.0</v>
      </c>
    </row>
    <row r="5669" ht="15.75" customHeight="1">
      <c r="A5669" s="1">
        <v>6062.0</v>
      </c>
      <c r="B5669" s="3" t="s">
        <v>5413</v>
      </c>
      <c r="C5669" s="3" t="str">
        <f>IFERROR(__xludf.DUMMYFUNCTION("GOOGLETRANSLATE(B5669,""id"",""en"")"),"['Steady', 'love', 'package', 'cheap']")</f>
        <v>['Steady', 'love', 'package', 'cheap']</v>
      </c>
      <c r="D5669" s="3">
        <v>5.0</v>
      </c>
    </row>
    <row r="5670" ht="15.75" customHeight="1">
      <c r="A5670" s="1">
        <v>6063.0</v>
      </c>
      <c r="B5670" s="3" t="s">
        <v>5414</v>
      </c>
      <c r="C5670" s="3" t="str">
        <f>IFERROR(__xludf.DUMMYFUNCTION("GOOGLETRANSLATE(B5670,""id"",""en"")"),"['Credit', 'Cut', 'quota', 'internet', 'Cut', 'quota', 'main', 'paraaahhhh', 'really', 'Telkomsel', 'jelekkk', 'pulses',' buy ',' quota ',' strange ',' truncated ',' pulse ',' tricks', ""]")</f>
        <v>['Credit', 'Cut', 'quota', 'internet', 'Cut', 'quota', 'main', 'paraaahhhh', 'really', 'Telkomsel', 'jelekkk', 'pulses',' buy ',' quota ',' strange ',' truncated ',' pulse ',' tricks', "]</v>
      </c>
      <c r="D5670" s="3">
        <v>1.0</v>
      </c>
    </row>
    <row r="5671" ht="15.75" customHeight="1">
      <c r="A5671" s="1">
        <v>6064.0</v>
      </c>
      <c r="B5671" s="3" t="s">
        <v>5415</v>
      </c>
      <c r="C5671" s="3" t="str">
        <f>IFERROR(__xludf.DUMMYFUNCTION("GOOGLETRANSLATE(B5671,""id"",""en"")"),"['Add', 'chaotic', 'apk', 'enter', 'class', 'provider', 'number', 'my apk', 'forgiveness', 'deh']")</f>
        <v>['Add', 'chaotic', 'apk', 'enter', 'class', 'provider', 'number', 'my apk', 'forgiveness', 'deh']</v>
      </c>
      <c r="D5671" s="3">
        <v>1.0</v>
      </c>
    </row>
    <row r="5672" ht="15.75" customHeight="1">
      <c r="A5672" s="1">
        <v>6065.0</v>
      </c>
      <c r="B5672" s="3" t="s">
        <v>5416</v>
      </c>
      <c r="C5672" s="3" t="str">
        <f>IFERROR(__xludf.DUMMYFUNCTION("GOOGLETRANSLATE(B5672,""id"",""en"")"),"['makes it easier', 'most', 'hafalin', 'number', 'bust', 'check', 'card']")</f>
        <v>['makes it easier', 'most', 'hafalin', 'number', 'bust', 'check', 'card']</v>
      </c>
      <c r="D5672" s="3">
        <v>3.0</v>
      </c>
    </row>
    <row r="5673" ht="15.75" customHeight="1">
      <c r="A5673" s="1">
        <v>6066.0</v>
      </c>
      <c r="B5673" s="3" t="s">
        <v>5417</v>
      </c>
      <c r="C5673" s="3" t="str">
        <f>IFERROR(__xludf.DUMMYFUNCTION("GOOGLETRANSLATE(B5673,""id"",""en"")"),"['updet', 'money', '']")</f>
        <v>['updet', 'money', '']</v>
      </c>
      <c r="D5673" s="3">
        <v>3.0</v>
      </c>
    </row>
    <row r="5674" ht="15.75" customHeight="1">
      <c r="A5674" s="1">
        <v>6067.0</v>
      </c>
      <c r="B5674" s="3" t="s">
        <v>5418</v>
      </c>
      <c r="C5674" s="3" t="str">
        <f>IFERROR(__xludf.DUMMYFUNCTION("GOOGLETRANSLATE(B5674,""id"",""en"")"),"['Telkom', 'Please', 'Network', 'Lost', 'Already', 'Signal', 'Cave', 'Online', 'Telkom', 'TELKOM', 'Tolooong']")</f>
        <v>['Telkom', 'Please', 'Network', 'Lost', 'Already', 'Signal', 'Cave', 'Online', 'Telkom', 'TELKOM', 'Tolooong']</v>
      </c>
      <c r="D5674" s="3">
        <v>1.0</v>
      </c>
    </row>
    <row r="5675" ht="15.75" customHeight="1">
      <c r="A5675" s="1">
        <v>6068.0</v>
      </c>
      <c r="B5675" s="3" t="s">
        <v>5419</v>
      </c>
      <c r="C5675" s="3" t="str">
        <f>IFERROR(__xludf.DUMMYFUNCTION("GOOGLETRANSLATE(B5675,""id"",""en"")"),"['Network', 'Telkom', 'Slow', 'Since', 'Indihome', 'Telkom', 'Damaged', 'Normal', 'Lemot', ""]")</f>
        <v>['Network', 'Telkom', 'Slow', 'Since', 'Indihome', 'Telkom', 'Damaged', 'Normal', 'Lemot', "]</v>
      </c>
      <c r="D5675" s="3">
        <v>1.0</v>
      </c>
    </row>
    <row r="5676" ht="15.75" customHeight="1">
      <c r="A5676" s="1">
        <v>6069.0</v>
      </c>
      <c r="B5676" s="3" t="s">
        <v>5420</v>
      </c>
      <c r="C5676" s="3" t="str">
        <f>IFERROR(__xludf.DUMMYFUNCTION("GOOGLETRANSLATE(B5676,""id"",""en"")"),"['Try', 'Package', 'Data', 'Credit', 'Suck', '']")</f>
        <v>['Try', 'Package', 'Data', 'Credit', 'Suck', '']</v>
      </c>
      <c r="D5676" s="3">
        <v>3.0</v>
      </c>
    </row>
    <row r="5677" ht="15.75" customHeight="1">
      <c r="A5677" s="1">
        <v>6070.0</v>
      </c>
      <c r="B5677" s="3" t="s">
        <v>5421</v>
      </c>
      <c r="C5677" s="3" t="str">
        <f>IFERROR(__xludf.DUMMYFUNCTION("GOOGLETRANSLATE(B5677,""id"",""en"")"),"['Help', 'buy', 'package', 'internet']")</f>
        <v>['Help', 'buy', 'package', 'internet']</v>
      </c>
      <c r="D5677" s="3">
        <v>5.0</v>
      </c>
    </row>
    <row r="5678" ht="15.75" customHeight="1">
      <c r="A5678" s="1">
        <v>6071.0</v>
      </c>
      <c r="B5678" s="3" t="s">
        <v>5422</v>
      </c>
      <c r="C5678" s="3" t="str">
        <f>IFERROR(__xludf.DUMMYFUNCTION("GOOGLETRANSLATE(B5678,""id"",""en"")"),"['Severe', 'sii', 'application', 'Telkomsel', 'disorder', 'buy', 'package', 'data', 'monthly', 'sorry', 'system', 'disorder', ' try ',' already ',' delete ',' cache ',' app ',' already ',' delete ',' data ',' ']")</f>
        <v>['Severe', 'sii', 'application', 'Telkomsel', 'disorder', 'buy', 'package', 'data', 'monthly', 'sorry', 'system', 'disorder', ' try ',' already ',' delete ',' cache ',' app ',' already ',' delete ',' data ',' ']</v>
      </c>
      <c r="D5678" s="3">
        <v>1.0</v>
      </c>
    </row>
    <row r="5679" ht="15.75" customHeight="1">
      <c r="A5679" s="1">
        <v>6072.0</v>
      </c>
      <c r="B5679" s="3" t="s">
        <v>5423</v>
      </c>
      <c r="C5679" s="3" t="str">
        <f>IFERROR(__xludf.DUMMYFUNCTION("GOOGLETRANSLATE(B5679,""id"",""en"")"),"['ehmm', 'gemes',' every time ',' open ',' application ',' telkomsel ',' blank ',' knp ',' telkomsel ',' closed ',' application ',' pdhl ',' Fill ',' Data ']")</f>
        <v>['ehmm', 'gemes',' every time ',' open ',' application ',' telkomsel ',' blank ',' knp ',' telkomsel ',' closed ',' application ',' pdhl ',' Fill ',' Data ']</v>
      </c>
      <c r="D5679" s="3">
        <v>1.0</v>
      </c>
    </row>
    <row r="5680" ht="15.75" customHeight="1">
      <c r="A5680" s="1">
        <v>6073.0</v>
      </c>
      <c r="B5680" s="3" t="s">
        <v>5424</v>
      </c>
      <c r="C5680" s="3" t="str">
        <f>IFERROR(__xludf.DUMMYFUNCTION("GOOGLETRANSLATE(B5680,""id"",""en"")"),"['buy', 'Package', 'Telkomsel', 'experience', 'disorder', 'disappointed']")</f>
        <v>['buy', 'Package', 'Telkomsel', 'experience', 'disorder', 'disappointed']</v>
      </c>
      <c r="D5680" s="3">
        <v>5.0</v>
      </c>
    </row>
    <row r="5681" ht="15.75" customHeight="1">
      <c r="A5681" s="1">
        <v>6074.0</v>
      </c>
      <c r="B5681" s="3" t="s">
        <v>5425</v>
      </c>
      <c r="C5681" s="3" t="str">
        <f>IFERROR(__xludf.DUMMYFUNCTION("GOOGLETRANSLATE(B5681,""id"",""en"")"),"['App', 'stupid', 'access']")</f>
        <v>['App', 'stupid', 'access']</v>
      </c>
      <c r="D5681" s="3">
        <v>1.0</v>
      </c>
    </row>
    <row r="5682" ht="15.75" customHeight="1">
      <c r="A5682" s="1">
        <v>6075.0</v>
      </c>
      <c r="B5682" s="3" t="s">
        <v>5426</v>
      </c>
      <c r="C5682" s="3" t="str">
        <f>IFERROR(__xludf.DUMMYFUNCTION("GOOGLETRANSLATE(B5682,""id"",""en"")"),"['interesting', 'help', 'learning', 'systematic', 'other', 'thank you', ""]")</f>
        <v>['interesting', 'help', 'learning', 'systematic', 'other', 'thank you', "]</v>
      </c>
      <c r="D5682" s="3">
        <v>4.0</v>
      </c>
    </row>
    <row r="5683" ht="15.75" customHeight="1">
      <c r="A5683" s="1">
        <v>6076.0</v>
      </c>
      <c r="B5683" s="3" t="s">
        <v>5427</v>
      </c>
      <c r="C5683" s="3" t="str">
        <f>IFERROR(__xludf.DUMMYFUNCTION("GOOGLETRANSLATE(B5683,""id"",""en"")"),"['Good', 'hope', 'always', 'awake', 'quality', '']")</f>
        <v>['Good', 'hope', 'always', 'awake', 'quality', '']</v>
      </c>
      <c r="D5683" s="3">
        <v>5.0</v>
      </c>
    </row>
    <row r="5684" ht="15.75" customHeight="1">
      <c r="A5684" s="1">
        <v>6077.0</v>
      </c>
      <c r="B5684" s="3" t="s">
        <v>5428</v>
      </c>
      <c r="C5684" s="3" t="str">
        <f>IFERROR(__xludf.DUMMYFUNCTION("GOOGLETRANSLATE(B5684,""id"",""en"")"),"['hope', 'good', 'the application', 'package', 'data', 'comfortable']")</f>
        <v>['hope', 'good', 'the application', 'package', 'data', 'comfortable']</v>
      </c>
      <c r="D5684" s="3">
        <v>2.0</v>
      </c>
    </row>
    <row r="5685" ht="15.75" customHeight="1">
      <c r="A5685" s="1">
        <v>6078.0</v>
      </c>
      <c r="B5685" s="3" t="s">
        <v>5429</v>
      </c>
      <c r="C5685" s="3" t="str">
        <f>IFERROR(__xludf.DUMMYFUNCTION("GOOGLETRANSLATE(B5685,""id"",""en"")"),"['The network', 'bite', 'shark', ""]")</f>
        <v>['The network', 'bite', 'shark', "]</v>
      </c>
      <c r="D5685" s="3">
        <v>1.0</v>
      </c>
    </row>
    <row r="5686" ht="15.75" customHeight="1">
      <c r="A5686" s="1">
        <v>6079.0</v>
      </c>
      <c r="B5686" s="3" t="s">
        <v>5430</v>
      </c>
      <c r="C5686" s="3" t="str">
        <f>IFERROR(__xludf.DUMMYFUNCTION("GOOGLETRANSLATE(B5686,""id"",""en"")"),"['What', 'yallah', 'already', 'disorder', 'trs',' gabisa ',' contents', 'pulse', 'data', 'etc.', 'yallah', 'what', ' Please ',' his responses', 'system', 'busy', 'system', 'busy', '']")</f>
        <v>['What', 'yallah', 'already', 'disorder', 'trs',' gabisa ',' contents', 'pulse', 'data', 'etc.', 'yallah', 'what', ' Please ',' his responses', 'system', 'busy', 'system', 'busy', '']</v>
      </c>
      <c r="D5686" s="3">
        <v>1.0</v>
      </c>
    </row>
    <row r="5687" ht="15.75" customHeight="1">
      <c r="A5687" s="1">
        <v>6080.0</v>
      </c>
      <c r="B5687" s="3" t="s">
        <v>5431</v>
      </c>
      <c r="C5687" s="3" t="str">
        <f>IFERROR(__xludf.DUMMYFUNCTION("GOOGLETRANSLATE(B5687,""id"",""en"")"),"['Ney', 'Telkomsel', 'stupid', 'idiot', 'bin', 'Marukkk', 'package', 'quota', 'internet', 'msih', 'pulses',' chick ',' Internet ',' Woyyy ',' Malingggggg ',' ']")</f>
        <v>['Ney', 'Telkomsel', 'stupid', 'idiot', 'bin', 'Marukkk', 'package', 'quota', 'internet', 'msih', 'pulses',' chick ',' Internet ',' Woyyy ',' Malingggggg ',' ']</v>
      </c>
      <c r="D5687" s="3">
        <v>1.0</v>
      </c>
    </row>
    <row r="5688" ht="15.75" customHeight="1">
      <c r="A5688" s="1">
        <v>6082.0</v>
      </c>
      <c r="B5688" s="3" t="s">
        <v>3589</v>
      </c>
      <c r="C5688" s="3" t="str">
        <f>IFERROR(__xludf.DUMMYFUNCTION("GOOGLETRANSLATE(B5688,""id"",""en"")"),"['It's easier for']")</f>
        <v>['It's easier for']</v>
      </c>
      <c r="D5688" s="3">
        <v>5.0</v>
      </c>
    </row>
    <row r="5689" ht="15.75" customHeight="1">
      <c r="A5689" s="1">
        <v>6083.0</v>
      </c>
      <c r="B5689" s="3" t="s">
        <v>5432</v>
      </c>
      <c r="C5689" s="3" t="str">
        <f>IFERROR(__xludf.DUMMYFUNCTION("GOOGLETRANSLATE(B5689,""id"",""en"")"),"['Practical', 'The application', 'Easy', 'Thank you', 'Telkomsel']")</f>
        <v>['Practical', 'The application', 'Easy', 'Thank you', 'Telkomsel']</v>
      </c>
      <c r="D5689" s="3">
        <v>5.0</v>
      </c>
    </row>
    <row r="5690" ht="15.75" customHeight="1">
      <c r="A5690" s="1">
        <v>6085.0</v>
      </c>
      <c r="B5690" s="3" t="s">
        <v>5433</v>
      </c>
      <c r="C5690" s="3" t="str">
        <f>IFERROR(__xludf.DUMMYFUNCTION("GOOGLETRANSLATE(B5690,""id"",""en"")"),"['Kang', 'package', 'boss']")</f>
        <v>['Kang', 'package', 'boss']</v>
      </c>
      <c r="D5690" s="3">
        <v>5.0</v>
      </c>
    </row>
    <row r="5691" ht="15.75" customHeight="1">
      <c r="A5691" s="1">
        <v>6086.0</v>
      </c>
      <c r="B5691" s="3" t="s">
        <v>5434</v>
      </c>
      <c r="C5691" s="3" t="str">
        <f>IFERROR(__xludf.DUMMYFUNCTION("GOOGLETRANSLATE(B5691,""id"",""en"")"),"['Disappointed', 'Check', 'Bill', 'Sent', 'Gift', 'See', 'Points']")</f>
        <v>['Disappointed', 'Check', 'Bill', 'Sent', 'Gift', 'See', 'Points']</v>
      </c>
      <c r="D5691" s="3">
        <v>1.0</v>
      </c>
    </row>
    <row r="5692" ht="15.75" customHeight="1">
      <c r="A5692" s="1">
        <v>6087.0</v>
      </c>
      <c r="B5692" s="3" t="s">
        <v>5435</v>
      </c>
      <c r="C5692" s="3" t="str">
        <f>IFERROR(__xludf.DUMMYFUNCTION("GOOGLETRANSLATE(B5692,""id"",""en"")"),"['The application', 'good', 'quota', 'wasteful', 'apply', 'sudh', 'run out', 'wasteful', 'really', ""]")</f>
        <v>['The application', 'good', 'quota', 'wasteful', 'apply', 'sudh', 'run out', 'wasteful', 'really', "]</v>
      </c>
      <c r="D5692" s="3">
        <v>3.0</v>
      </c>
    </row>
    <row r="5693" ht="15.75" customHeight="1">
      <c r="A5693" s="1">
        <v>6088.0</v>
      </c>
      <c r="B5693" s="3" t="s">
        <v>5436</v>
      </c>
      <c r="C5693" s="3" t="str">
        <f>IFERROR(__xludf.DUMMYFUNCTION("GOOGLETRANSLATE(B5693,""id"",""en"")"),"['Try', 'application']")</f>
        <v>['Try', 'application']</v>
      </c>
      <c r="D5693" s="3">
        <v>4.0</v>
      </c>
    </row>
    <row r="5694" ht="15.75" customHeight="1">
      <c r="A5694" s="1">
        <v>6089.0</v>
      </c>
      <c r="B5694" s="3" t="s">
        <v>5437</v>
      </c>
      <c r="C5694" s="3" t="str">
        <f>IFERROR(__xludf.DUMMYFUNCTION("GOOGLETRANSLATE(B5694,""id"",""en"")"),"['intentionally', 'buy', 'package', 'sii', 'buy', 'pulse', 'tbtb', 'run out', 'pulled', 'that's',' ajaa ',' severe ',' Telkomsel ',' skrg ']")</f>
        <v>['intentionally', 'buy', 'package', 'sii', 'buy', 'pulse', 'tbtb', 'run out', 'pulled', 'that's',' ajaa ',' severe ',' Telkomsel ',' skrg ']</v>
      </c>
      <c r="D5694" s="3">
        <v>1.0</v>
      </c>
    </row>
    <row r="5695" ht="15.75" customHeight="1">
      <c r="A5695" s="1">
        <v>6090.0</v>
      </c>
      <c r="B5695" s="3" t="s">
        <v>5438</v>
      </c>
      <c r="C5695" s="3" t="str">
        <f>IFERROR(__xludf.DUMMYFUNCTION("GOOGLETRANSLATE(B5695,""id"",""en"")"),"['quota', 'package', 'bought', 'fast', 'drained', 'network', 'the way', 'snail', 'because', 'number', 'required', 'replace', ' Please, 'Related', 'fix', 'system', 'lucky', 'customer', 'you', 'khatas', ""]")</f>
        <v>['quota', 'package', 'bought', 'fast', 'drained', 'network', 'the way', 'snail', 'because', 'number', 'required', 'replace', ' Please, 'Related', 'fix', 'system', 'lucky', 'customer', 'you', 'khatas', "]</v>
      </c>
      <c r="D5695" s="3">
        <v>1.0</v>
      </c>
    </row>
    <row r="5696" ht="15.75" customHeight="1">
      <c r="A5696" s="1">
        <v>6091.0</v>
      </c>
      <c r="B5696" s="3" t="s">
        <v>5439</v>
      </c>
      <c r="C5696" s="3" t="str">
        <f>IFERROR(__xludf.DUMMYFUNCTION("GOOGLETRANSLATE(B5696,""id"",""en"")"),"['Package', 'Internet', 'Mahalllllll', 'bundling', 'package', 'contents',' Need ',' quota ',' internet ',' Addin ',' Embed ',' Embed ',' Watch ',' signal ',' ugly ',' Telkomsel ',' buy ',' package ',' games', 'notif', 'package', 'games',' Telkomsel ',' Te"&amp;"lkomsel ',' disappointed ' ]")</f>
        <v>['Package', 'Internet', 'Mahalllllll', 'bundling', 'package', 'contents',' Need ',' quota ',' internet ',' Addin ',' Embed ',' Embed ',' Watch ',' signal ',' ugly ',' Telkomsel ',' buy ',' package ',' games', 'notif', 'package', 'games',' Telkomsel ',' Telkomsel ',' disappointed ' ]</v>
      </c>
      <c r="D5696" s="3">
        <v>2.0</v>
      </c>
    </row>
    <row r="5697" ht="15.75" customHeight="1">
      <c r="A5697" s="1">
        <v>6092.0</v>
      </c>
      <c r="B5697" s="3" t="s">
        <v>5440</v>
      </c>
      <c r="C5697" s="3" t="str">
        <f>IFERROR(__xludf.DUMMYFUNCTION("GOOGLETRANSLATE(B5697,""id"",""en"")"),"['Hopefully', 'Lottery', 'Help', 'Folk', 'Indonesia', 'Facing', 'Pandemi']")</f>
        <v>['Hopefully', 'Lottery', 'Help', 'Folk', 'Indonesia', 'Facing', 'Pandemi']</v>
      </c>
      <c r="D5697" s="3">
        <v>5.0</v>
      </c>
    </row>
    <row r="5698" ht="15.75" customHeight="1">
      <c r="A5698" s="1">
        <v>6093.0</v>
      </c>
      <c r="B5698" s="3" t="s">
        <v>5441</v>
      </c>
      <c r="C5698" s="3" t="str">
        <f>IFERROR(__xludf.DUMMYFUNCTION("GOOGLETRANSLATE(B5698,""id"",""en"")"),"['Telkomsel', 'signal', 'like', 'taik', 'already', 'love', 'quality', 'price', 'doang', 'expensive', '']")</f>
        <v>['Telkomsel', 'signal', 'like', 'taik', 'already', 'love', 'quality', 'price', 'doang', 'expensive', '']</v>
      </c>
      <c r="D5698" s="3">
        <v>1.0</v>
      </c>
    </row>
    <row r="5699" ht="15.75" customHeight="1">
      <c r="A5699" s="1">
        <v>6094.0</v>
      </c>
      <c r="B5699" s="3" t="s">
        <v>5442</v>
      </c>
      <c r="C5699" s="3" t="str">
        <f>IFERROR(__xludf.DUMMYFUNCTION("GOOGLETRANSLATE(B5699,""id"",""en"")"),"['Lemot', 'Open', 'Application', 'Telkomsel', '']")</f>
        <v>['Lemot', 'Open', 'Application', 'Telkomsel', '']</v>
      </c>
      <c r="D5699" s="3">
        <v>3.0</v>
      </c>
    </row>
    <row r="5700" ht="15.75" customHeight="1">
      <c r="A5700" s="1">
        <v>6095.0</v>
      </c>
      <c r="B5700" s="3" t="s">
        <v>5443</v>
      </c>
      <c r="C5700" s="3" t="str">
        <f>IFERROR(__xludf.DUMMYFUNCTION("GOOGLETRANSLATE(B5700,""id"",""en"")"),"['offer', 'happy', 'hope', 'bring', 'blessing']")</f>
        <v>['offer', 'happy', 'hope', 'bring', 'blessing']</v>
      </c>
      <c r="D5700" s="3">
        <v>5.0</v>
      </c>
    </row>
    <row r="5701" ht="15.75" customHeight="1">
      <c r="A5701" s="1">
        <v>6096.0</v>
      </c>
      <c r="B5701" s="3" t="s">
        <v>5444</v>
      </c>
      <c r="C5701" s="3" t="str">
        <f>IFERROR(__xludf.DUMMYFUNCTION("GOOGLETRANSLATE(B5701,""id"",""en"")"),"['buy', 'quota', 'gamemax', 'already', 'abis', 'quota', 'main', 'slow', 'abis']")</f>
        <v>['buy', 'quota', 'gamemax', 'already', 'abis', 'quota', 'main', 'slow', 'abis']</v>
      </c>
      <c r="D5701" s="3">
        <v>5.0</v>
      </c>
    </row>
    <row r="5702" ht="15.75" customHeight="1">
      <c r="A5702" s="1">
        <v>6097.0</v>
      </c>
      <c r="B5702" s="3" t="s">
        <v>5445</v>
      </c>
      <c r="C5702" s="3" t="str">
        <f>IFERROR(__xludf.DUMMYFUNCTION("GOOGLETRANSLATE(B5702,""id"",""en"")"),"['Network', 'slow', 'price', 'expensive', 'buy', 'quota', 'pulse', 'used', 'setting', 'quota', 'internet', 'jammed', ' ']")</f>
        <v>['Network', 'slow', 'price', 'expensive', 'buy', 'quota', 'pulse', 'used', 'setting', 'quota', 'internet', 'jammed', ' ']</v>
      </c>
      <c r="D5702" s="3">
        <v>1.0</v>
      </c>
    </row>
    <row r="5703" ht="15.75" customHeight="1">
      <c r="A5703" s="1">
        <v>6098.0</v>
      </c>
      <c r="B5703" s="3" t="s">
        <v>5446</v>
      </c>
      <c r="C5703" s="3" t="str">
        <f>IFERROR(__xludf.DUMMYFUNCTION("GOOGLETRANSLATE(B5703,""id"",""en"")"),"['Good', 'process', 'fast', 'quota', 'smooth', 'slow']")</f>
        <v>['Good', 'process', 'fast', 'quota', 'smooth', 'slow']</v>
      </c>
      <c r="D5703" s="3">
        <v>5.0</v>
      </c>
    </row>
    <row r="5704" ht="15.75" customHeight="1">
      <c r="A5704" s="1">
        <v>6099.0</v>
      </c>
      <c r="B5704" s="3" t="s">
        <v>5447</v>
      </c>
      <c r="C5704" s="3" t="str">
        <f>IFERROR(__xludf.DUMMYFUNCTION("GOOGLETRANSLATE(B5704,""id"",""en"")"),"['Telkomsel', 'Network']")</f>
        <v>['Telkomsel', 'Network']</v>
      </c>
      <c r="D5704" s="3">
        <v>5.0</v>
      </c>
    </row>
    <row r="5705" ht="15.75" customHeight="1">
      <c r="A5705" s="1">
        <v>6100.0</v>
      </c>
      <c r="B5705" s="3" t="s">
        <v>5448</v>
      </c>
      <c r="C5705" s="3" t="str">
        <f>IFERROR(__xludf.DUMMYFUNCTION("GOOGLETRANSLATE(B5705,""id"",""en"")"),"['buy', 'quota', 'education', 'quota', 'main', 'underlook', 'right', 'open', 'application', 'education', 'underlook', 'quota', ' Main ',' management ',' Bener ', ""]")</f>
        <v>['buy', 'quota', 'education', 'quota', 'main', 'underlook', 'right', 'open', 'application', 'education', 'underlook', 'quota', ' Main ',' management ',' Bener ', "]</v>
      </c>
      <c r="D5705" s="3">
        <v>1.0</v>
      </c>
    </row>
    <row r="5706" ht="15.75" customHeight="1">
      <c r="A5706" s="1">
        <v>6101.0</v>
      </c>
      <c r="B5706" s="3" t="s">
        <v>5449</v>
      </c>
      <c r="C5706" s="3" t="str">
        <f>IFERROR(__xludf.DUMMYFUNCTION("GOOGLETRANSLATE(B5706,""id"",""en"")"),"['expensive', 'card', 'old', '']")</f>
        <v>['expensive', 'card', 'old', '']</v>
      </c>
      <c r="D5706" s="3">
        <v>4.0</v>
      </c>
    </row>
    <row r="5707" ht="15.75" customHeight="1">
      <c r="A5707" s="1">
        <v>6102.0</v>
      </c>
      <c r="B5707" s="3" t="s">
        <v>5450</v>
      </c>
      <c r="C5707" s="3" t="str">
        <f>IFERROR(__xludf.DUMMYFUNCTION("GOOGLETRANSLATE(B5707,""id"",""en"")"),"['already', 'cheap', 'network', 'sometimes', 'difficult']")</f>
        <v>['already', 'cheap', 'network', 'sometimes', 'difficult']</v>
      </c>
      <c r="D5707" s="3">
        <v>5.0</v>
      </c>
    </row>
    <row r="5708" ht="15.75" customHeight="1">
      <c r="A5708" s="1">
        <v>6103.0</v>
      </c>
      <c r="B5708" s="3" t="s">
        <v>5451</v>
      </c>
      <c r="C5708" s="3" t="str">
        <f>IFERROR(__xludf.DUMMYFUNCTION("GOOGLETRANSLATE(B5708,""id"",""en"")"),"['bgs', 'sich', 'please', 'slow']")</f>
        <v>['bgs', 'sich', 'please', 'slow']</v>
      </c>
      <c r="D5708" s="3">
        <v>5.0</v>
      </c>
    </row>
    <row r="5709" ht="15.75" customHeight="1">
      <c r="A5709" s="1">
        <v>6104.0</v>
      </c>
      <c r="B5709" s="3" t="s">
        <v>5452</v>
      </c>
      <c r="C5709" s="3" t="str">
        <f>IFERROR(__xludf.DUMMYFUNCTION("GOOGLETRANSLATE(B5709,""id"",""en"")"),"['Hah', 'already', 'fill in', 'pulse', 'RbU', 'lost', 'buy', 'package', 'please', 'the application', 'lined', 'bangettt', ' already ',' fill in ',' pulse ',' eaten ', ""]")</f>
        <v>['Hah', 'already', 'fill in', 'pulse', 'RbU', 'lost', 'buy', 'package', 'please', 'the application', 'lined', 'bangettt', ' already ',' fill in ',' pulse ',' eaten ', "]</v>
      </c>
      <c r="D5709" s="3">
        <v>1.0</v>
      </c>
    </row>
    <row r="5710" ht="15.75" customHeight="1">
      <c r="A5710" s="1">
        <v>6105.0</v>
      </c>
      <c r="B5710" s="3" t="s">
        <v>5453</v>
      </c>
      <c r="C5710" s="3" t="str">
        <f>IFERROR(__xludf.DUMMYFUNCTION("GOOGLETRANSLATE(B5710,""id"",""en"")"),"['Closed', 'Application', 'Opened', 'Error', 'Mandatory', 'Install', 'reset', 'Open', 'Dilapidated', 'Lost', 'Application', 'Finance', ' Level ',' ']")</f>
        <v>['Closed', 'Application', 'Opened', 'Error', 'Mandatory', 'Install', 'reset', 'Open', 'Dilapidated', 'Lost', 'Application', 'Finance', ' Level ',' ']</v>
      </c>
      <c r="D5710" s="3">
        <v>1.0</v>
      </c>
    </row>
    <row r="5711" ht="15.75" customHeight="1">
      <c r="A5711" s="1">
        <v>6106.0</v>
      </c>
      <c r="B5711" s="3" t="s">
        <v>5454</v>
      </c>
      <c r="C5711" s="3" t="str">
        <f>IFERROR(__xludf.DUMMYFUNCTION("GOOGLETRANSLATE(B5711,""id"",""en"")"),"['forward', 'steady', 'boss', '']")</f>
        <v>['forward', 'steady', 'boss', '']</v>
      </c>
      <c r="D5711" s="3">
        <v>5.0</v>
      </c>
    </row>
    <row r="5712" ht="15.75" customHeight="1">
      <c r="A5712" s="1">
        <v>6107.0</v>
      </c>
      <c r="B5712" s="3" t="s">
        <v>5455</v>
      </c>
      <c r="C5712" s="3" t="str">
        <f>IFERROR(__xludf.DUMMYFUNCTION("GOOGLETRANSLATE(B5712,""id"",""en"")"),"['best', 'help', 'purchase', 'pulsar', 'package', 'data']")</f>
        <v>['best', 'help', 'purchase', 'pulsar', 'package', 'data']</v>
      </c>
      <c r="D5712" s="3">
        <v>5.0</v>
      </c>
    </row>
    <row r="5713" ht="15.75" customHeight="1">
      <c r="A5713" s="1">
        <v>6108.0</v>
      </c>
      <c r="B5713" s="3" t="s">
        <v>5456</v>
      </c>
      <c r="C5713" s="3" t="str">
        <f>IFERROR(__xludf.DUMMYFUNCTION("GOOGLETRANSLATE(B5713,""id"",""en"")"),"['klu', 'good']")</f>
        <v>['klu', 'good']</v>
      </c>
      <c r="D5713" s="3">
        <v>3.0</v>
      </c>
    </row>
    <row r="5714" ht="15.75" customHeight="1">
      <c r="A5714" s="1">
        <v>6109.0</v>
      </c>
      <c r="B5714" s="3" t="s">
        <v>5457</v>
      </c>
      <c r="C5714" s="3" t="str">
        <f>IFERROR(__xludf.DUMMYFUNCTION("GOOGLETRANSLATE(B5714,""id"",""en"")"),"['disappointed', 'package', 'education', 'quota', 'learn', 'RB', 'removed', 'disappointed', 'price', 'expensive', 'signal', 'ugly', ' Really ',' Mending ',' Change ',' Card ']")</f>
        <v>['disappointed', 'package', 'education', 'quota', 'learn', 'RB', 'removed', 'disappointed', 'price', 'expensive', 'signal', 'ugly', ' Really ',' Mending ',' Change ',' Card ']</v>
      </c>
      <c r="D5714" s="3">
        <v>1.0</v>
      </c>
    </row>
    <row r="5715" ht="15.75" customHeight="1">
      <c r="A5715" s="1">
        <v>6110.0</v>
      </c>
      <c r="B5715" s="3" t="s">
        <v>5458</v>
      </c>
      <c r="C5715" s="3" t="str">
        <f>IFERROR(__xludf.DUMMYFUNCTION("GOOGLETRANSLATE(B5715,""id"",""en"")"),"['Application', 'Easy', 'Certainly', 'Good', '']")</f>
        <v>['Application', 'Easy', 'Certainly', 'Good', '']</v>
      </c>
      <c r="D5715" s="3">
        <v>5.0</v>
      </c>
    </row>
    <row r="5716" ht="15.75" customHeight="1">
      <c r="A5716" s="1">
        <v>6111.0</v>
      </c>
      <c r="B5716" s="3" t="s">
        <v>5459</v>
      </c>
      <c r="C5716" s="3" t="str">
        <f>IFERROR(__xludf.DUMMYFUNCTION("GOOGLETRANSLATE(B5716,""id"",""en"")"),"['disappointing', 'network', 'package', 'internet', 'ugly', '']")</f>
        <v>['disappointing', 'network', 'package', 'internet', 'ugly', '']</v>
      </c>
      <c r="D5716" s="3">
        <v>1.0</v>
      </c>
    </row>
    <row r="5717" ht="15.75" customHeight="1">
      <c r="A5717" s="1">
        <v>6112.0</v>
      </c>
      <c r="B5717" s="3" t="s">
        <v>5460</v>
      </c>
      <c r="C5717" s="3" t="str">
        <f>IFERROR(__xludf.DUMMYFUNCTION("GOOGLETRANSLATE(B5717,""id"",""en"")"),"['card', 'active', 'gabisa', 'filled', 'pulse', 'nelfon', 'accept', 'telephone', 'location', 'menu', 'apk', 'ribet']")</f>
        <v>['card', 'active', 'gabisa', 'filled', 'pulse', 'nelfon', 'accept', 'telephone', 'location', 'menu', 'apk', 'ribet']</v>
      </c>
      <c r="D5717" s="3">
        <v>1.0</v>
      </c>
    </row>
    <row r="5718" ht="15.75" customHeight="1">
      <c r="A5718" s="1">
        <v>6113.0</v>
      </c>
      <c r="B5718" s="3" t="s">
        <v>5461</v>
      </c>
      <c r="C5718" s="3" t="str">
        <f>IFERROR(__xludf.DUMMYFUNCTION("GOOGLETRANSLATE(B5718,""id"",""en"")"),"['Bener', 'ugly', 'complication', 'the application', 'check', 'quota', 'hrs',' update ',' log ',' email ',' Telkomsel ',' easy ',' APK ',' Provider ']")</f>
        <v>['Bener', 'ugly', 'complication', 'the application', 'check', 'quota', 'hrs',' update ',' log ',' email ',' Telkomsel ',' easy ',' APK ',' Provider ']</v>
      </c>
      <c r="D5718" s="3">
        <v>1.0</v>
      </c>
    </row>
    <row r="5719" ht="15.75" customHeight="1">
      <c r="A5719" s="1">
        <v>6114.0</v>
      </c>
      <c r="B5719" s="3" t="s">
        <v>5462</v>
      </c>
      <c r="C5719" s="3" t="str">
        <f>IFERROR(__xludf.DUMMYFUNCTION("GOOGLETRANSLATE(B5719,""id"",""en"")"),"['application', 'Telkomsel', 'update', 'buy', 'package', 'interference', 'weekly', 'buy', 'package', 'application', 'Telkomsel', 'chat', ' Veronika ',' Connect ',' Location ',' Prov ',' South Kalimantan ',' Kab ',' Batola ',' Kec ',' Muara ',' Handel ',' "&amp;"Mosque ', ""]")</f>
        <v>['application', 'Telkomsel', 'update', 'buy', 'package', 'interference', 'weekly', 'buy', 'package', 'application', 'Telkomsel', 'chat', ' Veronika ',' Connect ',' Location ',' Prov ',' South Kalimantan ',' Kab ',' Batola ',' Kec ',' Muara ',' Handel ',' Mosque ', "]</v>
      </c>
      <c r="D5719" s="3">
        <v>1.0</v>
      </c>
    </row>
    <row r="5720" ht="15.75" customHeight="1">
      <c r="A5720" s="1">
        <v>6115.0</v>
      </c>
      <c r="B5720" s="3" t="s">
        <v>5463</v>
      </c>
      <c r="C5720" s="3" t="str">
        <f>IFERROR(__xludf.DUMMYFUNCTION("GOOGLETRANSLATE(B5720,""id"",""en"")"),"['Good', 'Win', 'Telkomsel', 'Point', '']")</f>
        <v>['Good', 'Win', 'Telkomsel', 'Point', '']</v>
      </c>
      <c r="D5720" s="3">
        <v>5.0</v>
      </c>
    </row>
    <row r="5721" ht="15.75" customHeight="1">
      <c r="A5721" s="1">
        <v>6116.0</v>
      </c>
      <c r="B5721" s="3" t="s">
        <v>5464</v>
      </c>
      <c r="C5721" s="3" t="str">
        <f>IFERROR(__xludf.DUMMYFUNCTION("GOOGLETRANSLATE(B5721,""id"",""en"")"),"['Okay', 'Sometimes', 'Megerti']")</f>
        <v>['Okay', 'Sometimes', 'Megerti']</v>
      </c>
      <c r="D5721" s="3">
        <v>5.0</v>
      </c>
    </row>
    <row r="5722" ht="15.75" customHeight="1">
      <c r="A5722" s="1">
        <v>6117.0</v>
      </c>
      <c r="B5722" s="3" t="s">
        <v>5465</v>
      </c>
      <c r="C5722" s="3" t="str">
        <f>IFERROR(__xludf.DUMMYFUNCTION("GOOGLETRANSLATE(B5722,""id"",""en"")"),"['expensive', 'doang', 'package', 'slow', 'brain', 'min', 'price', 'according to', 'qualix', 'network']")</f>
        <v>['expensive', 'doang', 'package', 'slow', 'brain', 'min', 'price', 'according to', 'qualix', 'network']</v>
      </c>
      <c r="D5722" s="3">
        <v>1.0</v>
      </c>
    </row>
    <row r="5723" ht="15.75" customHeight="1">
      <c r="A5723" s="1">
        <v>6118.0</v>
      </c>
      <c r="B5723" s="3" t="s">
        <v>5466</v>
      </c>
      <c r="C5723" s="3" t="str">
        <f>IFERROR(__xludf.DUMMYFUNCTION("GOOGLETRANSLATE(B5723,""id"",""en"")"),"['Satisfied', 'Easy', 'understood']")</f>
        <v>['Satisfied', 'Easy', 'understood']</v>
      </c>
      <c r="D5723" s="3">
        <v>5.0</v>
      </c>
    </row>
    <row r="5724" ht="15.75" customHeight="1">
      <c r="A5724" s="1">
        <v>6119.0</v>
      </c>
      <c r="B5724" s="3" t="s">
        <v>5467</v>
      </c>
      <c r="C5724" s="3" t="str">
        <f>IFERROR(__xludf.DUMMYFUNCTION("GOOGLETRANSLATE(B5724,""id"",""en"")"),"['Hopefully', 'Rates', 'Affordable', 'People']")</f>
        <v>['Hopefully', 'Rates', 'Affordable', 'People']</v>
      </c>
      <c r="D5724" s="3">
        <v>5.0</v>
      </c>
    </row>
    <row r="5725" ht="15.75" customHeight="1">
      <c r="A5725" s="1">
        <v>6120.0</v>
      </c>
      <c r="B5725" s="3" t="s">
        <v>5468</v>
      </c>
      <c r="C5725" s="3" t="str">
        <f>IFERROR(__xludf.DUMMYFUNCTION("GOOGLETRANSLATE(B5725,""id"",""en"")"),"['Telkomsel', 'use', 'Group', 'Lias']")</f>
        <v>['Telkomsel', 'use', 'Group', 'Lias']</v>
      </c>
      <c r="D5725" s="3">
        <v>5.0</v>
      </c>
    </row>
    <row r="5726" ht="15.75" customHeight="1">
      <c r="A5726" s="1">
        <v>6121.0</v>
      </c>
      <c r="B5726" s="3" t="s">
        <v>5469</v>
      </c>
      <c r="C5726" s="3" t="str">
        <f>IFERROR(__xludf.DUMMYFUNCTION("GOOGLETRANSLATE(B5726,""id"",""en"")"),"['keep', 'stability', 'network', 'disorder', 'connection', '']")</f>
        <v>['keep', 'stability', 'network', 'disorder', 'connection', '']</v>
      </c>
      <c r="D5726" s="3">
        <v>5.0</v>
      </c>
    </row>
    <row r="5727" ht="15.75" customHeight="1">
      <c r="A5727" s="1">
        <v>6122.0</v>
      </c>
      <c r="B5727" s="3" t="s">
        <v>5470</v>
      </c>
      <c r="C5727" s="3" t="str">
        <f>IFERROR(__xludf.DUMMYFUNCTION("GOOGLETRANSLATE(B5727,""id"",""en"")"),"['Please', 'signal', 'Strengthen', 'Soloya', 'Peguna', 'Derever', 'Ojol', 'Kerena', 'Telkom', 'erol', 'signal']")</f>
        <v>['Please', 'signal', 'Strengthen', 'Soloya', 'Peguna', 'Derever', 'Ojol', 'Kerena', 'Telkom', 'erol', 'signal']</v>
      </c>
      <c r="D5727" s="3">
        <v>4.0</v>
      </c>
    </row>
    <row r="5728" ht="15.75" customHeight="1">
      <c r="A5728" s="1">
        <v>6123.0</v>
      </c>
      <c r="B5728" s="3" t="s">
        <v>5471</v>
      </c>
      <c r="C5728" s="3" t="str">
        <f>IFERROR(__xludf.DUMMYFUNCTION("GOOGLETRANSLATE(B5728,""id"",""en"")"),"['Please', 'Increase', 'Service', 'Promo', 'Change', 'Change', 'Move', 'Heart']")</f>
        <v>['Please', 'Increase', 'Service', 'Promo', 'Change', 'Change', 'Move', 'Heart']</v>
      </c>
      <c r="D5728" s="3">
        <v>5.0</v>
      </c>
    </row>
    <row r="5729" ht="15.75" customHeight="1">
      <c r="A5729" s="1">
        <v>6124.0</v>
      </c>
      <c r="B5729" s="3" t="s">
        <v>5472</v>
      </c>
      <c r="C5729" s="3" t="str">
        <f>IFERROR(__xludf.DUMMYFUNCTION("GOOGLETRANSLATE(B5729,""id"",""en"")"),"['Leet', 'Loading', '']")</f>
        <v>['Leet', 'Loading', '']</v>
      </c>
      <c r="D5729" s="3">
        <v>5.0</v>
      </c>
    </row>
    <row r="5730" ht="15.75" customHeight="1">
      <c r="A5730" s="1">
        <v>6125.0</v>
      </c>
      <c r="B5730" s="3" t="s">
        <v>5473</v>
      </c>
      <c r="C5730" s="3" t="str">
        <f>IFERROR(__xludf.DUMMYFUNCTION("GOOGLETRANSLATE(B5730,""id"",""en"")"),"['application', 'useful', 'check', 'use', 'kouta', 'internet']")</f>
        <v>['application', 'useful', 'check', 'use', 'kouta', 'internet']</v>
      </c>
      <c r="D5730" s="3">
        <v>5.0</v>
      </c>
    </row>
    <row r="5731" ht="15.75" customHeight="1">
      <c r="A5731" s="1">
        <v>6126.0</v>
      </c>
      <c r="B5731" s="3" t="s">
        <v>5474</v>
      </c>
      <c r="C5731" s="3" t="str">
        <f>IFERROR(__xludf.DUMMYFUNCTION("GOOGLETRANSLATE(B5731,""id"",""en"")"),"['Signal', 'okay', 'Truus', 'obstacle']")</f>
        <v>['Signal', 'okay', 'Truus', 'obstacle']</v>
      </c>
      <c r="D5731" s="3">
        <v>5.0</v>
      </c>
    </row>
    <row r="5732" ht="15.75" customHeight="1">
      <c r="A5732" s="1">
        <v>6127.0</v>
      </c>
      <c r="B5732" s="3" t="s">
        <v>5475</v>
      </c>
      <c r="C5732" s="3" t="str">
        <f>IFERROR(__xludf.DUMMYFUNCTION("GOOGLETRANSLATE(B5732,""id"",""en"")"),"['use', 'Telkomsel', 'internet', 'telephone', 'smooth']")</f>
        <v>['use', 'Telkomsel', 'internet', 'telephone', 'smooth']</v>
      </c>
      <c r="D5732" s="3">
        <v>5.0</v>
      </c>
    </row>
    <row r="5733" ht="15.75" customHeight="1">
      <c r="A5733" s="1">
        <v>6128.0</v>
      </c>
      <c r="B5733" s="3" t="s">
        <v>5476</v>
      </c>
      <c r="C5733" s="3" t="str">
        <f>IFERROR(__xludf.DUMMYFUNCTION("GOOGLETRANSLATE(B5733,""id"",""en"")"),"['Help', 'Adax', 'Application', 'Bnyak', 'Information', 'Features',' Features', 'Useful', 'Useful', 'Find', 'Application', 'Hope', ' Sexycles', 'Jaya', 'Improved', 'SERVIEX', '']")</f>
        <v>['Help', 'Adax', 'Application', 'Bnyak', 'Information', 'Features',' Features', 'Useful', 'Useful', 'Find', 'Application', 'Hope', ' Sexycles', 'Jaya', 'Improved', 'SERVIEX', '']</v>
      </c>
      <c r="D5733" s="3">
        <v>5.0</v>
      </c>
    </row>
    <row r="5734" ht="15.75" customHeight="1">
      <c r="A5734" s="1">
        <v>6129.0</v>
      </c>
      <c r="B5734" s="3" t="s">
        <v>5477</v>
      </c>
      <c r="C5734" s="3" t="str">
        <f>IFERROR(__xludf.DUMMYFUNCTION("GOOGLETRANSLATE(B5734,""id"",""en"")"),"['Weve', 'My Choice', 'Check', 'Logo', 'APK', 'Telkomsel', 'Dilit', 'Playstur', 'Write it', 'Unistal']")</f>
        <v>['Weve', 'My Choice', 'Check', 'Logo', 'APK', 'Telkomsel', 'Dilit', 'Playstur', 'Write it', 'Unistal']</v>
      </c>
      <c r="D5734" s="3">
        <v>5.0</v>
      </c>
    </row>
    <row r="5735" ht="15.75" customHeight="1">
      <c r="A5735" s="1">
        <v>6130.0</v>
      </c>
      <c r="B5735" s="3" t="s">
        <v>5478</v>
      </c>
      <c r="C5735" s="3" t="str">
        <f>IFERROR(__xludf.DUMMYFUNCTION("GOOGLETRANSLATE(B5735,""id"",""en"")"),"['Good', 'Help', 'Thanks', 'Telkomsel']")</f>
        <v>['Good', 'Help', 'Thanks', 'Telkomsel']</v>
      </c>
      <c r="D5735" s="3">
        <v>5.0</v>
      </c>
    </row>
    <row r="5736" ht="15.75" customHeight="1">
      <c r="A5736" s="1">
        <v>6131.0</v>
      </c>
      <c r="B5736" s="3" t="s">
        <v>5479</v>
      </c>
      <c r="C5736" s="3" t="str">
        <f>IFERROR(__xludf.DUMMYFUNCTION("GOOGLETRANSLATE(B5736,""id"",""en"")"),"['Increases', 'Service', 'Package', 'Cheap']")</f>
        <v>['Increases', 'Service', 'Package', 'Cheap']</v>
      </c>
      <c r="D5736" s="3">
        <v>5.0</v>
      </c>
    </row>
    <row r="5737" ht="15.75" customHeight="1">
      <c r="A5737" s="1">
        <v>6132.0</v>
      </c>
      <c r="B5737" s="3" t="s">
        <v>5480</v>
      </c>
      <c r="C5737" s="3" t="str">
        <f>IFERROR(__xludf.DUMMYFUNCTION("GOOGLETRANSLATE(B5737,""id"",""en"")"),"['Satisfied', 'Application', 'MyTelkomsel', 'Easy', 'See', 'Credit', 'Promo', 'Package', 'Internet', 'Cheap', '']")</f>
        <v>['Satisfied', 'Application', 'MyTelkomsel', 'Easy', 'See', 'Credit', 'Promo', 'Package', 'Internet', 'Cheap', '']</v>
      </c>
      <c r="D5737" s="3">
        <v>5.0</v>
      </c>
    </row>
    <row r="5738" ht="15.75" customHeight="1">
      <c r="A5738" s="1">
        <v>6133.0</v>
      </c>
      <c r="B5738" s="3" t="s">
        <v>5481</v>
      </c>
      <c r="C5738" s="3" t="str">
        <f>IFERROR(__xludf.DUMMYFUNCTION("GOOGLETRANSLATE(B5738,""id"",""en"")"),"['pulse', 'lost', 'pdhl', 'package', 'active', 'experience it', 'signal', 'bad', 'comparable', 'price', 'expensive']")</f>
        <v>['pulse', 'lost', 'pdhl', 'package', 'active', 'experience it', 'signal', 'bad', 'comparable', 'price', 'expensive']</v>
      </c>
      <c r="D5738" s="3">
        <v>1.0</v>
      </c>
    </row>
    <row r="5739" ht="15.75" customHeight="1">
      <c r="A5739" s="1">
        <v>6134.0</v>
      </c>
      <c r="B5739" s="3" t="s">
        <v>5482</v>
      </c>
      <c r="C5739" s="3" t="str">
        <f>IFERROR(__xludf.DUMMYFUNCTION("GOOGLETRANSLATE(B5739,""id"",""en"")"),"['Good', 'The application', 'Okokokokokokok']")</f>
        <v>['Good', 'The application', 'Okokokokokokok']</v>
      </c>
      <c r="D5739" s="3">
        <v>5.0</v>
      </c>
    </row>
    <row r="5740" ht="15.75" customHeight="1">
      <c r="A5740" s="1">
        <v>6135.0</v>
      </c>
      <c r="B5740" s="3" t="s">
        <v>5483</v>
      </c>
      <c r="C5740" s="3" t="str">
        <f>IFERROR(__xludf.DUMMYFUNCTION("GOOGLETRANSLATE(B5740,""id"",""en"")"),"['contents', 'package', 'disorder', 'system', 'mulu']")</f>
        <v>['contents', 'package', 'disorder', 'system', 'mulu']</v>
      </c>
      <c r="D5740" s="3">
        <v>1.0</v>
      </c>
    </row>
    <row r="5741" ht="15.75" customHeight="1">
      <c r="A5741" s="1">
        <v>6136.0</v>
      </c>
      <c r="B5741" s="3" t="s">
        <v>5484</v>
      </c>
      <c r="C5741" s="3" t="str">
        <f>IFERROR(__xludf.DUMMYFUNCTION("GOOGLETRANSLATE(B5741,""id"",""en"")"),"['Application', 'installed']")</f>
        <v>['Application', 'installed']</v>
      </c>
      <c r="D5741" s="3">
        <v>3.0</v>
      </c>
    </row>
    <row r="5742" ht="15.75" customHeight="1">
      <c r="A5742" s="1">
        <v>6137.0</v>
      </c>
      <c r="B5742" s="3" t="s">
        <v>5485</v>
      </c>
      <c r="C5742" s="3" t="str">
        <f>IFERROR(__xludf.DUMMYFUNCTION("GOOGLETRANSLATE(B5742,""id"",""en"")"),"['BLM', 'prah', 'Win', 'Lottery', 'TPI', 'TTP', 'KSI', 'Bintang', 'Krna', 'APL', 'Mmang', 'Best', ' Hopefully ',' times', 'Win', 'Lottery', '']")</f>
        <v>['BLM', 'prah', 'Win', 'Lottery', 'TPI', 'TTP', 'KSI', 'Bintang', 'Krna', 'APL', 'Mmang', 'Best', ' Hopefully ',' times', 'Win', 'Lottery', '']</v>
      </c>
      <c r="D5742" s="3">
        <v>5.0</v>
      </c>
    </row>
    <row r="5743" ht="15.75" customHeight="1">
      <c r="A5743" s="1">
        <v>6138.0</v>
      </c>
      <c r="B5743" s="3" t="s">
        <v>5486</v>
      </c>
      <c r="C5743" s="3" t="str">
        <f>IFERROR(__xludf.DUMMYFUNCTION("GOOGLETRANSLATE(B5743,""id"",""en"")"),"['poor', 'puuooool', 'update', 'times', 'open', 'list', 'version', 'good', 'mending', 'deleted', 'halting', 'memory']")</f>
        <v>['poor', 'puuooool', 'update', 'times', 'open', 'list', 'version', 'good', 'mending', 'deleted', 'halting', 'memory']</v>
      </c>
      <c r="D5743" s="3">
        <v>1.0</v>
      </c>
    </row>
    <row r="5744" ht="15.75" customHeight="1">
      <c r="A5744" s="1">
        <v>6139.0</v>
      </c>
      <c r="B5744" s="3" t="s">
        <v>5487</v>
      </c>
      <c r="C5744" s="3" t="str">
        <f>IFERROR(__xludf.DUMMYFUNCTION("GOOGLETRANSLATE(B5744,""id"",""en"")"),"['application', 'gajelas', 'bug', 'mulu', 'buy', 'quota', 'extra', 'unlimited', 'gabisa', ""]")</f>
        <v>['application', 'gajelas', 'bug', 'mulu', 'buy', 'quota', 'extra', 'unlimited', 'gabisa', "]</v>
      </c>
      <c r="D5744" s="3">
        <v>1.0</v>
      </c>
    </row>
    <row r="5745" ht="15.75" customHeight="1">
      <c r="A5745" s="1">
        <v>6140.0</v>
      </c>
      <c r="B5745" s="3" t="s">
        <v>5488</v>
      </c>
      <c r="C5745" s="3" t="str">
        <f>IFERROR(__xludf.DUMMYFUNCTION("GOOGLETRANSLATE(B5745,""id"",""en"")"),"['Sya', 'like', 'the application', 'help']")</f>
        <v>['Sya', 'like', 'the application', 'help']</v>
      </c>
      <c r="D5745" s="3">
        <v>5.0</v>
      </c>
    </row>
    <row r="5746" ht="15.75" customHeight="1">
      <c r="A5746" s="1">
        <v>6141.0</v>
      </c>
      <c r="B5746" s="3" t="s">
        <v>5489</v>
      </c>
      <c r="C5746" s="3" t="str">
        <f>IFERROR(__xludf.DUMMYFUNCTION("GOOGLETRANSLATE(B5746,""id"",""en"")"),"['Steady', 'purchase', 'package']")</f>
        <v>['Steady', 'purchase', 'package']</v>
      </c>
      <c r="D5746" s="3">
        <v>5.0</v>
      </c>
    </row>
    <row r="5747" ht="15.75" customHeight="1">
      <c r="A5747" s="1">
        <v>6143.0</v>
      </c>
      <c r="B5747" s="3" t="s">
        <v>5490</v>
      </c>
      <c r="C5747" s="3" t="str">
        <f>IFERROR(__xludf.DUMMYFUNCTION("GOOGLETRANSLATE(B5747,""id"",""en"")"),"['Sad', 'really', 'buy', 'quota', 'price', 'notif', 'sorry', 'buy', 'product', 'pdhl', 'udh', 'buy', ' quota', '']")</f>
        <v>['Sad', 'really', 'buy', 'quota', 'price', 'notif', 'sorry', 'buy', 'product', 'pdhl', 'udh', 'buy', ' quota', '']</v>
      </c>
      <c r="D5747" s="3">
        <v>5.0</v>
      </c>
    </row>
    <row r="5748" ht="15.75" customHeight="1">
      <c r="A5748" s="1">
        <v>6144.0</v>
      </c>
      <c r="B5748" s="3" t="s">
        <v>5491</v>
      </c>
      <c r="C5748" s="3" t="str">
        <f>IFERROR(__xludf.DUMMYFUNCTION("GOOGLETRANSLATE(B5748,""id"",""en"")"),"['Region', 'Manado', 'City', 'Kotamobagu', 'Hoping', 'Telkomsel', 'Network', 'Knacuria', 'Islands',' Sangihe ',' DiManado ',' in the city ',' Kotamobagu ',' Thank you ', ""]")</f>
        <v>['Region', 'Manado', 'City', 'Kotamobagu', 'Hoping', 'Telkomsel', 'Network', 'Knacuria', 'Islands',' Sangihe ',' DiManado ',' in the city ',' Kotamobagu ',' Thank you ', "]</v>
      </c>
      <c r="D5748" s="3">
        <v>5.0</v>
      </c>
    </row>
    <row r="5749" ht="15.75" customHeight="1">
      <c r="A5749" s="1">
        <v>6145.0</v>
      </c>
      <c r="B5749" s="3" t="s">
        <v>5492</v>
      </c>
      <c r="C5749" s="3" t="str">
        <f>IFERROR(__xludf.DUMMYFUNCTION("GOOGLETRANSLATE(B5749,""id"",""en"")"),"['move', 'next door', 'network', 'rare', 'stable', 'rain', 'severe', 'really', 'win', 'expensive', 'doang']")</f>
        <v>['move', 'next door', 'network', 'rare', 'stable', 'rain', 'severe', 'really', 'win', 'expensive', 'doang']</v>
      </c>
      <c r="D5749" s="3">
        <v>1.0</v>
      </c>
    </row>
    <row r="5750" ht="15.75" customHeight="1">
      <c r="A5750" s="1">
        <v>6146.0</v>
      </c>
      <c r="B5750" s="3" t="s">
        <v>154</v>
      </c>
      <c r="C5750" s="3" t="str">
        <f>IFERROR(__xludf.DUMMYFUNCTION("GOOGLETRANSLATE(B5750,""id"",""en"")"),"['satisfying']")</f>
        <v>['satisfying']</v>
      </c>
      <c r="D5750" s="3">
        <v>5.0</v>
      </c>
    </row>
    <row r="5751" ht="15.75" customHeight="1">
      <c r="A5751" s="1">
        <v>6147.0</v>
      </c>
      <c r="B5751" s="3" t="s">
        <v>137</v>
      </c>
      <c r="C5751" s="3" t="str">
        <f>IFERROR(__xludf.DUMMYFUNCTION("GOOGLETRANSLATE(B5751,""id"",""en"")"),"Of course")</f>
        <v>Of course</v>
      </c>
      <c r="D5751" s="3">
        <v>4.0</v>
      </c>
    </row>
    <row r="5752" ht="15.75" customHeight="1">
      <c r="A5752" s="1">
        <v>6148.0</v>
      </c>
      <c r="B5752" s="3" t="s">
        <v>5493</v>
      </c>
      <c r="C5752" s="3" t="str">
        <f>IFERROR(__xludf.DUMMYFUNCTION("GOOGLETRANSLATE(B5752,""id"",""en"")"),"['Please', 'Activate', 'Purchase', 'Credit', 'Dlm', 'Application', 'Activate']")</f>
        <v>['Please', 'Activate', 'Purchase', 'Credit', 'Dlm', 'Application', 'Activate']</v>
      </c>
      <c r="D5752" s="3">
        <v>4.0</v>
      </c>
    </row>
    <row r="5753" ht="15.75" customHeight="1">
      <c r="A5753" s="1">
        <v>6149.0</v>
      </c>
      <c r="B5753" s="3" t="s">
        <v>5494</v>
      </c>
      <c r="C5753" s="3" t="str">
        <f>IFERROR(__xludf.DUMMYFUNCTION("GOOGLETRANSLATE(B5753,""id"",""en"")"),"['Raying', 'Telkomsel', 'Network', 'Wind', 'Stable', 'then', 'pulse', 'lost', 'Haram', ""]")</f>
        <v>['Raying', 'Telkomsel', 'Network', 'Wind', 'Stable', 'then', 'pulse', 'lost', 'Haram', "]</v>
      </c>
      <c r="D5753" s="3">
        <v>1.0</v>
      </c>
    </row>
    <row r="5754" ht="15.75" customHeight="1">
      <c r="A5754" s="1">
        <v>6150.0</v>
      </c>
      <c r="B5754" s="3" t="s">
        <v>5495</v>
      </c>
      <c r="C5754" s="3" t="str">
        <f>IFERROR(__xludf.DUMMYFUNCTION("GOOGLETRANSLATE(B5754,""id"",""en"")"),"['Ribet', 'buy', 'quota', 'internet', 'divided']")</f>
        <v>['Ribet', 'buy', 'quota', 'internet', 'divided']</v>
      </c>
      <c r="D5754" s="3">
        <v>2.0</v>
      </c>
    </row>
    <row r="5755" ht="15.75" customHeight="1">
      <c r="A5755" s="1">
        <v>6151.0</v>
      </c>
      <c r="B5755" s="3" t="s">
        <v>5496</v>
      </c>
      <c r="C5755" s="3" t="str">
        <f>IFERROR(__xludf.DUMMYFUNCTION("GOOGLETRANSLATE(B5755,""id"",""en"")"),"['Good', 'just', 'price', 'package', 'expensive', 'right', 'the application', 'heavy', 'NOT']")</f>
        <v>['Good', 'just', 'price', 'package', 'expensive', 'right', 'the application', 'heavy', 'NOT']</v>
      </c>
      <c r="D5755" s="3">
        <v>5.0</v>
      </c>
    </row>
    <row r="5756" ht="15.75" customHeight="1">
      <c r="A5756" s="1">
        <v>6153.0</v>
      </c>
      <c r="B5756" s="3" t="s">
        <v>5497</v>
      </c>
      <c r="C5756" s="3" t="str">
        <f>IFERROR(__xludf.DUMMYFUNCTION("GOOGLETRANSLATE(B5756,""id"",""en"")"),"['Buy', 'Package', 'Sakti', 'Cheap', 'Card', '']")</f>
        <v>['Buy', 'Package', 'Sakti', 'Cheap', 'Card', '']</v>
      </c>
      <c r="D5756" s="3">
        <v>4.0</v>
      </c>
    </row>
    <row r="5757" ht="15.75" customHeight="1">
      <c r="A5757" s="1">
        <v>6154.0</v>
      </c>
      <c r="B5757" s="3" t="s">
        <v>5498</v>
      </c>
      <c r="C5757" s="3" t="str">
        <f>IFERROR(__xludf.DUMMYFUNCTION("GOOGLETRANSLATE(B5757,""id"",""en"")"),"['Disappointed', 'really', 'Telkomsel', 'network', 'chaotic', 'already', 'regular', 'moved', 'card']")</f>
        <v>['Disappointed', 'really', 'Telkomsel', 'network', 'chaotic', 'already', 'regular', 'moved', 'card']</v>
      </c>
      <c r="D5757" s="3">
        <v>1.0</v>
      </c>
    </row>
    <row r="5758" ht="15.75" customHeight="1">
      <c r="A5758" s="1">
        <v>6155.0</v>
      </c>
      <c r="B5758" s="3" t="s">
        <v>5499</v>
      </c>
      <c r="C5758" s="3" t="str">
        <f>IFERROR(__xludf.DUMMYFUNCTION("GOOGLETRANSLATE(B5758,""id"",""en"")"),"['Maaju', 'Telkomsel', 'forget', 'prize', '']")</f>
        <v>['Maaju', 'Telkomsel', 'forget', 'prize', '']</v>
      </c>
      <c r="D5758" s="3">
        <v>5.0</v>
      </c>
    </row>
    <row r="5759" ht="15.75" customHeight="1">
      <c r="A5759" s="1">
        <v>6156.0</v>
      </c>
      <c r="B5759" s="3" t="s">
        <v>5500</v>
      </c>
      <c r="C5759" s="3" t="str">
        <f>IFERROR(__xludf.DUMMYFUNCTION("GOOGLETRANSLATE(B5759,""id"",""en"")"),"['user', 'UDH', 'a week', 'lbh', 'knp', 'bsa', 'transferrer', 'pulse', 'hub', 'msh', 'blm', 'pulse', ' Users', 'Telkomsel', 'Disappointed']")</f>
        <v>['user', 'UDH', 'a week', 'lbh', 'knp', 'bsa', 'transferrer', 'pulse', 'hub', 'msh', 'blm', 'pulse', ' Users', 'Telkomsel', 'Disappointed']</v>
      </c>
      <c r="D5759" s="3">
        <v>1.0</v>
      </c>
    </row>
    <row r="5760" ht="15.75" customHeight="1">
      <c r="A5760" s="1">
        <v>6157.0</v>
      </c>
      <c r="B5760" s="3" t="s">
        <v>5501</v>
      </c>
      <c r="C5760" s="3" t="str">
        <f>IFERROR(__xludf.DUMMYFUNCTION("GOOGLETRANSLATE(B5760,""id"",""en"")"),"['Signal', 'Jakarta', 'ugly', 'jakarta', 'please', 'repaired', 'quality', 'price', 'please', 'expensive', 'masya', ' Operators', 'shy', 'Telkomsel', 'Telkom', 'Telkom', 'BUMN']")</f>
        <v>['Signal', 'Jakarta', 'ugly', 'jakarta', 'please', 'repaired', 'quality', 'price', 'please', 'expensive', 'masya', ' Operators', 'shy', 'Telkomsel', 'Telkom', 'Telkom', 'BUMN']</v>
      </c>
      <c r="D5760" s="3">
        <v>2.0</v>
      </c>
    </row>
    <row r="5761" ht="15.75" customHeight="1">
      <c r="A5761" s="1">
        <v>6158.0</v>
      </c>
      <c r="B5761" s="3" t="s">
        <v>5502</v>
      </c>
      <c r="C5761" s="3" t="str">
        <f>IFERROR(__xludf.DUMMYFUNCTION("GOOGLETRANSLATE(B5761,""id"",""en"")"),"['Purchase', 'Package', 'Use', 'Ovo', 'Available']")</f>
        <v>['Purchase', 'Package', 'Use', 'Ovo', 'Available']</v>
      </c>
      <c r="D5761" s="3">
        <v>1.0</v>
      </c>
    </row>
    <row r="5762" ht="15.75" customHeight="1">
      <c r="A5762" s="1">
        <v>6160.0</v>
      </c>
      <c r="B5762" s="3" t="s">
        <v>5503</v>
      </c>
      <c r="C5762" s="3" t="str">
        <f>IFERROR(__xludf.DUMMYFUNCTION("GOOGLETRANSLATE(B5762,""id"",""en"")"),"['hope', 'good', 'signal', 'Telkomsel', 'Jaya', ""]")</f>
        <v>['hope', 'good', 'signal', 'Telkomsel', 'Jaya', "]</v>
      </c>
      <c r="D5762" s="3">
        <v>5.0</v>
      </c>
    </row>
    <row r="5763" ht="15.75" customHeight="1">
      <c r="A5763" s="1">
        <v>6161.0</v>
      </c>
      <c r="B5763" s="3" t="s">
        <v>5504</v>
      </c>
      <c r="C5763" s="3" t="str">
        <f>IFERROR(__xludf.DUMMYFUNCTION("GOOGLETRANSLATE(B5763,""id"",""en"")"),"['application', 'update', 'mulu', 'bored', 'puyeng', 'check', 'quota', ""]")</f>
        <v>['application', 'update', 'mulu', 'bored', 'puyeng', 'check', 'quota', "]</v>
      </c>
      <c r="D5763" s="3">
        <v>1.0</v>
      </c>
    </row>
    <row r="5764" ht="15.75" customHeight="1">
      <c r="A5764" s="1">
        <v>6163.0</v>
      </c>
      <c r="B5764" s="3" t="s">
        <v>5505</v>
      </c>
      <c r="C5764" s="3" t="str">
        <f>IFERROR(__xludf.DUMMYFUNCTION("GOOGLETRANSLATE(B5764,""id"",""en"")"),"['card', 'PKE', 'TPI', 'Knp', 'signal', 'msh', 'ugly']")</f>
        <v>['card', 'PKE', 'TPI', 'Knp', 'signal', 'msh', 'ugly']</v>
      </c>
      <c r="D5764" s="3">
        <v>1.0</v>
      </c>
    </row>
    <row r="5765" ht="15.75" customHeight="1">
      <c r="A5765" s="1">
        <v>6164.0</v>
      </c>
      <c r="B5765" s="3" t="s">
        <v>5506</v>
      </c>
      <c r="C5765" s="3" t="str">
        <f>IFERROR(__xludf.DUMMYFUNCTION("GOOGLETRANSLATE(B5765,""id"",""en"")"),"['Sometimes', 'like', 'slow', 'enter', 'application']")</f>
        <v>['Sometimes', 'like', 'slow', 'enter', 'application']</v>
      </c>
      <c r="D5765" s="3">
        <v>4.0</v>
      </c>
    </row>
    <row r="5766" ht="15.75" customHeight="1">
      <c r="A5766" s="1">
        <v>6165.0</v>
      </c>
      <c r="B5766" s="3" t="s">
        <v>5507</v>
      </c>
      <c r="C5766" s="3" t="str">
        <f>IFERROR(__xludf.DUMMYFUNCTION("GOOGLETRANSLATE(B5766,""id"",""en"")"),"['', 'Telkomsel', 'detrimental', 'users',' many years', 'believe', 'borrow', 'pulse', 'transaction', 'Telkomsel', 'millions',' million ',' disappointed ',' Telkomsel ',' believe ',' users', 'Telkomsel', 'Dancoookk', 'Iteeelll', '']")</f>
        <v>['', 'Telkomsel', 'detrimental', 'users',' many years', 'believe', 'borrow', 'pulse', 'transaction', 'Telkomsel', 'millions',' million ',' disappointed ',' Telkomsel ',' believe ',' users', 'Telkomsel', 'Dancoookk', 'Iteeelll', '']</v>
      </c>
      <c r="D5766" s="3">
        <v>1.0</v>
      </c>
    </row>
    <row r="5767" ht="15.75" customHeight="1">
      <c r="A5767" s="1">
        <v>6166.0</v>
      </c>
      <c r="B5767" s="3" t="s">
        <v>735</v>
      </c>
      <c r="C5767" s="3" t="str">
        <f>IFERROR(__xludf.DUMMYFUNCTION("GOOGLETRANSLATE(B5767,""id"",""en"")"),"['help']")</f>
        <v>['help']</v>
      </c>
      <c r="D5767" s="3">
        <v>5.0</v>
      </c>
    </row>
    <row r="5768" ht="15.75" customHeight="1">
      <c r="A5768" s="1">
        <v>6167.0</v>
      </c>
      <c r="B5768" s="3" t="s">
        <v>5508</v>
      </c>
      <c r="C5768" s="3" t="str">
        <f>IFERROR(__xludf.DUMMYFUNCTION("GOOGLETRANSLATE(B5768,""id"",""en"")"),"['Add', 'Feature', 'Key', 'Credit', 'Donk', 'Min', 'Pas',' Quota ',' Abis', 'Snaw', 'Credit', 'Ane', ' miss', 'pulse', 'Gara', 'Addin', 'Feature', 'Love', '']")</f>
        <v>['Add', 'Feature', 'Key', 'Credit', 'Donk', 'Min', 'Pas',' Quota ',' Abis', 'Snaw', 'Credit', 'Ane', ' miss', 'pulse', 'Gara', 'Addin', 'Feature', 'Love', '']</v>
      </c>
      <c r="D5768" s="3">
        <v>2.0</v>
      </c>
    </row>
    <row r="5769" ht="15.75" customHeight="1">
      <c r="A5769" s="1">
        <v>6168.0</v>
      </c>
      <c r="B5769" s="3" t="s">
        <v>5509</v>
      </c>
      <c r="C5769" s="3" t="str">
        <f>IFERROR(__xludf.DUMMYFUNCTION("GOOGLETRANSLATE(B5769,""id"",""en"")"),"['Min', 'a week', 'signal', 'slow', 'really', 'please', 'price', 'quota', 'Telkomsel', 'expensive', 'signal', 'ugly', ' like this']")</f>
        <v>['Min', 'a week', 'signal', 'slow', 'really', 'please', 'price', 'quota', 'Telkomsel', 'expensive', 'signal', 'ugly', ' like this']</v>
      </c>
      <c r="D5769" s="3">
        <v>3.0</v>
      </c>
    </row>
    <row r="5770" ht="15.75" customHeight="1">
      <c r="A5770" s="1">
        <v>6169.0</v>
      </c>
      <c r="B5770" s="3" t="s">
        <v>5510</v>
      </c>
      <c r="C5770" s="3" t="str">
        <f>IFERROR(__xludf.DUMMYFUNCTION("GOOGLETRANSLATE(B5770,""id"",""en"")"),"['expensive', 'network', 'rotten']")</f>
        <v>['expensive', 'network', 'rotten']</v>
      </c>
      <c r="D5770" s="3">
        <v>1.0</v>
      </c>
    </row>
    <row r="5771" ht="15.75" customHeight="1">
      <c r="A5771" s="1">
        <v>6170.0</v>
      </c>
      <c r="B5771" s="3" t="s">
        <v>5511</v>
      </c>
      <c r="C5771" s="3" t="str">
        <f>IFERROR(__xludf.DUMMYFUNCTION("GOOGLETRANSLATE(B5771,""id"",""en"")"),"['Satisfied', 'service', 'MyTelkomsel', 'fast', 'response', 'easy']")</f>
        <v>['Satisfied', 'service', 'MyTelkomsel', 'fast', 'response', 'easy']</v>
      </c>
      <c r="D5771" s="3">
        <v>5.0</v>
      </c>
    </row>
    <row r="5772" ht="15.75" customHeight="1">
      <c r="A5772" s="1">
        <v>6171.0</v>
      </c>
      <c r="B5772" s="3" t="s">
        <v>5512</v>
      </c>
      <c r="C5772" s="3" t="str">
        <f>IFERROR(__xludf.DUMMYFUNCTION("GOOGLETRANSLATE(B5772,""id"",""en"")"),"['Dowload', 'BLM', 'Understanding', 'Benefits', 'Use', 'Benefits', 'Love', 'Star', ""]")</f>
        <v>['Dowload', 'BLM', 'Understanding', 'Benefits', 'Use', 'Benefits', 'Love', 'Star', "]</v>
      </c>
      <c r="D5772" s="3">
        <v>2.0</v>
      </c>
    </row>
    <row r="5773" ht="15.75" customHeight="1">
      <c r="A5773" s="1">
        <v>6172.0</v>
      </c>
      <c r="B5773" s="3" t="s">
        <v>5513</v>
      </c>
      <c r="C5773" s="3" t="str">
        <f>IFERROR(__xludf.DUMMYFUNCTION("GOOGLETRANSLATE(B5773,""id"",""en"")"),"['application', 'telkosel', 'makes it easier', 'transaction', 'pulse', 'makes it easy', 'promo', 'promo', 'interesting', 'Telkomsel', 'Terma', 'love', ' Telkomsel ',' Jaya ',' ']")</f>
        <v>['application', 'telkosel', 'makes it easier', 'transaction', 'pulse', 'makes it easy', 'promo', 'promo', 'interesting', 'Telkomsel', 'Terma', 'love', ' Telkomsel ',' Jaya ',' ']</v>
      </c>
      <c r="D5773" s="3">
        <v>5.0</v>
      </c>
    </row>
    <row r="5774" ht="15.75" customHeight="1">
      <c r="A5774" s="1">
        <v>6173.0</v>
      </c>
      <c r="B5774" s="3" t="s">
        <v>5514</v>
      </c>
      <c r="C5774" s="3" t="str">
        <f>IFERROR(__xludf.DUMMYFUNCTION("GOOGLETRANSLATE(B5774,""id"",""en"")"),"['Makinnnn', 'parahhh', 'card', 'hello', 'huft', 'severe', 'parahh', 'parahhhh']")</f>
        <v>['Makinnnn', 'parahhh', 'card', 'hello', 'huft', 'severe', 'parahh', 'parahhhh']</v>
      </c>
      <c r="D5774" s="3">
        <v>1.0</v>
      </c>
    </row>
    <row r="5775" ht="15.75" customHeight="1">
      <c r="A5775" s="1">
        <v>6174.0</v>
      </c>
      <c r="B5775" s="3" t="s">
        <v>5515</v>
      </c>
      <c r="C5775" s="3" t="str">
        <f>IFERROR(__xludf.DUMMYFUNCTION("GOOGLETRANSLATE(B5775,""id"",""en"")"),"['Dear', 'Telkomsel', 'ugly', 'please', 'network', 'accessed', 'all', 'remote', 'access',' already ',' belik ',' expensive ',' ']")</f>
        <v>['Dear', 'Telkomsel', 'ugly', 'please', 'network', 'accessed', 'all', 'remote', 'access',' already ',' belik ',' expensive ',' ']</v>
      </c>
      <c r="D5775" s="3">
        <v>1.0</v>
      </c>
    </row>
    <row r="5776" ht="15.75" customHeight="1">
      <c r="A5776" s="1">
        <v>6175.0</v>
      </c>
      <c r="B5776" s="3" t="s">
        <v>5516</v>
      </c>
      <c r="C5776" s="3" t="str">
        <f>IFERROR(__xludf.DUMMYFUNCTION("GOOGLETRANSLATE(B5776,""id"",""en"")"),"['App', 'Good', 'Useful']")</f>
        <v>['App', 'Good', 'Useful']</v>
      </c>
      <c r="D5776" s="3">
        <v>4.0</v>
      </c>
    </row>
    <row r="5777" ht="15.75" customHeight="1">
      <c r="A5777" s="1">
        <v>6176.0</v>
      </c>
      <c r="B5777" s="3" t="s">
        <v>5517</v>
      </c>
      <c r="C5777" s="3" t="str">
        <f>IFERROR(__xludf.DUMMYFUNCTION("GOOGLETRANSLATE(B5777,""id"",""en"")"),"['expensive', 'bad', 'network', 'fix', 'woy', 'no', 'comfortable']")</f>
        <v>['expensive', 'bad', 'network', 'fix', 'woy', 'no', 'comfortable']</v>
      </c>
      <c r="D5777" s="3">
        <v>3.0</v>
      </c>
    </row>
    <row r="5778" ht="15.75" customHeight="1">
      <c r="A5778" s="1">
        <v>6177.0</v>
      </c>
      <c r="B5778" s="3" t="s">
        <v>5518</v>
      </c>
      <c r="C5778" s="3" t="str">
        <f>IFERROR(__xludf.DUMMYFUNCTION("GOOGLETRANSLATE(B5778,""id"",""en"")"),"['Satisfied', 'TPI', 'CPT', 'HBis']")</f>
        <v>['Satisfied', 'TPI', 'CPT', 'HBis']</v>
      </c>
      <c r="D5778" s="3">
        <v>5.0</v>
      </c>
    </row>
    <row r="5779" ht="15.75" customHeight="1">
      <c r="A5779" s="1">
        <v>6178.0</v>
      </c>
      <c r="B5779" s="3" t="s">
        <v>5519</v>
      </c>
      <c r="C5779" s="3" t="str">
        <f>IFERROR(__xludf.DUMMYFUNCTION("GOOGLETRANSLATE(B5779,""id"",""en"")"),"['Telkomsel', 'signal', 'setabilia', 'already', 'subscribe', 'already', 'Telkomsel', 'signal', 'setabilia', 'sometimes',' missing ',' appears', ' Please ',' Quality ',' Sousal ',' Increase ',' Customer ',' Setia ',' Telkomsel ',' Disappointed ',' ']")</f>
        <v>['Telkomsel', 'signal', 'setabilia', 'already', 'subscribe', 'already', 'Telkomsel', 'signal', 'setabilia', 'sometimes',' missing ',' appears', ' Please ',' Quality ',' Sousal ',' Increase ',' Customer ',' Setia ',' Telkomsel ',' Disappointed ',' ']</v>
      </c>
      <c r="D5779" s="3">
        <v>2.0</v>
      </c>
    </row>
    <row r="5780" ht="15.75" customHeight="1">
      <c r="A5780" s="1">
        <v>6179.0</v>
      </c>
      <c r="B5780" s="3" t="s">
        <v>5520</v>
      </c>
      <c r="C5780" s="3" t="str">
        <f>IFERROR(__xludf.DUMMYFUNCTION("GOOGLETRANSLATE(B5780,""id"",""en"")"),"['Aihh', 'ngk', 'bilng', 'lgi', 'signal', 'telkomsel', 'problematic', 'apalgi', 'klai', 'mlm', 'network', 'complain', ' like ',' Klau ',' replace ',' card ',' Kesell ',' Sorry ',' Klau ',' says', 'offends',' TPI ',' limit ',' patience ',' please ' , 'take"&amp;" note']")</f>
        <v>['Aihh', 'ngk', 'bilng', 'lgi', 'signal', 'telkomsel', 'problematic', 'apalgi', 'klai', 'mlm', 'network', 'complain', ' like ',' Klau ',' replace ',' card ',' Kesell ',' Sorry ',' Klau ',' says', 'offends',' TPI ',' limit ',' patience ',' please ' , 'take note']</v>
      </c>
      <c r="D5780" s="3">
        <v>1.0</v>
      </c>
    </row>
    <row r="5781" ht="15.75" customHeight="1">
      <c r="A5781" s="1">
        <v>6180.0</v>
      </c>
      <c r="B5781" s="3" t="s">
        <v>5521</v>
      </c>
      <c r="C5781" s="3" t="str">
        <f>IFERROR(__xludf.DUMMYFUNCTION("GOOGLETRANSLATE(B5781,""id"",""en"")"),"['Telkomsel', 'Jaya']")</f>
        <v>['Telkomsel', 'Jaya']</v>
      </c>
      <c r="D5781" s="3">
        <v>5.0</v>
      </c>
    </row>
    <row r="5782" ht="15.75" customHeight="1">
      <c r="A5782" s="1">
        <v>6181.0</v>
      </c>
      <c r="B5782" s="3" t="s">
        <v>5522</v>
      </c>
      <c r="C5782" s="3" t="str">
        <f>IFERROR(__xludf.DUMMYFUNCTION("GOOGLETRANSLATE(B5782,""id"",""en"")"),"['Help', 'Check', 'Package', 'Etc.', 'In the future', 'The theme', 'Change', 'Cool', 'Gar', 'interesting']")</f>
        <v>['Help', 'Check', 'Package', 'Etc.', 'In the future', 'The theme', 'Change', 'Cool', 'Gar', 'interesting']</v>
      </c>
      <c r="D5782" s="3">
        <v>5.0</v>
      </c>
    </row>
    <row r="5783" ht="15.75" customHeight="1">
      <c r="A5783" s="1">
        <v>6182.0</v>
      </c>
      <c r="B5783" s="3" t="s">
        <v>5523</v>
      </c>
      <c r="C5783" s="3" t="str">
        <f>IFERROR(__xludf.DUMMYFUNCTION("GOOGLETRANSLATE(B5783,""id"",""en"")"),"['Stay', 'city', 'home', 'network', 'problematic', 'reason', 'wall', 'macem', 'barrier', 'Telkomsel', 'center', 'card', ' tri ',' axis', 'normal']")</f>
        <v>['Stay', 'city', 'home', 'network', 'problematic', 'reason', 'wall', 'macem', 'barrier', 'Telkomsel', 'center', 'card', ' tri ',' axis', 'normal']</v>
      </c>
      <c r="D5783" s="3">
        <v>1.0</v>
      </c>
    </row>
    <row r="5784" ht="15.75" customHeight="1">
      <c r="A5784" s="1">
        <v>6183.0</v>
      </c>
      <c r="B5784" s="3" t="s">
        <v>5524</v>
      </c>
      <c r="C5784" s="3" t="str">
        <f>IFERROR(__xludf.DUMMYFUNCTION("GOOGLETRANSLATE(B5784,""id"",""en"")"),"['Network', 'Madesu', 'slow', 'Bener', 'Network', 'number', 'Different', 'reality', ""]")</f>
        <v>['Network', 'Madesu', 'slow', 'Bener', 'Network', 'number', 'Different', 'reality', "]</v>
      </c>
      <c r="D5784" s="3">
        <v>1.0</v>
      </c>
    </row>
    <row r="5785" ht="15.75" customHeight="1">
      <c r="A5785" s="1">
        <v>6185.0</v>
      </c>
      <c r="B5785" s="3" t="s">
        <v>5525</v>
      </c>
      <c r="C5785" s="3" t="str">
        <f>IFERROR(__xludf.DUMMYFUNCTION("GOOGLETRANSLATE(B5785,""id"",""en"")"),"['Love', 'Direct']")</f>
        <v>['Love', 'Direct']</v>
      </c>
      <c r="D5785" s="3">
        <v>5.0</v>
      </c>
    </row>
    <row r="5786" ht="15.75" customHeight="1">
      <c r="A5786" s="1">
        <v>6186.0</v>
      </c>
      <c r="B5786" s="3" t="s">
        <v>5526</v>
      </c>
      <c r="C5786" s="3" t="str">
        <f>IFERROR(__xludf.DUMMYFUNCTION("GOOGLETRANSLATE(B5786,""id"",""en"")"),"['lag', 'severe']")</f>
        <v>['lag', 'severe']</v>
      </c>
      <c r="D5786" s="3">
        <v>1.0</v>
      </c>
    </row>
    <row r="5787" ht="15.75" customHeight="1">
      <c r="A5787" s="1">
        <v>6187.0</v>
      </c>
      <c r="B5787" s="3" t="s">
        <v>5527</v>
      </c>
      <c r="C5787" s="3" t="str">
        <f>IFERROR(__xludf.DUMMYFUNCTION("GOOGLETRANSLATE(B5787,""id"",""en"")"),"['update', 'turn', 'update', 'loading', 'a year', 'annoying', '']")</f>
        <v>['update', 'turn', 'update', 'loading', 'a year', 'annoying', '']</v>
      </c>
      <c r="D5787" s="3">
        <v>1.0</v>
      </c>
    </row>
    <row r="5788" ht="15.75" customHeight="1">
      <c r="A5788" s="1">
        <v>6188.0</v>
      </c>
      <c r="B5788" s="3" t="s">
        <v>5528</v>
      </c>
      <c r="C5788" s="3" t="str">
        <f>IFERROR(__xludf.DUMMYFUNCTION("GOOGLETRANSLATE(B5788,""id"",""en"")"),"['Exchange', 'Points', 'Abis', 'No', 'get', 'Njirrt', 'game', 'person', 'mah']")</f>
        <v>['Exchange', 'Points', 'Abis', 'No', 'get', 'Njirrt', 'game', 'person', 'mah']</v>
      </c>
      <c r="D5788" s="3">
        <v>1.0</v>
      </c>
    </row>
    <row r="5789" ht="15.75" customHeight="1">
      <c r="A5789" s="1">
        <v>6189.0</v>
      </c>
      <c r="B5789" s="3" t="s">
        <v>5529</v>
      </c>
      <c r="C5789" s="3" t="str">
        <f>IFERROR(__xludf.DUMMYFUNCTION("GOOGLETRANSLATE(B5789,""id"",""en"")"),"['Lemot', 'bang', 'Telkomsel', 'behind', 'home', 'tower', 'speed', 'rich', 'that way', 'already', 'ngacir', 'satisfied', ' Watch ',' YouTube ',' Line ',' Current ',' Watch ',' Status', 'WhatsApp', 'Loading', 'Leading']")</f>
        <v>['Lemot', 'bang', 'Telkomsel', 'behind', 'home', 'tower', 'speed', 'rich', 'that way', 'already', 'ngacir', 'satisfied', ' Watch ',' YouTube ',' Line ',' Current ',' Watch ',' Status', 'WhatsApp', 'Loading', 'Leading']</v>
      </c>
      <c r="D5789" s="3">
        <v>5.0</v>
      </c>
    </row>
    <row r="5790" ht="15.75" customHeight="1">
      <c r="A5790" s="1">
        <v>6190.0</v>
      </c>
      <c r="B5790" s="3" t="s">
        <v>5530</v>
      </c>
      <c r="C5790" s="3" t="str">
        <f>IFERROR(__xludf.DUMMYFUNCTION("GOOGLETRANSLATE(B5790,""id"",""en"")"),"['', 'telkontol', 'kpan', 'his net', 'repaired', '']")</f>
        <v>['', 'telkontol', 'kpan', 'his net', 'repaired', '']</v>
      </c>
      <c r="D5790" s="3">
        <v>1.0</v>
      </c>
    </row>
    <row r="5791" ht="15.75" customHeight="1">
      <c r="A5791" s="1">
        <v>6191.0</v>
      </c>
      <c r="B5791" s="3" t="s">
        <v>5531</v>
      </c>
      <c r="C5791" s="3" t="str">
        <f>IFERROR(__xludf.DUMMYFUNCTION("GOOGLETRANSLATE(B5791,""id"",""en"")"),"['Telkomsel', 'go bankrupt', 'wherever', 'complained', 'network', 'sped', 'snail', 'donloads',' MB ',' eat ',' for ',' Quality ',' Telkomsel ',' bad ',' ']")</f>
        <v>['Telkomsel', 'go bankrupt', 'wherever', 'complained', 'network', 'sped', 'snail', 'donloads',' MB ',' eat ',' for ',' Quality ',' Telkomsel ',' bad ',' ']</v>
      </c>
      <c r="D5791" s="3">
        <v>1.0</v>
      </c>
    </row>
    <row r="5792" ht="15.75" customHeight="1">
      <c r="A5792" s="1">
        <v>6192.0</v>
      </c>
      <c r="B5792" s="3" t="s">
        <v>5532</v>
      </c>
      <c r="C5792" s="3" t="str">
        <f>IFERROR(__xludf.DUMMYFUNCTION("GOOGLETRANSLATE(B5792,""id"",""en"")"),"['range', 'extensive', 'service', 'Costumer', 'fast', 'response', 'recommend', 'colleague', 'brother', 'friends',' choose ',' Telkomsel ',' MyTelkomsel ']")</f>
        <v>['range', 'extensive', 'service', 'Costumer', 'fast', 'response', 'recommend', 'colleague', 'brother', 'friends',' choose ',' Telkomsel ',' MyTelkomsel ']</v>
      </c>
      <c r="D5792" s="3">
        <v>5.0</v>
      </c>
    </row>
    <row r="5793" ht="15.75" customHeight="1">
      <c r="A5793" s="1">
        <v>6193.0</v>
      </c>
      <c r="B5793" s="3" t="s">
        <v>5533</v>
      </c>
      <c r="C5793" s="3" t="str">
        <f>IFERROR(__xludf.DUMMYFUNCTION("GOOGLETRANSLATE(B5793,""id"",""en"")"),"['Gini', 'buy', 'internet', 'week', 'tomorrow', 'love', 'quota', 'kemdikbud', 'suck', 'quota', 'kemdikbud', 'internet', ' buy ',' whole ',' please ',' kalok ',' internet ',' active ',' short ',' dedicated ',' loss', 'buy', 'quota']")</f>
        <v>['Gini', 'buy', 'internet', 'week', 'tomorrow', 'love', 'quota', 'kemdikbud', 'suck', 'quota', 'kemdikbud', 'internet', ' buy ',' whole ',' please ',' kalok ',' internet ',' active ',' short ',' dedicated ',' loss', 'buy', 'quota']</v>
      </c>
      <c r="D5793" s="3">
        <v>1.0</v>
      </c>
    </row>
    <row r="5794" ht="15.75" customHeight="1">
      <c r="A5794" s="1">
        <v>6194.0</v>
      </c>
      <c r="B5794" s="3" t="s">
        <v>5534</v>
      </c>
      <c r="C5794" s="3" t="str">
        <f>IFERROR(__xludf.DUMMYFUNCTION("GOOGLETRANSLATE(B5794,""id"",""en"")"),"['user', 'Telkomsel']")</f>
        <v>['user', 'Telkomsel']</v>
      </c>
      <c r="D5794" s="3">
        <v>5.0</v>
      </c>
    </row>
    <row r="5795" ht="15.75" customHeight="1">
      <c r="A5795" s="1">
        <v>6195.0</v>
      </c>
      <c r="B5795" s="3" t="s">
        <v>5535</v>
      </c>
      <c r="C5795" s="3" t="str">
        <f>IFERROR(__xludf.DUMMYFUNCTION("GOOGLETRANSLATE(B5795,""id"",""en"")"),"['Update', 'promo', 'missing', 'ugly', 'really', 'price', 'promo', 'Sakti', 'Different', 'number', 'Try', 'ugly', ' really ',' cheap ',' no ',' influential ',' difficult ',' use ',' application ',' different ',' gini ',' mah ']")</f>
        <v>['Update', 'promo', 'missing', 'ugly', 'really', 'price', 'promo', 'Sakti', 'Different', 'number', 'Try', 'ugly', ' really ',' cheap ',' no ',' influential ',' difficult ',' use ',' application ',' different ',' gini ',' mah ']</v>
      </c>
      <c r="D5795" s="3">
        <v>1.0</v>
      </c>
    </row>
    <row r="5796" ht="15.75" customHeight="1">
      <c r="A5796" s="1">
        <v>6196.0</v>
      </c>
      <c r="B5796" s="3" t="s">
        <v>5536</v>
      </c>
      <c r="C5796" s="3" t="str">
        <f>IFERROR(__xludf.DUMMYFUNCTION("GOOGLETRANSLATE(B5796,""id"",""en"")"),"['Good', 'caring', 'community']")</f>
        <v>['Good', 'caring', 'community']</v>
      </c>
      <c r="D5796" s="3">
        <v>4.0</v>
      </c>
    </row>
    <row r="5797" ht="15.75" customHeight="1">
      <c r="A5797" s="1">
        <v>6197.0</v>
      </c>
      <c r="B5797" s="3" t="s">
        <v>5537</v>
      </c>
      <c r="C5797" s="3" t="str">
        <f>IFERROR(__xludf.DUMMYFUNCTION("GOOGLETRANSLATE(B5797,""id"",""en"")"),"['Telkomsel', 'Lemot', 'Increase', 'Quality']")</f>
        <v>['Telkomsel', 'Lemot', 'Increase', 'Quality']</v>
      </c>
      <c r="D5797" s="3">
        <v>3.0</v>
      </c>
    </row>
    <row r="5798" ht="15.75" customHeight="1">
      <c r="A5798" s="1">
        <v>6198.0</v>
      </c>
      <c r="B5798" s="3" t="s">
        <v>5538</v>
      </c>
      <c r="C5798" s="3" t="str">
        <f>IFERROR(__xludf.DUMMYFUNCTION("GOOGLETRANSLATE(B5798,""id"",""en"")"),"['Gap', 'Quality', 'Village', 'City', 'Bayaar', 'Mahaaaaall', 'Quality', 'Jeleeeekkk']")</f>
        <v>['Gap', 'Quality', 'Village', 'City', 'Bayaar', 'Mahaaaaall', 'Quality', 'Jeleeeekkk']</v>
      </c>
      <c r="D5798" s="3">
        <v>1.0</v>
      </c>
    </row>
    <row r="5799" ht="15.75" customHeight="1">
      <c r="A5799" s="1">
        <v>6199.0</v>
      </c>
      <c r="B5799" s="3" t="s">
        <v>5539</v>
      </c>
      <c r="C5799" s="3" t="str">
        <f>IFERROR(__xludf.DUMMYFUNCTION("GOOGLETRANSLATE(B5799,""id"",""en"")"),"['Network', 'ugly', 'Gnya', 'quota', 'expensive', 'area', 'jogja', 'rich', 'replace', 'card', ""]")</f>
        <v>['Network', 'ugly', 'Gnya', 'quota', 'expensive', 'area', 'jogja', 'rich', 'replace', 'card', "]</v>
      </c>
      <c r="D5799" s="3">
        <v>2.0</v>
      </c>
    </row>
    <row r="5800" ht="15.75" customHeight="1">
      <c r="A5800" s="1">
        <v>6200.0</v>
      </c>
      <c r="B5800" s="3" t="s">
        <v>5540</v>
      </c>
      <c r="C5800" s="3" t="str">
        <f>IFERROR(__xludf.DUMMYFUNCTION("GOOGLETRANSLATE(B5800,""id"",""en"")"),"['Just now', 'buy', 'pulse', 'enter', 'Telkomsel', 'appears', 'pulses', 'check', 'manual']")</f>
        <v>['Just now', 'buy', 'pulse', 'enter', 'Telkomsel', 'appears', 'pulses', 'check', 'manual']</v>
      </c>
      <c r="D5800" s="3">
        <v>2.0</v>
      </c>
    </row>
    <row r="5801" ht="15.75" customHeight="1">
      <c r="A5801" s="1">
        <v>6201.0</v>
      </c>
      <c r="B5801" s="3" t="s">
        <v>5541</v>
      </c>
      <c r="C5801" s="3" t="str">
        <f>IFERROR(__xludf.DUMMYFUNCTION("GOOGLETRANSLATE(B5801,""id"",""en"")"),"['use', 'Telkomsel', 'expensive', 'network', 'super', 'ugly']")</f>
        <v>['use', 'Telkomsel', 'expensive', 'network', 'super', 'ugly']</v>
      </c>
      <c r="D5801" s="3">
        <v>1.0</v>
      </c>
    </row>
    <row r="5802" ht="15.75" customHeight="1">
      <c r="A5802" s="1">
        <v>6202.0</v>
      </c>
      <c r="B5802" s="3" t="s">
        <v>5542</v>
      </c>
      <c r="C5802" s="3" t="str">
        <f>IFERROR(__xludf.DUMMYFUNCTION("GOOGLETRANSLATE(B5802,""id"",""en"")"),"['Please', 'Telkomsel', 'Application', 'Telkomsel', 'Last', 'Buy', 'Package', 'Internet', 'Package', 'Information', 'Connect', 'Network', ' Try ',' package ',' forced ',' buy ',' package ',' please ',' solution ']")</f>
        <v>['Please', 'Telkomsel', 'Application', 'Telkomsel', 'Last', 'Buy', 'Package', 'Internet', 'Package', 'Information', 'Connect', 'Network', ' Try ',' package ',' forced ',' buy ',' package ',' please ',' solution ']</v>
      </c>
      <c r="D5802" s="3">
        <v>2.0</v>
      </c>
    </row>
    <row r="5803" ht="15.75" customHeight="1">
      <c r="A5803" s="1">
        <v>6203.0</v>
      </c>
      <c r="B5803" s="3" t="s">
        <v>5543</v>
      </c>
      <c r="C5803" s="3" t="str">
        <f>IFERROR(__xludf.DUMMYFUNCTION("GOOGLETRANSLATE(B5803,""id"",""en"")"),"['Good', 'just', 'gift', 'voucher', 'shopping', 'replaced', 'benefits']")</f>
        <v>['Good', 'just', 'gift', 'voucher', 'shopping', 'replaced', 'benefits']</v>
      </c>
      <c r="D5803" s="3">
        <v>5.0</v>
      </c>
    </row>
    <row r="5804" ht="15.75" customHeight="1">
      <c r="A5804" s="1">
        <v>6204.0</v>
      </c>
      <c r="B5804" s="3" t="s">
        <v>5544</v>
      </c>
      <c r="C5804" s="3" t="str">
        <f>IFERROR(__xludf.DUMMYFUNCTION("GOOGLETRANSLATE(B5804,""id"",""en"")"),"['Please', 'The network', 'repaired', 'buy', 'package', 'expensive', 'expensive', 'according to', 'network', 'tower', 'near', 'house']")</f>
        <v>['Please', 'The network', 'repaired', 'buy', 'package', 'expensive', 'expensive', 'according to', 'network', 'tower', 'near', 'house']</v>
      </c>
      <c r="D5804" s="3">
        <v>1.0</v>
      </c>
    </row>
    <row r="5805" ht="15.75" customHeight="1">
      <c r="A5805" s="1">
        <v>6205.0</v>
      </c>
      <c r="B5805" s="3" t="s">
        <v>5545</v>
      </c>
      <c r="C5805" s="3" t="str">
        <f>IFERROR(__xludf.DUMMYFUNCTION("GOOGLETRANSLATE(B5805,""id"",""en"")"),"['Change', 'card', '']")</f>
        <v>['Change', 'card', '']</v>
      </c>
      <c r="D5805" s="3">
        <v>1.0</v>
      </c>
    </row>
    <row r="5806" ht="15.75" customHeight="1">
      <c r="A5806" s="1">
        <v>6206.0</v>
      </c>
      <c r="B5806" s="3" t="s">
        <v>5546</v>
      </c>
      <c r="C5806" s="3" t="str">
        <f>IFERROR(__xludf.DUMMYFUNCTION("GOOGLETRANSLATE(B5806,""id"",""en"")"),"['Good', 'Belom', 'Donglot', 'Donglot', ""]")</f>
        <v>['Good', 'Belom', 'Donglot', 'Donglot', "]</v>
      </c>
      <c r="D5806" s="3">
        <v>5.0</v>
      </c>
    </row>
    <row r="5807" ht="15.75" customHeight="1">
      <c r="A5807" s="1">
        <v>6207.0</v>
      </c>
      <c r="B5807" s="3" t="s">
        <v>5547</v>
      </c>
      <c r="C5807" s="3" t="str">
        <f>IFERROR(__xludf.DUMMYFUNCTION("GOOGLETRANSLATE(B5807,""id"",""en"")"),"['thank', 'love', 'application', 'Telkomsel', 'helped']")</f>
        <v>['thank', 'love', 'application', 'Telkomsel', 'helped']</v>
      </c>
      <c r="D5807" s="3">
        <v>5.0</v>
      </c>
    </row>
    <row r="5808" ht="15.75" customHeight="1">
      <c r="A5808" s="1">
        <v>6208.0</v>
      </c>
      <c r="B5808" s="3" t="s">
        <v>5548</v>
      </c>
      <c r="C5808" s="3" t="str">
        <f>IFERROR(__xludf.DUMMYFUNCTION("GOOGLETRANSLATE(B5808,""id"",""en"")"),"['Jos', 'cheap', ""]")</f>
        <v>['Jos', 'cheap', "]</v>
      </c>
      <c r="D5808" s="3">
        <v>3.0</v>
      </c>
    </row>
    <row r="5809" ht="15.75" customHeight="1">
      <c r="A5809" s="1">
        <v>6209.0</v>
      </c>
      <c r="B5809" s="3" t="s">
        <v>5549</v>
      </c>
      <c r="C5809" s="3" t="str">
        <f>IFERROR(__xludf.DUMMYFUNCTION("GOOGLETRANSLATE(B5809,""id"",""en"")"),"['Ceckin', 'Coin', 'Claim', 'Bonus', 'Coins', 'Go', 'Ntah', 'Where', 'Whatever', ""]")</f>
        <v>['Ceckin', 'Coin', 'Claim', 'Bonus', 'Coins', 'Go', 'Ntah', 'Where', 'Whatever', "]</v>
      </c>
      <c r="D5809" s="3">
        <v>2.0</v>
      </c>
    </row>
    <row r="5810" ht="15.75" customHeight="1">
      <c r="A5810" s="1">
        <v>6210.0</v>
      </c>
      <c r="B5810" s="3" t="s">
        <v>5118</v>
      </c>
      <c r="C5810" s="3" t="str">
        <f>IFERROR(__xludf.DUMMYFUNCTION("GOOGLETRANSLATE(B5810,""id"",""en"")"),"['easy', 'practical']")</f>
        <v>['easy', 'practical']</v>
      </c>
      <c r="D5810" s="3">
        <v>5.0</v>
      </c>
    </row>
    <row r="5811" ht="15.75" customHeight="1">
      <c r="A5811" s="1">
        <v>6211.0</v>
      </c>
      <c r="B5811" s="3" t="s">
        <v>5550</v>
      </c>
      <c r="C5811" s="3" t="str">
        <f>IFERROR(__xludf.DUMMYFUNCTION("GOOGLETRANSLATE(B5811,""id"",""en"")"),"['thank', 'love', 'Telkomsel', 'success', 'serving', 'people', 'Indonesia']")</f>
        <v>['thank', 'love', 'Telkomsel', 'success', 'serving', 'people', 'Indonesia']</v>
      </c>
      <c r="D5811" s="3">
        <v>5.0</v>
      </c>
    </row>
    <row r="5812" ht="15.75" customHeight="1">
      <c r="A5812" s="1">
        <v>6212.0</v>
      </c>
      <c r="B5812" s="3" t="s">
        <v>5551</v>
      </c>
      <c r="C5812" s="3" t="str">
        <f>IFERROR(__xludf.DUMMYFUNCTION("GOOGLETRANSLATE(B5812,""id"",""en"")"),"['your network', 'here']")</f>
        <v>['your network', 'here']</v>
      </c>
      <c r="D5812" s="3">
        <v>1.0</v>
      </c>
    </row>
    <row r="5813" ht="15.75" customHeight="1">
      <c r="A5813" s="1">
        <v>6213.0</v>
      </c>
      <c r="B5813" s="3" t="s">
        <v>5552</v>
      </c>
      <c r="C5813" s="3" t="str">
        <f>IFERROR(__xludf.DUMMYFUNCTION("GOOGLETRANSLATE(B5813,""id"",""en"")"),"['Signal', 'bad', 'improvement', '']")</f>
        <v>['Signal', 'bad', 'improvement', '']</v>
      </c>
      <c r="D5813" s="3">
        <v>1.0</v>
      </c>
    </row>
    <row r="5814" ht="15.75" customHeight="1">
      <c r="A5814" s="1">
        <v>6214.0</v>
      </c>
      <c r="B5814" s="3" t="s">
        <v>5553</v>
      </c>
      <c r="C5814" s="3" t="str">
        <f>IFERROR(__xludf.DUMMYFUNCTION("GOOGLETRANSLATE(B5814,""id"",""en"")"),"['It's', 'good', 'donk', 'boss', 'ngellag', 'pig', 'good', 'his web']")</f>
        <v>['It's', 'good', 'donk', 'boss', 'ngellag', 'pig', 'good', 'his web']</v>
      </c>
      <c r="D5814" s="3">
        <v>1.0</v>
      </c>
    </row>
    <row r="5815" ht="15.75" customHeight="1">
      <c r="A5815" s="1">
        <v>6215.0</v>
      </c>
      <c r="B5815" s="3" t="s">
        <v>5554</v>
      </c>
      <c r="C5815" s="3" t="str">
        <f>IFERROR(__xludf.DUMMYFUNCTION("GOOGLETRANSLATE(B5815,""id"",""en"")"),"['sipp', 'hope', 'promo']")</f>
        <v>['sipp', 'hope', 'promo']</v>
      </c>
      <c r="D5815" s="3">
        <v>5.0</v>
      </c>
    </row>
    <row r="5816" ht="15.75" customHeight="1">
      <c r="A5816" s="1">
        <v>6216.0</v>
      </c>
      <c r="B5816" s="3" t="s">
        <v>5555</v>
      </c>
      <c r="C5816" s="3" t="str">
        <f>IFERROR(__xludf.DUMMYFUNCTION("GOOGLETRANSLATE(B5816,""id"",""en"")"),"['', 'Saranin', 'sympathy', 'advanced', 'NOT', 'Strong', 'signal', 'decreases', 'stable', ""]")</f>
        <v>['', 'Saranin', 'sympathy', 'advanced', 'NOT', 'Strong', 'signal', 'decreases', 'stable', "]</v>
      </c>
      <c r="D5816" s="3">
        <v>1.0</v>
      </c>
    </row>
    <row r="5817" ht="15.75" customHeight="1">
      <c r="A5817" s="1">
        <v>6217.0</v>
      </c>
      <c r="B5817" s="3" t="s">
        <v>5556</v>
      </c>
      <c r="C5817" s="3" t="str">
        <f>IFERROR(__xludf.DUMMYFUNCTION("GOOGLETRANSLATE(B5817,""id"",""en"")"),"['Good', 'LEG']")</f>
        <v>['Good', 'LEG']</v>
      </c>
      <c r="D5817" s="3">
        <v>4.0</v>
      </c>
    </row>
    <row r="5818" ht="15.75" customHeight="1">
      <c r="A5818" s="1">
        <v>6218.0</v>
      </c>
      <c r="B5818" s="3" t="s">
        <v>5557</v>
      </c>
      <c r="C5818" s="3" t="str">
        <f>IFERROR(__xludf.DUMMYFUNCTION("GOOGLETRANSLATE(B5818,""id"",""en"")"),"['Application', 'Good', 'World', 'for a while', 'Nge', 'Hang', 'How', 'Telkomsel', 'please', 'Benerin']")</f>
        <v>['Application', 'Good', 'World', 'for a while', 'Nge', 'Hang', 'How', 'Telkomsel', 'please', 'Benerin']</v>
      </c>
      <c r="D5818" s="3">
        <v>1.0</v>
      </c>
    </row>
    <row r="5819" ht="15.75" customHeight="1">
      <c r="A5819" s="1">
        <v>6219.0</v>
      </c>
      <c r="B5819" s="3" t="s">
        <v>5558</v>
      </c>
      <c r="C5819" s="3" t="str">
        <f>IFERROR(__xludf.DUMMYFUNCTION("GOOGLETRANSLATE(B5819,""id"",""en"")"),"['Link', 'Gbisa', 'BNG', 'Taro', 'there', '']")</f>
        <v>['Link', 'Gbisa', 'BNG', 'Taro', 'there', '']</v>
      </c>
      <c r="D5819" s="3">
        <v>4.0</v>
      </c>
    </row>
    <row r="5820" ht="15.75" customHeight="1">
      <c r="A5820" s="1">
        <v>6220.0</v>
      </c>
      <c r="B5820" s="3" t="s">
        <v>5559</v>
      </c>
      <c r="C5820" s="3" t="str">
        <f>IFERROR(__xludf.DUMMYFUNCTION("GOOGLETRANSLATE(B5820,""id"",""en"")"),"['Love', 'star', 'Telkomsel', 'slow', 'really', 'like', 'Sayan', 'Singal', 'slow', 'quota', 'like', 'singal', ' Good ',' smooth ',' slow ',' really ',' Disappointed ',' cave ',' ']")</f>
        <v>['Love', 'star', 'Telkomsel', 'slow', 'really', 'like', 'Sayan', 'Singal', 'slow', 'quota', 'like', 'singal', ' Good ',' smooth ',' slow ',' really ',' Disappointed ',' cave ',' ']</v>
      </c>
      <c r="D5820" s="3">
        <v>2.0</v>
      </c>
    </row>
    <row r="5821" ht="15.75" customHeight="1">
      <c r="A5821" s="1">
        <v>6221.0</v>
      </c>
      <c r="B5821" s="3" t="s">
        <v>2019</v>
      </c>
      <c r="C5821" s="3" t="str">
        <f>IFERROR(__xludf.DUMMYFUNCTION("GOOGLETRANSLATE(B5821,""id"",""en"")"),"['Telkomsel', 'good']")</f>
        <v>['Telkomsel', 'good']</v>
      </c>
      <c r="D5821" s="3">
        <v>5.0</v>
      </c>
    </row>
    <row r="5822" ht="15.75" customHeight="1">
      <c r="A5822" s="1">
        <v>6222.0</v>
      </c>
      <c r="B5822" s="3" t="s">
        <v>5560</v>
      </c>
      <c r="C5822" s="3" t="str">
        <f>IFERROR(__xludf.DUMMYFUNCTION("GOOGLETRANSLATE(B5822,""id"",""en"")"),"['It's easy', 'contents', 'package']")</f>
        <v>['It's easy', 'contents', 'package']</v>
      </c>
      <c r="D5822" s="3">
        <v>5.0</v>
      </c>
    </row>
    <row r="5823" ht="15.75" customHeight="1">
      <c r="A5823" s="1">
        <v>6223.0</v>
      </c>
      <c r="B5823" s="3" t="s">
        <v>5561</v>
      </c>
      <c r="C5823" s="3" t="str">
        <f>IFERROR(__xludf.DUMMYFUNCTION("GOOGLETRANSLATE(B5823,""id"",""en"")"),"['promo', 'shopee', 'cashback', 'believe', 'php', 'doang', 'coin', 'entry', 'already', 'pay']")</f>
        <v>['promo', 'shopee', 'cashback', 'believe', 'php', 'doang', 'coin', 'entry', 'already', 'pay']</v>
      </c>
      <c r="D5823" s="3">
        <v>2.0</v>
      </c>
    </row>
    <row r="5824" ht="15.75" customHeight="1">
      <c r="A5824" s="1">
        <v>6224.0</v>
      </c>
      <c r="B5824" s="3" t="s">
        <v>5562</v>
      </c>
      <c r="C5824" s="3" t="str">
        <f>IFERROR(__xludf.DUMMYFUNCTION("GOOGLETRANSLATE(B5824,""id"",""en"")"),"['', 'confusion', 'network', 'slow']")</f>
        <v>['', 'confusion', 'network', 'slow']</v>
      </c>
      <c r="D5824" s="3">
        <v>2.0</v>
      </c>
    </row>
    <row r="5825" ht="15.75" customHeight="1">
      <c r="A5825" s="1">
        <v>6225.0</v>
      </c>
      <c r="B5825" s="3" t="s">
        <v>5563</v>
      </c>
      <c r="C5825" s="3" t="str">
        <f>IFERROR(__xludf.DUMMYFUNCTION("GOOGLETRANSLATE(B5825,""id"",""en"")"),"['Sorry', 'Telkomsel', 'Knp', 'Region', 'Open', 'APK', 'Online', 'Quota', 'Card', 'Please', 'Help', 'Telokmsel']")</f>
        <v>['Sorry', 'Telkomsel', 'Knp', 'Region', 'Open', 'APK', 'Online', 'Quota', 'Card', 'Please', 'Help', 'Telokmsel']</v>
      </c>
      <c r="D5825" s="3">
        <v>1.0</v>
      </c>
    </row>
    <row r="5826" ht="15.75" customHeight="1">
      <c r="A5826" s="1">
        <v>6226.0</v>
      </c>
      <c r="B5826" s="3" t="s">
        <v>5564</v>
      </c>
      <c r="C5826" s="3" t="str">
        <f>IFERROR(__xludf.DUMMYFUNCTION("GOOGLETRANSLATE(B5826,""id"",""en"")"),"['Application', 'Help', 'Direct', 'buy', 'package', 'point', 'exchanged', 'good', 'just']")</f>
        <v>['Application', 'Help', 'Direct', 'buy', 'package', 'point', 'exchanged', 'good', 'just']</v>
      </c>
      <c r="D5826" s="3">
        <v>5.0</v>
      </c>
    </row>
    <row r="5827" ht="15.75" customHeight="1">
      <c r="A5827" s="1">
        <v>6227.0</v>
      </c>
      <c r="B5827" s="3" t="s">
        <v>5565</v>
      </c>
      <c r="C5827" s="3" t="str">
        <f>IFERROR(__xludf.DUMMYFUNCTION("GOOGLETRANSLATE(B5827,""id"",""en"")"),"['After', 'Move', 'Hello', 'Leet', ""]")</f>
        <v>['After', 'Move', 'Hello', 'Leet', "]</v>
      </c>
      <c r="D5827" s="3">
        <v>1.0</v>
      </c>
    </row>
    <row r="5828" ht="15.75" customHeight="1">
      <c r="A5828" s="1">
        <v>6228.0</v>
      </c>
      <c r="B5828" s="3" t="s">
        <v>5566</v>
      </c>
      <c r="C5828" s="3" t="str">
        <f>IFERROR(__xludf.DUMMYFUNCTION("GOOGLETRANSLATE(B5828,""id"",""en"")"),"['electricity', 'dead', 'signal', 'dead', 'gmn', 'mbak', 'vero', ""]")</f>
        <v>['electricity', 'dead', 'signal', 'dead', 'gmn', 'mbak', 'vero', "]</v>
      </c>
      <c r="D5828" s="3">
        <v>1.0</v>
      </c>
    </row>
    <row r="5829" ht="15.75" customHeight="1">
      <c r="A5829" s="1">
        <v>6229.0</v>
      </c>
      <c r="B5829" s="3" t="s">
        <v>5567</v>
      </c>
      <c r="C5829" s="3" t="str">
        <f>IFERROR(__xludf.DUMMYFUNCTION("GOOGLETRANSLATE(B5829,""id"",""en"")"),"['package', 'expensive', 'baget']")</f>
        <v>['package', 'expensive', 'baget']</v>
      </c>
      <c r="D5829" s="3">
        <v>3.0</v>
      </c>
    </row>
    <row r="5830" ht="15.75" customHeight="1">
      <c r="A5830" s="1">
        <v>6230.0</v>
      </c>
      <c r="B5830" s="3" t="s">
        <v>5568</v>
      </c>
      <c r="C5830" s="3" t="str">
        <f>IFERROR(__xludf.DUMMYFUNCTION("GOOGLETRANSLATE(B5830,""id"",""en"")"),"['Most', 'updet', 'APK']")</f>
        <v>['Most', 'updet', 'APK']</v>
      </c>
      <c r="D5830" s="3">
        <v>1.0</v>
      </c>
    </row>
    <row r="5831" ht="15.75" customHeight="1">
      <c r="A5831" s="1">
        <v>6231.0</v>
      </c>
      <c r="B5831" s="3" t="s">
        <v>5569</v>
      </c>
      <c r="C5831" s="3" t="str">
        <f>IFERROR(__xludf.DUMMYFUNCTION("GOOGLETRANSLATE(B5831,""id"",""en"")"),"['Please', 'Quota', 'Local', 'Lokasi', 'User', 'Faithful', 'Telkomsel', 'Issle', 'Sia', 'Sia', 'Top', 'Quota', ' Move ',' location ',' no ',' use ',' ']")</f>
        <v>['Please', 'Quota', 'Local', 'Lokasi', 'User', 'Faithful', 'Telkomsel', 'Issle', 'Sia', 'Sia', 'Top', 'Quota', ' Move ',' location ',' no ',' use ',' ']</v>
      </c>
      <c r="D5831" s="3">
        <v>5.0</v>
      </c>
    </row>
    <row r="5832" ht="15.75" customHeight="1">
      <c r="A5832" s="1">
        <v>6232.0</v>
      </c>
      <c r="B5832" s="3" t="s">
        <v>5570</v>
      </c>
      <c r="C5832" s="3" t="str">
        <f>IFERROR(__xludf.DUMMYFUNCTION("GOOGLETRANSLATE(B5832,""id"",""en"")"),"['Maen', 'Game', 'Masi', 'nglek']")</f>
        <v>['Maen', 'Game', 'Masi', 'nglek']</v>
      </c>
      <c r="D5832" s="3">
        <v>4.0</v>
      </c>
    </row>
    <row r="5833" ht="15.75" customHeight="1">
      <c r="A5833" s="1">
        <v>6233.0</v>
      </c>
      <c r="B5833" s="3" t="s">
        <v>5571</v>
      </c>
      <c r="C5833" s="3" t="str">
        <f>IFERROR(__xludf.DUMMYFUNCTION("GOOGLETRANSLATE(B5833,""id"",""en"")"),"['Application', 'Lemot', 'Open', '']")</f>
        <v>['Application', 'Lemot', 'Open', '']</v>
      </c>
      <c r="D5833" s="3">
        <v>1.0</v>
      </c>
    </row>
    <row r="5834" ht="15.75" customHeight="1">
      <c r="A5834" s="1">
        <v>6234.0</v>
      </c>
      <c r="B5834" s="3" t="s">
        <v>5572</v>
      </c>
      <c r="C5834" s="3" t="str">
        <f>IFERROR(__xludf.DUMMYFUNCTION("GOOGLETRANSLATE(B5834,""id"",""en"")"),"['Sis',' times', 'Login', 'Login', 'Sis',' Delete ',' Application ',' Download ',' Ulggang ',' Please ',' Sis', 'Repaired', ' ']")</f>
        <v>['Sis',' times', 'Login', 'Login', 'Sis',' Delete ',' Application ',' Download ',' Ulggang ',' Please ',' Sis', 'Repaired', ' ']</v>
      </c>
      <c r="D5834" s="3">
        <v>3.0</v>
      </c>
    </row>
    <row r="5835" ht="15.75" customHeight="1">
      <c r="A5835" s="1">
        <v>6235.0</v>
      </c>
      <c r="B5835" s="3" t="s">
        <v>5573</v>
      </c>
      <c r="C5835" s="3" t="str">
        <f>IFERROR(__xludf.DUMMYFUNCTION("GOOGLETRANSLATE(B5835,""id"",""en"")"),"['signal', 'slow', 'severe', 'lose', 'card', 'city', 'forest']")</f>
        <v>['signal', 'slow', 'severe', 'lose', 'card', 'city', 'forest']</v>
      </c>
      <c r="D5835" s="3">
        <v>2.0</v>
      </c>
    </row>
    <row r="5836" ht="15.75" customHeight="1">
      <c r="A5836" s="1">
        <v>6236.0</v>
      </c>
      <c r="B5836" s="3" t="s">
        <v>5574</v>
      </c>
      <c r="C5836" s="3" t="str">
        <f>IFERROR(__xludf.DUMMYFUNCTION("GOOGLETRANSLATE(B5836,""id"",""en"")"),"['Love', 'Bintang', 'Beb', 'TDI', 'Play', 'Mobile', 'Legend', 'AFK', 'Gara', 'Signal', 'ilang', 'Third', ' The time ',' made ',' AFK ',' Gara ',' signal ',' right ',' open ',' application ',' smooth ',' Jaya ',' TPI ',' AFK ',' AFK ' , 'Gara', 'signal', '"&amp;"goverty', 'star', 'push', 'MMR', 'AFK', 'Laying', 'beb', 'thanks', ""]")</f>
        <v>['Love', 'Bintang', 'Beb', 'TDI', 'Play', 'Mobile', 'Legend', 'AFK', 'Gara', 'Signal', 'ilang', 'Third', ' The time ',' made ',' AFK ',' Gara ',' signal ',' right ',' open ',' application ',' smooth ',' Jaya ',' TPI ',' AFK ',' AFK ' , 'Gara', 'signal', 'goverty', 'star', 'push', 'MMR', 'AFK', 'Laying', 'beb', 'thanks', "]</v>
      </c>
      <c r="D5836" s="3">
        <v>3.0</v>
      </c>
    </row>
    <row r="5837" ht="15.75" customHeight="1">
      <c r="A5837" s="1">
        <v>6237.0</v>
      </c>
      <c r="B5837" s="3" t="s">
        <v>5575</v>
      </c>
      <c r="C5837" s="3" t="str">
        <f>IFERROR(__xludf.DUMMYFUNCTION("GOOGLETRANSLATE(B5837,""id"",""en"")"),"['Telkomsel', 'it's easy']")</f>
        <v>['Telkomsel', 'it's easy']</v>
      </c>
      <c r="D5837" s="3">
        <v>5.0</v>
      </c>
    </row>
    <row r="5838" ht="15.75" customHeight="1">
      <c r="A5838" s="1">
        <v>6238.0</v>
      </c>
      <c r="B5838" s="3" t="s">
        <v>5576</v>
      </c>
      <c r="C5838" s="3" t="str">
        <f>IFERROR(__xludf.DUMMYFUNCTION("GOOGLETRANSLATE(B5838,""id"",""en"")"),"['Buy', 'Pay', 'Credit', 'enter', 'please', 'help', 'trmksh', ""]")</f>
        <v>['Buy', 'Pay', 'Credit', 'enter', 'please', 'help', 'trmksh', "]</v>
      </c>
      <c r="D5838" s="3">
        <v>3.0</v>
      </c>
    </row>
    <row r="5839" ht="15.75" customHeight="1">
      <c r="A5839" s="1">
        <v>6239.0</v>
      </c>
      <c r="B5839" s="3" t="s">
        <v>5577</v>
      </c>
      <c r="C5839" s="3" t="str">
        <f>IFERROR(__xludf.DUMMYFUNCTION("GOOGLETRANSLATE(B5839,""id"",""en"")"),"['Application', 'Bakus',' Please ',' Reduce ',' Price ',' Purchase ',' Kadan ',' Buy ',' Data ',' Price ',' Expensive ',' Free ',' Phone ',' SMS ',' ']")</f>
        <v>['Application', 'Bakus',' Please ',' Reduce ',' Price ',' Purchase ',' Kadan ',' Buy ',' Data ',' Price ',' Expensive ',' Free ',' Phone ',' SMS ',' ']</v>
      </c>
      <c r="D5839" s="3">
        <v>3.0</v>
      </c>
    </row>
    <row r="5840" ht="15.75" customHeight="1">
      <c r="A5840" s="1">
        <v>6240.0</v>
      </c>
      <c r="B5840" s="3" t="s">
        <v>5578</v>
      </c>
      <c r="C5840" s="3" t="str">
        <f>IFERROR(__xludf.DUMMYFUNCTION("GOOGLETRANSLATE(B5840,""id"",""en"")"),"['Satisfied', 'promo', 'package']")</f>
        <v>['Satisfied', 'promo', 'package']</v>
      </c>
      <c r="D5840" s="3">
        <v>5.0</v>
      </c>
    </row>
    <row r="5841" ht="15.75" customHeight="1">
      <c r="A5841" s="1">
        <v>6241.0</v>
      </c>
      <c r="B5841" s="3" t="s">
        <v>5579</v>
      </c>
      <c r="C5841" s="3" t="str">
        <f>IFERROR(__xludf.DUMMYFUNCTION("GOOGLETRANSLATE(B5841,""id"",""en"")"),"['Satisfied', 'list', 'package', 'data', 'expensive', '']")</f>
        <v>['Satisfied', 'list', 'package', 'data', 'expensive', '']</v>
      </c>
      <c r="D5841" s="3">
        <v>5.0</v>
      </c>
    </row>
    <row r="5842" ht="15.75" customHeight="1">
      <c r="A5842" s="1">
        <v>6242.0</v>
      </c>
      <c r="B5842" s="3" t="s">
        <v>5580</v>
      </c>
      <c r="C5842" s="3" t="str">
        <f>IFERROR(__xludf.DUMMYFUNCTION("GOOGLETRANSLATE(B5842,""id"",""en"")"),"['application', 'complicated', 'send', 'package', 'Different', 'number', 'Different', 'mint', 'code', 'otp', 'link', 'fucking', ' Features', 'Send', 'Prizes',' ']")</f>
        <v>['application', 'complicated', 'send', 'package', 'Different', 'number', 'Different', 'mint', 'code', 'otp', 'link', 'fucking', ' Features', 'Send', 'Prizes',' ']</v>
      </c>
      <c r="D5842" s="3">
        <v>1.0</v>
      </c>
    </row>
    <row r="5843" ht="15.75" customHeight="1">
      <c r="A5843" s="1">
        <v>6243.0</v>
      </c>
      <c r="B5843" s="3" t="s">
        <v>5581</v>
      </c>
      <c r="C5843" s="3" t="str">
        <f>IFERROR(__xludf.DUMMYFUNCTION("GOOGLETRANSLATE(B5843,""id"",""en"")"),"['Cheap', 'essence']")</f>
        <v>['Cheap', 'essence']</v>
      </c>
      <c r="D5843" s="3">
        <v>4.0</v>
      </c>
    </row>
    <row r="5844" ht="15.75" customHeight="1">
      <c r="A5844" s="1">
        <v>6244.0</v>
      </c>
      <c r="B5844" s="3" t="s">
        <v>5582</v>
      </c>
      <c r="C5844" s="3" t="str">
        <f>IFERROR(__xludf.DUMMYFUNCTION("GOOGLETRANSLATE(B5844,""id"",""en"")"),"['Please', 'Punga', 'Telkomsel', 'Fix', 'Network', 'Rich', 'Dilapidated', 'Gini', 'Package', 'Expensive', 'Network', 'Rich', ' Turtle ',' lose ',' provider ',' cheap ', ""]")</f>
        <v>['Please', 'Punga', 'Telkomsel', 'Fix', 'Network', 'Rich', 'Dilapidated', 'Gini', 'Package', 'Expensive', 'Network', 'Rich', ' Turtle ',' lose ',' provider ',' cheap ', "]</v>
      </c>
      <c r="D5844" s="3">
        <v>1.0</v>
      </c>
    </row>
    <row r="5845" ht="15.75" customHeight="1">
      <c r="A5845" s="1">
        <v>6245.0</v>
      </c>
      <c r="B5845" s="3" t="s">
        <v>5583</v>
      </c>
      <c r="C5845" s="3" t="str">
        <f>IFERROR(__xludf.DUMMYFUNCTION("GOOGLETRANSLATE(B5845,""id"",""en"")"),"['telkomsellllll', 'woiiiiii', 'barein', 'signal', 'woiiiiiii', 'see', 'download', 'picture', 'wait', 'minutes', 'price', 'according to' Quality ',' Males', 'Cave', 'Make', 'Tsel', 'Kayak', 'Seriously', 'Signal']")</f>
        <v>['telkomsellllll', 'woiiiiii', 'barein', 'signal', 'woiiiiiii', 'see', 'download', 'picture', 'wait', 'minutes', 'price', 'according to' Quality ',' Males', 'Cave', 'Make', 'Tsel', 'Kayak', 'Seriously', 'Signal']</v>
      </c>
      <c r="D5845" s="3">
        <v>1.0</v>
      </c>
    </row>
    <row r="5846" ht="15.75" customHeight="1">
      <c r="A5846" s="1">
        <v>6246.0</v>
      </c>
      <c r="B5846" s="3" t="s">
        <v>5584</v>
      </c>
      <c r="C5846" s="3" t="str">
        <f>IFERROR(__xludf.DUMMYFUNCTION("GOOGLETRANSLATE(B5846,""id"",""en"")"),"['gini', 'pulse', 'run out', 'Gara', 'package', 'internet', 'active', 'no', 'really', 'contents',' pulse ',' directly ',' Ludes', 'Gara', 'intentionally', 'data', 'cellular', 'active', ""]")</f>
        <v>['gini', 'pulse', 'run out', 'Gara', 'package', 'internet', 'active', 'no', 'really', 'contents',' pulse ',' directly ',' Ludes', 'Gara', 'intentionally', 'data', 'cellular', 'active', "]</v>
      </c>
      <c r="D5846" s="3">
        <v>1.0</v>
      </c>
    </row>
    <row r="5847" ht="15.75" customHeight="1">
      <c r="A5847" s="1">
        <v>6247.0</v>
      </c>
      <c r="B5847" s="3" t="s">
        <v>5585</v>
      </c>
      <c r="C5847" s="3" t="str">
        <f>IFERROR(__xludf.DUMMYFUNCTION("GOOGLETRANSLATE(B5847,""id"",""en"")"),"['Telkomsel', 'parahhh', 'use', 'chat', 'forging', 'hours',' lpading ',' call ',' Pakia ',' broke ',' broke ',' use ',' Application ',' Gopartenr ',' Gojek ',' Loading ',' Open ',' Open ',' All Day ',' Main ',' Game ',' Loading ',' Internet ',' Disconnect"&amp;" ',' Searhhh ' , 'Syaa', 'Bohoong', 'comments',' Delete ',' Message ',' Delete ',' Admin ',' brother ',' brother ',' Read ',' Message ',' What to know ',' buy ',' quota ',' internet ',' TelkomSelll ',' guarantee ',' confession ', ""]")</f>
        <v>['Telkomsel', 'parahhh', 'use', 'chat', 'forging', 'hours',' lpading ',' call ',' Pakia ',' broke ',' broke ',' use ',' Application ',' Gopartenr ',' Gojek ',' Loading ',' Open ',' Open ',' All Day ',' Main ',' Game ',' Loading ',' Internet ',' Disconnect ',' Searhhh ' , 'Syaa', 'Bohoong', 'comments',' Delete ',' Message ',' Delete ',' Admin ',' brother ',' brother ',' Read ',' Message ',' What to know ',' buy ',' quota ',' internet ',' TelkomSelll ',' guarantee ',' confession ', "]</v>
      </c>
      <c r="D5847" s="3">
        <v>1.0</v>
      </c>
    </row>
    <row r="5848" ht="15.75" customHeight="1">
      <c r="A5848" s="1">
        <v>6248.0</v>
      </c>
      <c r="B5848" s="3" t="s">
        <v>5586</v>
      </c>
      <c r="C5848" s="3" t="str">
        <f>IFERROR(__xludf.DUMMYFUNCTION("GOOGLETRANSLATE(B5848,""id"",""en"")"),"['', 'Telkomsel', 'lag', 'severe', 'replace', 'card', 'signal', 'SSH', 'Telkomsel', 'Point', 'add', 'add', 'anjg ']")</f>
        <v>['', 'Telkomsel', 'lag', 'severe', 'replace', 'card', 'signal', 'SSH', 'Telkomsel', 'Point', 'add', 'add', 'anjg ']</v>
      </c>
      <c r="D5848" s="3">
        <v>5.0</v>
      </c>
    </row>
    <row r="5849" ht="15.75" customHeight="1">
      <c r="A5849" s="1">
        <v>6249.0</v>
      </c>
      <c r="B5849" s="3" t="s">
        <v>5587</v>
      </c>
      <c r="C5849" s="3" t="str">
        <f>IFERROR(__xludf.DUMMYFUNCTION("GOOGLETRANSLATE(B5849,""id"",""en"")"),"['Credit', 'Cut', 'then', 'Notification', 'Telkomsel', 'Maling', 'Pulse', 'Package', 'Expensive', 'Maling', 'Genesis',' October ',' package ',' internet ',' pulse ',' stolen ',' Telkomsel ',' just ',' call ',' pay ',' contents', 'credit', 'call', 'afraid'"&amp;", 'leftover' , 'Saldo', 'stolen', 'please', 'stakeholder', 'interests', 'Telkomsel', 'halal', 'money', 'results', 'steal']")</f>
        <v>['Credit', 'Cut', 'then', 'Notification', 'Telkomsel', 'Maling', 'Pulse', 'Package', 'Expensive', 'Maling', 'Genesis',' October ',' package ',' internet ',' pulse ',' stolen ',' Telkomsel ',' just ',' call ',' pay ',' contents', 'credit', 'call', 'afraid', 'leftover' , 'Saldo', 'stolen', 'please', 'stakeholder', 'interests', 'Telkomsel', 'halal', 'money', 'results', 'steal']</v>
      </c>
      <c r="D5849" s="3">
        <v>1.0</v>
      </c>
    </row>
    <row r="5850" ht="15.75" customHeight="1">
      <c r="A5850" s="1">
        <v>6250.0</v>
      </c>
      <c r="B5850" s="3" t="s">
        <v>5588</v>
      </c>
      <c r="C5850" s="3" t="str">
        <f>IFERROR(__xludf.DUMMYFUNCTION("GOOGLETRANSLATE(B5850,""id"",""en"")"),"['Hopefully', 'Jaringa', 'Linkrrrrr', 'Network', 'Built', 'Sampe', 'Reduces',' Quality ',' because ',' Org ',' denied ',' Maybekarna ',' Handset ',' Support ',' Price ',' Mahall ',' Blum ',' KBELI ',' Alternative ',' TTEP ', ""]")</f>
        <v>['Hopefully', 'Jaringa', 'Linkrrrrr', 'Network', 'Built', 'Sampe', 'Reduces',' Quality ',' because ',' Org ',' denied ',' Maybekarna ',' Handset ',' Support ',' Price ',' Mahall ',' Blum ',' KBELI ',' Alternative ',' TTEP ', "]</v>
      </c>
      <c r="D5850" s="3">
        <v>5.0</v>
      </c>
    </row>
    <row r="5851" ht="15.75" customHeight="1">
      <c r="A5851" s="1">
        <v>6251.0</v>
      </c>
      <c r="B5851" s="3" t="s">
        <v>5589</v>
      </c>
      <c r="C5851" s="3" t="str">
        <f>IFERROR(__xludf.DUMMYFUNCTION("GOOGLETRANSLATE(B5851,""id"",""en"")"),"['Hey', 'Telkomsel', 'YTH', 'Age', 'advanced', 'slow', 'signal', 'please', 'fix', 'performance', 'Telkomsel', 'sank', ' I guess', '']")</f>
        <v>['Hey', 'Telkomsel', 'YTH', 'Age', 'advanced', 'slow', 'signal', 'please', 'fix', 'performance', 'Telkomsel', 'sank', ' I guess', '']</v>
      </c>
      <c r="D5851" s="3">
        <v>3.0</v>
      </c>
    </row>
    <row r="5852" ht="15.75" customHeight="1">
      <c r="A5852" s="1">
        <v>6252.0</v>
      </c>
      <c r="B5852" s="3" t="s">
        <v>5590</v>
      </c>
      <c r="C5852" s="3" t="str">
        <f>IFERROR(__xludf.DUMMYFUNCTION("GOOGLETRANSLATE(B5852,""id"",""en"")"),"['Application', 'Good', 'Good']")</f>
        <v>['Application', 'Good', 'Good']</v>
      </c>
      <c r="D5852" s="3">
        <v>5.0</v>
      </c>
    </row>
    <row r="5853" ht="15.75" customHeight="1">
      <c r="A5853" s="1">
        <v>6253.0</v>
      </c>
      <c r="B5853" s="3" t="s">
        <v>5591</v>
      </c>
      <c r="C5853" s="3" t="str">
        <f>IFERROR(__xludf.DUMMYFUNCTION("GOOGLETRANSLATE(B5853,""id"",""en"")"),"['Severe', 'really', 'signal', 'ilang']")</f>
        <v>['Severe', 'really', 'signal', 'ilang']</v>
      </c>
      <c r="D5853" s="3">
        <v>2.0</v>
      </c>
    </row>
    <row r="5854" ht="15.75" customHeight="1">
      <c r="A5854" s="1">
        <v>6254.0</v>
      </c>
      <c r="B5854" s="3" t="s">
        <v>5592</v>
      </c>
      <c r="C5854" s="3" t="str">
        <f>IFERROR(__xludf.DUMMYFUNCTION("GOOGLETRANSLATE(B5854,""id"",""en"")"),"['please', 'Telkomsel', 'sequence', 'use', 'quota', 'took precedence', 'quota', 'run out', 'his time', 'quota', 'Ministry of Education', 'Kekeke', ' First ',' quota ',' apply ',' no ',' She ',' ']")</f>
        <v>['please', 'Telkomsel', 'sequence', 'use', 'quota', 'took precedence', 'quota', 'run out', 'his time', 'quota', 'Ministry of Education', 'Kekeke', ' First ',' quota ',' apply ',' no ',' She ',' ']</v>
      </c>
      <c r="D5854" s="3">
        <v>3.0</v>
      </c>
    </row>
    <row r="5855" ht="15.75" customHeight="1">
      <c r="A5855" s="1">
        <v>6255.0</v>
      </c>
      <c r="B5855" s="3" t="s">
        <v>5593</v>
      </c>
      <c r="C5855" s="3" t="str">
        <f>IFERROR(__xludf.DUMMYFUNCTION("GOOGLETRANSLATE(B5855,""id"",""en"")"),"['Package', 'buy', 'contents', 'plsa', 'package', 'ilang', 'Haaneehhh', '']")</f>
        <v>['Package', 'buy', 'contents', 'plsa', 'package', 'ilang', 'Haaneehhh', '']</v>
      </c>
      <c r="D5855" s="3">
        <v>2.0</v>
      </c>
    </row>
    <row r="5856" ht="15.75" customHeight="1">
      <c r="A5856" s="1">
        <v>6256.0</v>
      </c>
      <c r="B5856" s="3" t="s">
        <v>655</v>
      </c>
      <c r="C5856" s="3" t="str">
        <f>IFERROR(__xludf.DUMMYFUNCTION("GOOGLETRANSLATE(B5856,""id"",""en"")"),"['Easy', 'Ribet', '']")</f>
        <v>['Easy', 'Ribet', '']</v>
      </c>
      <c r="D5856" s="3">
        <v>4.0</v>
      </c>
    </row>
    <row r="5857" ht="15.75" customHeight="1">
      <c r="A5857" s="1">
        <v>6257.0</v>
      </c>
      <c r="B5857" s="3" t="s">
        <v>5594</v>
      </c>
      <c r="C5857" s="3" t="str">
        <f>IFERROR(__xludf.DUMMYFUNCTION("GOOGLETRANSLATE(B5857,""id"",""en"")"),"['pulse', 'exceed', 'package', 'buy', 'leftover', 'pulses', ""]")</f>
        <v>['pulse', 'exceed', 'package', 'buy', 'leftover', 'pulses', "]</v>
      </c>
      <c r="D5857" s="3">
        <v>2.0</v>
      </c>
    </row>
    <row r="5858" ht="15.75" customHeight="1">
      <c r="A5858" s="1">
        <v>6258.0</v>
      </c>
      <c r="B5858" s="3" t="s">
        <v>5595</v>
      </c>
      <c r="C5858" s="3" t="str">
        <f>IFERROR(__xludf.DUMMYFUNCTION("GOOGLETRANSLATE(B5858,""id"",""en"")"),"['Telkom', 'steady']")</f>
        <v>['Telkom', 'steady']</v>
      </c>
      <c r="D5858" s="3">
        <v>5.0</v>
      </c>
    </row>
    <row r="5859" ht="15.75" customHeight="1">
      <c r="A5859" s="1">
        <v>6259.0</v>
      </c>
      <c r="B5859" s="3" t="s">
        <v>5596</v>
      </c>
      <c r="C5859" s="3" t="str">
        <f>IFERROR(__xludf.DUMMYFUNCTION("GOOGLETRANSLATE(B5859,""id"",""en"")"),"['Network', 'Where', '']")</f>
        <v>['Network', 'Where', '']</v>
      </c>
      <c r="D5859" s="3">
        <v>5.0</v>
      </c>
    </row>
    <row r="5860" ht="15.75" customHeight="1">
      <c r="A5860" s="1">
        <v>6260.0</v>
      </c>
      <c r="B5860" s="3" t="s">
        <v>5597</v>
      </c>
      <c r="C5860" s="3" t="str">
        <f>IFERROR(__xludf.DUMMYFUNCTION("GOOGLETRANSLATE(B5860,""id"",""en"")"),"['application', 'good', 'cheat', 'application', 'right', 'bll', 'quota', 'page', 'point', 'pulse', 'finished', 'thought', ' The quota is', 'Points',' Doang ',' Credit ',' Loss', 'Credit', 'Out', 'Points',' Out ',' Quotes', 'Cuman', 'Loss',' Loss' , '']")</f>
        <v>['application', 'good', 'cheat', 'application', 'right', 'bll', 'quota', 'page', 'point', 'pulse', 'finished', 'thought', ' The quota is', 'Points',' Doang ',' Credit ',' Loss', 'Credit', 'Out', 'Points',' Out ',' Quotes', 'Cuman', 'Loss',' Loss' , '']</v>
      </c>
      <c r="D5860" s="3">
        <v>1.0</v>
      </c>
    </row>
    <row r="5861" ht="15.75" customHeight="1">
      <c r="A5861" s="1">
        <v>6261.0</v>
      </c>
      <c r="B5861" s="3" t="s">
        <v>5598</v>
      </c>
      <c r="C5861" s="3" t="str">
        <f>IFERROR(__xludf.DUMMYFUNCTION("GOOGLETRANSLATE(B5861,""id"",""en"")"),"['Good', 'APK']")</f>
        <v>['Good', 'APK']</v>
      </c>
      <c r="D5861" s="3">
        <v>5.0</v>
      </c>
    </row>
    <row r="5862" ht="15.75" customHeight="1">
      <c r="A5862" s="1">
        <v>6262.0</v>
      </c>
      <c r="B5862" s="3" t="s">
        <v>5599</v>
      </c>
      <c r="C5862" s="3" t="str">
        <f>IFERROR(__xludf.DUMMYFUNCTION("GOOGLETRANSLATE(B5862,""id"",""en"")"),"['Good', 'App']")</f>
        <v>['Good', 'App']</v>
      </c>
      <c r="D5862" s="3">
        <v>5.0</v>
      </c>
    </row>
    <row r="5863" ht="15.75" customHeight="1">
      <c r="A5863" s="1">
        <v>6264.0</v>
      </c>
      <c r="B5863" s="3" t="s">
        <v>5600</v>
      </c>
      <c r="C5863" s="3" t="str">
        <f>IFERROR(__xludf.DUMMYFUNCTION("GOOGLETRANSLATE(B5863,""id"",""en"")"),"['price', 'internet', 'expensive', 'above', 'hrga', 'facility', 'ono', 'kucut', 'internet', 'dpet', 'GB', 'try', ' Kouta ',' that way ',' stingy ',' expensive ',' lgi ',' ']")</f>
        <v>['price', 'internet', 'expensive', 'above', 'hrga', 'facility', 'ono', 'kucut', 'internet', 'dpet', 'GB', 'try', ' Kouta ',' that way ',' stingy ',' expensive ',' lgi ',' ']</v>
      </c>
      <c r="D5863" s="3">
        <v>1.0</v>
      </c>
    </row>
    <row r="5864" ht="15.75" customHeight="1">
      <c r="A5864" s="1">
        <v>6265.0</v>
      </c>
      <c r="B5864" s="3" t="s">
        <v>5601</v>
      </c>
      <c r="C5864" s="3" t="str">
        <f>IFERROR(__xludf.DUMMYFUNCTION("GOOGLETRANSLATE(B5864,""id"",""en"")"),"['buy', 'pulse', 'Udh', 'run out', 'Pakek', 'please']")</f>
        <v>['buy', 'pulse', 'Udh', 'run out', 'Pakek', 'please']</v>
      </c>
      <c r="D5864" s="3">
        <v>1.0</v>
      </c>
    </row>
    <row r="5865" ht="15.75" customHeight="1">
      <c r="A5865" s="1">
        <v>6266.0</v>
      </c>
      <c r="B5865" s="3" t="s">
        <v>5602</v>
      </c>
      <c r="C5865" s="3" t="str">
        <f>IFERROR(__xludf.DUMMYFUNCTION("GOOGLETRANSLATE(B5865,""id"",""en"")"),"['Package', 'Mendelek', 'Min', 'Please', 'Fix', 'Thanks', '']")</f>
        <v>['Package', 'Mendelek', 'Min', 'Please', 'Fix', 'Thanks', '']</v>
      </c>
      <c r="D5865" s="3">
        <v>3.0</v>
      </c>
    </row>
    <row r="5866" ht="15.75" customHeight="1">
      <c r="A5866" s="1">
        <v>6267.0</v>
      </c>
      <c r="B5866" s="3" t="s">
        <v>5603</v>
      </c>
      <c r="C5866" s="3" t="str">
        <f>IFERROR(__xludf.DUMMYFUNCTION("GOOGLETRANSLATE(B5866,""id"",""en"")"),"['down', 'branch', 'boss',' strange ',' package ',' data ',' pulse ',' tetep ',' get ',' sometimes', 'nyampe', 'zero', ' Sumpot ']")</f>
        <v>['down', 'branch', 'boss',' strange ',' package ',' data ',' pulse ',' tetep ',' get ',' sometimes', 'nyampe', 'zero', ' Sumpot ']</v>
      </c>
      <c r="D5866" s="3">
        <v>2.0</v>
      </c>
    </row>
    <row r="5867" ht="15.75" customHeight="1">
      <c r="A5867" s="1">
        <v>6268.0</v>
      </c>
      <c r="B5867" s="3" t="s">
        <v>5604</v>
      </c>
      <c r="C5867" s="3" t="str">
        <f>IFERROR(__xludf.DUMMYFUNCTION("GOOGLETRANSLATE(B5867,""id"",""en"")"),"['Saturday', 'week', 'enjoy', 'vacation', 'together', 'kluarga', 'forget', 'accompanied', 'Telkomsel', 'super', 'duper', 'slow', ' ']")</f>
        <v>['Saturday', 'week', 'enjoy', 'vacation', 'together', 'kluarga', 'forget', 'accompanied', 'Telkomsel', 'super', 'duper', 'slow', ' ']</v>
      </c>
      <c r="D5867" s="3">
        <v>1.0</v>
      </c>
    </row>
    <row r="5868" ht="15.75" customHeight="1">
      <c r="A5868" s="1">
        <v>6269.0</v>
      </c>
      <c r="B5868" s="3" t="s">
        <v>5605</v>
      </c>
      <c r="C5868" s="3" t="str">
        <f>IFERROR(__xludf.DUMMYFUNCTION("GOOGLETRANSLATE(B5868,""id"",""en"")"),"['signal', 'Telkomsel', 'ugly', 'moved', 'provider']")</f>
        <v>['signal', 'Telkomsel', 'ugly', 'moved', 'provider']</v>
      </c>
      <c r="D5868" s="3">
        <v>2.0</v>
      </c>
    </row>
    <row r="5869" ht="15.75" customHeight="1">
      <c r="A5869" s="1">
        <v>6270.0</v>
      </c>
      <c r="B5869" s="3" t="s">
        <v>5606</v>
      </c>
      <c r="C5869" s="3" t="str">
        <f>IFERROR(__xludf.DUMMYFUNCTION("GOOGLETRANSLATE(B5869,""id"",""en"")"),"['satisfying', 'Increases', 'Quality', 'The Network', 'Login', 'Slow']")</f>
        <v>['satisfying', 'Increases', 'Quality', 'The Network', 'Login', 'Slow']</v>
      </c>
      <c r="D5869" s="3">
        <v>3.0</v>
      </c>
    </row>
    <row r="5870" ht="15.75" customHeight="1">
      <c r="A5870" s="1">
        <v>6271.0</v>
      </c>
      <c r="B5870" s="3" t="s">
        <v>5607</v>
      </c>
      <c r="C5870" s="3" t="str">
        <f>IFERROR(__xludf.DUMMYFUNCTION("GOOGLETRANSLATE(B5870,""id"",""en"")"),"['steady', 'application', 'help']")</f>
        <v>['steady', 'application', 'help']</v>
      </c>
      <c r="D5870" s="3">
        <v>5.0</v>
      </c>
    </row>
    <row r="5871" ht="15.75" customHeight="1">
      <c r="A5871" s="1">
        <v>6272.0</v>
      </c>
      <c r="B5871" s="3" t="s">
        <v>5608</v>
      </c>
      <c r="C5871" s="3" t="str">
        <f>IFERROR(__xludf.DUMMYFUNCTION("GOOGLETRANSLATE(B5871,""id"",""en"")"),"['steady', 'easy', 'staple']")</f>
        <v>['steady', 'easy', 'staple']</v>
      </c>
      <c r="D5871" s="3">
        <v>5.0</v>
      </c>
    </row>
    <row r="5872" ht="15.75" customHeight="1">
      <c r="A5872" s="1">
        <v>6273.0</v>
      </c>
      <c r="B5872" s="3" t="s">
        <v>5609</v>
      </c>
      <c r="C5872" s="3" t="str">
        <f>IFERROR(__xludf.DUMMYFUNCTION("GOOGLETRANSLATE(B5872,""id"",""en"")"),"['uda', 'buy', 'pulse', 'buy', 'package', 'internet', 'enter', 'please', 'check', 'operator', 'segini', 'star']")</f>
        <v>['uda', 'buy', 'pulse', 'buy', 'package', 'internet', 'enter', 'please', 'check', 'operator', 'segini', 'star']</v>
      </c>
      <c r="D5872" s="3">
        <v>3.0</v>
      </c>
    </row>
    <row r="5873" ht="15.75" customHeight="1">
      <c r="A5873" s="1">
        <v>6274.0</v>
      </c>
      <c r="B5873" s="3" t="s">
        <v>5610</v>
      </c>
      <c r="C5873" s="3" t="str">
        <f>IFERROR(__xludf.DUMMYFUNCTION("GOOGLETRANSLATE(B5873,""id"",""en"")"),"['kangepi', 'love', 'star', 'ntar', 'kangepi', 'solution', 'addin', 'ask', 'install', 'apk', 'login', 'verification', ' Entering ',' Code ',' Verifikasi ',' then ',' How ',' Login ',' Try ',' Method ',' Veronika ',' Reply ', ""]")</f>
        <v>['kangepi', 'love', 'star', 'ntar', 'kangepi', 'solution', 'addin', 'ask', 'install', 'apk', 'login', 'verification', ' Entering ',' Code ',' Verifikasi ',' then ',' How ',' Login ',' Try ',' Method ',' Veronika ',' Reply ', "]</v>
      </c>
      <c r="D5873" s="3">
        <v>1.0</v>
      </c>
    </row>
    <row r="5874" ht="15.75" customHeight="1">
      <c r="A5874" s="1">
        <v>6275.0</v>
      </c>
      <c r="B5874" s="3" t="s">
        <v>5611</v>
      </c>
      <c r="C5874" s="3" t="str">
        <f>IFERROR(__xludf.DUMMYFUNCTION("GOOGLETRANSLATE(B5874,""id"",""en"")"),"['use', 'Appsi', 'Telkomsel', 'pketan', 'internet', 'ngak', 'can', 'can', 'bnyak', 'promo']")</f>
        <v>['use', 'Appsi', 'Telkomsel', 'pketan', 'internet', 'ngak', 'can', 'can', 'bnyak', 'promo']</v>
      </c>
      <c r="D5874" s="3">
        <v>5.0</v>
      </c>
    </row>
    <row r="5875" ht="15.75" customHeight="1">
      <c r="A5875" s="1">
        <v>6276.0</v>
      </c>
      <c r="B5875" s="3" t="s">
        <v>5612</v>
      </c>
      <c r="C5875" s="3" t="str">
        <f>IFERROR(__xludf.DUMMYFUNCTION("GOOGLETRANSLATE(B5875,""id"",""en"")"),"['Hello', 'Mimin', 'buy', 'Package', 'Combo', 'Sakti', 'Yesterday', 'Sampe', 'Slalu', 'Description', 'Sorry', 'Disturbance', ' Check ',' Connection ',' Internet ',' Repeat ',' Minutes', 'Already', 'Try', 'Yesterday', 'Tetep', 'Quota', 'Litue', 'Network', "&amp;"'Good' , 'Please', 'Help', 'Min']")</f>
        <v>['Hello', 'Mimin', 'buy', 'Package', 'Combo', 'Sakti', 'Yesterday', 'Sampe', 'Slalu', 'Description', 'Sorry', 'Disturbance', ' Check ',' Connection ',' Internet ',' Repeat ',' Minutes', 'Already', 'Try', 'Yesterday', 'Tetep', 'Quota', 'Litue', 'Network', 'Good' , 'Please', 'Help', 'Min']</v>
      </c>
      <c r="D5875" s="3">
        <v>1.0</v>
      </c>
    </row>
    <row r="5876" ht="15.75" customHeight="1">
      <c r="A5876" s="1">
        <v>6277.0</v>
      </c>
      <c r="B5876" s="3" t="s">
        <v>5613</v>
      </c>
      <c r="C5876" s="3" t="str">
        <f>IFERROR(__xludf.DUMMYFUNCTION("GOOGLETRANSLATE(B5876,""id"",""en"")"),"['application', 'ngentod', 'pulse', 'suck', 'ajg', 'bill', 'quota', 'emergency', '']")</f>
        <v>['application', 'ngentod', 'pulse', 'suck', 'ajg', 'bill', 'quota', 'emergency', '']</v>
      </c>
      <c r="D5876" s="3">
        <v>1.0</v>
      </c>
    </row>
    <row r="5877" ht="15.75" customHeight="1">
      <c r="A5877" s="1">
        <v>6278.0</v>
      </c>
      <c r="B5877" s="3" t="s">
        <v>134</v>
      </c>
      <c r="C5877" s="3" t="str">
        <f>IFERROR(__xludf.DUMMYFUNCTION("GOOGLETRANSLATE(B5877,""id"",""en"")"),"['cool']")</f>
        <v>['cool']</v>
      </c>
      <c r="D5877" s="3">
        <v>5.0</v>
      </c>
    </row>
    <row r="5878" ht="15.75" customHeight="1">
      <c r="A5878" s="1">
        <v>6279.0</v>
      </c>
      <c r="B5878" s="3" t="s">
        <v>190</v>
      </c>
      <c r="C5878" s="3" t="str">
        <f>IFERROR(__xludf.DUMMYFUNCTION("GOOGLETRANSLATE(B5878,""id"",""en"")"),"['Promo', '']")</f>
        <v>['Promo', '']</v>
      </c>
      <c r="D5878" s="3">
        <v>5.0</v>
      </c>
    </row>
    <row r="5879" ht="15.75" customHeight="1">
      <c r="A5879" s="1">
        <v>6280.0</v>
      </c>
      <c r="B5879" s="3" t="s">
        <v>5614</v>
      </c>
      <c r="C5879" s="3" t="str">
        <f>IFERROR(__xludf.DUMMYFUNCTION("GOOGLETRANSLATE(B5879,""id"",""en"")"),"['Telkomsel', 'Advertising', 'promote', 'tends to', 'cunning', 'trapping', 'prone', 'wrong', 'click', 'button', 'applied', 'ad', ' Disight ',' customer ',' lay ',' customer ',' loyal ',' Telkomsel ',' thank ',' love ']")</f>
        <v>['Telkomsel', 'Advertising', 'promote', 'tends to', 'cunning', 'trapping', 'prone', 'wrong', 'click', 'button', 'applied', 'ad', ' Disight ',' customer ',' lay ',' customer ',' loyal ',' Telkomsel ',' thank ',' love ']</v>
      </c>
      <c r="D5879" s="3">
        <v>3.0</v>
      </c>
    </row>
    <row r="5880" ht="15.75" customHeight="1">
      <c r="A5880" s="1">
        <v>6281.0</v>
      </c>
      <c r="B5880" s="3" t="s">
        <v>5615</v>
      </c>
      <c r="C5880" s="3" t="str">
        <f>IFERROR(__xludf.DUMMYFUNCTION("GOOGLETRANSLATE(B5880,""id"",""en"")"),"['number', 'tekomsel', 'person', 'yaa', 'right', 'enter', 'person', 'right', 'check', 'what', ""]")</f>
        <v>['number', 'tekomsel', 'person', 'yaa', 'right', 'enter', 'person', 'right', 'check', 'what', "]</v>
      </c>
      <c r="D5880" s="3">
        <v>1.0</v>
      </c>
    </row>
    <row r="5881" ht="15.75" customHeight="1">
      <c r="A5881" s="1">
        <v>6282.0</v>
      </c>
      <c r="B5881" s="3" t="s">
        <v>5616</v>
      </c>
      <c r="C5881" s="3" t="str">
        <f>IFERROR(__xludf.DUMMYFUNCTION("GOOGLETRANSLATE(B5881,""id"",""en"")"),"['network', 'slow', 'price', 'internet', 'expensive', 'duh', 'price', 'rb', 'comedy', '']")</f>
        <v>['network', 'slow', 'price', 'internet', 'expensive', 'duh', 'price', 'rb', 'comedy', '']</v>
      </c>
      <c r="D5881" s="3">
        <v>1.0</v>
      </c>
    </row>
    <row r="5882" ht="15.75" customHeight="1">
      <c r="A5882" s="1">
        <v>6284.0</v>
      </c>
      <c r="B5882" s="3" t="s">
        <v>5617</v>
      </c>
      <c r="C5882" s="3" t="str">
        <f>IFERROR(__xludf.DUMMYFUNCTION("GOOGLETRANSLATE(B5882,""id"",""en"")"),"['', 'steady', 'fast', 'bnget']")</f>
        <v>['', 'steady', 'fast', 'bnget']</v>
      </c>
      <c r="D5882" s="3">
        <v>5.0</v>
      </c>
    </row>
    <row r="5883" ht="15.75" customHeight="1">
      <c r="A5883" s="1">
        <v>6285.0</v>
      </c>
      <c r="B5883" s="3" t="s">
        <v>5618</v>
      </c>
      <c r="C5883" s="3" t="str">
        <f>IFERROR(__xludf.DUMMYFUNCTION("GOOGLETRANSLATE(B5883,""id"",""en"")"),"['Dear', 'MyTelkomsel', 'Daily', 'Chek', 'Error', 'Mid', 'Bln', 'Lost', 'Momment', 'Bonus',' Streaming ',' Movie ',' Fully ',' reduce ',' quota ',' multimedia ',' quota ',' internet ',' regular ',' reduced ',' on the day ',' hours', 'slow', 'signal', 'use"&amp;"' , 'Sometimes',' signal ',' down ',' application ',' update ',' restart ',' clear ',' cache ',' use ',' output ',' android ',' overall ',' Okay ',' hopefully ',' reinforced ',' signal ',' service ',' Thank you ',' ']")</f>
        <v>['Dear', 'MyTelkomsel', 'Daily', 'Chek', 'Error', 'Mid', 'Bln', 'Lost', 'Momment', 'Bonus',' Streaming ',' Movie ',' Fully ',' reduce ',' quota ',' multimedia ',' quota ',' internet ',' regular ',' reduced ',' on the day ',' hours', 'slow', 'signal', 'use' , 'Sometimes',' signal ',' down ',' application ',' update ',' restart ',' clear ',' cache ',' use ',' output ',' android ',' overall ',' Okay ',' hopefully ',' reinforced ',' signal ',' service ',' Thank you ',' ']</v>
      </c>
      <c r="D5883" s="3">
        <v>3.0</v>
      </c>
    </row>
    <row r="5884" ht="15.75" customHeight="1">
      <c r="A5884" s="1">
        <v>6287.0</v>
      </c>
      <c r="B5884" s="3" t="s">
        <v>5619</v>
      </c>
      <c r="C5884" s="3" t="str">
        <f>IFERROR(__xludf.DUMMYFUNCTION("GOOGLETRANSLATE(B5884,""id"",""en"")"),"['Login', 'slow', 'exchange', 'Points', 'NGK', 'use', 'card', ""]")</f>
        <v>['Login', 'slow', 'exchange', 'Points', 'NGK', 'use', 'card', "]</v>
      </c>
      <c r="D5884" s="3">
        <v>1.0</v>
      </c>
    </row>
    <row r="5885" ht="15.75" customHeight="1">
      <c r="A5885" s="1">
        <v>6288.0</v>
      </c>
      <c r="B5885" s="3" t="s">
        <v>5620</v>
      </c>
      <c r="C5885" s="3" t="str">
        <f>IFERROR(__xludf.DUMMYFUNCTION("GOOGLETRANSLATE(B5885,""id"",""en"")"),"['purchase', 'package', 'quota', 'easy', 'fast', 'minute', 'tank', ""]")</f>
        <v>['purchase', 'package', 'quota', 'easy', 'fast', 'minute', 'tank', "]</v>
      </c>
      <c r="D5885" s="3">
        <v>4.0</v>
      </c>
    </row>
    <row r="5886" ht="15.75" customHeight="1">
      <c r="A5886" s="1">
        <v>6289.0</v>
      </c>
      <c r="B5886" s="3" t="s">
        <v>5621</v>
      </c>
      <c r="C5886" s="3" t="str">
        <f>IFERROR(__xludf.DUMMYFUNCTION("GOOGLETRANSLATE(B5886,""id"",""en"")"),"['hard', 'signal', 'gabisa', 'apapa', 'dilapidated', '']")</f>
        <v>['hard', 'signal', 'gabisa', 'apapa', 'dilapidated', '']</v>
      </c>
      <c r="D5886" s="3">
        <v>5.0</v>
      </c>
    </row>
    <row r="5887" ht="15.75" customHeight="1">
      <c r="A5887" s="1">
        <v>6290.0</v>
      </c>
      <c r="B5887" s="3" t="s">
        <v>5622</v>
      </c>
      <c r="C5887" s="3" t="str">
        <f>IFERROR(__xludf.DUMMYFUNCTION("GOOGLETRANSLATE(B5887,""id"",""en"")"),"['super']")</f>
        <v>['super']</v>
      </c>
      <c r="D5887" s="3">
        <v>5.0</v>
      </c>
    </row>
    <row r="5888" ht="15.75" customHeight="1">
      <c r="A5888" s="1">
        <v>6291.0</v>
      </c>
      <c r="B5888" s="3" t="s">
        <v>5623</v>
      </c>
      <c r="C5888" s="3" t="str">
        <f>IFERROR(__xludf.DUMMYFUNCTION("GOOGLETRANSLATE(B5888,""id"",""en"")"),"['Telkomsel', 'network', 'widest', 'price', 'package', 'populat']")</f>
        <v>['Telkomsel', 'network', 'widest', 'price', 'package', 'populat']</v>
      </c>
      <c r="D5888" s="3">
        <v>4.0</v>
      </c>
    </row>
    <row r="5889" ht="15.75" customHeight="1">
      <c r="A5889" s="1">
        <v>6292.0</v>
      </c>
      <c r="B5889" s="3" t="s">
        <v>5624</v>
      </c>
      <c r="C5889" s="3" t="str">
        <f>IFERROR(__xludf.DUMMYFUNCTION("GOOGLETRANSLATE(B5889,""id"",""en"")"),"['Paketan', 'run out', 'late', 'second', 'Disable', 'Data', 'leftover', 'pulse', 'directly', 'Sumpot', 'Attention']")</f>
        <v>['Paketan', 'run out', 'late', 'second', 'Disable', 'Data', 'leftover', 'pulse', 'directly', 'Sumpot', 'Attention']</v>
      </c>
      <c r="D5889" s="3">
        <v>1.0</v>
      </c>
    </row>
    <row r="5890" ht="15.75" customHeight="1">
      <c r="A5890" s="1">
        <v>6293.0</v>
      </c>
      <c r="B5890" s="3" t="s">
        <v>5625</v>
      </c>
      <c r="C5890" s="3" t="str">
        <f>IFERROR(__xludf.DUMMYFUNCTION("GOOGLETRANSLATE(B5890,""id"",""en"")"),"['Recommended', 'use', 'Telkomsel', 'as',' users', 'network', 'Telkomsel', 'bad', 'leftover', 'pulse', 'package', 'waste', ' Money ',' Please ',' Fix ',' The Network ',' Daily ',' Check ',' Like ',' Bug ',' Credit ',' Sometimes', 'Sucked']")</f>
        <v>['Recommended', 'use', 'Telkomsel', 'as',' users', 'network', 'Telkomsel', 'bad', 'leftover', 'pulse', 'package', 'waste', ' Money ',' Please ',' Fix ',' The Network ',' Daily ',' Check ',' Like ',' Bug ',' Credit ',' Sometimes', 'Sucked']</v>
      </c>
      <c r="D5890" s="3">
        <v>1.0</v>
      </c>
    </row>
    <row r="5891" ht="15.75" customHeight="1">
      <c r="A5891" s="1">
        <v>6294.0</v>
      </c>
      <c r="B5891" s="3" t="s">
        <v>5626</v>
      </c>
      <c r="C5891" s="3" t="str">
        <f>IFERROR(__xludf.DUMMYFUNCTION("GOOGLETRANSLATE(B5891,""id"",""en"")"),"['buy', 'quota', 'Telkomsel', 'kyk', 'gini']")</f>
        <v>['buy', 'quota', 'Telkomsel', 'kyk', 'gini']</v>
      </c>
      <c r="D5891" s="3">
        <v>1.0</v>
      </c>
    </row>
    <row r="5892" ht="15.75" customHeight="1">
      <c r="A5892" s="1">
        <v>6295.0</v>
      </c>
      <c r="B5892" s="3" t="s">
        <v>5627</v>
      </c>
      <c r="C5892" s="3" t="str">
        <f>IFERROR(__xludf.DUMMYFUNCTION("GOOGLETRANSLATE(B5892,""id"",""en"")"),"['application', 'good', 'convenience', 'activate', 'package']")</f>
        <v>['application', 'good', 'convenience', 'activate', 'package']</v>
      </c>
      <c r="D5892" s="3">
        <v>5.0</v>
      </c>
    </row>
    <row r="5893" ht="15.75" customHeight="1">
      <c r="A5893" s="1">
        <v>6296.0</v>
      </c>
      <c r="B5893" s="3" t="s">
        <v>5628</v>
      </c>
      <c r="C5893" s="3" t="str">
        <f>IFERROR(__xludf.DUMMYFUNCTION("GOOGLETRANSLATE(B5893,""id"",""en"")"),"['signal', 'good', 'gift', 'interesting']")</f>
        <v>['signal', 'good', 'gift', 'interesting']</v>
      </c>
      <c r="D5893" s="3">
        <v>4.0</v>
      </c>
    </row>
    <row r="5894" ht="15.75" customHeight="1">
      <c r="A5894" s="1">
        <v>6297.0</v>
      </c>
      <c r="B5894" s="3" t="s">
        <v>5629</v>
      </c>
      <c r="C5894" s="3" t="str">
        <f>IFERROR(__xludf.DUMMYFUNCTION("GOOGLETRANSLATE(B5894,""id"",""en"")"),"['Application', 'Force', 'Close', 'Mulu', 'Order', 'Update', 'Version', 'Latest', 'Version', 'Yng', 'Installed', 'Please', ' Upade ',' Bug ',' Force ',' Close ', ""]")</f>
        <v>['Application', 'Force', 'Close', 'Mulu', 'Order', 'Update', 'Version', 'Latest', 'Version', 'Yng', 'Installed', 'Please', ' Upade ',' Bug ',' Force ',' Close ', "]</v>
      </c>
      <c r="D5894" s="3">
        <v>1.0</v>
      </c>
    </row>
    <row r="5895" ht="15.75" customHeight="1">
      <c r="A5895" s="1">
        <v>6298.0</v>
      </c>
      <c r="B5895" s="3" t="s">
        <v>5630</v>
      </c>
      <c r="C5895" s="3" t="str">
        <f>IFERROR(__xludf.DUMMYFUNCTION("GOOGLETRANSLATE(B5895,""id"",""en"")"),"['Good', 'broken', 'Detinent', 'money', 'tidk', 'comfortable', 'pakek', 'card', 'replace', 'axis']")</f>
        <v>['Good', 'broken', 'Detinent', 'money', 'tidk', 'comfortable', 'pakek', 'card', 'replace', 'axis']</v>
      </c>
      <c r="D5895" s="3">
        <v>1.0</v>
      </c>
    </row>
    <row r="5896" ht="15.75" customHeight="1">
      <c r="A5896" s="1">
        <v>6299.0</v>
      </c>
      <c r="B5896" s="3" t="s">
        <v>5631</v>
      </c>
      <c r="C5896" s="3" t="str">
        <f>IFERROR(__xludf.DUMMYFUNCTION("GOOGLETRANSLATE(B5896,""id"",""en"")"),"['Mendelek', 'Mulu', 'The Network', 'Please', 'Bictom']")</f>
        <v>['Mendelek', 'Mulu', 'The Network', 'Please', 'Bictom']</v>
      </c>
      <c r="D5896" s="3">
        <v>1.0</v>
      </c>
    </row>
    <row r="5897" ht="15.75" customHeight="1">
      <c r="A5897" s="1">
        <v>6300.0</v>
      </c>
      <c r="B5897" s="3" t="s">
        <v>5632</v>
      </c>
      <c r="C5897" s="3" t="str">
        <f>IFERROR(__xludf.DUMMYFUNCTION("GOOGLETRANSLATE(B5897,""id"",""en"")"),"['Sya', 'happy', 'join', 'dng']")</f>
        <v>['Sya', 'happy', 'join', 'dng']</v>
      </c>
      <c r="D5897" s="3">
        <v>5.0</v>
      </c>
    </row>
    <row r="5898" ht="15.75" customHeight="1">
      <c r="A5898" s="1">
        <v>6301.0</v>
      </c>
      <c r="B5898" s="3" t="s">
        <v>5633</v>
      </c>
      <c r="C5898" s="3" t="str">
        <f>IFERROR(__xludf.DUMMYFUNCTION("GOOGLETRANSLATE(B5898,""id"",""en"")"),"['Star', 'Lottery', 'Exchange', 'Points',' Telekomsel ',' Hold ',' Lottery ',' Exchange ',' Points', 'Sampe', 'Lying', 'Lying', ' Points', 'Exchange', 'whiseas',' exchanged ',' lottery ',' lie ']")</f>
        <v>['Star', 'Lottery', 'Exchange', 'Points',' Telekomsel ',' Hold ',' Lottery ',' Exchange ',' Points', 'Sampe', 'Lying', 'Lying', ' Points', 'Exchange', 'whiseas',' exchanged ',' lottery ',' lie ']</v>
      </c>
      <c r="D5898" s="3">
        <v>4.0</v>
      </c>
    </row>
    <row r="5899" ht="15.75" customHeight="1">
      <c r="A5899" s="1">
        <v>6302.0</v>
      </c>
      <c r="B5899" s="3" t="s">
        <v>5634</v>
      </c>
      <c r="C5899" s="3" t="str">
        <f>IFERROR(__xludf.DUMMYFUNCTION("GOOGLETRANSLATE(B5899,""id"",""en"")"),"['Smga', 'Lottery', 'Exchange', 'Points', 'Hadia', 'HandPhone', 'Activities', 'Learning', 'Online', '']")</f>
        <v>['Smga', 'Lottery', 'Exchange', 'Points', 'Hadia', 'HandPhone', 'Activities', 'Learning', 'Online', '']</v>
      </c>
      <c r="D5899" s="3">
        <v>4.0</v>
      </c>
    </row>
    <row r="5900" ht="15.75" customHeight="1">
      <c r="A5900" s="1">
        <v>6303.0</v>
      </c>
      <c r="B5900" s="3" t="s">
        <v>5635</v>
      </c>
      <c r="C5900" s="3" t="str">
        <f>IFERROR(__xludf.DUMMYFUNCTION("GOOGLETRANSLATE(B5900,""id"",""en"")"),"['quality', 'signal', 'already', 'ugly', 'tariff', 'expensive', 'according to', 'price', 'stop', 'use', 'Telkomsel', 'darling', ' Already ',' used ',' ']")</f>
        <v>['quality', 'signal', 'already', 'ugly', 'tariff', 'expensive', 'according to', 'price', 'stop', 'use', 'Telkomsel', 'darling', ' Already ',' used ',' ']</v>
      </c>
      <c r="D5900" s="3">
        <v>1.0</v>
      </c>
    </row>
    <row r="5901" ht="15.75" customHeight="1">
      <c r="A5901" s="1">
        <v>6304.0</v>
      </c>
      <c r="B5901" s="3" t="s">
        <v>5636</v>
      </c>
      <c r="C5901" s="3" t="str">
        <f>IFERROR(__xludf.DUMMYFUNCTION("GOOGLETRANSLATE(B5901,""id"",""en"")"),"['Customer', 'price', 'package', 'expensive', 'data', 'run out', 'direct', 'suck', 'pulse', 'put forward', 'satisfaction', 'customer', ' Rewel ']")</f>
        <v>['Customer', 'price', 'package', 'expensive', 'data', 'run out', 'direct', 'suck', 'pulse', 'put forward', 'satisfaction', 'customer', ' Rewel ']</v>
      </c>
      <c r="D5901" s="3">
        <v>1.0</v>
      </c>
    </row>
    <row r="5902" ht="15.75" customHeight="1">
      <c r="A5902" s="1">
        <v>6305.0</v>
      </c>
      <c r="B5902" s="3" t="s">
        <v>5637</v>
      </c>
      <c r="C5902" s="3" t="str">
        <f>IFERROR(__xludf.DUMMYFUNCTION("GOOGLETRANSLATE(B5902,""id"",""en"")"),"['Function', 'Helpful']")</f>
        <v>['Function', 'Helpful']</v>
      </c>
      <c r="D5902" s="3">
        <v>5.0</v>
      </c>
    </row>
    <row r="5903" ht="15.75" customHeight="1">
      <c r="A5903" s="1">
        <v>6306.0</v>
      </c>
      <c r="B5903" s="3" t="s">
        <v>5638</v>
      </c>
      <c r="C5903" s="3" t="str">
        <f>IFERROR(__xludf.DUMMYFUNCTION("GOOGLETRANSLATE(B5903,""id"",""en"")"),"['disappointed', 'heavy', 'news',' network ',' sea ',' bitten ',' shark ',' information ',' tidal ',' signal ',' visits', 'improved', ' Additions', 'network', 'please', 'network', 'strength', 'Lower', '']")</f>
        <v>['disappointed', 'heavy', 'news',' network ',' sea ',' bitten ',' shark ',' information ',' tidal ',' signal ',' visits', 'improved', ' Additions', 'network', 'please', 'network', 'strength', 'Lower', '']</v>
      </c>
      <c r="D5903" s="3">
        <v>1.0</v>
      </c>
    </row>
    <row r="5904" ht="15.75" customHeight="1">
      <c r="A5904" s="1">
        <v>6307.0</v>
      </c>
      <c r="B5904" s="3" t="s">
        <v>5639</v>
      </c>
      <c r="C5904" s="3" t="str">
        <f>IFERROR(__xludf.DUMMYFUNCTION("GOOGLETRANSLATE(B5904,""id"",""en"")"),"['Please', 'Donk', 'Fix', 'Quality', 'Signal', 'Telkomsel', 'Price', 'Quality', 'Signal', 'Decline', 'ugly']")</f>
        <v>['Please', 'Donk', 'Fix', 'Quality', 'Signal', 'Telkomsel', 'Price', 'Quality', 'Signal', 'Decline', 'ugly']</v>
      </c>
      <c r="D5904" s="3">
        <v>4.0</v>
      </c>
    </row>
    <row r="5905" ht="15.75" customHeight="1">
      <c r="A5905" s="1">
        <v>6309.0</v>
      </c>
      <c r="B5905" s="3" t="s">
        <v>5640</v>
      </c>
      <c r="C5905" s="3" t="str">
        <f>IFERROR(__xludf.DUMMYFUNCTION("GOOGLETRANSLATE(B5905,""id"",""en"")"),"['promo', 'daily', 'unlimited', 'that's',' click ',' GB ',' usage ',' reasonable ',' unlimited ',' unlimited ',' changed ',' limit ',' GB ',' Give ',' Bonus', 'MB', 'Network', 'Ribet', 'KLW', 'Slw', 'KSI', 'Bonus',' Mending ',' EMG ',' all ' , 'area', 'al"&amp;"ready', '']")</f>
        <v>['promo', 'daily', 'unlimited', 'that's',' click ',' GB ',' usage ',' reasonable ',' unlimited ',' unlimited ',' changed ',' limit ',' GB ',' Give ',' Bonus', 'MB', 'Network', 'Ribet', 'KLW', 'Slw', 'KSI', 'Bonus',' Mending ',' EMG ',' all ' , 'area', 'already', '']</v>
      </c>
      <c r="D5905" s="3">
        <v>1.0</v>
      </c>
    </row>
    <row r="5906" ht="15.75" customHeight="1">
      <c r="A5906" s="1">
        <v>6310.0</v>
      </c>
      <c r="B5906" s="3" t="s">
        <v>5641</v>
      </c>
      <c r="C5906" s="3" t="str">
        <f>IFERROR(__xludf.DUMMYFUNCTION("GOOGLETRANSLATE(B5906,""id"",""en"")"),"['greedy', 'ama', 'pulse', 'buy', 'pulse', 'rb', 'then', 'right', 'package', 'already', 'sign', 'tick', ' signs', 'transactions',' sarama ',' ehhh ',' quota ',' entry ',' pulses', 'Embat', 'oath', 'disappointed', 'really', 'Telkomsel', 'repair' , 'please'"&amp;", 'pulse', 'key', 'ohhhh', 'yes',' lost ',' name ',' package ',' emergency ',' likes', 'active', 'please', ' Fix ',' Min ',' ']")</f>
        <v>['greedy', 'ama', 'pulse', 'buy', 'pulse', 'rb', 'then', 'right', 'package', 'already', 'sign', 'tick', ' signs', 'transactions',' sarama ',' ehhh ',' quota ',' entry ',' pulses', 'Embat', 'oath', 'disappointed', 'really', 'Telkomsel', 'repair' , 'please', 'pulse', 'key', 'ohhhh', 'yes',' lost ',' name ',' package ',' emergency ',' likes', 'active', 'please', ' Fix ',' Min ',' ']</v>
      </c>
      <c r="D5906" s="3">
        <v>1.0</v>
      </c>
    </row>
    <row r="5907" ht="15.75" customHeight="1">
      <c r="A5907" s="1">
        <v>6311.0</v>
      </c>
      <c r="B5907" s="3" t="s">
        <v>5642</v>
      </c>
      <c r="C5907" s="3" t="str">
        <f>IFERROR(__xludf.DUMMYFUNCTION("GOOGLETRANSLATE(B5907,""id"",""en"")"),"['Try', 'Good', 'Change', 'Laen', ""]")</f>
        <v>['Try', 'Good', 'Change', 'Laen', "]</v>
      </c>
      <c r="D5907" s="3">
        <v>2.0</v>
      </c>
    </row>
    <row r="5908" ht="15.75" customHeight="1">
      <c r="A5908" s="1">
        <v>6312.0</v>
      </c>
      <c r="B5908" s="3" t="s">
        <v>5643</v>
      </c>
      <c r="C5908" s="3" t="str">
        <f>IFERROR(__xludf.DUMMYFUNCTION("GOOGLETRANSLATE(B5908,""id"",""en"")"),"['Please', 'menu', 'ngelock', 'pulse', 'Telkomsel', 'right', 'quota', 'run out', 'packagein', 'telkomsel', 'turn on', 'data', ' pulses', 'hurried', 'run out', 'please', 'idiot', 'provider', 'big', 'think', ""]")</f>
        <v>['Please', 'menu', 'ngelock', 'pulse', 'Telkomsel', 'right', 'quota', 'run out', 'packagein', 'telkomsel', 'turn on', 'data', ' pulses', 'hurried', 'run out', 'please', 'idiot', 'provider', 'big', 'think', "]</v>
      </c>
      <c r="D5908" s="3">
        <v>1.0</v>
      </c>
    </row>
    <row r="5909" ht="15.75" customHeight="1">
      <c r="A5909" s="1">
        <v>6313.0</v>
      </c>
      <c r="B5909" s="3" t="s">
        <v>5644</v>
      </c>
      <c r="C5909" s="3" t="str">
        <f>IFERROR(__xludf.DUMMYFUNCTION("GOOGLETRANSLATE(B5909,""id"",""en"")"),"['Wonder', 'Update', 'Application', 'Ribet', 'Trying', 'Buy', 'Package', 'Activation', 'Please', 'Repaired', 'Nast', 'Star', ' Please ',' Telkomsel ',' stabilizes', 'network', 'internet', 'price', 'expensive', 'provider', 'honest', 'dozens',' Telkomsel ',"&amp;"' disappointed ', ""]")</f>
        <v>['Wonder', 'Update', 'Application', 'Ribet', 'Trying', 'Buy', 'Package', 'Activation', 'Please', 'Repaired', 'Nast', 'Star', ' Please ',' Telkomsel ',' stabilizes', 'network', 'internet', 'price', 'expensive', 'provider', 'honest', 'dozens',' Telkomsel ',' disappointed ', "]</v>
      </c>
      <c r="D5909" s="3">
        <v>1.0</v>
      </c>
    </row>
    <row r="5910" ht="15.75" customHeight="1">
      <c r="A5910" s="1">
        <v>6314.0</v>
      </c>
      <c r="B5910" s="3" t="s">
        <v>5645</v>
      </c>
      <c r="C5910" s="3" t="str">
        <f>IFERROR(__xludf.DUMMYFUNCTION("GOOGLETRANSLATE(B5910,""id"",""en"")"),"['Hello', 'card', 'Tsel', 'UDH', 'Network', 'UDH', 'Cleanin', 'Etc.', 'TTP', 'Network']")</f>
        <v>['Hello', 'card', 'Tsel', 'UDH', 'Network', 'UDH', 'Cleanin', 'Etc.', 'TTP', 'Network']</v>
      </c>
      <c r="D5910" s="3">
        <v>1.0</v>
      </c>
    </row>
    <row r="5911" ht="15.75" customHeight="1">
      <c r="A5911" s="1">
        <v>6315.0</v>
      </c>
      <c r="B5911" s="3" t="s">
        <v>5646</v>
      </c>
      <c r="C5911" s="3" t="str">
        <f>IFERROR(__xludf.DUMMYFUNCTION("GOOGLETRANSLATE(B5911,""id"",""en"")"),"['Failed', 'Login', 'Orbit', 'Overcome', 'MyTelkomsel']")</f>
        <v>['Failed', 'Login', 'Orbit', 'Overcome', 'MyTelkomsel']</v>
      </c>
      <c r="D5911" s="3">
        <v>5.0</v>
      </c>
    </row>
    <row r="5912" ht="15.75" customHeight="1">
      <c r="A5912" s="1">
        <v>6316.0</v>
      </c>
      <c r="B5912" s="3" t="s">
        <v>5647</v>
      </c>
      <c r="C5912" s="3" t="str">
        <f>IFERROR(__xludf.DUMMYFUNCTION("GOOGLETRANSLATE(B5912,""id"",""en"")"),"['Sorry', 'Min', 'Signal', 'Telkomsel', 'Internet', 'Direct', 'Network', 'Change', 'Network', 'Phone', ""]")</f>
        <v>['Sorry', 'Min', 'Signal', 'Telkomsel', 'Internet', 'Direct', 'Network', 'Change', 'Network', 'Phone', "]</v>
      </c>
      <c r="D5912" s="3">
        <v>1.0</v>
      </c>
    </row>
    <row r="5913" ht="15.75" customHeight="1">
      <c r="A5913" s="1">
        <v>6317.0</v>
      </c>
      <c r="B5913" s="3" t="s">
        <v>5648</v>
      </c>
      <c r="C5913" s="3" t="str">
        <f>IFERROR(__xludf.DUMMYFUNCTION("GOOGLETRANSLATE(B5913,""id"",""en"")"),"['MyTelkomsel', 'heavy', 'slow', 'compared', 'myxl', 'mysmartfren', 'please', 'repaired', '']")</f>
        <v>['MyTelkomsel', 'heavy', 'slow', 'compared', 'myxl', 'mysmartfren', 'please', 'repaired', '']</v>
      </c>
      <c r="D5913" s="3">
        <v>2.0</v>
      </c>
    </row>
    <row r="5914" ht="15.75" customHeight="1">
      <c r="A5914" s="1">
        <v>6318.0</v>
      </c>
      <c r="B5914" s="3" t="s">
        <v>5649</v>
      </c>
      <c r="C5914" s="3" t="str">
        <f>IFERROR(__xludf.DUMMYFUNCTION("GOOGLETRANSLATE(B5914,""id"",""en"")"),"['', 'see', 'results']")</f>
        <v>['', 'see', 'results']</v>
      </c>
      <c r="D5914" s="3">
        <v>3.0</v>
      </c>
    </row>
    <row r="5915" ht="15.75" customHeight="1">
      <c r="A5915" s="1">
        <v>6319.0</v>
      </c>
      <c r="B5915" s="3" t="s">
        <v>5650</v>
      </c>
      <c r="C5915" s="3" t="str">
        <f>IFERROR(__xludf.DUMMYFUNCTION("GOOGLETRANSLATE(B5915,""id"",""en"")"),"['Congratulations', 'get', 'prank']")</f>
        <v>['Congratulations', 'get', 'prank']</v>
      </c>
      <c r="D5915" s="3">
        <v>5.0</v>
      </c>
    </row>
    <row r="5916" ht="15.75" customHeight="1">
      <c r="A5916" s="1">
        <v>6320.0</v>
      </c>
      <c r="B5916" s="3" t="s">
        <v>5651</v>
      </c>
      <c r="C5916" s="3" t="str">
        <f>IFERROR(__xludf.DUMMYFUNCTION("GOOGLETRANSLATE(B5916,""id"",""en"")"),"['APK', 'Bener', 'what', 'SIH', 'ISI', 'Credit', 'buy', 'quota', 'credit', 'check', 'clock', 'pulse', ' run out ',' Cut ',' how ',' Siiihhh ',' Sight ',' Application ',' Harm ',' Very ',' Come on ',' Telkomsel ',' Paaaaaaahhh ',' Ihhhhh ',' want ' , 'Maki"&amp;"', 'Maki', 'disappointed', 'really', 'Allah']")</f>
        <v>['APK', 'Bener', 'what', 'SIH', 'ISI', 'Credit', 'buy', 'quota', 'credit', 'check', 'clock', 'pulse', ' run out ',' Cut ',' how ',' Siiihhh ',' Sight ',' Application ',' Harm ',' Very ',' Come on ',' Telkomsel ',' Paaaaaaahhh ',' Ihhhhh ',' want ' , 'Maki', 'Maki', 'disappointed', 'really', 'Allah']</v>
      </c>
      <c r="D5916" s="3">
        <v>1.0</v>
      </c>
    </row>
    <row r="5917" ht="15.75" customHeight="1">
      <c r="A5917" s="1">
        <v>6321.0</v>
      </c>
      <c r="B5917" s="3" t="s">
        <v>5652</v>
      </c>
      <c r="C5917" s="3" t="str">
        <f>IFERROR(__xludf.DUMMYFUNCTION("GOOGLETRANSLATE(B5917,""id"",""en"")"),"['Hey', 'network', 'The widest', 'Indonesia', 'times',' play ',' game ',' network ',' stable ',' admit ',' network ',' widest ',' Indonesia ',' really ',' really ',' good ',' network ',' taste ',' moved ',' provider ',' minus', 'Telkomsel', 'network', 'wi"&amp;"dest', 'Indonesia' , '']")</f>
        <v>['Hey', 'network', 'The widest', 'Indonesia', 'times',' play ',' game ',' network ',' stable ',' admit ',' network ',' widest ',' Indonesia ',' really ',' really ',' good ',' network ',' taste ',' moved ',' provider ',' minus', 'Telkomsel', 'network', 'widest', 'Indonesia' , '']</v>
      </c>
      <c r="D5917" s="3">
        <v>1.0</v>
      </c>
    </row>
    <row r="5918" ht="15.75" customHeight="1">
      <c r="A5918" s="1">
        <v>6322.0</v>
      </c>
      <c r="B5918" s="3" t="s">
        <v>80</v>
      </c>
      <c r="C5918" s="3" t="str">
        <f>IFERROR(__xludf.DUMMYFUNCTION("GOOGLETRANSLATE(B5918,""id"",""en"")"),"['help', '']")</f>
        <v>['help', '']</v>
      </c>
      <c r="D5918" s="3">
        <v>5.0</v>
      </c>
    </row>
    <row r="5919" ht="15.75" customHeight="1">
      <c r="A5919" s="1">
        <v>6323.0</v>
      </c>
      <c r="B5919" s="3" t="s">
        <v>5653</v>
      </c>
      <c r="C5919" s="3" t="str">
        <f>IFERROR(__xludf.DUMMYFUNCTION("GOOGLETRANSLATE(B5919,""id"",""en"")"),"['Severe', 'network', 'kek', 'eak', 'severe', 'lag', 'really', 'nnton', 'streaming', 'slow', 'bnget', 'quota', ' expensive ',' network ',' ampass', 'customers',' Telkomsel ',' many years', 'PKE', 'Telkomsel', 'Severe', 'Network', '']")</f>
        <v>['Severe', 'network', 'kek', 'eak', 'severe', 'lag', 'really', 'nnton', 'streaming', 'slow', 'bnget', 'quota', ' expensive ',' network ',' ampass', 'customers',' Telkomsel ',' many years', 'PKE', 'Telkomsel', 'Severe', 'Network', '']</v>
      </c>
      <c r="D5919" s="3">
        <v>1.0</v>
      </c>
    </row>
    <row r="5920" ht="15.75" customHeight="1">
      <c r="A5920" s="1">
        <v>6324.0</v>
      </c>
      <c r="B5920" s="3" t="s">
        <v>5654</v>
      </c>
      <c r="C5920" s="3" t="str">
        <f>IFERROR(__xludf.DUMMYFUNCTION("GOOGLETRANSLATE(B5920,""id"",""en"")"),"['like', 'piece', 'pulse', '']")</f>
        <v>['like', 'piece', 'pulse', '']</v>
      </c>
      <c r="D5920" s="3">
        <v>4.0</v>
      </c>
    </row>
    <row r="5921" ht="15.75" customHeight="1">
      <c r="A5921" s="1">
        <v>6325.0</v>
      </c>
      <c r="B5921" s="3" t="s">
        <v>4303</v>
      </c>
      <c r="C5921" s="3" t="str">
        <f>IFERROR(__xludf.DUMMYFUNCTION("GOOGLETRANSLATE(B5921,""id"",""en"")"),"['Help', 'easy']")</f>
        <v>['Help', 'easy']</v>
      </c>
      <c r="D5921" s="3">
        <v>5.0</v>
      </c>
    </row>
    <row r="5922" ht="15.75" customHeight="1">
      <c r="A5922" s="1">
        <v>6326.0</v>
      </c>
      <c r="B5922" s="3" t="s">
        <v>5655</v>
      </c>
      <c r="C5922" s="3" t="str">
        <f>IFERROR(__xludf.DUMMYFUNCTION("GOOGLETRANSLATE(B5922,""id"",""en"")"),"['already', 'package', 'data', 'super', 'duper', 'expensive', 'network', 'internet', 'kayak', 'keong', 'work', 'money', ' Important ',' Note ',' Costumer ',' Network ',' Bangsatttttt ']")</f>
        <v>['already', 'package', 'data', 'super', 'duper', 'expensive', 'network', 'internet', 'kayak', 'keong', 'work', 'money', ' Important ',' Note ',' Costumer ',' Network ',' Bangsatttttt ']</v>
      </c>
      <c r="D5922" s="3">
        <v>1.0</v>
      </c>
    </row>
    <row r="5923" ht="15.75" customHeight="1">
      <c r="A5923" s="1">
        <v>6327.0</v>
      </c>
      <c r="B5923" s="3" t="s">
        <v>5656</v>
      </c>
      <c r="C5923" s="3" t="str">
        <f>IFERROR(__xludf.DUMMYFUNCTION("GOOGLETRANSLATE(B5923,""id"",""en"")"),"['work', 'Advertising', 'promises',' promise ',' debt ',' janjimu ',' user ',' signal ',' smooth ',' signal ',' kek ',' snail ',' the road ',' boss', 'sorry', 'work', 'buy', 'package', 'money', 'leaves',' sorry ',' star ',' choice ',' thumb ',' thumb ' , "&amp;"'already', 'Pectan', 'exorbitant', 'price', 'signal', 'Letoy', 'Customer', 'King', '']")</f>
        <v>['work', 'Advertising', 'promises',' promise ',' debt ',' janjimu ',' user ',' signal ',' smooth ',' signal ',' kek ',' snail ',' the road ',' boss', 'sorry', 'work', 'buy', 'package', 'money', 'leaves',' sorry ',' star ',' choice ',' thumb ',' thumb ' , 'already', 'Pectan', 'exorbitant', 'price', 'signal', 'Letoy', 'Customer', 'King', '']</v>
      </c>
      <c r="D5923" s="3">
        <v>1.0</v>
      </c>
    </row>
    <row r="5924" ht="15.75" customHeight="1">
      <c r="A5924" s="1">
        <v>6328.0</v>
      </c>
      <c r="B5924" s="3" t="s">
        <v>5657</v>
      </c>
      <c r="C5924" s="3" t="str">
        <f>IFERROR(__xludf.DUMMYFUNCTION("GOOGLETRANSLATE(B5924,""id"",""en"")"),"['Success', 'buy', 'package', 'I', 'live', 'data', 'possibility', 'idiot']")</f>
        <v>['Success', 'buy', 'package', 'I', 'live', 'data', 'possibility', 'idiot']</v>
      </c>
      <c r="D5924" s="3">
        <v>1.0</v>
      </c>
    </row>
    <row r="5925" ht="15.75" customHeight="1">
      <c r="A5925" s="1">
        <v>6329.0</v>
      </c>
      <c r="B5925" s="3" t="s">
        <v>5658</v>
      </c>
      <c r="C5925" s="3" t="str">
        <f>IFERROR(__xludf.DUMMYFUNCTION("GOOGLETRANSLATE(B5925,""id"",""en"")"),"['application', 'already', 'updated', 'no']")</f>
        <v>['application', 'already', 'updated', 'no']</v>
      </c>
      <c r="D5925" s="3">
        <v>2.0</v>
      </c>
    </row>
    <row r="5926" ht="15.75" customHeight="1">
      <c r="A5926" s="1">
        <v>6330.0</v>
      </c>
      <c r="B5926" s="3" t="s">
        <v>5659</v>
      </c>
      <c r="C5926" s="3" t="str">
        <f>IFERROR(__xludf.DUMMYFUNCTION("GOOGLETRANSLATE(B5926,""id"",""en"")"),"['signal', 'trouble', 'severe']")</f>
        <v>['signal', 'trouble', 'severe']</v>
      </c>
      <c r="D5926" s="3">
        <v>3.0</v>
      </c>
    </row>
    <row r="5927" ht="15.75" customHeight="1">
      <c r="A5927" s="1">
        <v>6331.0</v>
      </c>
      <c r="B5927" s="3" t="s">
        <v>5660</v>
      </c>
      <c r="C5927" s="3" t="str">
        <f>IFERROR(__xludf.DUMMYFUNCTION("GOOGLETRANSLATE(B5927,""id"",""en"")"),"['pulse', 'buy', 'package', 'internet', 'Sakti', 'price', '']")</f>
        <v>['pulse', 'buy', 'package', 'internet', 'Sakti', 'price', '']</v>
      </c>
      <c r="D5927" s="3">
        <v>1.0</v>
      </c>
    </row>
    <row r="5928" ht="15.75" customHeight="1">
      <c r="A5928" s="1">
        <v>6332.0</v>
      </c>
      <c r="B5928" s="3" t="s">
        <v>5661</v>
      </c>
      <c r="C5928" s="3" t="str">
        <f>IFERROR(__xludf.DUMMYFUNCTION("GOOGLETRANSLATE(B5928,""id"",""en"")"),"['amazing']")</f>
        <v>['amazing']</v>
      </c>
      <c r="D5928" s="3">
        <v>5.0</v>
      </c>
    </row>
    <row r="5929" ht="15.75" customHeight="1">
      <c r="A5929" s="1">
        <v>6333.0</v>
      </c>
      <c r="B5929" s="3" t="s">
        <v>5662</v>
      </c>
      <c r="C5929" s="3" t="str">
        <f>IFERROR(__xludf.DUMMYFUNCTION("GOOGLETRANSLATE(B5929,""id"",""en"")"),"['quota', 'education', 'nggk', 'used', 'smooth', 'gmeet', 'zoom', 'nggk']")</f>
        <v>['quota', 'education', 'nggk', 'used', 'smooth', 'gmeet', 'zoom', 'nggk']</v>
      </c>
      <c r="D5929" s="3">
        <v>1.0</v>
      </c>
    </row>
    <row r="5930" ht="15.75" customHeight="1">
      <c r="A5930" s="1">
        <v>6334.0</v>
      </c>
      <c r="B5930" s="3" t="s">
        <v>5663</v>
      </c>
      <c r="C5930" s="3" t="str">
        <f>IFERROR(__xludf.DUMMYFUNCTION("GOOGLETRANSLATE(B5930,""id"",""en"")"),"['Good', 'easy', 'success', 'Telkomsel', 'promo', 'hahaha']")</f>
        <v>['Good', 'easy', 'success', 'Telkomsel', 'promo', 'hahaha']</v>
      </c>
      <c r="D5930" s="3">
        <v>5.0</v>
      </c>
    </row>
    <row r="5931" ht="15.75" customHeight="1">
      <c r="A5931" s="1">
        <v>6335.0</v>
      </c>
      <c r="B5931" s="3" t="s">
        <v>5664</v>
      </c>
      <c r="C5931" s="3" t="str">
        <f>IFERROR(__xludf.DUMMYFUNCTION("GOOGLETRANSLATE(B5931,""id"",""en"")"),"['network', 'Telkomsel', 'skrng', 'slow', 'dlu', 'dlu', 'chas',' pleng ',' skrg ',' open ',' video ',' difficult ',' Ampiuuuun ']")</f>
        <v>['network', 'Telkomsel', 'skrng', 'slow', 'dlu', 'dlu', 'chas',' pleng ',' skrg ',' open ',' video ',' difficult ',' Ampiuuuun ']</v>
      </c>
      <c r="D5931" s="3">
        <v>3.0</v>
      </c>
    </row>
    <row r="5932" ht="15.75" customHeight="1">
      <c r="A5932" s="1">
        <v>6336.0</v>
      </c>
      <c r="B5932" s="3" t="s">
        <v>4303</v>
      </c>
      <c r="C5932" s="3" t="str">
        <f>IFERROR(__xludf.DUMMYFUNCTION("GOOGLETRANSLATE(B5932,""id"",""en"")"),"['Help', 'easy']")</f>
        <v>['Help', 'easy']</v>
      </c>
      <c r="D5932" s="3">
        <v>5.0</v>
      </c>
    </row>
    <row r="5933" ht="15.75" customHeight="1">
      <c r="A5933" s="1">
        <v>6338.0</v>
      </c>
      <c r="B5933" s="3" t="s">
        <v>5665</v>
      </c>
      <c r="C5933" s="3" t="str">
        <f>IFERROR(__xludf.DUMMYFUNCTION("GOOGLETRANSLATE(B5933,""id"",""en"")"),"['application', 'Telkomsel', 'fun', 'help', ""]")</f>
        <v>['application', 'Telkomsel', 'fun', 'help', "]</v>
      </c>
      <c r="D5933" s="3">
        <v>5.0</v>
      </c>
    </row>
    <row r="5934" ht="15.75" customHeight="1">
      <c r="A5934" s="1">
        <v>6339.0</v>
      </c>
      <c r="B5934" s="3" t="s">
        <v>5666</v>
      </c>
      <c r="C5934" s="3" t="str">
        <f>IFERROR(__xludf.DUMMYFUNCTION("GOOGLETRANSLATE(B5934,""id"",""en"")"),"['already', 'manyin', 'promo', 'yeah', 'see', ""]")</f>
        <v>['already', 'manyin', 'promo', 'yeah', 'see', "]</v>
      </c>
      <c r="D5934" s="3">
        <v>4.0</v>
      </c>
    </row>
    <row r="5935" ht="15.75" customHeight="1">
      <c r="A5935" s="1">
        <v>6340.0</v>
      </c>
      <c r="B5935" s="3" t="s">
        <v>5667</v>
      </c>
      <c r="C5935" s="3" t="str">
        <f>IFERROR(__xludf.DUMMYFUNCTION("GOOGLETRANSLATE(B5935,""id"",""en"")"),"['Undi', 'Hepi', 'Sunday', 'Really', 'Points',' Random ',' Follow ',' Lottery ',' Can ',' Ampe ',' MGGU ',' Abisin ',' Points', 'Lottery', 'Credit', 'Klu', 'Can', 'Pekah']")</f>
        <v>['Undi', 'Hepi', 'Sunday', 'Really', 'Points',' Random ',' Follow ',' Lottery ',' Can ',' Ampe ',' MGGU ',' Abisin ',' Points', 'Lottery', 'Credit', 'Klu', 'Can', 'Pekah']</v>
      </c>
      <c r="D5935" s="3">
        <v>1.0</v>
      </c>
    </row>
    <row r="5936" ht="15.75" customHeight="1">
      <c r="A5936" s="1">
        <v>6341.0</v>
      </c>
      <c r="B5936" s="3" t="s">
        <v>5668</v>
      </c>
      <c r="C5936" s="3" t="str">
        <f>IFERROR(__xludf.DUMMYFUNCTION("GOOGLETRANSLATE(B5936,""id"",""en"")"),"['Benefits', 'Good', 'It's easy', 'fast', 'cheap', 'quality', 'trust', 'customer', 'best', ""]")</f>
        <v>['Benefits', 'Good', 'It's easy', 'fast', 'cheap', 'quality', 'trust', 'customer', 'best', "]</v>
      </c>
      <c r="D5936" s="3">
        <v>5.0</v>
      </c>
    </row>
    <row r="5937" ht="15.75" customHeight="1">
      <c r="A5937" s="1">
        <v>6343.0</v>
      </c>
      <c r="B5937" s="3" t="s">
        <v>5669</v>
      </c>
      <c r="C5937" s="3" t="str">
        <f>IFERROR(__xludf.DUMMYFUNCTION("GOOGLETRANSLATE(B5937,""id"",""en"")"),"['Application', 'good', 'really', '']")</f>
        <v>['Application', 'good', 'really', '']</v>
      </c>
      <c r="D5937" s="3">
        <v>5.0</v>
      </c>
    </row>
    <row r="5938" ht="15.75" customHeight="1">
      <c r="A5938" s="1">
        <v>6344.0</v>
      </c>
      <c r="B5938" s="3" t="s">
        <v>5670</v>
      </c>
      <c r="C5938" s="3" t="str">
        <f>IFERROR(__xludf.DUMMYFUNCTION("GOOGLETRANSLATE(B5938,""id"",""en"")"),"['Untk', 'petrified', 'APK', '']")</f>
        <v>['Untk', 'petrified', 'APK', '']</v>
      </c>
      <c r="D5938" s="3">
        <v>5.0</v>
      </c>
    </row>
    <row r="5939" ht="15.75" customHeight="1">
      <c r="A5939" s="1">
        <v>6345.0</v>
      </c>
      <c r="B5939" s="3" t="s">
        <v>5671</v>
      </c>
      <c r="C5939" s="3" t="str">
        <f>IFERROR(__xludf.DUMMYFUNCTION("GOOGLETRANSLATE(B5939,""id"",""en"")"),"['Star', 'application', 'Sangst', 'useful', 'TTG', 'Kouta', 'credit', 'etc.', 'thank', 'love', 'Telkomsel', 'hope', ' Jaya ',' ']")</f>
        <v>['Star', 'application', 'Sangst', 'useful', 'TTG', 'Kouta', 'credit', 'etc.', 'thank', 'love', 'Telkomsel', 'hope', ' Jaya ',' ']</v>
      </c>
      <c r="D5939" s="3">
        <v>4.0</v>
      </c>
    </row>
    <row r="5940" ht="15.75" customHeight="1">
      <c r="A5940" s="1">
        <v>6346.0</v>
      </c>
      <c r="B5940" s="3" t="s">
        <v>5672</v>
      </c>
      <c r="C5940" s="3" t="str">
        <f>IFERROR(__xludf.DUMMYFUNCTION("GOOGLETRANSLATE(B5940,""id"",""en"")"),"['network', 'Telkomsel', 'ugly', 'price', 'package', 'doang', 'expensive', 'network', 'managed']")</f>
        <v>['network', 'Telkomsel', 'ugly', 'price', 'package', 'doang', 'expensive', 'network', 'managed']</v>
      </c>
      <c r="D5940" s="3">
        <v>1.0</v>
      </c>
    </row>
    <row r="5941" ht="15.75" customHeight="1">
      <c r="A5941" s="1">
        <v>6348.0</v>
      </c>
      <c r="B5941" s="3" t="s">
        <v>5673</v>
      </c>
      <c r="C5941" s="3" t="str">
        <f>IFERROR(__xludf.DUMMYFUNCTION("GOOGLETRANSLATE(B5941,""id"",""en"")"),"['Severe', 'Send', 'Credit', 'Direct', 'MyTelkomsel', 'told', 'Downlod', 'Linkaja', 'Heavy', ""]")</f>
        <v>['Severe', 'Send', 'Credit', 'Direct', 'MyTelkomsel', 'told', 'Downlod', 'Linkaja', 'Heavy', "]</v>
      </c>
      <c r="D5941" s="3">
        <v>1.0</v>
      </c>
    </row>
    <row r="5942" ht="15.75" customHeight="1">
      <c r="A5942" s="1">
        <v>6349.0</v>
      </c>
      <c r="B5942" s="3" t="s">
        <v>5674</v>
      </c>
      <c r="C5942" s="3" t="str">
        <f>IFERROR(__xludf.DUMMYFUNCTION("GOOGLETRANSLATE(B5942,""id"",""en"")"),"['Sis',' Kartuku ',' Check ',' Credit ',' SMS ',' Tel ',' Fill ',' Credit ',' Receive ',' Call ',' Enter ',' SMS ',' Enter ',' signs', 'card', 'block', ""]")</f>
        <v>['Sis',' Kartuku ',' Check ',' Credit ',' SMS ',' Tel ',' Fill ',' Credit ',' Receive ',' Call ',' Enter ',' SMS ',' Enter ',' signs', 'card', 'block', "]</v>
      </c>
      <c r="D5942" s="3">
        <v>4.0</v>
      </c>
    </row>
    <row r="5943" ht="15.75" customHeight="1">
      <c r="A5943" s="1">
        <v>6350.0</v>
      </c>
      <c r="B5943" s="3" t="s">
        <v>862</v>
      </c>
      <c r="C5943" s="3" t="str">
        <f>IFERROR(__xludf.DUMMYFUNCTION("GOOGLETRANSLATE(B5943,""id"",""en"")"),"['The application', 'Good', '']")</f>
        <v>['The application', 'Good', '']</v>
      </c>
      <c r="D5943" s="3">
        <v>5.0</v>
      </c>
    </row>
    <row r="5944" ht="15.75" customHeight="1">
      <c r="A5944" s="1">
        <v>6351.0</v>
      </c>
      <c r="B5944" s="3" t="s">
        <v>5675</v>
      </c>
      <c r="C5944" s="3" t="str">
        <f>IFERROR(__xludf.DUMMYFUNCTION("GOOGLETRANSLATE(B5944,""id"",""en"")"),"['Telkomsel', 'please', 'already', 'loss',' tens', 'thousand', 'pulse', 'lost', 'Gara', 'often', 'access',' internet ',' pulse ',' buy ',' quota ',' eaten ',' telkomsel ',' please ',' already ',' really ',' ngalamin ',' gini ']")</f>
        <v>['Telkomsel', 'please', 'already', 'loss',' tens', 'thousand', 'pulse', 'lost', 'Gara', 'often', 'access',' internet ',' pulse ',' buy ',' quota ',' eaten ',' telkomsel ',' please ',' already ',' really ',' ngalamin ',' gini ']</v>
      </c>
      <c r="D5944" s="3">
        <v>1.0</v>
      </c>
    </row>
    <row r="5945" ht="15.75" customHeight="1">
      <c r="A5945" s="1">
        <v>6352.0</v>
      </c>
      <c r="B5945" s="3" t="s">
        <v>5676</v>
      </c>
      <c r="C5945" s="3" t="str">
        <f>IFERROR(__xludf.DUMMYFUNCTION("GOOGLETRANSLATE(B5945,""id"",""en"")"),"['credit', 'Telkomsel', 'really', 'Sumpot', 'aka', 'pdhal', 'already', 'package', 'internet', 'package', 'telephone', 'really', ' Kayak ',' that's', 'Season', 'No', 'Disappointed', 'really']")</f>
        <v>['credit', 'Telkomsel', 'really', 'Sumpot', 'aka', 'pdhal', 'already', 'package', 'internet', 'package', 'telephone', 'really', ' Kayak ',' that's', 'Season', 'No', 'Disappointed', 'really']</v>
      </c>
      <c r="D5945" s="3">
        <v>4.0</v>
      </c>
    </row>
    <row r="5946" ht="15.75" customHeight="1">
      <c r="A5946" s="1">
        <v>6353.0</v>
      </c>
      <c r="B5946" s="3" t="s">
        <v>5677</v>
      </c>
      <c r="C5946" s="3" t="str">
        <f>IFERROR(__xludf.DUMMYFUNCTION("GOOGLETRANSLATE(B5946,""id"",""en"")"),"['difficult', 'emergency', 'pulse', 'emergency', 'wait', 'hadeh', 'make', 'card', 'bgtu', 'doang', 'tbah', 'complicated' Already ',' Service ',' Slow ',' Response ',' Hadeh ']")</f>
        <v>['difficult', 'emergency', 'pulse', 'emergency', 'wait', 'hadeh', 'make', 'card', 'bgtu', 'doang', 'tbah', 'complicated' Already ',' Service ',' Slow ',' Response ',' Hadeh ']</v>
      </c>
      <c r="D5946" s="3">
        <v>1.0</v>
      </c>
    </row>
    <row r="5947" ht="15.75" customHeight="1">
      <c r="A5947" s="1">
        <v>6355.0</v>
      </c>
      <c r="B5947" s="3" t="s">
        <v>5678</v>
      </c>
      <c r="C5947" s="3" t="str">
        <f>IFERROR(__xludf.DUMMYFUNCTION("GOOGLETRANSLATE(B5947,""id"",""en"")"),"['Disappointed', 'SMA', 'KRTU', 'Package', 'MSH', 'Credit', 'SLLU', 'HBIS', ''S' Internet ',' ']")</f>
        <v>['Disappointed', 'SMA', 'KRTU', 'Package', 'MSH', 'Credit', 'SLLU', 'HBIS', ''S' Internet ',' ']</v>
      </c>
      <c r="D5947" s="3">
        <v>1.0</v>
      </c>
    </row>
    <row r="5948" ht="15.75" customHeight="1">
      <c r="A5948" s="1">
        <v>6356.0</v>
      </c>
      <c r="B5948" s="3" t="s">
        <v>5679</v>
      </c>
      <c r="C5948" s="3" t="str">
        <f>IFERROR(__xludf.DUMMYFUNCTION("GOOGLETRANSLATE(B5948,""id"",""en"")"),"['Good', 'Cool', 'Help']")</f>
        <v>['Good', 'Cool', 'Help']</v>
      </c>
      <c r="D5948" s="3">
        <v>5.0</v>
      </c>
    </row>
    <row r="5949" ht="15.75" customHeight="1">
      <c r="A5949" s="1">
        <v>6357.0</v>
      </c>
      <c r="B5949" s="3" t="s">
        <v>5680</v>
      </c>
      <c r="C5949" s="3" t="str">
        <f>IFERROR(__xludf.DUMMYFUNCTION("GOOGLETRANSLATE(B5949,""id"",""en"")"),"['Kasi', 'Star', 'Network', 'Region', 'Good', 'Call', 'Sometimes',' Difficult ',' Internet ',' Please ',' The Network ',' Enhanced ',' Thank you ',' Love ',' Telkomsel ',' ']")</f>
        <v>['Kasi', 'Star', 'Network', 'Region', 'Good', 'Call', 'Sometimes',' Difficult ',' Internet ',' Please ',' The Network ',' Enhanced ',' Thank you ',' Love ',' Telkomsel ',' ']</v>
      </c>
      <c r="D5949" s="3">
        <v>3.0</v>
      </c>
    </row>
    <row r="5950" ht="15.75" customHeight="1">
      <c r="A5950" s="1">
        <v>6358.0</v>
      </c>
      <c r="B5950" s="3" t="s">
        <v>5681</v>
      </c>
      <c r="C5950" s="3" t="str">
        <f>IFERROR(__xludf.DUMMYFUNCTION("GOOGLETRANSLATE(B5950,""id"",""en"")"),"['network', 'ugly', 'slow', 'side', 'package', 'use', 'disappointing', 'here', 'severe', 'user', 'good', 'bad', ' Pentingin ',' omsed ',' service ',' ']")</f>
        <v>['network', 'ugly', 'slow', 'side', 'package', 'use', 'disappointing', 'here', 'severe', 'user', 'good', 'bad', ' Pentingin ',' omsed ',' service ',' ']</v>
      </c>
      <c r="D5950" s="3">
        <v>1.0</v>
      </c>
    </row>
    <row r="5951" ht="15.75" customHeight="1">
      <c r="A5951" s="1">
        <v>6359.0</v>
      </c>
      <c r="B5951" s="3" t="s">
        <v>5682</v>
      </c>
      <c r="C5951" s="3" t="str">
        <f>IFERROR(__xludf.DUMMYFUNCTION("GOOGLETRANSLATE(B5951,""id"",""en"")"),"['access', 'application', 'quota']")</f>
        <v>['access', 'application', 'quota']</v>
      </c>
      <c r="D5951" s="3">
        <v>5.0</v>
      </c>
    </row>
    <row r="5952" ht="15.75" customHeight="1">
      <c r="A5952" s="1">
        <v>6360.0</v>
      </c>
      <c r="B5952" s="3" t="s">
        <v>5683</v>
      </c>
      <c r="C5952" s="3" t="str">
        <f>IFERROR(__xludf.DUMMYFUNCTION("GOOGLETRANSLATE(B5952,""id"",""en"")"),"['application', 'help', 'steady', '']")</f>
        <v>['application', 'help', 'steady', '']</v>
      </c>
      <c r="D5952" s="3">
        <v>5.0</v>
      </c>
    </row>
    <row r="5953" ht="15.75" customHeight="1">
      <c r="A5953" s="1">
        <v>6361.0</v>
      </c>
      <c r="B5953" s="3" t="s">
        <v>5684</v>
      </c>
      <c r="C5953" s="3" t="str">
        <f>IFERROR(__xludf.DUMMYFUNCTION("GOOGLETRANSLATE(B5953,""id"",""en"")"),"['Please', 'Gift', 'Chek', 'HRI', 'Automatic', 'Claim', 'Mksh', 'Success', 'TRS', 'Telkomsel']")</f>
        <v>['Please', 'Gift', 'Chek', 'HRI', 'Automatic', 'Claim', 'Mksh', 'Success', 'TRS', 'Telkomsel']</v>
      </c>
      <c r="D5953" s="3">
        <v>4.0</v>
      </c>
    </row>
    <row r="5954" ht="15.75" customHeight="1">
      <c r="A5954" s="1">
        <v>6362.0</v>
      </c>
      <c r="B5954" s="3" t="s">
        <v>5685</v>
      </c>
      <c r="C5954" s="3" t="str">
        <f>IFERROR(__xludf.DUMMYFUNCTION("GOOGLETRANSLATE(B5954,""id"",""en"")"),"['Telkomsel', 'The network', 'Bad', 'repaired', 'buy', 'package', 'data', 'used', 'use', 'wifi', 'home', ""]")</f>
        <v>['Telkomsel', 'The network', 'Bad', 'repaired', 'buy', 'package', 'data', 'used', 'use', 'wifi', 'home', "]</v>
      </c>
      <c r="D5954" s="3">
        <v>2.0</v>
      </c>
    </row>
    <row r="5955" ht="15.75" customHeight="1">
      <c r="A5955" s="1">
        <v>6363.0</v>
      </c>
      <c r="B5955" s="3" t="s">
        <v>1247</v>
      </c>
      <c r="C5955" s="3" t="str">
        <f>IFERROR(__xludf.DUMMYFUNCTION("GOOGLETRANSLATE(B5955,""id"",""en"")"),"['Star', 'Talk', ""]")</f>
        <v>['Star', 'Talk', "]</v>
      </c>
      <c r="D5955" s="3">
        <v>5.0</v>
      </c>
    </row>
    <row r="5956" ht="15.75" customHeight="1">
      <c r="A5956" s="1">
        <v>6364.0</v>
      </c>
      <c r="B5956" s="3" t="s">
        <v>5686</v>
      </c>
      <c r="C5956" s="3" t="str">
        <f>IFERROR(__xludf.DUMMYFUNCTION("GOOGLETRANSLATE(B5956,""id"",""en"")"),"['happy', 'when opening', 'application', 'Telkomsel', 'help', 'convenience', 'convenience', 'Telkomsel', 'in the future', 'enhanced', 'clarity', ' Information ',' Withdrawal ',' Lottery ',' Telkomsel ',' Customer ',' in the area ',' PUSAT ',' Enjoy ',' Wi"&amp;"thdrawal ',' Wrong ',' Breakthrough ',' Interesting ',' Customer ' , 'In the area', 'network', 'cellular', 'kudo', 'success', 'for you', 'Telkomsel']")</f>
        <v>['happy', 'when opening', 'application', 'Telkomsel', 'help', 'convenience', 'convenience', 'Telkomsel', 'in the future', 'enhanced', 'clarity', ' Information ',' Withdrawal ',' Lottery ',' Telkomsel ',' Customer ',' in the area ',' PUSAT ',' Enjoy ',' Withdrawal ',' Wrong ',' Breakthrough ',' Interesting ',' Customer ' , 'In the area', 'network', 'cellular', 'kudo', 'success', 'for you', 'Telkomsel']</v>
      </c>
      <c r="D5956" s="3">
        <v>4.0</v>
      </c>
    </row>
    <row r="5957" ht="15.75" customHeight="1">
      <c r="A5957" s="1">
        <v>6365.0</v>
      </c>
      <c r="B5957" s="3" t="s">
        <v>5687</v>
      </c>
      <c r="C5957" s="3" t="str">
        <f>IFERROR(__xludf.DUMMYFUNCTION("GOOGLETRANSLATE(B5957,""id"",""en"")"),"['buy', 'quota', 'internet', 'emang', 'choice', 'package', 'internet', 'choice', 'internet', 'night', 'package', 'entertainment', ' Sorry ',' Move ',' Provider ',' Bye ',' Bye ',' Telkomsel ']")</f>
        <v>['buy', 'quota', 'internet', 'emang', 'choice', 'package', 'internet', 'choice', 'internet', 'night', 'package', 'entertainment', ' Sorry ',' Move ',' Provider ',' Bye ',' Bye ',' Telkomsel ']</v>
      </c>
      <c r="D5957" s="3">
        <v>3.0</v>
      </c>
    </row>
    <row r="5958" ht="15.75" customHeight="1">
      <c r="A5958" s="1">
        <v>6366.0</v>
      </c>
      <c r="B5958" s="3" t="s">
        <v>5688</v>
      </c>
      <c r="C5958" s="3" t="str">
        <f>IFERROR(__xludf.DUMMYFUNCTION("GOOGLETRANSLATE(B5958,""id"",""en"")"),"['Network', 'UDH', 'according to', 'Promise', 'Love', 'Star', 'Hopefully', 'Tlkom', 'Love', 'Student', 'Price', 'Cheap' BLI ',' PAKETAN ',' Daily ',' Chek ',' Help ', ""]")</f>
        <v>['Network', 'UDH', 'according to', 'Promise', 'Love', 'Star', 'Hopefully', 'Tlkom', 'Love', 'Student', 'Price', 'Cheap' BLI ',' PAKETAN ',' Daily ',' Chek ',' Help ', "]</v>
      </c>
      <c r="D5958" s="3">
        <v>5.0</v>
      </c>
    </row>
    <row r="5959" ht="15.75" customHeight="1">
      <c r="A5959" s="1">
        <v>6367.0</v>
      </c>
      <c r="B5959" s="3" t="s">
        <v>5689</v>
      </c>
      <c r="C5959" s="3" t="str">
        <f>IFERROR(__xludf.DUMMYFUNCTION("GOOGLETRANSLATE(B5959,""id"",""en"")"),"['Like', 'Error', 'Afternoon', ""]")</f>
        <v>['Like', 'Error', 'Afternoon', "]</v>
      </c>
      <c r="D5959" s="3">
        <v>4.0</v>
      </c>
    </row>
    <row r="5960" ht="15.75" customHeight="1">
      <c r="A5960" s="1">
        <v>6368.0</v>
      </c>
      <c r="B5960" s="3" t="s">
        <v>5690</v>
      </c>
      <c r="C5960" s="3" t="str">
        <f>IFERROR(__xludf.DUMMYFUNCTION("GOOGLETRANSLATE(B5960,""id"",""en"")"),"['Thank God', 'Good', 'Telkomsel', 'Current', 'Internet', 'Satisfied', 'Wear', 'Come on', 'Use', 'Telkomsel']")</f>
        <v>['Thank God', 'Good', 'Telkomsel', 'Current', 'Internet', 'Satisfied', 'Wear', 'Come on', 'Use', 'Telkomsel']</v>
      </c>
      <c r="D5960" s="3">
        <v>5.0</v>
      </c>
    </row>
    <row r="5961" ht="15.75" customHeight="1">
      <c r="A5961" s="1">
        <v>6369.0</v>
      </c>
      <c r="B5961" s="3" t="s">
        <v>5691</v>
      </c>
      <c r="C5961" s="3" t="str">
        <f>IFERROR(__xludf.DUMMYFUNCTION("GOOGLETRANSLATE(B5961,""id"",""en"")"),"['already', 'update', 'told', 'update', 'button', 'update']")</f>
        <v>['already', 'update', 'told', 'update', 'button', 'update']</v>
      </c>
      <c r="D5961" s="3">
        <v>1.0</v>
      </c>
    </row>
    <row r="5962" ht="15.75" customHeight="1">
      <c r="A5962" s="1">
        <v>6370.0</v>
      </c>
      <c r="B5962" s="3" t="s">
        <v>5692</v>
      </c>
      <c r="C5962" s="3" t="str">
        <f>IFERROR(__xludf.DUMMYFUNCTION("GOOGLETRANSLATE(B5962,""id"",""en"")"),"['', 'Meli', 'Package', 'Cheap']")</f>
        <v>['', 'Meli', 'Package', 'Cheap']</v>
      </c>
      <c r="D5962" s="3">
        <v>5.0</v>
      </c>
    </row>
    <row r="5963" ht="15.75" customHeight="1">
      <c r="A5963" s="1">
        <v>6371.0</v>
      </c>
      <c r="B5963" s="3" t="s">
        <v>5693</v>
      </c>
      <c r="C5963" s="3" t="str">
        <f>IFERROR(__xludf.DUMMYFUNCTION("GOOGLETRANSLATE(B5963,""id"",""en"")"),"['quota', 'entertainment', 'maxstream', 'chick', 'quota', 'main', '']")</f>
        <v>['quota', 'entertainment', 'maxstream', 'chick', 'quota', 'main', '']</v>
      </c>
      <c r="D5963" s="3">
        <v>2.0</v>
      </c>
    </row>
    <row r="5964" ht="15.75" customHeight="1">
      <c r="A5964" s="1">
        <v>6372.0</v>
      </c>
      <c r="B5964" s="3" t="s">
        <v>5694</v>
      </c>
      <c r="C5964" s="3" t="str">
        <f>IFERROR(__xludf.DUMMYFUNCTION("GOOGLETRANSLATE(B5964,""id"",""en"")"),"['price', 'package', 'internet', 'expensive', 'expensive', 'promo', 'expensive', '']")</f>
        <v>['price', 'package', 'internet', 'expensive', 'expensive', 'promo', 'expensive', '']</v>
      </c>
      <c r="D5964" s="3">
        <v>1.0</v>
      </c>
    </row>
    <row r="5965" ht="15.75" customHeight="1">
      <c r="A5965" s="1">
        <v>6373.0</v>
      </c>
      <c r="B5965" s="3" t="s">
        <v>5695</v>
      </c>
      <c r="C5965" s="3" t="str">
        <f>IFERROR(__xludf.DUMMYFUNCTION("GOOGLETRANSLATE(B5965,""id"",""en"")"),"['Combo', 'Sakti']")</f>
        <v>['Combo', 'Sakti']</v>
      </c>
      <c r="D5965" s="3">
        <v>1.0</v>
      </c>
    </row>
    <row r="5966" ht="15.75" customHeight="1">
      <c r="A5966" s="1">
        <v>6374.0</v>
      </c>
      <c r="B5966" s="3" t="s">
        <v>5696</v>
      </c>
      <c r="C5966" s="3" t="str">
        <f>IFERROR(__xludf.DUMMYFUNCTION("GOOGLETRANSLATE(B5966,""id"",""en"")"),"['already', 'install', 'notification', 'kaga', 'cook', 'how', 'siy', 'cape', 'deh', 'telkomsel', 'belom', 'application', ' ']")</f>
        <v>['already', 'install', 'notification', 'kaga', 'cook', 'how', 'siy', 'cape', 'deh', 'telkomsel', 'belom', 'application', ' ']</v>
      </c>
      <c r="D5966" s="3">
        <v>2.0</v>
      </c>
    </row>
    <row r="5967" ht="15.75" customHeight="1">
      <c r="A5967" s="1">
        <v>6375.0</v>
      </c>
      <c r="B5967" s="3" t="s">
        <v>5697</v>
      </c>
      <c r="C5967" s="3" t="str">
        <f>IFERROR(__xludf.DUMMYFUNCTION("GOOGLETRANSLATE(B5967,""id"",""en"")"),"['Disappointed', 'contents',' plsa ',' pkerin ',' tgal ',' run out ',' plsa ',' tdak ',' run out ',' crease ',' mncuri ',' consumer ',' Silent ',' ']")</f>
        <v>['Disappointed', 'contents',' plsa ',' pkerin ',' tgal ',' run out ',' plsa ',' tdak ',' run out ',' crease ',' mncuri ',' consumer ',' Silent ',' ']</v>
      </c>
      <c r="D5967" s="3">
        <v>1.0</v>
      </c>
    </row>
    <row r="5968" ht="15.75" customHeight="1">
      <c r="A5968" s="1">
        <v>6376.0</v>
      </c>
      <c r="B5968" s="3" t="s">
        <v>5698</v>
      </c>
      <c r="C5968" s="3" t="str">
        <f>IFERROR(__xludf.DUMMYFUNCTION("GOOGLETRANSLATE(B5968,""id"",""en"")"),"['Package', 'data', 'use', 'tariff', 'non', 'package', 'disappointed', '']")</f>
        <v>['Package', 'data', 'use', 'tariff', 'non', 'package', 'disappointed', '']</v>
      </c>
      <c r="D5968" s="3">
        <v>1.0</v>
      </c>
    </row>
    <row r="5969" ht="15.75" customHeight="1">
      <c r="A5969" s="1">
        <v>6377.0</v>
      </c>
      <c r="B5969" s="3" t="s">
        <v>5699</v>
      </c>
      <c r="C5969" s="3" t="str">
        <f>IFERROR(__xludf.DUMMYFUNCTION("GOOGLETRANSLATE(B5969,""id"",""en"")"),"['BURIK', 'BERIK', 'SIM', 'GAME', 'Damaged', 'Asik', 'Sometimes',' Gajelas', 'Package', 'Expensive', 'Damaged', 'Telkomsel', ' ']")</f>
        <v>['BURIK', 'BERIK', 'SIM', 'GAME', 'Damaged', 'Asik', 'Sometimes',' Gajelas', 'Package', 'Expensive', 'Damaged', 'Telkomsel', ' ']</v>
      </c>
      <c r="D5969" s="3">
        <v>1.0</v>
      </c>
    </row>
    <row r="5970" ht="15.75" customHeight="1">
      <c r="A5970" s="1">
        <v>6378.0</v>
      </c>
      <c r="B5970" s="3" t="s">
        <v>5700</v>
      </c>
      <c r="C5970" s="3" t="str">
        <f>IFERROR(__xludf.DUMMYFUNCTION("GOOGLETRANSLATE(B5970,""id"",""en"")"),"['Credit', 'Cut', 'Used']")</f>
        <v>['Credit', 'Cut', 'Used']</v>
      </c>
      <c r="D5970" s="3">
        <v>4.0</v>
      </c>
    </row>
    <row r="5971" ht="15.75" customHeight="1">
      <c r="A5971" s="1">
        <v>6379.0</v>
      </c>
      <c r="B5971" s="3" t="s">
        <v>5701</v>
      </c>
      <c r="C5971" s="3" t="str">
        <f>IFERROR(__xludf.DUMMYFUNCTION("GOOGLETRANSLATE(B5971,""id"",""en"")"),"['Life', 'difficult', 'difficult', 'bills', 'use', 'tax', 'malak', 'Bener', ""]")</f>
        <v>['Life', 'difficult', 'difficult', 'bills', 'use', 'tax', 'malak', 'Bener', "]</v>
      </c>
      <c r="D5971" s="3">
        <v>1.0</v>
      </c>
    </row>
    <row r="5972" ht="15.75" customHeight="1">
      <c r="A5972" s="1">
        <v>6380.0</v>
      </c>
      <c r="B5972" s="3" t="s">
        <v>5702</v>
      </c>
      <c r="C5972" s="3" t="str">
        <f>IFERROR(__xludf.DUMMYFUNCTION("GOOGLETRANSLATE(B5972,""id"",""en"")"),"['Fit', 'Family', 'Package', 'Combo', 'Sakti', 'Help']")</f>
        <v>['Fit', 'Family', 'Package', 'Combo', 'Sakti', 'Help']</v>
      </c>
      <c r="D5972" s="3">
        <v>5.0</v>
      </c>
    </row>
    <row r="5973" ht="15.75" customHeight="1">
      <c r="A5973" s="1">
        <v>6381.0</v>
      </c>
      <c r="B5973" s="3" t="s">
        <v>5703</v>
      </c>
      <c r="C5973" s="3" t="str">
        <f>IFERROR(__xludf.DUMMYFUNCTION("GOOGLETRANSLATE(B5973,""id"",""en"")"),"['Service', 'Good', 'Quality', 'Network', '']")</f>
        <v>['Service', 'Good', 'Quality', 'Network', '']</v>
      </c>
      <c r="D5973" s="3">
        <v>5.0</v>
      </c>
    </row>
    <row r="5974" ht="15.75" customHeight="1">
      <c r="A5974" s="1">
        <v>6382.0</v>
      </c>
      <c r="B5974" s="3" t="s">
        <v>5704</v>
      </c>
      <c r="C5974" s="3" t="str">
        <f>IFERROR(__xludf.DUMMYFUNCTION("GOOGLETRANSLATE(B5974,""id"",""en"")"),"['Alhamdulillah', 'skrg', 'already', 'normal', 'star', 'lgi', 'pay', 'virtual', 'account', 'lgi', ""]")</f>
        <v>['Alhamdulillah', 'skrg', 'already', 'normal', 'star', 'lgi', 'pay', 'virtual', 'account', 'lgi', "]</v>
      </c>
      <c r="D5974" s="3">
        <v>5.0</v>
      </c>
    </row>
    <row r="5975" ht="15.75" customHeight="1">
      <c r="A5975" s="1">
        <v>6383.0</v>
      </c>
      <c r="B5975" s="3" t="s">
        <v>5705</v>
      </c>
      <c r="C5975" s="3" t="str">
        <f>IFERROR(__xludf.DUMMYFUNCTION("GOOGLETRANSLATE(B5975,""id"",""en"")"),"['Leet', 'Online']")</f>
        <v>['Leet', 'Online']</v>
      </c>
      <c r="D5975" s="3">
        <v>2.0</v>
      </c>
    </row>
    <row r="5976" ht="15.75" customHeight="1">
      <c r="A5976" s="1">
        <v>6384.0</v>
      </c>
      <c r="B5976" s="3" t="s">
        <v>5706</v>
      </c>
      <c r="C5976" s="3" t="str">
        <f>IFERROR(__xludf.DUMMYFUNCTION("GOOGLETRANSLATE(B5976,""id"",""en"")"),"['Sometimes', 'smooth', 'sometimes', 'slow']")</f>
        <v>['Sometimes', 'smooth', 'sometimes', 'slow']</v>
      </c>
      <c r="D5976" s="3">
        <v>5.0</v>
      </c>
    </row>
    <row r="5977" ht="15.75" customHeight="1">
      <c r="A5977" s="1">
        <v>6385.0</v>
      </c>
      <c r="B5977" s="3" t="s">
        <v>5707</v>
      </c>
      <c r="C5977" s="3" t="str">
        <f>IFERROR(__xludf.DUMMYFUNCTION("GOOGLETRANSLATE(B5977,""id"",""en"")"),"['Open', 'Application', 'MyTelkomsel', 'Opened', 'Network', 'Smooth']")</f>
        <v>['Open', 'Application', 'MyTelkomsel', 'Opened', 'Network', 'Smooth']</v>
      </c>
      <c r="D5977" s="3">
        <v>4.0</v>
      </c>
    </row>
    <row r="5978" ht="15.75" customHeight="1">
      <c r="A5978" s="1">
        <v>6386.0</v>
      </c>
      <c r="B5978" s="3" t="s">
        <v>5708</v>
      </c>
      <c r="C5978" s="3" t="str">
        <f>IFERROR(__xludf.DUMMYFUNCTION("GOOGLETRANSLATE(B5978,""id"",""en"")"),"['apk', 'bgus', 'bangett', 'the network', 'no', 'slow']")</f>
        <v>['apk', 'bgus', 'bangett', 'the network', 'no', 'slow']</v>
      </c>
      <c r="D5978" s="3">
        <v>5.0</v>
      </c>
    </row>
    <row r="5979" ht="15.75" customHeight="1">
      <c r="A5979" s="1">
        <v>6389.0</v>
      </c>
      <c r="B5979" s="3" t="s">
        <v>5709</v>
      </c>
      <c r="C5979" s="3" t="str">
        <f>IFERROR(__xludf.DUMMYFUNCTION("GOOGLETRANSLATE(B5979,""id"",""en"")"),"['MyTelkomsel', 'really']")</f>
        <v>['MyTelkomsel', 'really']</v>
      </c>
      <c r="D5979" s="3">
        <v>5.0</v>
      </c>
    </row>
    <row r="5980" ht="15.75" customHeight="1">
      <c r="A5980" s="1">
        <v>6390.0</v>
      </c>
      <c r="B5980" s="3" t="s">
        <v>5710</v>
      </c>
      <c r="C5980" s="3" t="str">
        <f>IFERROR(__xludf.DUMMYFUNCTION("GOOGLETRANSLATE(B5980,""id"",""en"")"),"['Fill', 'voucher', 'system', 'busy', 'please', 'Telkomsel', 'love', 'features', 'contents', 'voucher', 'rich', 'axisnet']")</f>
        <v>['Fill', 'voucher', 'system', 'busy', 'please', 'Telkomsel', 'love', 'features', 'contents', 'voucher', 'rich', 'axisnet']</v>
      </c>
      <c r="D5980" s="3">
        <v>1.0</v>
      </c>
    </row>
    <row r="5981" ht="15.75" customHeight="1">
      <c r="A5981" s="1">
        <v>6391.0</v>
      </c>
      <c r="B5981" s="3" t="s">
        <v>5711</v>
      </c>
      <c r="C5981" s="3" t="str">
        <f>IFERROR(__xludf.DUMMYFUNCTION("GOOGLETRANSLATE(B5981,""id"",""en"")"),"['Maintain', 'Package', 'Save', 'Combo', 'Unlimited']")</f>
        <v>['Maintain', 'Package', 'Save', 'Combo', 'Unlimited']</v>
      </c>
      <c r="D5981" s="3">
        <v>5.0</v>
      </c>
    </row>
    <row r="5982" ht="15.75" customHeight="1">
      <c r="A5982" s="1">
        <v>6392.0</v>
      </c>
      <c r="B5982" s="3" t="s">
        <v>5712</v>
      </c>
      <c r="C5982" s="3" t="str">
        <f>IFERROR(__xludf.DUMMYFUNCTION("GOOGLETRANSLATE(B5982,""id"",""en"")"),"['skrng', 'Telkomsel', 'difficult', 'opened']")</f>
        <v>['skrng', 'Telkomsel', 'difficult', 'opened']</v>
      </c>
      <c r="D5982" s="3">
        <v>2.0</v>
      </c>
    </row>
    <row r="5983" ht="15.75" customHeight="1">
      <c r="A5983" s="1">
        <v>6393.0</v>
      </c>
      <c r="B5983" s="3" t="s">
        <v>5713</v>
      </c>
      <c r="C5983" s="3" t="str">
        <f>IFERROR(__xludf.DUMMYFUNCTION("GOOGLETRANSLATE(B5983,""id"",""en"")"),"['Credit', 'then', 'Pissing', 'Credit', '']")</f>
        <v>['Credit', 'then', 'Pissing', 'Credit', '']</v>
      </c>
      <c r="D5983" s="3">
        <v>1.0</v>
      </c>
    </row>
    <row r="5984" ht="15.75" customHeight="1">
      <c r="A5984" s="1">
        <v>6394.0</v>
      </c>
      <c r="B5984" s="3" t="s">
        <v>5714</v>
      </c>
      <c r="C5984" s="3" t="str">
        <f>IFERROR(__xludf.DUMMYFUNCTION("GOOGLETRANSLATE(B5984,""id"",""en"")"),"['Help', 'discount', 'Gede', 'yaaaa']")</f>
        <v>['Help', 'discount', 'Gede', 'yaaaa']</v>
      </c>
      <c r="D5984" s="3">
        <v>5.0</v>
      </c>
    </row>
    <row r="5985" ht="15.75" customHeight="1">
      <c r="A5985" s="1">
        <v>6395.0</v>
      </c>
      <c r="B5985" s="3" t="s">
        <v>5715</v>
      </c>
      <c r="C5985" s="3" t="str">
        <f>IFERROR(__xludf.DUMMYFUNCTION("GOOGLETRANSLATE(B5985,""id"",""en"")"),"['Use', 'card', 'KNP', 'suprise', 'Deal', 'expensive']")</f>
        <v>['Use', 'card', 'KNP', 'suprise', 'Deal', 'expensive']</v>
      </c>
      <c r="D5985" s="3">
        <v>4.0</v>
      </c>
    </row>
    <row r="5986" ht="15.75" customHeight="1">
      <c r="A5986" s="1">
        <v>6396.0</v>
      </c>
      <c r="B5986" s="3" t="s">
        <v>5716</v>
      </c>
      <c r="C5986" s="3" t="str">
        <f>IFERROR(__xludf.DUMMYFUNCTION("GOOGLETRANSLATE(B5986,""id"",""en"")"),"['Missing']]")</f>
        <v>['Missing']]</v>
      </c>
      <c r="D5986" s="3">
        <v>5.0</v>
      </c>
    </row>
    <row r="5987" ht="15.75" customHeight="1">
      <c r="A5987" s="1">
        <v>6397.0</v>
      </c>
      <c r="B5987" s="3" t="s">
        <v>5717</v>
      </c>
      <c r="C5987" s="3" t="str">
        <f>IFERROR(__xludf.DUMMYFUNCTION("GOOGLETRANSLATE(B5987,""id"",""en"")"),"['Informative', 'Communicative']")</f>
        <v>['Informative', 'Communicative']</v>
      </c>
      <c r="D5987" s="3">
        <v>5.0</v>
      </c>
    </row>
    <row r="5988" ht="15.75" customHeight="1">
      <c r="A5988" s="1">
        <v>6398.0</v>
      </c>
      <c r="B5988" s="3" t="s">
        <v>5718</v>
      </c>
      <c r="C5988" s="3" t="str">
        <f>IFERROR(__xludf.DUMMYFUNCTION("GOOGLETRANSLATE(B5988,""id"",""en"")"),"['Internet packages']")</f>
        <v>['Internet packages']</v>
      </c>
      <c r="D5988" s="3">
        <v>5.0</v>
      </c>
    </row>
    <row r="5989" ht="15.75" customHeight="1">
      <c r="A5989" s="1">
        <v>6399.0</v>
      </c>
      <c r="B5989" s="3" t="s">
        <v>5719</v>
      </c>
      <c r="C5989" s="3" t="str">
        <f>IFERROR(__xludf.DUMMYFUNCTION("GOOGLETRANSLATE(B5989,""id"",""en"")"),"['pulse', 'main', 'truncated', 'internet', 'koata', 'try', 'locking', 'pulse', 'main', 'root', 'truncated', 'lose', ' exis', 'facility', 'locking', 'pulse', 'main', 'even though', 'koata', 'run out', 'found', 'pulse', 'truncated']")</f>
        <v>['pulse', 'main', 'truncated', 'internet', 'koata', 'try', 'locking', 'pulse', 'main', 'root', 'truncated', 'lose', ' exis', 'facility', 'locking', 'pulse', 'main', 'even though', 'koata', 'run out', 'found', 'pulse', 'truncated']</v>
      </c>
      <c r="D5989" s="3">
        <v>1.0</v>
      </c>
    </row>
    <row r="5990" ht="15.75" customHeight="1">
      <c r="A5990" s="1">
        <v>6400.0</v>
      </c>
      <c r="B5990" s="3" t="s">
        <v>5720</v>
      </c>
      <c r="C5990" s="3" t="str">
        <f>IFERROR(__xludf.DUMMYFUNCTION("GOOGLETRANSLATE(B5990,""id"",""en"")"),"['quota', 'free']")</f>
        <v>['quota', 'free']</v>
      </c>
      <c r="D5990" s="3">
        <v>1.0</v>
      </c>
    </row>
    <row r="5991" ht="15.75" customHeight="1">
      <c r="A5991" s="1">
        <v>6401.0</v>
      </c>
      <c r="B5991" s="3" t="s">
        <v>5721</v>
      </c>
      <c r="C5991" s="3" t="str">
        <f>IFERROR(__xludf.DUMMYFUNCTION("GOOGLETRANSLATE(B5991,""id"",""en"")"),"['good', 'easy', 'buy', 'package', 'internet', 'please', 'donk', 'signal', 'tangerang', 'ugly', 'loading']")</f>
        <v>['good', 'easy', 'buy', 'package', 'internet', 'please', 'donk', 'signal', 'tangerang', 'ugly', 'loading']</v>
      </c>
      <c r="D5991" s="3">
        <v>5.0</v>
      </c>
    </row>
    <row r="5992" ht="15.75" customHeight="1">
      <c r="A5992" s="1">
        <v>6402.0</v>
      </c>
      <c r="B5992" s="3" t="s">
        <v>5722</v>
      </c>
      <c r="C5992" s="3" t="str">
        <f>IFERROR(__xludf.DUMMYFUNCTION("GOOGLETRANSLATE(B5992,""id"",""en"")"),"['Reach', 'Region', 'Sabang', 'Merauke', 'Try', 'Check', 'Region', 'Sosa', 'Padang', 'Lawas',' Sumatra ',' North ',' replace ',' name ',' Telkomsel ',' telkomshit ']")</f>
        <v>['Reach', 'Region', 'Sabang', 'Merauke', 'Try', 'Check', 'Region', 'Sosa', 'Padang', 'Lawas',' Sumatra ',' North ',' replace ',' name ',' Telkomsel ',' telkomshit ']</v>
      </c>
      <c r="D5992" s="3">
        <v>1.0</v>
      </c>
    </row>
    <row r="5993" ht="15.75" customHeight="1">
      <c r="A5993" s="1">
        <v>6403.0</v>
      </c>
      <c r="B5993" s="3" t="s">
        <v>5723</v>
      </c>
      <c r="C5993" s="3" t="str">
        <f>IFERROR(__xludf.DUMMYFUNCTION("GOOGLETRANSLATE(B5993,""id"",""en"")"),"['Kouta', 'results', 'chek', 'noon', '']")</f>
        <v>['Kouta', 'results', 'chek', 'noon', '']</v>
      </c>
      <c r="D5993" s="3">
        <v>4.0</v>
      </c>
    </row>
    <row r="5994" ht="15.75" customHeight="1">
      <c r="A5994" s="1">
        <v>6404.0</v>
      </c>
      <c r="B5994" s="3" t="s">
        <v>5724</v>
      </c>
      <c r="C5994" s="3" t="str">
        <f>IFERROR(__xludf.DUMMYFUNCTION("GOOGLETRANSLATE(B5994,""id"",""en"")"),"['', 'reasonable', '']")</f>
        <v>['', 'reasonable', '']</v>
      </c>
      <c r="D5994" s="3">
        <v>1.0</v>
      </c>
    </row>
    <row r="5995" ht="15.75" customHeight="1">
      <c r="A5995" s="1">
        <v>6405.0</v>
      </c>
      <c r="B5995" s="3" t="s">
        <v>5725</v>
      </c>
      <c r="C5995" s="3" t="str">
        <f>IFERROR(__xludf.DUMMYFUNCTION("GOOGLETRANSLATE(B5995,""id"",""en"")"),"['card', 'Telkomsel', 'missing', 'signal', 'oath', 'comfortable', 'imperfect', 'setabilanbsulyal', '']")</f>
        <v>['card', 'Telkomsel', 'missing', 'signal', 'oath', 'comfortable', 'imperfect', 'setabilanbsulyal', '']</v>
      </c>
      <c r="D5995" s="3">
        <v>1.0</v>
      </c>
    </row>
    <row r="5996" ht="15.75" customHeight="1">
      <c r="A5996" s="1">
        <v>6406.0</v>
      </c>
      <c r="B5996" s="3" t="s">
        <v>5726</v>
      </c>
      <c r="C5996" s="3" t="str">
        <f>IFERROR(__xludf.DUMMYFUNCTION("GOOGLETRANSLATE(B5996,""id"",""en"")"),"['access']")</f>
        <v>['access']</v>
      </c>
      <c r="D5996" s="3">
        <v>4.0</v>
      </c>
    </row>
    <row r="5997" ht="15.75" customHeight="1">
      <c r="A5997" s="1">
        <v>6407.0</v>
      </c>
      <c r="B5997" s="3" t="s">
        <v>5727</v>
      </c>
      <c r="C5997" s="3" t="str">
        <f>IFERROR(__xludf.DUMMYFUNCTION("GOOGLETRANSLATE(B5997,""id"",""en"")"),"['Combo', 'Sakti', 'pegahhhh']")</f>
        <v>['Combo', 'Sakti', 'pegahhhh']</v>
      </c>
      <c r="D5997" s="3">
        <v>1.0</v>
      </c>
    </row>
    <row r="5998" ht="15.75" customHeight="1">
      <c r="A5998" s="1">
        <v>6408.0</v>
      </c>
      <c r="B5998" s="3" t="s">
        <v>5728</v>
      </c>
      <c r="C5998" s="3" t="str">
        <f>IFERROR(__xludf.DUMMYFUNCTION("GOOGLETRANSLATE(B5998,""id"",""en"")"),"['', 'Star', 'App', 'run', 'condition', 'signal', 'Telkomsel', 'area', 'remote', '']")</f>
        <v>['', 'Star', 'App', 'run', 'condition', 'signal', 'Telkomsel', 'area', 'remote', '']</v>
      </c>
      <c r="D5998" s="3">
        <v>4.0</v>
      </c>
    </row>
    <row r="5999" ht="15.75" customHeight="1">
      <c r="A5999" s="1">
        <v>6409.0</v>
      </c>
      <c r="B5999" s="3" t="s">
        <v>5729</v>
      </c>
      <c r="C5999" s="3" t="str">
        <f>IFERROR(__xludf.DUMMYFUNCTION("GOOGLETRANSLATE(B5999,""id"",""en"")"),"['Fix', 'Reverse', 'Gift', 'People']")</f>
        <v>['Fix', 'Reverse', 'Gift', 'People']</v>
      </c>
      <c r="D5999" s="3">
        <v>5.0</v>
      </c>
    </row>
    <row r="6000" ht="15.75" customHeight="1">
      <c r="A6000" s="1">
        <v>6410.0</v>
      </c>
      <c r="B6000" s="3" t="s">
        <v>5730</v>
      </c>
      <c r="C6000" s="3" t="str">
        <f>IFERROR(__xludf.DUMMYFUNCTION("GOOGLETRANSLATE(B6000,""id"",""en"")"),"['Network', 'Region', 'West Sumatra', 'Area', 'City', 'Padang', 'Nyesek', 'Chest', 'Improvement', 'Love', 'Bintang', ' hours', 'appears',' symbol ',' signal ',' told ',' log ',' network ',' package ',' unlimited ',' ']")</f>
        <v>['Network', 'Region', 'West Sumatra', 'Area', 'City', 'Padang', 'Nyesek', 'Chest', 'Improvement', 'Love', 'Bintang', ' hours', 'appears',' symbol ',' signal ',' told ',' log ',' network ',' package ',' unlimited ',' ']</v>
      </c>
      <c r="D6000" s="3">
        <v>2.0</v>
      </c>
    </row>
    <row r="6001" ht="15.75" customHeight="1">
      <c r="A6001" s="1">
        <v>6411.0</v>
      </c>
      <c r="B6001" s="3" t="s">
        <v>264</v>
      </c>
      <c r="C6001" s="3" t="str">
        <f>IFERROR(__xludf.DUMMYFUNCTION("GOOGLETRANSLATE(B6001,""id"",""en"")"),"['Network', 'good']")</f>
        <v>['Network', 'good']</v>
      </c>
      <c r="D6001" s="3">
        <v>5.0</v>
      </c>
    </row>
    <row r="6002" ht="15.75" customHeight="1">
      <c r="A6002" s="1">
        <v>6412.0</v>
      </c>
      <c r="B6002" s="3" t="s">
        <v>5731</v>
      </c>
      <c r="C6002" s="3" t="str">
        <f>IFERROR(__xludf.DUMMYFUNCTION("GOOGLETRANSLATE(B6002,""id"",""en"")"),"['Times', 'enter', 'Telkomsel']")</f>
        <v>['Times', 'enter', 'Telkomsel']</v>
      </c>
      <c r="D6002" s="3">
        <v>4.0</v>
      </c>
    </row>
    <row r="6003" ht="15.75" customHeight="1">
      <c r="A6003" s="1">
        <v>6413.0</v>
      </c>
      <c r="B6003" s="3" t="s">
        <v>5732</v>
      </c>
      <c r="C6003" s="3" t="str">
        <f>IFERROR(__xludf.DUMMYFUNCTION("GOOGLETRANSLATE(B6003,""id"",""en"")"),"['', 'Telkomsel', 'application', 'help', 'for example', 'run out', 'quota', 'run out', 'money', 'Telkomsel', 'choice', 'menu', 'offers ',' purchase ',' quota ',' paid ',' paid ',' help ',' download ',' yaa ']")</f>
        <v>['', 'Telkomsel', 'application', 'help', 'for example', 'run out', 'quota', 'run out', 'money', 'Telkomsel', 'choice', 'menu', 'offers ',' purchase ',' quota ',' paid ',' paid ',' help ',' download ',' yaa ']</v>
      </c>
      <c r="D6003" s="3">
        <v>5.0</v>
      </c>
    </row>
    <row r="6004" ht="15.75" customHeight="1">
      <c r="A6004" s="1">
        <v>6414.0</v>
      </c>
      <c r="B6004" s="3" t="s">
        <v>5733</v>
      </c>
      <c r="C6004" s="3" t="str">
        <f>IFERROR(__xludf.DUMMYFUNCTION("GOOGLETRANSLATE(B6004,""id"",""en"")"),"['Bismillah', 'Hopefully', 'Win', 'Lottery', 'Hepi', 'Aamiiin']")</f>
        <v>['Bismillah', 'Hopefully', 'Win', 'Lottery', 'Hepi', 'Aamiiin']</v>
      </c>
      <c r="D6004" s="3">
        <v>5.0</v>
      </c>
    </row>
    <row r="6005" ht="15.75" customHeight="1">
      <c r="A6005" s="1">
        <v>6415.0</v>
      </c>
      <c r="B6005" s="3" t="s">
        <v>5734</v>
      </c>
      <c r="C6005" s="3" t="str">
        <f>IFERROR(__xludf.DUMMYFUNCTION("GOOGLETRANSLATE(B6005,""id"",""en"")"),"['Response', 'Chat', 'replied', 'bot', 'right', 'chat', 'Official', 'Twitter', 'Media', 'bot', 'sometimes',' officer ',' Ngerni ',' Ama ',' complaints', 'ending', 'bales',' bot ']")</f>
        <v>['Response', 'Chat', 'replied', 'bot', 'right', 'chat', 'Official', 'Twitter', 'Media', 'bot', 'sometimes',' officer ',' Ngerni ',' Ama ',' complaints', 'ending', 'bales',' bot ']</v>
      </c>
      <c r="D6005" s="3">
        <v>1.0</v>
      </c>
    </row>
    <row r="6006" ht="15.75" customHeight="1">
      <c r="A6006" s="1">
        <v>6416.0</v>
      </c>
      <c r="B6006" s="3" t="s">
        <v>5735</v>
      </c>
      <c r="C6006" s="3" t="str">
        <f>IFERROR(__xludf.DUMMYFUNCTION("GOOGLETRANSLATE(B6006,""id"",""en"")"),"['relevant']")</f>
        <v>['relevant']</v>
      </c>
      <c r="D6006" s="3">
        <v>5.0</v>
      </c>
    </row>
    <row r="6007" ht="15.75" customHeight="1">
      <c r="A6007" s="1">
        <v>6417.0</v>
      </c>
      <c r="B6007" s="3" t="s">
        <v>5736</v>
      </c>
      <c r="C6007" s="3" t="str">
        <f>IFERROR(__xludf.DUMMYFUNCTION("GOOGLETRANSLATE(B6007,""id"",""en"")"),"['admin', 'YTH', 'repaired', 'access',' network ',' internet ',' in my area ',' village ',' Tanjung ',' Batu ',' District ',' Derawan ',' Kab ',' Berau ',' Kaltim ',' Spacious', 'Satisfied', 'Customer', 'Telkomsel', 'Trims']")</f>
        <v>['admin', 'YTH', 'repaired', 'access',' network ',' internet ',' in my area ',' village ',' Tanjung ',' Batu ',' District ',' Derawan ',' Kab ',' Berau ',' Kaltim ',' Spacious', 'Satisfied', 'Customer', 'Telkomsel', 'Trims']</v>
      </c>
      <c r="D6007" s="3">
        <v>5.0</v>
      </c>
    </row>
    <row r="6008" ht="15.75" customHeight="1">
      <c r="A6008" s="1">
        <v>6418.0</v>
      </c>
      <c r="B6008" s="3" t="s">
        <v>5737</v>
      </c>
      <c r="C6008" s="3" t="str">
        <f>IFERROR(__xludf.DUMMYFUNCTION("GOOGLETRANSLATE(B6008,""id"",""en"")"),"['', 'update', 'trs',' ehh ',' open ',' apk ',' slow ',' ngcek ',' quota ',' error ',' keeps', 'already', 'update ',' slow ',' lose ',' open ',' application ',' ']")</f>
        <v>['', 'update', 'trs',' ehh ',' open ',' apk ',' slow ',' ngcek ',' quota ',' error ',' keeps', 'already', 'update ',' slow ',' lose ',' open ',' application ',' ']</v>
      </c>
      <c r="D6008" s="3">
        <v>1.0</v>
      </c>
    </row>
    <row r="6009" ht="15.75" customHeight="1">
      <c r="A6009" s="1">
        <v>6419.0</v>
      </c>
      <c r="B6009" s="3" t="s">
        <v>5738</v>
      </c>
      <c r="C6009" s="3" t="str">
        <f>IFERROR(__xludf.DUMMYFUNCTION("GOOGLETRANSLATE(B6009,""id"",""en"")"),"['France', 'Update', 'France', 'Pulse', 'Lost', 'Raib', 'Automation', 'Off', 'Data', 'Quota', 'Abis',' Credit ',' Frequency ',' Session ',' Out ',' Login ',' Login ', ""]")</f>
        <v>['France', 'Update', 'France', 'Pulse', 'Lost', 'Raib', 'Automation', 'Off', 'Data', 'Quota', 'Abis',' Credit ',' Frequency ',' Session ',' Out ',' Login ',' Login ', "]</v>
      </c>
      <c r="D6009" s="3">
        <v>2.0</v>
      </c>
    </row>
    <row r="6010" ht="15.75" customHeight="1">
      <c r="A6010" s="1">
        <v>6420.0</v>
      </c>
      <c r="B6010" s="3" t="s">
        <v>5739</v>
      </c>
      <c r="C6010" s="3" t="str">
        <f>IFERROR(__xludf.DUMMYFUNCTION("GOOGLETRANSLATE(B6010,""id"",""en"")"),"['Feature', 'purchase', 'card', 'prime', 'Diteil', 'card', 'loop', 'sympathy', 'select', 'number', 'please', 'Hold', ' Features', 'pulse', 'save', 'quota', 'run out', 'pulse', 'run out', 'biking', '']")</f>
        <v>['Feature', 'purchase', 'card', 'prime', 'Diteil', 'card', 'loop', 'sympathy', 'select', 'number', 'please', 'Hold', ' Features', 'pulse', 'save', 'quota', 'run out', 'pulse', 'run out', 'biking', '']</v>
      </c>
      <c r="D6010" s="3">
        <v>1.0</v>
      </c>
    </row>
    <row r="6011" ht="15.75" customHeight="1">
      <c r="A6011" s="1">
        <v>6421.0</v>
      </c>
      <c r="B6011" s="3" t="s">
        <v>5740</v>
      </c>
      <c r="C6011" s="3" t="str">
        <f>IFERROR(__xludf.DUMMYFUNCTION("GOOGLETRANSLATE(B6011,""id"",""en"")"),"['Easy', 'Cepst']")</f>
        <v>['Easy', 'Cepst']</v>
      </c>
      <c r="D6011" s="3">
        <v>3.0</v>
      </c>
    </row>
    <row r="6012" ht="15.75" customHeight="1">
      <c r="A6012" s="1">
        <v>6422.0</v>
      </c>
      <c r="B6012" s="3" t="s">
        <v>5741</v>
      </c>
      <c r="C6012" s="3" t="str">
        <f>IFERROR(__xludf.DUMMYFUNCTION("GOOGLETRANSLATE(B6012,""id"",""en"")"),"['idiot', 'the application', 'slow', 'APK', 'network', 'follow', 'slow', 'quota', 'main', 'udh', 'out', 'intention', ' gave ',' quota ',' unlimited ',' sosmed ',' full ',' unlimited ',' until ',' limit ',' quota ',' ']")</f>
        <v>['idiot', 'the application', 'slow', 'APK', 'network', 'follow', 'slow', 'quota', 'main', 'udh', 'out', 'intention', ' gave ',' quota ',' unlimited ',' sosmed ',' full ',' unlimited ',' until ',' limit ',' quota ',' ']</v>
      </c>
      <c r="D6012" s="3">
        <v>1.0</v>
      </c>
    </row>
    <row r="6013" ht="15.75" customHeight="1">
      <c r="A6013" s="1">
        <v>6423.0</v>
      </c>
      <c r="B6013" s="3" t="s">
        <v>5742</v>
      </c>
      <c r="C6013" s="3" t="str">
        <f>IFERROR(__xludf.DUMMYFUNCTION("GOOGLETRANSLATE(B6013,""id"",""en"")"),"['Good', 'ngepain', 'see']")</f>
        <v>['Good', 'ngepain', 'see']</v>
      </c>
      <c r="D6013" s="3">
        <v>5.0</v>
      </c>
    </row>
    <row r="6014" ht="15.75" customHeight="1">
      <c r="A6014" s="1">
        <v>6424.0</v>
      </c>
      <c r="B6014" s="3" t="s">
        <v>5743</v>
      </c>
      <c r="C6014" s="3" t="str">
        <f>IFERROR(__xludf.DUMMYFUNCTION("GOOGLETRANSLATE(B6014,""id"",""en"")"),"['expensive', 'bosquu']")</f>
        <v>['expensive', 'bosquu']</v>
      </c>
      <c r="D6014" s="3">
        <v>5.0</v>
      </c>
    </row>
    <row r="6015" ht="15.75" customHeight="1">
      <c r="A6015" s="1">
        <v>6425.0</v>
      </c>
      <c r="B6015" s="3" t="s">
        <v>5744</v>
      </c>
      <c r="C6015" s="3" t="str">
        <f>IFERROR(__xludf.DUMMYFUNCTION("GOOGLETRANSLATE(B6015,""id"",""en"")"),"['', 'You', 'New', 'Dont', 'Download', 'this', 'This' App ',' This ',' Dissapointed ',' Trust ',' Download ',' Application ',' disappointing ',' already ',' bekali ',' disappointing ',' Merkuk ',' Telkomsel ',' anjng ']")</f>
        <v>['', 'You', 'New', 'Dont', 'Download', 'this', 'This' App ',' This ',' Dissapointed ',' Trust ',' Download ',' Application ',' disappointing ',' already ',' bekali ',' disappointing ',' Merkuk ',' Telkomsel ',' anjng ']</v>
      </c>
      <c r="D6015" s="3">
        <v>1.0</v>
      </c>
    </row>
    <row r="6016" ht="15.75" customHeight="1">
      <c r="A6016" s="1">
        <v>6426.0</v>
      </c>
      <c r="B6016" s="3" t="s">
        <v>5745</v>
      </c>
      <c r="C6016" s="3" t="str">
        <f>IFERROR(__xludf.DUMMYFUNCTION("GOOGLETRANSLATE(B6016,""id"",""en"")"),"['heavy']")</f>
        <v>['heavy']</v>
      </c>
      <c r="D6016" s="3">
        <v>1.0</v>
      </c>
    </row>
    <row r="6017" ht="15.75" customHeight="1">
      <c r="A6017" s="1">
        <v>6427.0</v>
      </c>
      <c r="B6017" s="3" t="s">
        <v>5746</v>
      </c>
      <c r="C6017" s="3" t="str">
        <f>IFERROR(__xludf.DUMMYFUNCTION("GOOGLETRANSLATE(B6017,""id"",""en"")"),"['product', 'cheap', 'offered', '']")</f>
        <v>['product', 'cheap', 'offered', '']</v>
      </c>
      <c r="D6017" s="3">
        <v>3.0</v>
      </c>
    </row>
    <row r="6018" ht="15.75" customHeight="1">
      <c r="A6018" s="1">
        <v>6428.0</v>
      </c>
      <c r="B6018" s="3" t="s">
        <v>5747</v>
      </c>
      <c r="C6018" s="3" t="str">
        <f>IFERROR(__xludf.DUMMYFUNCTION("GOOGLETRANSLATE(B6018,""id"",""en"")"),"['Telkomsel', 'provides',' service ',' anti ',' suck ',' pulse ',' cook ',' times', 'network', 'ugly', 'use', 'pulses',' Mulu ',' Sampek ',' quota ',' right ',' network ',' down ',' direct ',' run out ',' pulses', 'HADEH', ""]")</f>
        <v>['Telkomsel', 'provides',' service ',' anti ',' suck ',' pulse ',' cook ',' times', 'network', 'ugly', 'use', 'pulses',' Mulu ',' Sampek ',' quota ',' right ',' network ',' down ',' direct ',' run out ',' pulses', 'HADEH', "]</v>
      </c>
      <c r="D6018" s="3">
        <v>1.0</v>
      </c>
    </row>
    <row r="6019" ht="15.75" customHeight="1">
      <c r="A6019" s="1">
        <v>6429.0</v>
      </c>
      <c r="B6019" s="3" t="s">
        <v>5748</v>
      </c>
      <c r="C6019" s="3" t="str">
        <f>IFERROR(__xludf.DUMMYFUNCTION("GOOGLETRANSLATE(B6019,""id"",""en"")"),"['A yaa ',' open ',' application ',' open ',' screen ',' white ',' must ',' install ',' reset ',' just ',' open ']")</f>
        <v>['A yaa ',' open ',' application ',' open ',' screen ',' white ',' must ',' install ',' reset ',' just ',' open ']</v>
      </c>
      <c r="D6019" s="3">
        <v>1.0</v>
      </c>
    </row>
    <row r="6020" ht="15.75" customHeight="1">
      <c r="A6020" s="1">
        <v>6430.0</v>
      </c>
      <c r="B6020" s="3" t="s">
        <v>5749</v>
      </c>
      <c r="C6020" s="3" t="str">
        <f>IFERROR(__xludf.DUMMYFUNCTION("GOOGLETRANSLATE(B6020,""id"",""en"")"),"['Napa', 'Price', 'Package', 'App', 'Expensive', 'App', 'App', 'My friend', 'KOQ', 'App', 'Valued', 'Crazy', ' Really ',' Ngab ',' Difference ',' App ',' How ',' Nii ',' Telkomsel ',' KOQ ',' Dame ',' Customer ']")</f>
        <v>['Napa', 'Price', 'Package', 'App', 'Expensive', 'App', 'App', 'My friend', 'KOQ', 'App', 'Valued', 'Crazy', ' Really ',' Ngab ',' Difference ',' App ',' How ',' Nii ',' Telkomsel ',' KOQ ',' Dame ',' Customer ']</v>
      </c>
      <c r="D6020" s="3">
        <v>1.0</v>
      </c>
    </row>
    <row r="6021" ht="15.75" customHeight="1">
      <c r="A6021" s="1">
        <v>6431.0</v>
      </c>
      <c r="B6021" s="3" t="s">
        <v>5750</v>
      </c>
      <c r="C6021" s="3" t="str">
        <f>IFERROR(__xludf.DUMMYFUNCTION("GOOGLETRANSLATE(B6021,""id"",""en"")"),"['Disappointed', 'see', 'Telkomsel', 'signal', 'internet', 'Severe', 'Cook', 'Package', 'Combo', 'Sakti', 'Package', 'Multimedia', ' pkek ',' open ',' youtube ',' play ',' game ',' gini ',' then ',' mnding ',' move ',' card ',' cheap ',' signal ',' smooth"&amp;" ' , 'Kyk', 'Telkomsel', 'Disappointed', 'Parahh']")</f>
        <v>['Disappointed', 'see', 'Telkomsel', 'signal', 'internet', 'Severe', 'Cook', 'Package', 'Combo', 'Sakti', 'Package', 'Multimedia', ' pkek ',' open ',' youtube ',' play ',' game ',' gini ',' then ',' mnding ',' move ',' card ',' cheap ',' signal ',' smooth ' , 'Kyk', 'Telkomsel', 'Disappointed', 'Parahh']</v>
      </c>
      <c r="D6021" s="3">
        <v>1.0</v>
      </c>
    </row>
    <row r="6022" ht="15.75" customHeight="1">
      <c r="A6022" s="1">
        <v>6432.0</v>
      </c>
      <c r="B6022" s="3" t="s">
        <v>5751</v>
      </c>
      <c r="C6022" s="3" t="str">
        <f>IFERROR(__xludf.DUMMYFUNCTION("GOOGLETRANSLATE(B6022,""id"",""en"")"),"['', 'Telkomsel', 'steady', 'convenience', 'check', 'buy', 'pulse', 'package', 'quota', 'information', 'other', 'Telkomsel', "" ]")</f>
        <v>['', 'Telkomsel', 'steady', 'convenience', 'check', 'buy', 'pulse', 'package', 'quota', 'information', 'other', 'Telkomsel', " ]</v>
      </c>
      <c r="D6022" s="3">
        <v>5.0</v>
      </c>
    </row>
    <row r="6023" ht="15.75" customHeight="1">
      <c r="A6023" s="1">
        <v>6433.0</v>
      </c>
      <c r="B6023" s="3" t="s">
        <v>5752</v>
      </c>
      <c r="C6023" s="3" t="str">
        <f>IFERROR(__xludf.DUMMYFUNCTION("GOOGLETRANSLATE(B6023,""id"",""en"")"),"['hours',' malem ',' signal ',' ilang ',' Mending ',' fast ',' ilangkan ',' until ',' clock ',' signal ',' TTP ',' Please ',' Repaired ',' Region ',' Bogor ',' Thanks']")</f>
        <v>['hours',' malem ',' signal ',' ilang ',' Mending ',' fast ',' ilangkan ',' until ',' clock ',' signal ',' TTP ',' Please ',' Repaired ',' Region ',' Bogor ',' Thanks']</v>
      </c>
      <c r="D6023" s="3">
        <v>1.0</v>
      </c>
    </row>
    <row r="6024" ht="15.75" customHeight="1">
      <c r="A6024" s="1">
        <v>6434.0</v>
      </c>
      <c r="B6024" s="3" t="s">
        <v>5753</v>
      </c>
      <c r="C6024" s="3" t="str">
        <f>IFERROR(__xludf.DUMMYFUNCTION("GOOGLETRANSLATE(B6024,""id"",""en"")"),"['thank', 'love', 'Telkomsel', 'service', 'best', 'network', 'super', 'kenceng', '']")</f>
        <v>['thank', 'love', 'Telkomsel', 'service', 'best', 'network', 'super', 'kenceng', '']</v>
      </c>
      <c r="D6024" s="3">
        <v>5.0</v>
      </c>
    </row>
    <row r="6025" ht="15.75" customHeight="1">
      <c r="A6025" s="1">
        <v>6435.0</v>
      </c>
      <c r="B6025" s="3" t="s">
        <v>5754</v>
      </c>
      <c r="C6025" s="3" t="str">
        <f>IFERROR(__xludf.DUMMYFUNCTION("GOOGLETRANSLATE(B6025,""id"",""en"")"),"['Please', 'package', 'internet', 'expensive']")</f>
        <v>['Please', 'package', 'internet', 'expensive']</v>
      </c>
      <c r="D6025" s="3">
        <v>5.0</v>
      </c>
    </row>
    <row r="6026" ht="15.75" customHeight="1">
      <c r="A6026" s="1">
        <v>6436.0</v>
      </c>
      <c r="B6026" s="3" t="s">
        <v>5755</v>
      </c>
      <c r="C6026" s="3" t="str">
        <f>IFERROR(__xludf.DUMMYFUNCTION("GOOGLETRANSLATE(B6026,""id"",""en"")"),"['min', 'method', 'payment', 'funds', 'quota', 'night', 'GB', 'no']")</f>
        <v>['min', 'method', 'payment', 'funds', 'quota', 'night', 'GB', 'no']</v>
      </c>
      <c r="D6026" s="3">
        <v>3.0</v>
      </c>
    </row>
    <row r="6027" ht="15.75" customHeight="1">
      <c r="A6027" s="1">
        <v>6437.0</v>
      </c>
      <c r="B6027" s="3" t="s">
        <v>5756</v>
      </c>
      <c r="C6027" s="3" t="str">
        <f>IFERROR(__xludf.DUMMYFUNCTION("GOOGLETRANSLATE(B6027,""id"",""en"")"),"['Nomer', 'Sayq', 'knapa', 'package', 'night', 'missing', 'back', 'cook', 'gabiaa', 'buy', 'package', 'night', ' Talikin ',' Fast ',' response ',' please ',' ']")</f>
        <v>['Nomer', 'Sayq', 'knapa', 'package', 'night', 'missing', 'back', 'cook', 'gabiaa', 'buy', 'package', 'night', ' Talikin ',' Fast ',' response ',' please ',' ']</v>
      </c>
      <c r="D6027" s="3">
        <v>1.0</v>
      </c>
    </row>
    <row r="6028" ht="15.75" customHeight="1">
      <c r="A6028" s="1">
        <v>6438.0</v>
      </c>
      <c r="B6028" s="3" t="s">
        <v>5757</v>
      </c>
      <c r="C6028" s="3" t="str">
        <f>IFERROR(__xludf.DUMMYFUNCTION("GOOGLETRANSLATE(B6028,""id"",""en"")"),"['Satisfied', 'DGAN', 'Application', '']")</f>
        <v>['Satisfied', 'DGAN', 'Application', '']</v>
      </c>
      <c r="D6028" s="3">
        <v>5.0</v>
      </c>
    </row>
    <row r="6029" ht="15.75" customHeight="1">
      <c r="A6029" s="1">
        <v>6439.0</v>
      </c>
      <c r="B6029" s="3" t="s">
        <v>5758</v>
      </c>
      <c r="C6029" s="3" t="str">
        <f>IFERROR(__xludf.DUMMYFUNCTION("GOOGLETRANSLATE(B6029,""id"",""en"")"),"['Maling', 'Maling', 'Pulse', 'Abis', 'Colong', 'Telkomsel', 'Maling', 'Maling']")</f>
        <v>['Maling', 'Maling', 'Pulse', 'Abis', 'Colong', 'Telkomsel', 'Maling', 'Maling']</v>
      </c>
      <c r="D6029" s="3">
        <v>1.0</v>
      </c>
    </row>
    <row r="6030" ht="15.75" customHeight="1">
      <c r="A6030" s="1">
        <v>6440.0</v>
      </c>
      <c r="B6030" s="3" t="s">
        <v>5759</v>
      </c>
      <c r="C6030" s="3" t="str">
        <f>IFERROR(__xludf.DUMMYFUNCTION("GOOGLETRANSLATE(B6030,""id"",""en"")"),"['Migration', 'Hello']")</f>
        <v>['Migration', 'Hello']</v>
      </c>
      <c r="D6030" s="3">
        <v>5.0</v>
      </c>
    </row>
    <row r="6031" ht="15.75" customHeight="1">
      <c r="A6031" s="1">
        <v>6441.0</v>
      </c>
      <c r="B6031" s="3" t="s">
        <v>5760</v>
      </c>
      <c r="C6031" s="3" t="str">
        <f>IFERROR(__xludf.DUMMYFUNCTION("GOOGLETRANSLATE(B6031,""id"",""en"")"),"['Service', 'good', 'obstacle', 'signal', 'please', 'repaired', 'signal', 'stable']")</f>
        <v>['Service', 'good', 'obstacle', 'signal', 'please', 'repaired', 'signal', 'stable']</v>
      </c>
      <c r="D6031" s="3">
        <v>5.0</v>
      </c>
    </row>
    <row r="6032" ht="15.75" customHeight="1">
      <c r="A6032" s="1">
        <v>6442.0</v>
      </c>
      <c r="B6032" s="3" t="s">
        <v>5761</v>
      </c>
      <c r="C6032" s="3" t="str">
        <f>IFERROR(__xludf.DUMMYFUNCTION("GOOGLETRANSLATE(B6032,""id"",""en"")"),"['application', 'help', 'buy', 'package', 'internet', 'bnyk', 'choice', 'hold', 'event', 'suprise', 'deal', ""]")</f>
        <v>['application', 'help', 'buy', 'package', 'internet', 'bnyk', 'choice', 'hold', 'event', 'suprise', 'deal', "]</v>
      </c>
      <c r="D6032" s="3">
        <v>5.0</v>
      </c>
    </row>
    <row r="6033" ht="15.75" customHeight="1">
      <c r="A6033" s="1">
        <v>6443.0</v>
      </c>
      <c r="B6033" s="3" t="s">
        <v>5762</v>
      </c>
      <c r="C6033" s="3" t="str">
        <f>IFERROR(__xludf.DUMMYFUNCTION("GOOGLETRANSLATE(B6033,""id"",""en"")"),"['Feature', 'Thank you', ""]")</f>
        <v>['Feature', 'Thank you', "]</v>
      </c>
      <c r="D6033" s="3">
        <v>3.0</v>
      </c>
    </row>
    <row r="6034" ht="15.75" customHeight="1">
      <c r="A6034" s="1">
        <v>6444.0</v>
      </c>
      <c r="B6034" s="3" t="s">
        <v>5763</v>
      </c>
      <c r="C6034" s="3" t="str">
        <f>IFERROR(__xludf.DUMMYFUNCTION("GOOGLETRANSLATE(B6034,""id"",""en"")"),"['expensive', 'package', 'internet', 'customer', 'please', 'pay attention', '']")</f>
        <v>['expensive', 'package', 'internet', 'customer', 'please', 'pay attention', '']</v>
      </c>
      <c r="D6034" s="3">
        <v>3.0</v>
      </c>
    </row>
    <row r="6035" ht="15.75" customHeight="1">
      <c r="A6035" s="1">
        <v>6445.0</v>
      </c>
      <c r="B6035" s="3" t="s">
        <v>5764</v>
      </c>
      <c r="C6035" s="3" t="str">
        <f>IFERROR(__xludf.DUMMYFUNCTION("GOOGLETRANSLATE(B6035,""id"",""en"")"),"['Telkomsel', 'provider', 'best', 'diIndonesia', 'network', 'widest', '']")</f>
        <v>['Telkomsel', 'provider', 'best', 'diIndonesia', 'network', 'widest', '']</v>
      </c>
      <c r="D6035" s="3">
        <v>3.0</v>
      </c>
    </row>
    <row r="6036" ht="15.75" customHeight="1">
      <c r="A6036" s="1">
        <v>6446.0</v>
      </c>
      <c r="B6036" s="3" t="s">
        <v>5765</v>
      </c>
      <c r="C6036" s="3" t="str">
        <f>IFERROR(__xludf.DUMMYFUNCTION("GOOGLETRANSLATE(B6036,""id"",""en"")"),"['very cool', '']")</f>
        <v>['very cool', '']</v>
      </c>
      <c r="D6036" s="3">
        <v>5.0</v>
      </c>
    </row>
    <row r="6037" ht="15.75" customHeight="1">
      <c r="A6037" s="1">
        <v>6447.0</v>
      </c>
      <c r="B6037" s="3" t="s">
        <v>5766</v>
      </c>
      <c r="C6037" s="3" t="str">
        <f>IFERROR(__xludf.DUMMYFUNCTION("GOOGLETRANSLATE(B6037,""id"",""en"")"),"['just', 'UNEK', 'JJR', 'I', 'loyal', 'card', 'Telkomsel', 'please', 'fix', 'signal', 'already', 'mah', ' expensive ',' signal ',' BERIK ',' HUH ',' RIPUH ',' here ',' severe ',' signal ',' Burikkkkkkkkkk ',' Severe ',' Burikkkkkk ']")</f>
        <v>['just', 'UNEK', 'JJR', 'I', 'loyal', 'card', 'Telkomsel', 'please', 'fix', 'signal', 'already', 'mah', ' expensive ',' signal ',' BERIK ',' HUH ',' RIPUH ',' here ',' severe ',' signal ',' Burikkkkkkkkkk ',' Severe ',' Burikkkkkk ']</v>
      </c>
      <c r="D6037" s="3">
        <v>1.0</v>
      </c>
    </row>
    <row r="6038" ht="15.75" customHeight="1">
      <c r="A6038" s="1">
        <v>6448.0</v>
      </c>
      <c r="B6038" s="3" t="s">
        <v>5767</v>
      </c>
      <c r="C6038" s="3" t="str">
        <f>IFERROR(__xludf.DUMMYFUNCTION("GOOGLETRANSLATE(B6038,""id"",""en"")"),"['baguy', 'cheap']")</f>
        <v>['baguy', 'cheap']</v>
      </c>
      <c r="D6038" s="3">
        <v>4.0</v>
      </c>
    </row>
    <row r="6039" ht="15.75" customHeight="1">
      <c r="A6039" s="1">
        <v>6449.0</v>
      </c>
      <c r="B6039" s="3" t="s">
        <v>5768</v>
      </c>
      <c r="C6039" s="3" t="str">
        <f>IFERROR(__xludf.DUMMYFUNCTION("GOOGLETRANSLATE(B6039,""id"",""en"")"),"['Please', 'justification', 'buy', 'quota', 'expensive', 'expensive', 'use', 'money', 'signal', 'satisfying', 'disappointed', 'thank you', ' read ',' Review ',' Please ',' improvement ',' system ', ""]")</f>
        <v>['Please', 'justification', 'buy', 'quota', 'expensive', 'expensive', 'use', 'money', 'signal', 'satisfying', 'disappointed', 'thank you', ' read ',' Review ',' Please ',' improvement ',' system ', "]</v>
      </c>
      <c r="D6039" s="3">
        <v>1.0</v>
      </c>
    </row>
    <row r="6040" ht="15.75" customHeight="1">
      <c r="A6040" s="1">
        <v>6450.0</v>
      </c>
      <c r="B6040" s="3" t="s">
        <v>5769</v>
      </c>
      <c r="C6040" s="3" t="str">
        <f>IFERROR(__xludf.DUMMYFUNCTION("GOOGLETRANSLATE(B6040,""id"",""en"")"),"['look', 'leftover', 'quota', 'no', 'realtime', 'sometimes',' already ',' refeshed ',' stuck ',' plus', 'bgm', 'start', ' Use ',' Alay ',' Cok ',' Kek ',' Child ',' Internship ',' Application ']")</f>
        <v>['look', 'leftover', 'quota', 'no', 'realtime', 'sometimes',' already ',' refeshed ',' stuck ',' plus', 'bgm', 'start', ' Use ',' Alay ',' Cok ',' Kek ',' Child ',' Internship ',' Application ']</v>
      </c>
      <c r="D6040" s="3">
        <v>1.0</v>
      </c>
    </row>
    <row r="6041" ht="15.75" customHeight="1">
      <c r="A6041" s="1">
        <v>6451.0</v>
      </c>
      <c r="B6041" s="3" t="s">
        <v>5770</v>
      </c>
      <c r="C6041" s="3" t="str">
        <f>IFERROR(__xludf.DUMMYFUNCTION("GOOGLETRANSLATE(B6041,""id"",""en"")"),"['Lottery', 'car', 'grant']")</f>
        <v>['Lottery', 'car', 'grant']</v>
      </c>
      <c r="D6041" s="3">
        <v>5.0</v>
      </c>
    </row>
    <row r="6042" ht="15.75" customHeight="1">
      <c r="A6042" s="1">
        <v>6452.0</v>
      </c>
      <c r="B6042" s="3" t="s">
        <v>5771</v>
      </c>
      <c r="C6042" s="3" t="str">
        <f>IFERROR(__xludf.DUMMYFUNCTION("GOOGLETRANSLATE(B6042,""id"",""en"")"),"['hope', 'promo', 'sustainable', 'embossed', 'sinking', 'ad', 'promo', 'hrs',' ssuai ',' dng ',' promote ',' advertising ',' consumers', 'like', 'Ana', 'kici', 'sugar', 'writing', 'big', 'understand', 'elderly', ""]")</f>
        <v>['hope', 'promo', 'sustainable', 'embossed', 'sinking', 'ad', 'promo', 'hrs',' ssuai ',' dng ',' promote ',' advertising ',' consumers', 'like', 'Ana', 'kici', 'sugar', 'writing', 'big', 'understand', 'elderly', "]</v>
      </c>
      <c r="D6042" s="3">
        <v>4.0</v>
      </c>
    </row>
    <row r="6043" ht="15.75" customHeight="1">
      <c r="A6043" s="1">
        <v>6453.0</v>
      </c>
      <c r="B6043" s="3" t="s">
        <v>5772</v>
      </c>
      <c r="C6043" s="3" t="str">
        <f>IFERROR(__xludf.DUMMYFUNCTION("GOOGLETRANSLATE(B6043,""id"",""en"")"),"['Sangt', 'help', 'easy', 'festive']")</f>
        <v>['Sangt', 'help', 'easy', 'festive']</v>
      </c>
      <c r="D6043" s="3">
        <v>5.0</v>
      </c>
    </row>
    <row r="6044" ht="15.75" customHeight="1">
      <c r="A6044" s="1">
        <v>6454.0</v>
      </c>
      <c r="B6044" s="3" t="s">
        <v>5773</v>
      </c>
      <c r="C6044" s="3" t="str">
        <f>IFERROR(__xludf.DUMMYFUNCTION("GOOGLETRANSLATE(B6044,""id"",""en"")"),"['annoying', 'telponan', 'signal', 'cheap', 'price', 'expensive', '']")</f>
        <v>['annoying', 'telponan', 'signal', 'cheap', 'price', 'expensive', '']</v>
      </c>
      <c r="D6044" s="3">
        <v>1.0</v>
      </c>
    </row>
    <row r="6045" ht="15.75" customHeight="1">
      <c r="A6045" s="1">
        <v>6455.0</v>
      </c>
      <c r="B6045" s="3" t="s">
        <v>5774</v>
      </c>
      <c r="C6045" s="3" t="str">
        <f>IFERROR(__xludf.DUMMYFUNCTION("GOOGLETRANSLATE(B6045,""id"",""en"")"),"['best', '']")</f>
        <v>['best', '']</v>
      </c>
      <c r="D6045" s="3">
        <v>5.0</v>
      </c>
    </row>
    <row r="6046" ht="15.75" customHeight="1">
      <c r="A6046" s="1">
        <v>6457.0</v>
      </c>
      <c r="B6046" s="3" t="s">
        <v>5775</v>
      </c>
      <c r="C6046" s="3" t="str">
        <f>IFERROR(__xludf.DUMMYFUNCTION("GOOGLETRANSLATE(B6046,""id"",""en"")"),"['bid', 'interesting', 'gift', 'customers',' Telkomsel ',' hopefully ',' wrong ',' winner ',' lottery ',' prize ',' Telkomsel ',' spirit ',' present', '']")</f>
        <v>['bid', 'interesting', 'gift', 'customers',' Telkomsel ',' hopefully ',' wrong ',' winner ',' lottery ',' prize ',' Telkomsel ',' spirit ',' present', '']</v>
      </c>
      <c r="D6046" s="3">
        <v>4.0</v>
      </c>
    </row>
    <row r="6047" ht="15.75" customHeight="1">
      <c r="A6047" s="1">
        <v>6458.0</v>
      </c>
      <c r="B6047" s="3" t="s">
        <v>5776</v>
      </c>
      <c r="C6047" s="3" t="str">
        <f>IFERROR(__xludf.DUMMYFUNCTION("GOOGLETRANSLATE(B6047,""id"",""en"")"),"['original', 'wanted', 'love', 'star', 'pity', 'credit', 'missing', 'quota', 'term', 'quota', 'reduced', 'pulses',' Lost ',' application ',' historically ',' use ',' pulse ',' use ',' quota ',' detail ',' detailed ',' pulse ',' lost ',' just ',' guess' , "&amp;"'pulseku', 'run out', 'feeling', 'no', 'disappointed', 'family', 'pakek', 'Telkomsel', 'Ogah', 'really', 'pakek', 'Telkomsel', ' ']")</f>
        <v>['original', 'wanted', 'love', 'star', 'pity', 'credit', 'missing', 'quota', 'term', 'quota', 'reduced', 'pulses',' Lost ',' application ',' historically ',' use ',' pulse ',' use ',' quota ',' detail ',' detailed ',' pulse ',' lost ',' just ',' guess' , 'pulseku', 'run out', 'feeling', 'no', 'disappointed', 'family', 'pakek', 'Telkomsel', 'Ogah', 'really', 'pakek', 'Telkomsel', ' ']</v>
      </c>
      <c r="D6047" s="3">
        <v>2.0</v>
      </c>
    </row>
    <row r="6048" ht="15.75" customHeight="1">
      <c r="A6048" s="1">
        <v>6459.0</v>
      </c>
      <c r="B6048" s="3" t="s">
        <v>5777</v>
      </c>
      <c r="C6048" s="3" t="str">
        <f>IFERROR(__xludf.DUMMYFUNCTION("GOOGLETRANSLATE(B6048,""id"",""en"")"),"['Disappointed', 'really', 'Ama', 'Telkomsel', 'here', 'Bad', 'Quality', 'Network', 'Please', 'Fix', 'Kasian', 'sister', ' Learning ',' Online ',' Disturbed ',' Signal ',' Bad ',' Please ',' Tower ',' Telkomsel ',' Signal ']")</f>
        <v>['Disappointed', 'really', 'Ama', 'Telkomsel', 'here', 'Bad', 'Quality', 'Network', 'Please', 'Fix', 'Kasian', 'sister', ' Learning ',' Online ',' Disturbed ',' Signal ',' Bad ',' Please ',' Tower ',' Telkomsel ',' Signal ']</v>
      </c>
      <c r="D6048" s="3">
        <v>1.0</v>
      </c>
    </row>
    <row r="6049" ht="15.75" customHeight="1">
      <c r="A6049" s="1">
        <v>6460.0</v>
      </c>
      <c r="B6049" s="3" t="s">
        <v>5778</v>
      </c>
      <c r="C6049" s="3" t="str">
        <f>IFERROR(__xludf.DUMMYFUNCTION("GOOGLETRANSLATE(B6049,""id"",""en"")"),"['Contents', 'pulse', 'sumps', 'anjg', 'pig']")</f>
        <v>['Contents', 'pulse', 'sumps', 'anjg', 'pig']</v>
      </c>
      <c r="D6049" s="3">
        <v>1.0</v>
      </c>
    </row>
    <row r="6050" ht="15.75" customHeight="1">
      <c r="A6050" s="1">
        <v>6462.0</v>
      </c>
      <c r="B6050" s="3" t="s">
        <v>5779</v>
      </c>
      <c r="C6050" s="3" t="str">
        <f>IFERROR(__xludf.DUMMYFUNCTION("GOOGLETRANSLATE(B6050,""id"",""en"")"),"['Hopefully', 'Telkomsel', 'Success',' Heart ',' Society ',' Leading ',' Hoping ',' Telkomsel ',' prioritizes', 'interests',' Need ',' network ',' spacious', 'pray', 'hope', 'Allah', 'SWT', 'leading', 'interests',' needs', 'community', 'need', '']")</f>
        <v>['Hopefully', 'Telkomsel', 'Success',' Heart ',' Society ',' Leading ',' Hoping ',' Telkomsel ',' prioritizes', 'interests',' Need ',' network ',' spacious', 'pray', 'hope', 'Allah', 'SWT', 'leading', 'interests',' needs', 'community', 'need', '']</v>
      </c>
      <c r="D6050" s="3">
        <v>5.0</v>
      </c>
    </row>
    <row r="6051" ht="15.75" customHeight="1">
      <c r="A6051" s="1">
        <v>6464.0</v>
      </c>
      <c r="B6051" s="3" t="s">
        <v>5780</v>
      </c>
      <c r="C6051" s="3" t="str">
        <f>IFERROR(__xludf.DUMMYFUNCTION("GOOGLETRANSLATE(B6051,""id"",""en"")"),"['SERVICE', 'BAD', 'TOP', 'Credit', 'Telkomsel', 'Payment', 'Shopepay', 'Balance', 'Cut', 'Receive', 'Top', 'Response', ' Email ',' Help ',' Contact ',' Twitter ',' Telegram ',' Promo ',' Contact ',' Wear ',' Credit ',' Credit ',' Enter ', ""]")</f>
        <v>['SERVICE', 'BAD', 'TOP', 'Credit', 'Telkomsel', 'Payment', 'Shopepay', 'Balance', 'Cut', 'Receive', 'Top', 'Response', ' Email ',' Help ',' Contact ',' Twitter ',' Telegram ',' Promo ',' Contact ',' Wear ',' Credit ',' Credit ',' Enter ', "]</v>
      </c>
      <c r="D6051" s="3">
        <v>1.0</v>
      </c>
    </row>
    <row r="6052" ht="15.75" customHeight="1">
      <c r="A6052" s="1">
        <v>6465.0</v>
      </c>
      <c r="B6052" s="3" t="s">
        <v>5781</v>
      </c>
      <c r="C6052" s="3" t="str">
        <f>IFERROR(__xludf.DUMMYFUNCTION("GOOGLETRANSLATE(B6052,""id"",""en"")"),"['haduhh', 'gmna', 'network', 'comfortable', 'open', 'jammed', 'open', 'apk', 'sosmed', 'lola', 'open', 'vdeo', ' Photos', 'that's',' Open ',' Game ',' Online ',' waw ',' lag ',' Severe ',' anjimmm ',' pdhl ',' before ',' Genesis', 'cable' , 'bite', 'shar"&amp;"k', 'lncar', 'skrg', 'gini', 'network']")</f>
        <v>['haduhh', 'gmna', 'network', 'comfortable', 'open', 'jammed', 'open', 'apk', 'sosmed', 'lola', 'open', 'vdeo', ' Photos', 'that's',' Open ',' Game ',' Online ',' waw ',' lag ',' Severe ',' anjimmm ',' pdhl ',' before ',' Genesis', 'cable' , 'bite', 'shark', 'lncar', 'skrg', 'gini', 'network']</v>
      </c>
      <c r="D6052" s="3">
        <v>1.0</v>
      </c>
    </row>
    <row r="6053" ht="15.75" customHeight="1">
      <c r="A6053" s="1">
        <v>6466.0</v>
      </c>
      <c r="B6053" s="3" t="s">
        <v>5782</v>
      </c>
      <c r="C6053" s="3" t="str">
        <f>IFERROR(__xludf.DUMMYFUNCTION("GOOGLETRANSLATE(B6053,""id"",""en"")"),"['signal', 'sympathy', 'here', 'bad', 'loss', 'users', 'sub-district', 'area']")</f>
        <v>['signal', 'sympathy', 'here', 'bad', 'loss', 'users', 'sub-district', 'area']</v>
      </c>
      <c r="D6053" s="3">
        <v>1.0</v>
      </c>
    </row>
    <row r="6054" ht="15.75" customHeight="1">
      <c r="A6054" s="1">
        <v>6467.0</v>
      </c>
      <c r="B6054" s="3" t="s">
        <v>5783</v>
      </c>
      <c r="C6054" s="3" t="str">
        <f>IFERROR(__xludf.DUMMYFUNCTION("GOOGLETRANSLATE(B6054,""id"",""en"")"),"['Hold', 'promo', 'interesting', 'promo', 'cheap', 'package', 'data', 'please', 'update', 'use', 'data', 'fast', ' finished', '']")</f>
        <v>['Hold', 'promo', 'interesting', 'promo', 'cheap', 'package', 'data', 'please', 'update', 'use', 'data', 'fast', ' finished', '']</v>
      </c>
      <c r="D6054" s="3">
        <v>5.0</v>
      </c>
    </row>
    <row r="6055" ht="15.75" customHeight="1">
      <c r="A6055" s="1">
        <v>6468.0</v>
      </c>
      <c r="B6055" s="3" t="s">
        <v>5784</v>
      </c>
      <c r="C6055" s="3" t="str">
        <f>IFERROR(__xludf.DUMMYFUNCTION("GOOGLETRANSLATE(B6055,""id"",""en"")"),"['Make it easier', 'Customer', 'Telkomsel', 'TTG', 'Info', 'Finished']")</f>
        <v>['Make it easier', 'Customer', 'Telkomsel', 'TTG', 'Info', 'Finished']</v>
      </c>
      <c r="D6055" s="3">
        <v>5.0</v>
      </c>
    </row>
    <row r="6056" ht="15.75" customHeight="1">
      <c r="A6056" s="1">
        <v>6469.0</v>
      </c>
      <c r="B6056" s="3" t="s">
        <v>5785</v>
      </c>
      <c r="C6056" s="3" t="str">
        <f>IFERROR(__xludf.DUMMYFUNCTION("GOOGLETRANSLATE(B6056,""id"",""en"")"),"['The application', 'good', 'really']")</f>
        <v>['The application', 'good', 'really']</v>
      </c>
      <c r="D6056" s="3">
        <v>5.0</v>
      </c>
    </row>
    <row r="6057" ht="15.75" customHeight="1">
      <c r="A6057" s="1">
        <v>6470.0</v>
      </c>
      <c r="B6057" s="3" t="s">
        <v>5786</v>
      </c>
      <c r="C6057" s="3" t="str">
        <f>IFERROR(__xludf.DUMMYFUNCTION("GOOGLETRANSLATE(B6057,""id"",""en"")"),"['Disappointed', 'card', 'because' severe ',' eat ',' pulse ',' hard ',' really ',' lgi ',' please ',' sorry ',' dlu ',' Good ',' Network ',' Gardens', '']")</f>
        <v>['Disappointed', 'card', 'because' severe ',' eat ',' pulse ',' hard ',' really ',' lgi ',' please ',' sorry ',' dlu ',' Good ',' Network ',' Gardens', '']</v>
      </c>
      <c r="D6057" s="3">
        <v>1.0</v>
      </c>
    </row>
    <row r="6058" ht="15.75" customHeight="1">
      <c r="A6058" s="1">
        <v>6471.0</v>
      </c>
      <c r="B6058" s="3" t="s">
        <v>5787</v>
      </c>
      <c r="C6058" s="3" t="str">
        <f>IFERROR(__xludf.DUMMYFUNCTION("GOOGLETRANSLATE(B6058,""id"",""en"")"),"['please', 'sucked', 'credit', 'internet', 'quota', 'suck', 'pulse', 'right', 'card', 'dipake', 'live', 'data', ' Credit ',' Cut ',' Want ',' Dipake ',' Number ',' Quota ',' Ministry of Education and Culture ',' Hangus']")</f>
        <v>['please', 'sucked', 'credit', 'internet', 'quota', 'suck', 'pulse', 'right', 'card', 'dipake', 'live', 'data', ' Credit ',' Cut ',' Want ',' Dipake ',' Number ',' Quota ',' Ministry of Education and Culture ',' Hangus']</v>
      </c>
      <c r="D6058" s="3">
        <v>3.0</v>
      </c>
    </row>
    <row r="6059" ht="15.75" customHeight="1">
      <c r="A6059" s="1">
        <v>6472.0</v>
      </c>
      <c r="B6059" s="3" t="s">
        <v>1315</v>
      </c>
      <c r="C6059" s="3" t="str">
        <f>IFERROR(__xludf.DUMMYFUNCTION("GOOGLETRANSLATE(B6059,""id"",""en"")"),"['Likes', 'MyTelkomsel']")</f>
        <v>['Likes', 'MyTelkomsel']</v>
      </c>
      <c r="D6059" s="3">
        <v>5.0</v>
      </c>
    </row>
    <row r="6060" ht="15.75" customHeight="1">
      <c r="A6060" s="1">
        <v>6473.0</v>
      </c>
      <c r="B6060" s="3" t="s">
        <v>5788</v>
      </c>
      <c r="C6060" s="3" t="str">
        <f>IFERROR(__xludf.DUMMYFUNCTION("GOOGLETRANSLATE(B6060,""id"",""en"")"),"['Telkomsel', 'Daerang', 'Tangerang', 'please', 'repaired', 'as soon as possible,' ']")</f>
        <v>['Telkomsel', 'Daerang', 'Tangerang', 'please', 'repaired', 'as soon as possible,' ']</v>
      </c>
      <c r="D6060" s="3">
        <v>1.0</v>
      </c>
    </row>
    <row r="6061" ht="15.75" customHeight="1">
      <c r="A6061" s="1">
        <v>6474.0</v>
      </c>
      <c r="B6061" s="3" t="s">
        <v>5789</v>
      </c>
      <c r="C6061" s="3" t="str">
        <f>IFERROR(__xludf.DUMMYFUNCTION("GOOGLETRANSLATE(B6061,""id"",""en"")"),"['APK', 'Useful', 'Bangat', 'No', 'Chet', 'Chet', 'Package', 'Blom', 'Dowlood', 'APK', 'Suggestion', 'Hurry', ' Dowlood ']")</f>
        <v>['APK', 'Useful', 'Bangat', 'No', 'Chet', 'Chet', 'Package', 'Blom', 'Dowlood', 'APK', 'Suggestion', 'Hurry', ' Dowlood ']</v>
      </c>
      <c r="D6061" s="3">
        <v>5.0</v>
      </c>
    </row>
    <row r="6062" ht="15.75" customHeight="1">
      <c r="A6062" s="1">
        <v>6475.0</v>
      </c>
      <c r="B6062" s="3" t="s">
        <v>5790</v>
      </c>
      <c r="C6062" s="3" t="str">
        <f>IFERROR(__xludf.DUMMYFUNCTION("GOOGLETRANSLATE(B6062,""id"",""en"")"),"['oath', 'cave', 'pekek', 'card', 'signal', 'package', 'lag', 'strange', 'that's',' expensive ',' disappointed ',' guaaaa ',' Blood ',' Pakek ',' Card ']")</f>
        <v>['oath', 'cave', 'pekek', 'card', 'signal', 'package', 'lag', 'strange', 'that's',' expensive ',' disappointed ',' guaaaa ',' Blood ',' Pakek ',' Card ']</v>
      </c>
      <c r="D6062" s="3">
        <v>1.0</v>
      </c>
    </row>
    <row r="6063" ht="15.75" customHeight="1">
      <c r="A6063" s="1">
        <v>6476.0</v>
      </c>
      <c r="B6063" s="3" t="s">
        <v>5791</v>
      </c>
      <c r="C6063" s="3" t="str">
        <f>IFERROR(__xludf.DUMMYFUNCTION("GOOGLETRANSLATE(B6063,""id"",""en"")"),"['Constraints', 'Pas', 'Register', 'Pas', 'Success', 'List', 'Happy']")</f>
        <v>['Constraints', 'Pas', 'Register', 'Pas', 'Success', 'List', 'Happy']</v>
      </c>
      <c r="D6063" s="3">
        <v>3.0</v>
      </c>
    </row>
    <row r="6064" ht="15.75" customHeight="1">
      <c r="A6064" s="1">
        <v>6477.0</v>
      </c>
      <c r="B6064" s="3" t="s">
        <v>5792</v>
      </c>
      <c r="C6064" s="3" t="str">
        <f>IFERROR(__xludf.DUMMYFUNCTION("GOOGLETRANSLATE(B6064,""id"",""en"")"),"['night', 'Sis',' Download ',' Telkomsel ',' Verification ',' Enter ',' Nomer ',' already ',' Entered ',' Code ',' Link ',' SMS ',' Udh ',' pressed ',' appears', 'writing', 'link', 'expired', 'Mnt', 'yng', 'get', 'sms',' please ',' kak ',' help ' , '']")</f>
        <v>['night', 'Sis',' Download ',' Telkomsel ',' Verification ',' Enter ',' Nomer ',' already ',' Entered ',' Code ',' Link ',' SMS ',' Udh ',' pressed ',' appears', 'writing', 'link', 'expired', 'Mnt', 'yng', 'get', 'sms',' please ',' kak ',' help ' , '']</v>
      </c>
      <c r="D6064" s="3">
        <v>3.0</v>
      </c>
    </row>
    <row r="6065" ht="15.75" customHeight="1">
      <c r="A6065" s="1">
        <v>6478.0</v>
      </c>
      <c r="B6065" s="3" t="s">
        <v>5793</v>
      </c>
      <c r="C6065" s="3" t="str">
        <f>IFERROR(__xludf.DUMMYFUNCTION("GOOGLETRANSLATE(B6065,""id"",""en"")"),"['Signal', 'good', 'PKTANNY', 'expensive', 'all', 'rare', 'promony']")</f>
        <v>['Signal', 'good', 'PKTANNY', 'expensive', 'all', 'rare', 'promony']</v>
      </c>
      <c r="D6065" s="3">
        <v>5.0</v>
      </c>
    </row>
    <row r="6066" ht="15.75" customHeight="1">
      <c r="A6066" s="1">
        <v>6479.0</v>
      </c>
      <c r="B6066" s="3" t="s">
        <v>5794</v>
      </c>
      <c r="C6066" s="3" t="str">
        <f>IFERROR(__xludf.DUMMYFUNCTION("GOOGLETRANSLATE(B6066,""id"",""en"")"),"['expensive', 'doang', 'ngegame', 'lag', 'mulu']")</f>
        <v>['expensive', 'doang', 'ngegame', 'lag', 'mulu']</v>
      </c>
      <c r="D6066" s="3">
        <v>1.0</v>
      </c>
    </row>
    <row r="6067" ht="15.75" customHeight="1">
      <c r="A6067" s="1">
        <v>6480.0</v>
      </c>
      <c r="B6067" s="3" t="s">
        <v>5795</v>
      </c>
      <c r="C6067" s="3" t="str">
        <f>IFERROR(__xludf.DUMMYFUNCTION("GOOGLETRANSLATE(B6067,""id"",""en"")"),"['Disappointed', 'Telkomsel', 'Pay', 'Credit', 'Emergency', 'Worth', 'Week', 'Ngak', 'Take', 'Credit', 'Emergency', 'Moving', ' network ',' klw ',' gini ']")</f>
        <v>['Disappointed', 'Telkomsel', 'Pay', 'Credit', 'Emergency', 'Worth', 'Week', 'Ngak', 'Take', 'Credit', 'Emergency', 'Moving', ' network ',' klw ',' gini ']</v>
      </c>
      <c r="D6067" s="3">
        <v>1.0</v>
      </c>
    </row>
    <row r="6068" ht="15.75" customHeight="1">
      <c r="A6068" s="1">
        <v>6481.0</v>
      </c>
      <c r="B6068" s="3" t="s">
        <v>5796</v>
      </c>
      <c r="C6068" s="3" t="str">
        <f>IFERROR(__xludf.DUMMYFUNCTION("GOOGLETRANSLATE(B6068,""id"",""en"")"),"['easy', 'comfortable', 'package', 'affordable', 'thank you', 'Telkomsel']")</f>
        <v>['easy', 'comfortable', 'package', 'affordable', 'thank you', 'Telkomsel']</v>
      </c>
      <c r="D6068" s="3">
        <v>5.0</v>
      </c>
    </row>
    <row r="6069" ht="15.75" customHeight="1">
      <c r="A6069" s="1">
        <v>6482.0</v>
      </c>
      <c r="B6069" s="3" t="s">
        <v>5797</v>
      </c>
      <c r="C6069" s="3" t="str">
        <f>IFERROR(__xludf.DUMMYFUNCTION("GOOGLETRANSLATE(B6069,""id"",""en"")"),"['Paketan', 'expensive', 'turn', 'signal', 'rotten', 'price', 'according to', 'quality', ""]")</f>
        <v>['Paketan', 'expensive', 'turn', 'signal', 'rotten', 'price', 'according to', 'quality', "]</v>
      </c>
      <c r="D6069" s="3">
        <v>1.0</v>
      </c>
    </row>
    <row r="6070" ht="15.75" customHeight="1">
      <c r="A6070" s="1">
        <v>6483.0</v>
      </c>
      <c r="B6070" s="3" t="s">
        <v>5798</v>
      </c>
      <c r="C6070" s="3" t="str">
        <f>IFERROR(__xludf.DUMMYFUNCTION("GOOGLETRANSLATE(B6070,""id"",""en"")"),"['', 'package', 'emergency', 'cut', 'balance', 'scoted', 'aje', 'operator', 'mode']")</f>
        <v>['', 'package', 'emergency', 'cut', 'balance', 'scoted', 'aje', 'operator', 'mode']</v>
      </c>
      <c r="D6070" s="3">
        <v>1.0</v>
      </c>
    </row>
    <row r="6071" ht="15.75" customHeight="1">
      <c r="A6071" s="1">
        <v>6484.0</v>
      </c>
      <c r="B6071" s="3" t="s">
        <v>5799</v>
      </c>
      <c r="C6071" s="3" t="str">
        <f>IFERROR(__xludf.DUMMYFUNCTION("GOOGLETRANSLATE(B6071,""id"",""en"")"),"['likes',' TLKMSEL ',' MLM ',' Maen ',' Game ',' lag ',' Severe ',' Lazy ',' Tlkomsel ',' ugly ',' Bngt ',' Maen ',' Game ',' Emotion ',' oath ',' Maen ',' PKE ',' Telkomsel ']")</f>
        <v>['likes',' TLKMSEL ',' MLM ',' Maen ',' Game ',' lag ',' Severe ',' Lazy ',' Tlkomsel ',' ugly ',' Bngt ',' Maen ',' Game ',' Emotion ',' oath ',' Maen ',' PKE ',' Telkomsel ']</v>
      </c>
      <c r="D6071" s="3">
        <v>1.0</v>
      </c>
    </row>
    <row r="6072" ht="15.75" customHeight="1">
      <c r="A6072" s="1">
        <v>6485.0</v>
      </c>
      <c r="B6072" s="3" t="s">
        <v>5800</v>
      </c>
      <c r="C6072" s="3" t="str">
        <f>IFERROR(__xludf.DUMMYFUNCTION("GOOGLETRANSLATE(B6072,""id"",""en"")"),"['min', 'bus',' buy ',' package ',' min ',' disorder ',' mulu ',' buy ',' package ',' promo ',' night ',' night ',' ']")</f>
        <v>['min', 'bus',' buy ',' package ',' min ',' disorder ',' mulu ',' buy ',' package ',' promo ',' night ',' night ',' ']</v>
      </c>
      <c r="D6072" s="3">
        <v>3.0</v>
      </c>
    </row>
    <row r="6073" ht="15.75" customHeight="1">
      <c r="A6073" s="1">
        <v>6486.0</v>
      </c>
      <c r="B6073" s="3" t="s">
        <v>5801</v>
      </c>
      <c r="C6073" s="3" t="str">
        <f>IFERROR(__xludf.DUMMYFUNCTION("GOOGLETRANSLATE(B6073,""id"",""en"")"),"['', 'KNP', 'Network', 'HR', 'afternoon', 'Sampe', 'Afternoon', 'Network', 'ilang', 'access',' work ',' Ancurr ',' loss ',' HR ',' work ',' please ',' info ',' sbner ',' promo ',' mlu ',' blas', 'message', ""]")</f>
        <v>['', 'KNP', 'Network', 'HR', 'afternoon', 'Sampe', 'Afternoon', 'Network', 'ilang', 'access',' work ',' Ancurr ',' loss ',' HR ',' work ',' please ',' info ',' sbner ',' promo ',' mlu ',' blas', 'message', "]</v>
      </c>
      <c r="D6073" s="3">
        <v>1.0</v>
      </c>
    </row>
    <row r="6074" ht="15.75" customHeight="1">
      <c r="A6074" s="1">
        <v>6487.0</v>
      </c>
      <c r="B6074" s="3" t="s">
        <v>5802</v>
      </c>
      <c r="C6074" s="3" t="str">
        <f>IFERROR(__xludf.DUMMYFUNCTION("GOOGLETRANSLATE(B6074,""id"",""en"")"),"['pulse', 'Target', 'UDH', 'Out', 'Karna', 'Network', 'ilang', 'Knp', 'Credit', 'Toll "",' then ',' Udh ',' internet ',' setting ',' internet ',' how ',' loss', 'KB', 'get', 'Rp', 'pulses', ""]")</f>
        <v>['pulse', 'Target', 'UDH', 'Out', 'Karna', 'Network', 'ilang', 'Knp', 'Credit', 'Toll ",' then ',' Udh ',' internet ',' setting ',' internet ',' how ',' loss', 'KB', 'get', 'Rp', 'pulses', "]</v>
      </c>
      <c r="D6074" s="3">
        <v>1.0</v>
      </c>
    </row>
    <row r="6075" ht="15.75" customHeight="1">
      <c r="A6075" s="1">
        <v>6488.0</v>
      </c>
      <c r="B6075" s="3" t="s">
        <v>5803</v>
      </c>
      <c r="C6075" s="3" t="str">
        <f>IFERROR(__xludf.DUMMYFUNCTION("GOOGLETRANSLATE(B6075,""id"",""en"")"),"['signal', 'Telkomsel', 'improvement', 'error', 'kah', 'signal', 'open', 'medsos',' application ',' bangett ',' loading ',' likes', ' Connect ',' ']")</f>
        <v>['signal', 'Telkomsel', 'improvement', 'error', 'kah', 'signal', 'open', 'medsos',' application ',' bangett ',' loading ',' likes', ' Connect ',' ']</v>
      </c>
      <c r="D6075" s="3">
        <v>1.0</v>
      </c>
    </row>
    <row r="6076" ht="15.75" customHeight="1">
      <c r="A6076" s="1">
        <v>6489.0</v>
      </c>
      <c r="B6076" s="3" t="s">
        <v>5804</v>
      </c>
      <c r="C6076" s="3" t="str">
        <f>IFERROR(__xludf.DUMMYFUNCTION("GOOGLETRANSLATE(B6076,""id"",""en"")"),"['Easy', 'BLI', 'PULAS', 'CHEAP', 'GET', 'KUWOTA']")</f>
        <v>['Easy', 'BLI', 'PULAS', 'CHEAP', 'GET', 'KUWOTA']</v>
      </c>
      <c r="D6076" s="3">
        <v>5.0</v>
      </c>
    </row>
    <row r="6077" ht="15.75" customHeight="1">
      <c r="A6077" s="1">
        <v>6490.0</v>
      </c>
      <c r="B6077" s="3" t="s">
        <v>5805</v>
      </c>
      <c r="C6077" s="3" t="str">
        <f>IFERROR(__xludf.DUMMYFUNCTION("GOOGLETRANSLATE(B6077,""id"",""en"")"),"['admin', 'knp', 'bill', 'card', 'hello', 'paid', 'koq', 'package', 'enter', 'dunk', ""]")</f>
        <v>['admin', 'knp', 'bill', 'card', 'hello', 'paid', 'koq', 'package', 'enter', 'dunk', "]</v>
      </c>
      <c r="D6077" s="3">
        <v>1.0</v>
      </c>
    </row>
    <row r="6078" ht="15.75" customHeight="1">
      <c r="A6078" s="1">
        <v>6491.0</v>
      </c>
      <c r="B6078" s="3" t="s">
        <v>5806</v>
      </c>
      <c r="C6078" s="3" t="str">
        <f>IFERROR(__xludf.DUMMYFUNCTION("GOOGLETRANSLATE(B6078,""id"",""en"")"),"['Quality', 'Network', 'Leet', 'Forgiveness', '']")</f>
        <v>['Quality', 'Network', 'Leet', 'Forgiveness', '']</v>
      </c>
      <c r="D6078" s="3">
        <v>1.0</v>
      </c>
    </row>
    <row r="6079" ht="15.75" customHeight="1">
      <c r="A6079" s="1">
        <v>6492.0</v>
      </c>
      <c r="B6079" s="3" t="s">
        <v>5709</v>
      </c>
      <c r="C6079" s="3" t="str">
        <f>IFERROR(__xludf.DUMMYFUNCTION("GOOGLETRANSLATE(B6079,""id"",""en"")"),"['MyTelkomsel', 'really']")</f>
        <v>['MyTelkomsel', 'really']</v>
      </c>
      <c r="D6079" s="3">
        <v>5.0</v>
      </c>
    </row>
    <row r="6080" ht="15.75" customHeight="1">
      <c r="A6080" s="1">
        <v>6493.0</v>
      </c>
      <c r="B6080" s="3" t="s">
        <v>5807</v>
      </c>
      <c r="C6080" s="3" t="str">
        <f>IFERROR(__xludf.DUMMYFUNCTION("GOOGLETRANSLATE(B6080,""id"",""en"")"),"['Area', 'Bay', 'Gong', 'Penjaringan', 'Jakarta', 'North', 'Network', 'Internet', 'Imprecial', 'UDH', 'Woy', 'Inter', ' slow ',' network ',' sometimes', 'lost']")</f>
        <v>['Area', 'Bay', 'Gong', 'Penjaringan', 'Jakarta', 'North', 'Network', 'Internet', 'Imprecial', 'UDH', 'Woy', 'Inter', ' slow ',' network ',' sometimes', 'lost']</v>
      </c>
      <c r="D6080" s="3">
        <v>1.0</v>
      </c>
    </row>
    <row r="6081" ht="15.75" customHeight="1">
      <c r="A6081" s="1">
        <v>6494.0</v>
      </c>
      <c r="B6081" s="3" t="s">
        <v>5808</v>
      </c>
      <c r="C6081" s="3" t="str">
        <f>IFERROR(__xludf.DUMMYFUNCTION("GOOGLETRANSLATE(B6081,""id"",""en"")"),"['Belom', 'try']")</f>
        <v>['Belom', 'try']</v>
      </c>
      <c r="D6081" s="3">
        <v>1.0</v>
      </c>
    </row>
    <row r="6082" ht="15.75" customHeight="1">
      <c r="A6082" s="1">
        <v>6495.0</v>
      </c>
      <c r="B6082" s="3" t="s">
        <v>5809</v>
      </c>
      <c r="C6082" s="3" t="str">
        <f>IFERROR(__xludf.DUMMYFUNCTION("GOOGLETRANSLATE(B6082,""id"",""en"")"),"['Add', 'price', 'quota', 'cheap', 'festive', 'moved', 'sim', 'card']")</f>
        <v>['Add', 'price', 'quota', 'cheap', 'festive', 'moved', 'sim', 'card']</v>
      </c>
      <c r="D6082" s="3">
        <v>1.0</v>
      </c>
    </row>
    <row r="6083" ht="15.75" customHeight="1">
      <c r="A6083" s="1">
        <v>6496.0</v>
      </c>
      <c r="B6083" s="3" t="s">
        <v>5810</v>
      </c>
      <c r="C6083" s="3" t="str">
        <f>IFERROR(__xludf.DUMMYFUNCTION("GOOGLETRANSLATE(B6083,""id"",""en"")"),"['network', 'Telkomsel', 'Damn', 'ugly', 'network', 'expensive', 'buy', 'network', 'slow', 'yesel', 'bought', 'already', ' expensive ',' jarngan ',' lalet ']")</f>
        <v>['network', 'Telkomsel', 'Damn', 'ugly', 'network', 'expensive', 'buy', 'network', 'slow', 'yesel', 'bought', 'already', ' expensive ',' jarngan ',' lalet ']</v>
      </c>
      <c r="D6083" s="3">
        <v>1.0</v>
      </c>
    </row>
    <row r="6084" ht="15.75" customHeight="1">
      <c r="A6084" s="1">
        <v>6497.0</v>
      </c>
      <c r="B6084" s="3" t="s">
        <v>5811</v>
      </c>
      <c r="C6084" s="3" t="str">
        <f>IFERROR(__xludf.DUMMYFUNCTION("GOOGLETRANSLATE(B6084,""id"",""en"")"),"['Tide', 'Application', 'Jarigan', 'Error', 'Shy', 'Hold', 'Title', 'Jarigan', 'Biggest', 'Indonesia', 'Damaged', 'Nggk', ' Service ',' best ',' good ',' backward ',' provider ',' service ',' telephone ',' internet ',' ']")</f>
        <v>['Tide', 'Application', 'Jarigan', 'Error', 'Shy', 'Hold', 'Title', 'Jarigan', 'Biggest', 'Indonesia', 'Damaged', 'Nggk', ' Service ',' best ',' good ',' backward ',' provider ',' service ',' telephone ',' internet ',' ']</v>
      </c>
      <c r="D6084" s="3">
        <v>1.0</v>
      </c>
    </row>
    <row r="6085" ht="15.75" customHeight="1">
      <c r="A6085" s="1">
        <v>6498.0</v>
      </c>
      <c r="B6085" s="3" t="s">
        <v>5812</v>
      </c>
      <c r="C6085" s="3" t="str">
        <f>IFERROR(__xludf.DUMMYFUNCTION("GOOGLETRANSLATE(B6085,""id"",""en"")"),"['Wonder', 'deh', 'me', 'quota', 'GB', 'no', 'ngapain', 'what' do ',' buy ',' quota ',' bat ',' pending ',' Please, 'the' network ',' repaired ',' ']")</f>
        <v>['Wonder', 'deh', 'me', 'quota', 'GB', 'no', 'ngapain', 'what' do ',' buy ',' quota ',' bat ',' pending ',' Please, 'the' network ',' repaired ',' ']</v>
      </c>
      <c r="D6085" s="3">
        <v>1.0</v>
      </c>
    </row>
    <row r="6086" ht="15.75" customHeight="1">
      <c r="A6086" s="1">
        <v>6499.0</v>
      </c>
      <c r="B6086" s="3" t="s">
        <v>5813</v>
      </c>
      <c r="C6086" s="3" t="str">
        <f>IFERROR(__xludf.DUMMYFUNCTION("GOOGLETRANSLATE(B6086,""id"",""en"")"),"['Telkomsel', 'here', 'Good', 'Lose', 'Provider', 'BYR', 'Signal', 'Lost', 'Sometimes',' Connect ',' City ',' inland ',' Use ',' Card ',' Hello ',' Notaben ',' BYR ',' Think ',' Migration ',' Card ',' Hallo ',' Benefit ',' Good ',' Get ',' Telkomsel ' , '"&amp;"skrg', 'Telkomsel', '']")</f>
        <v>['Telkomsel', 'here', 'Good', 'Lose', 'Provider', 'BYR', 'Signal', 'Lost', 'Sometimes',' Connect ',' City ',' inland ',' Use ',' Card ',' Hello ',' Notaben ',' BYR ',' Think ',' Migration ',' Card ',' Hallo ',' Benefit ',' Good ',' Get ',' Telkomsel ' , 'skrg', 'Telkomsel', '']</v>
      </c>
      <c r="D6086" s="3">
        <v>1.0</v>
      </c>
    </row>
    <row r="6087" ht="15.75" customHeight="1">
      <c r="A6087" s="1">
        <v>6500.0</v>
      </c>
      <c r="B6087" s="3" t="s">
        <v>5814</v>
      </c>
      <c r="C6087" s="3" t="str">
        <f>IFERROR(__xludf.DUMMYFUNCTION("GOOGLETRANSLATE(B6087,""id"",""en"")"),"['Unlimitid', 'Delete', 'Slow', 'Discard', 'Money', 'Cuuk', 'Life', 'Life', 'Telkomsel', 'Disappointed', 'Delete', 'Speed', ' Unlimitid ',' Kek ']")</f>
        <v>['Unlimitid', 'Delete', 'Slow', 'Discard', 'Money', 'Cuuk', 'Life', 'Life', 'Telkomsel', 'Disappointed', 'Delete', 'Speed', ' Unlimitid ',' Kek ']</v>
      </c>
      <c r="D6087" s="3">
        <v>2.0</v>
      </c>
    </row>
    <row r="6088" ht="15.75" customHeight="1">
      <c r="A6088" s="1">
        <v>6501.0</v>
      </c>
      <c r="B6088" s="3" t="s">
        <v>5815</v>
      </c>
      <c r="C6088" s="3" t="str">
        <f>IFERROR(__xludf.DUMMYFUNCTION("GOOGLETRANSLATE(B6088,""id"",""en"")"),"['Signal', 'Signal', 'Increases', 'Plosok', 'Comfort', 'Customer', 'Telkomseltelkomsel']")</f>
        <v>['Signal', 'Signal', 'Increases', 'Plosok', 'Comfort', 'Customer', 'Telkomseltelkomsel']</v>
      </c>
      <c r="D6088" s="3">
        <v>5.0</v>
      </c>
    </row>
    <row r="6089" ht="15.75" customHeight="1">
      <c r="A6089" s="1">
        <v>6502.0</v>
      </c>
      <c r="B6089" s="3" t="s">
        <v>5816</v>
      </c>
      <c r="C6089" s="3" t="str">
        <f>IFERROR(__xludf.DUMMYFUNCTION("GOOGLETRANSLATE(B6089,""id"",""en"")"),"['Star', 'Siip', 'Baginalaa', ""]")</f>
        <v>['Star', 'Siip', 'Baginalaa', "]</v>
      </c>
      <c r="D6089" s="3">
        <v>3.0</v>
      </c>
    </row>
    <row r="6090" ht="15.75" customHeight="1">
      <c r="A6090" s="1">
        <v>6503.0</v>
      </c>
      <c r="B6090" s="3" t="s">
        <v>2734</v>
      </c>
      <c r="C6090" s="3" t="str">
        <f>IFERROR(__xludf.DUMMYFUNCTION("GOOGLETRANSLATE(B6090,""id"",""en"")"),"['Network', 'stable', '']")</f>
        <v>['Network', 'stable', '']</v>
      </c>
      <c r="D6090" s="3">
        <v>4.0</v>
      </c>
    </row>
    <row r="6091" ht="15.75" customHeight="1">
      <c r="A6091" s="1">
        <v>6504.0</v>
      </c>
      <c r="B6091" s="3" t="s">
        <v>5817</v>
      </c>
      <c r="C6091" s="3" t="str">
        <f>IFERROR(__xludf.DUMMYFUNCTION("GOOGLETRANSLATE(B6091,""id"",""en"")"),"['signal', 'internet', 'lost', 'clock', 'stunted']")</f>
        <v>['signal', 'internet', 'lost', 'clock', 'stunted']</v>
      </c>
      <c r="D6091" s="3">
        <v>1.0</v>
      </c>
    </row>
    <row r="6092" ht="15.75" customHeight="1">
      <c r="A6092" s="1">
        <v>6505.0</v>
      </c>
      <c r="B6092" s="3" t="s">
        <v>5818</v>
      </c>
      <c r="C6092" s="3" t="str">
        <f>IFERROR(__xludf.DUMMYFUNCTION("GOOGLETRANSLATE(B6092,""id"",""en"")"),"['Dear', 'Telkomsel', 'Profider', 'Ngilak', 'Connection', 'Network', 'ugly', 'Price', 'Package', 'Expensive', 'Customize', 'Quality', ' Price ',' Disappointed ',' Pay ',' Buy ',' Package ',' Money ',' Dippet ',' Connection ',' Slow ',' Price ',' Forgivene"&amp;"ss', 'expensive']")</f>
        <v>['Dear', 'Telkomsel', 'Profider', 'Ngilak', 'Connection', 'Network', 'ugly', 'Price', 'Package', 'Expensive', 'Customize', 'Quality', ' Price ',' Disappointed ',' Pay ',' Buy ',' Package ',' Money ',' Dippet ',' Connection ',' Slow ',' Price ',' Forgiveness', 'expensive']</v>
      </c>
      <c r="D6092" s="3">
        <v>1.0</v>
      </c>
    </row>
    <row r="6093" ht="15.75" customHeight="1">
      <c r="A6093" s="1">
        <v>6506.0</v>
      </c>
      <c r="B6093" s="3" t="s">
        <v>5819</v>
      </c>
      <c r="C6093" s="3" t="str">
        <f>IFERROR(__xludf.DUMMYFUNCTION("GOOGLETRANSLATE(B6093,""id"",""en"")"),"['Okay', 'steady', 'Telkomsel', 'hope', 'package', 'data', 'price', 'cheap', 'meria']")</f>
        <v>['Okay', 'steady', 'Telkomsel', 'hope', 'package', 'data', 'price', 'cheap', 'meria']</v>
      </c>
      <c r="D6093" s="3">
        <v>5.0</v>
      </c>
    </row>
    <row r="6094" ht="15.75" customHeight="1">
      <c r="A6094" s="1">
        <v>6507.0</v>
      </c>
      <c r="B6094" s="3" t="s">
        <v>5820</v>
      </c>
      <c r="C6094" s="3" t="str">
        <f>IFERROR(__xludf.DUMMYFUNCTION("GOOGLETRANSLATE(B6094,""id"",""en"")"),"['Disappointed', 'MyTelkomsel', 'Network', 'Signal', 'Full', 'used', 'Game', 'Fill', 'Kouta', 'GB', 'Open', 'WhatsApp']")</f>
        <v>['Disappointed', 'MyTelkomsel', 'Network', 'Signal', 'Full', 'used', 'Game', 'Fill', 'Kouta', 'GB', 'Open', 'WhatsApp']</v>
      </c>
      <c r="D6094" s="3">
        <v>1.0</v>
      </c>
    </row>
    <row r="6095" ht="15.75" customHeight="1">
      <c r="A6095" s="1">
        <v>6508.0</v>
      </c>
      <c r="B6095" s="3" t="s">
        <v>5821</v>
      </c>
      <c r="C6095" s="3" t="str">
        <f>IFERROR(__xludf.DUMMYFUNCTION("GOOGLETRANSLATE(B6095,""id"",""en"")"),"['MOVER', 'PAKEK', 'Telkomsel', 'Time', 'Telkomsel', 'Leet', 'The Application', 'Quality', '']")</f>
        <v>['MOVER', 'PAKEK', 'Telkomsel', 'Time', 'Telkomsel', 'Leet', 'The Application', 'Quality', '']</v>
      </c>
      <c r="D6095" s="3">
        <v>2.0</v>
      </c>
    </row>
    <row r="6096" ht="15.75" customHeight="1">
      <c r="A6096" s="1">
        <v>6509.0</v>
      </c>
      <c r="B6096" s="3" t="s">
        <v>5822</v>
      </c>
      <c r="C6096" s="3" t="str">
        <f>IFERROR(__xludf.DUMMYFUNCTION("GOOGLETRANSLATE(B6096,""id"",""en"")"),"['package', 'expensive', 'network', 'internet', 'bad', 'network', 'Telkomsel', 'bad', 'use', 'nlpn', 'difficult', 'appreciate', ' Doank ',' Customer ',' Fix ',' Network ',' Nyari ',' Untung ',' ']")</f>
        <v>['package', 'expensive', 'network', 'internet', 'bad', 'network', 'Telkomsel', 'bad', 'use', 'nlpn', 'difficult', 'appreciate', ' Doank ',' Customer ',' Fix ',' Network ',' Nyari ',' Untung ',' ']</v>
      </c>
      <c r="D6096" s="3">
        <v>1.0</v>
      </c>
    </row>
    <row r="6097" ht="15.75" customHeight="1">
      <c r="A6097" s="1">
        <v>6510.0</v>
      </c>
      <c r="B6097" s="3" t="s">
        <v>5823</v>
      </c>
      <c r="C6097" s="3" t="str">
        <f>IFERROR(__xludf.DUMMYFUNCTION("GOOGLETRANSLATE(B6097,""id"",""en"")"),"['easy', 'buy', 'package', 'Telkomsel', 'promo', 'regret', 'download', 'app']")</f>
        <v>['easy', 'buy', 'package', 'Telkomsel', 'promo', 'regret', 'download', 'app']</v>
      </c>
      <c r="D6097" s="3">
        <v>4.0</v>
      </c>
    </row>
    <row r="6098" ht="15.75" customHeight="1">
      <c r="A6098" s="1">
        <v>6511.0</v>
      </c>
      <c r="B6098" s="3" t="s">
        <v>5824</v>
      </c>
      <c r="C6098" s="3" t="str">
        <f>IFERROR(__xludf.DUMMYFUNCTION("GOOGLETRANSLATE(B6098,""id"",""en"")"),"['Thank you', 'Telkomsel', 'accompany', ""]")</f>
        <v>['Thank you', 'Telkomsel', 'accompany', "]</v>
      </c>
      <c r="D6098" s="3">
        <v>5.0</v>
      </c>
    </row>
    <row r="6099" ht="15.75" customHeight="1">
      <c r="A6099" s="1">
        <v>6512.0</v>
      </c>
      <c r="B6099" s="3" t="s">
        <v>5825</v>
      </c>
      <c r="C6099" s="3" t="str">
        <f>IFERROR(__xludf.DUMMYFUNCTION("GOOGLETRANSLATE(B6099,""id"",""en"")"),"['Disappointed', 'Ama', 'Network', 'Telkomse', 'Network', 'Buriq', 'Package', 'Expensive', 'Network', 'Threat']")</f>
        <v>['Disappointed', 'Ama', 'Network', 'Telkomse', 'Network', 'Buriq', 'Package', 'Expensive', 'Network', 'Threat']</v>
      </c>
      <c r="D6099" s="3">
        <v>1.0</v>
      </c>
    </row>
    <row r="6100" ht="15.75" customHeight="1">
      <c r="A6100" s="1">
        <v>6513.0</v>
      </c>
      <c r="B6100" s="3" t="s">
        <v>5826</v>
      </c>
      <c r="C6100" s="3" t="str">
        <f>IFERROR(__xludf.DUMMYFUNCTION("GOOGLETRANSLATE(B6100,""id"",""en"")"),"['Bags', 'times', 'staple', 'Boonk', 'Hoyyah', 'bad', 'times', 'jaringqn', 'buriqqqqqq', ""]")</f>
        <v>['Bags', 'times', 'staple', 'Boonk', 'Hoyyah', 'bad', 'times', 'jaringqn', 'buriqqqqqq', "]</v>
      </c>
      <c r="D6100" s="3">
        <v>1.0</v>
      </c>
    </row>
    <row r="6101" ht="15.75" customHeight="1">
      <c r="A6101" s="1">
        <v>6514.0</v>
      </c>
      <c r="B6101" s="3" t="s">
        <v>5827</v>
      </c>
      <c r="C6101" s="3" t="str">
        <f>IFERROR(__xludf.DUMMYFUNCTION("GOOGLETRANSLATE(B6101,""id"",""en"")"),"['signal', 'in the area', 'unsoed', 'special', 'city', 'purwokerto', 'signal', 'already', 'klu', 'direct', 'laq', 'chat', ' Robot ',' Veronika ',' Solution ',' Change ',' Card ',' Bebos', 'Already', 'Fill', 'PKTan', 'GB', 'OMG', 'Signal', 'Kere' ]")</f>
        <v>['signal', 'in the area', 'unsoed', 'special', 'city', 'purwokerto', 'signal', 'already', 'klu', 'direct', 'laq', 'chat', ' Robot ',' Veronika ',' Solution ',' Change ',' Card ',' Bebos', 'Already', 'Fill', 'PKTan', 'GB', 'OMG', 'Signal', 'Kere' ]</v>
      </c>
      <c r="D6101" s="3">
        <v>1.0</v>
      </c>
    </row>
    <row r="6102" ht="15.75" customHeight="1">
      <c r="A6102" s="1">
        <v>6516.0</v>
      </c>
      <c r="B6102" s="3" t="s">
        <v>5828</v>
      </c>
      <c r="C6102" s="3" t="str">
        <f>IFERROR(__xludf.DUMMYFUNCTION("GOOGLETRANSLATE(B6102,""id"",""en"")"),"['Bacot', 'Thinking', 'Signal', 'Stay', 'Change', 'Card', 'Use', 'Telkomsel', 'Sinyal', 'Bener', 'Saranin', 'Saying', ' Sorry ',' Ngejek ',' reality ',' Klean ',' contents', 'pulse', 'sms',' then ',' credit ',' Klean ',' reduced ',' weve ',' Rely on ' , '"&amp;"The intention', 'makes it easier', 'in fact', 'makes it difficult', 'makes it easier', 'make it difficult', 'disband', 'card', 'Telkomsel', 'signal', 'Ayo', 'budabarkan']")</f>
        <v>['Bacot', 'Thinking', 'Signal', 'Stay', 'Change', 'Card', 'Use', 'Telkomsel', 'Sinyal', 'Bener', 'Saranin', 'Saying', ' Sorry ',' Ngejek ',' reality ',' Klean ',' contents', 'pulse', 'sms',' then ',' credit ',' Klean ',' reduced ',' weve ',' Rely on ' , 'The intention', 'makes it easier', 'in fact', 'makes it difficult', 'makes it easier', 'make it difficult', 'disband', 'card', 'Telkomsel', 'signal', 'Ayo', 'budabarkan']</v>
      </c>
      <c r="D6102" s="3">
        <v>1.0</v>
      </c>
    </row>
    <row r="6103" ht="15.75" customHeight="1">
      <c r="A6103" s="1">
        <v>6517.0</v>
      </c>
      <c r="B6103" s="3" t="s">
        <v>5829</v>
      </c>
      <c r="C6103" s="3" t="str">
        <f>IFERROR(__xludf.DUMMYFUNCTION("GOOGLETRANSLATE(B6103,""id"",""en"")"),"['package', 'combo', 'Sakti', 'already', 'check', 'skrang', 'jdi', 'list', 'quota', 'quota', 'muahal', ""]")</f>
        <v>['package', 'combo', 'Sakti', 'already', 'check', 'skrang', 'jdi', 'list', 'quota', 'quota', 'muahal', "]</v>
      </c>
      <c r="D6103" s="3">
        <v>2.0</v>
      </c>
    </row>
    <row r="6104" ht="15.75" customHeight="1">
      <c r="A6104" s="1">
        <v>6518.0</v>
      </c>
      <c r="B6104" s="3" t="s">
        <v>5830</v>
      </c>
      <c r="C6104" s="3" t="str">
        <f>IFERROR(__xludf.DUMMYFUNCTION("GOOGLETRANSLATE(B6104,""id"",""en"")"),"['contents',' pulse ',' Yesterday ',' pulse ',' RB ',' run out ',' just ',' check ',' daapa ',' in ',' signs', 'bankrupt', ' Credit ',' user ',' missing ',' chaotic ',' ']")</f>
        <v>['contents',' pulse ',' Yesterday ',' pulse ',' RB ',' run out ',' just ',' check ',' daapa ',' in ',' signs', 'bankrupt', ' Credit ',' user ',' missing ',' chaotic ',' ']</v>
      </c>
      <c r="D6104" s="3">
        <v>3.0</v>
      </c>
    </row>
    <row r="6105" ht="15.75" customHeight="1">
      <c r="A6105" s="1">
        <v>6519.0</v>
      </c>
      <c r="B6105" s="3" t="s">
        <v>5831</v>
      </c>
      <c r="C6105" s="3" t="str">
        <f>IFERROR(__xludf.DUMMYFUNCTION("GOOGLETRANSLATE(B6105,""id"",""en"")"),"['Need', 'tuasa']")</f>
        <v>['Need', 'tuasa']</v>
      </c>
      <c r="D6105" s="3">
        <v>5.0</v>
      </c>
    </row>
    <row r="6106" ht="15.75" customHeight="1">
      <c r="A6106" s="1">
        <v>6520.0</v>
      </c>
      <c r="B6106" s="3" t="s">
        <v>5832</v>
      </c>
      <c r="C6106" s="3" t="str">
        <f>IFERROR(__xludf.DUMMYFUNCTION("GOOGLETRANSLATE(B6106,""id"",""en"")"),"['operator', 'detrimental', 'customer', 'package', 'expensive', 'network', 'keq', 'taik', 'severe', 'features',' pulses', 'safe', ' Kayak ',' Indosat ',' quota ',' pulse ',' hundreds', 'thousand', 'Collaps',' automatic ',' Gara ',' network ',' stable ',' "&amp;"down ',' Bangkee ' ]")</f>
        <v>['operator', 'detrimental', 'customer', 'package', 'expensive', 'network', 'keq', 'taik', 'severe', 'features',' pulses', 'safe', ' Kayak ',' Indosat ',' quota ',' pulse ',' hundreds', 'thousand', 'Collaps',' automatic ',' Gara ',' network ',' stable ',' down ',' Bangkee ' ]</v>
      </c>
      <c r="D6106" s="3">
        <v>1.0</v>
      </c>
    </row>
    <row r="6107" ht="15.75" customHeight="1">
      <c r="A6107" s="1">
        <v>6521.0</v>
      </c>
      <c r="B6107" s="3" t="s">
        <v>5833</v>
      </c>
      <c r="C6107" s="3" t="str">
        <f>IFERROR(__xludf.DUMMYFUNCTION("GOOGLETRANSLATE(B6107,""id"",""en"")"),"['cashback', 'contents', 'reset', 'buy', 'quota', 'use', 'shopeepay', 'cashback', 'accepted', 'plus', 'network', 'hard' Dreams', 'Stabilize']")</f>
        <v>['cashback', 'contents', 'reset', 'buy', 'quota', 'use', 'shopeepay', 'cashback', 'accepted', 'plus', 'network', 'hard' Dreams', 'Stabilize']</v>
      </c>
      <c r="D6107" s="3">
        <v>1.0</v>
      </c>
    </row>
    <row r="6108" ht="15.75" customHeight="1">
      <c r="A6108" s="1">
        <v>6522.0</v>
      </c>
      <c r="B6108" s="3" t="s">
        <v>5834</v>
      </c>
      <c r="C6108" s="3" t="str">
        <f>IFERROR(__xludf.DUMMYFUNCTION("GOOGLETRANSLATE(B6108,""id"",""en"")"),"['Love', 'Blum', 'Use', 'Hopefully', 'Jaya', 'The Network']")</f>
        <v>['Love', 'Blum', 'Use', 'Hopefully', 'Jaya', 'The Network']</v>
      </c>
      <c r="D6108" s="3">
        <v>3.0</v>
      </c>
    </row>
    <row r="6109" ht="15.75" customHeight="1">
      <c r="A6109" s="1">
        <v>6523.0</v>
      </c>
      <c r="B6109" s="3" t="s">
        <v>5835</v>
      </c>
      <c r="C6109" s="3" t="str">
        <f>IFERROR(__xludf.DUMMYFUNCTION("GOOGLETRANSLATE(B6109,""id"",""en"")"),"['Telkomsel', 'Package', 'Internet', 'Unlimitid', 'YouTube', 'Nipu', 'Buy', 'Package', 'Unlimitid', 'YouTube', 'Mending', 'Package', ' unlimitid ',' original ']")</f>
        <v>['Telkomsel', 'Package', 'Internet', 'Unlimitid', 'YouTube', 'Nipu', 'Buy', 'Package', 'Unlimitid', 'YouTube', 'Mending', 'Package', ' unlimitid ',' original ']</v>
      </c>
      <c r="D6109" s="3">
        <v>1.0</v>
      </c>
    </row>
    <row r="6110" ht="15.75" customHeight="1">
      <c r="A6110" s="1">
        <v>6524.0</v>
      </c>
      <c r="B6110" s="3" t="s">
        <v>5836</v>
      </c>
      <c r="C6110" s="3" t="str">
        <f>IFERROR(__xludf.DUMMYFUNCTION("GOOGLETRANSLATE(B6110,""id"",""en"")"),"['sympathy', 'Elor', 'slow', 'really', '']")</f>
        <v>['sympathy', 'Elor', 'slow', 'really', '']</v>
      </c>
      <c r="D6110" s="3">
        <v>2.0</v>
      </c>
    </row>
    <row r="6111" ht="15.75" customHeight="1">
      <c r="A6111" s="1">
        <v>6525.0</v>
      </c>
      <c r="B6111" s="3" t="s">
        <v>5837</v>
      </c>
      <c r="C6111" s="3" t="str">
        <f>IFERROR(__xludf.DUMMYFUNCTION("GOOGLETRANSLATE(B6111,""id"",""en"")"),"['excellent', 'heart', ""]")</f>
        <v>['excellent', 'heart', "]</v>
      </c>
      <c r="D6111" s="3">
        <v>5.0</v>
      </c>
    </row>
    <row r="6112" ht="15.75" customHeight="1">
      <c r="A6112" s="1">
        <v>6526.0</v>
      </c>
      <c r="B6112" s="3" t="s">
        <v>5838</v>
      </c>
      <c r="C6112" s="3" t="str">
        <f>IFERROR(__xludf.DUMMYFUNCTION("GOOGLETRANSLATE(B6112,""id"",""en"")"),"['apps', 'error', 'slow', 'a month', 'contents', 'pls', 'tens', 'million', 'region', 'Aceh', 'exchange', 'point']")</f>
        <v>['apps', 'error', 'slow', 'a month', 'contents', 'pls', 'tens', 'million', 'region', 'Aceh', 'exchange', 'point']</v>
      </c>
      <c r="D6112" s="3">
        <v>1.0</v>
      </c>
    </row>
    <row r="6113" ht="15.75" customHeight="1">
      <c r="A6113" s="1">
        <v>6527.0</v>
      </c>
      <c r="B6113" s="3" t="s">
        <v>5839</v>
      </c>
      <c r="C6113" s="3" t="str">
        <f>IFERROR(__xludf.DUMMYFUNCTION("GOOGLETRANSLATE(B6113,""id"",""en"")"),"['hope', 'gift', 'Telkomsel']")</f>
        <v>['hope', 'gift', 'Telkomsel']</v>
      </c>
      <c r="D6113" s="3">
        <v>5.0</v>
      </c>
    </row>
    <row r="6114" ht="15.75" customHeight="1">
      <c r="A6114" s="1">
        <v>6528.0</v>
      </c>
      <c r="B6114" s="3" t="s">
        <v>5840</v>
      </c>
      <c r="C6114" s="3" t="str">
        <f>IFERROR(__xludf.DUMMYFUNCTION("GOOGLETRANSLATE(B6114,""id"",""en"")"),"['Good', 'Network', 'Where']")</f>
        <v>['Good', 'Network', 'Where']</v>
      </c>
      <c r="D6114" s="3">
        <v>5.0</v>
      </c>
    </row>
    <row r="6115" ht="15.75" customHeight="1">
      <c r="A6115" s="1">
        <v>6529.0</v>
      </c>
      <c r="B6115" s="3" t="s">
        <v>5841</v>
      </c>
      <c r="C6115" s="3" t="str">
        <f>IFERROR(__xludf.DUMMYFUNCTION("GOOGLETRANSLATE(B6115,""id"",""en"")"),"['Good', 'fast', 'service', '']")</f>
        <v>['Good', 'fast', 'service', '']</v>
      </c>
      <c r="D6115" s="3">
        <v>5.0</v>
      </c>
    </row>
    <row r="6116" ht="15.75" customHeight="1">
      <c r="A6116" s="1">
        <v>6530.0</v>
      </c>
      <c r="B6116" s="3" t="s">
        <v>5842</v>
      </c>
      <c r="C6116" s="3" t="str">
        <f>IFERROR(__xludf.DUMMYFUNCTION("GOOGLETRANSLATE(B6116,""id"",""en"")"),"['deployment', 'network', 'internet', 'game', 'online', 'need', 'internet', 'stable', 'lag', 'night', '']")</f>
        <v>['deployment', 'network', 'internet', 'game', 'online', 'need', 'internet', 'stable', 'lag', 'night', '']</v>
      </c>
      <c r="D6116" s="3">
        <v>2.0</v>
      </c>
    </row>
    <row r="6117" ht="15.75" customHeight="1">
      <c r="A6117" s="1">
        <v>6531.0</v>
      </c>
      <c r="B6117" s="3" t="s">
        <v>5843</v>
      </c>
      <c r="C6117" s="3" t="str">
        <f>IFERROR(__xludf.DUMMYFUNCTION("GOOGLETRANSLATE(B6117,""id"",""en"")"),"['Signal', 'Leg', 'Increase']")</f>
        <v>['Signal', 'Leg', 'Increase']</v>
      </c>
      <c r="D6117" s="3">
        <v>2.0</v>
      </c>
    </row>
    <row r="6118" ht="15.75" customHeight="1">
      <c r="A6118" s="1">
        <v>6532.0</v>
      </c>
      <c r="B6118" s="3" t="s">
        <v>5844</v>
      </c>
      <c r="C6118" s="3" t="str">
        <f>IFERROR(__xludf.DUMMYFUNCTION("GOOGLETRANSLATE(B6118,""id"",""en"")"),"['disappointed', 'card', 'prime', 'sympathy', 'optimal', 'expensive', 'rich', 'package', 'data', 'combo', 'sakti', 'unlimited', ' Buy ',' Price ',' thousand ',' thousand ',' Sekrang ',' Status', 'MyTelkomsel', 'GOLD', '']")</f>
        <v>['disappointed', 'card', 'prime', 'sympathy', 'optimal', 'expensive', 'rich', 'package', 'data', 'combo', 'sakti', 'unlimited', ' Buy ',' Price ',' thousand ',' thousand ',' Sekrang ',' Status', 'MyTelkomsel', 'GOLD', '']</v>
      </c>
      <c r="D6118" s="3">
        <v>1.0</v>
      </c>
    </row>
    <row r="6119" ht="15.75" customHeight="1">
      <c r="A6119" s="1">
        <v>6533.0</v>
      </c>
      <c r="B6119" s="3" t="s">
        <v>5845</v>
      </c>
      <c r="C6119" s="3" t="str">
        <f>IFERROR(__xludf.DUMMYFUNCTION("GOOGLETRANSLATE(B6119,""id"",""en"")"),"['best', 'OMMVH']")</f>
        <v>['best', 'OMMVH']</v>
      </c>
      <c r="D6119" s="3">
        <v>4.0</v>
      </c>
    </row>
    <row r="6120" ht="15.75" customHeight="1">
      <c r="A6120" s="1">
        <v>6534.0</v>
      </c>
      <c r="B6120" s="3" t="s">
        <v>5846</v>
      </c>
      <c r="C6120" s="3" t="str">
        <f>IFERROR(__xludf.DUMMYFUNCTION("GOOGLETRANSLATE(B6120,""id"",""en"")"),"['Steady', 'fast', 'no', 'error']")</f>
        <v>['Steady', 'fast', 'no', 'error']</v>
      </c>
      <c r="D6120" s="3">
        <v>5.0</v>
      </c>
    </row>
    <row r="6121" ht="15.75" customHeight="1">
      <c r="A6121" s="1">
        <v>6535.0</v>
      </c>
      <c r="B6121" s="3" t="s">
        <v>5847</v>
      </c>
      <c r="C6121" s="3" t="str">
        <f>IFERROR(__xludf.DUMMYFUNCTION("GOOGLETRANSLATE(B6121,""id"",""en"")"),"['Package', 'expensive', 'network', 'internet', 'worst', 'Sumuri', 'bay', 'bintuni', 'Papua', 'West', 'as a result', 'package', ' wasted ',' vain ',' vain ',' customers', 'loyal', 'orbit', 'wifi', 'indihomen', 'subscribe', 'home', 'indramayu', 'complain',"&amp;" 'response' , 'solution', '']")</f>
        <v>['Package', 'expensive', 'network', 'internet', 'worst', 'Sumuri', 'bay', 'bintuni', 'Papua', 'West', 'as a result', 'package', ' wasted ',' vain ',' vain ',' customers', 'loyal', 'orbit', 'wifi', 'indihomen', 'subscribe', 'home', 'indramayu', 'complain', 'response' , 'solution', '']</v>
      </c>
      <c r="D6121" s="3">
        <v>1.0</v>
      </c>
    </row>
    <row r="6122" ht="15.75" customHeight="1">
      <c r="A6122" s="1">
        <v>6536.0</v>
      </c>
      <c r="B6122" s="3" t="s">
        <v>5848</v>
      </c>
      <c r="C6122" s="3" t="str">
        <f>IFERROR(__xludf.DUMMYFUNCTION("GOOGLETRANSLATE(B6122,""id"",""en"")"),"['Alhamdulillah', 'Thank you', 'Telkomsel', 'Satisfied', 'Feeling', 'Bony', 'Bonus', 'Package', 'Internet', 'Cheap', 'Telkomsel', ""]")</f>
        <v>['Alhamdulillah', 'Thank you', 'Telkomsel', 'Satisfied', 'Feeling', 'Bony', 'Bonus', 'Package', 'Internet', 'Cheap', 'Telkomsel', "]</v>
      </c>
      <c r="D6122" s="3">
        <v>5.0</v>
      </c>
    </row>
    <row r="6123" ht="15.75" customHeight="1">
      <c r="A6123" s="1">
        <v>6537.0</v>
      </c>
      <c r="B6123" s="3" t="s">
        <v>5849</v>
      </c>
      <c r="C6123" s="3" t="str">
        <f>IFERROR(__xludf.DUMMYFUNCTION("GOOGLETRANSLATE(B6123,""id"",""en"")"),"['Package', 'Data', 'expensive', 'signal', 'slow', ""]")</f>
        <v>['Package', 'Data', 'expensive', 'signal', 'slow', "]</v>
      </c>
      <c r="D6123" s="3">
        <v>2.0</v>
      </c>
    </row>
    <row r="6124" ht="15.75" customHeight="1">
      <c r="A6124" s="1">
        <v>6538.0</v>
      </c>
      <c r="B6124" s="3" t="s">
        <v>5850</v>
      </c>
      <c r="C6124" s="3" t="str">
        <f>IFERROR(__xludf.DUMMYFUNCTION("GOOGLETRANSLATE(B6124,""id"",""en"")"),"['The network', 'Please', 'DLU', 'Fix', 'Region', 'North Sumatra', 'Min', 'Package', 'Expensive', 'Network', 'Ngilak', 'Network', ' card ',' yesterday ',' please ',' dlu ',' stabilized ',' min ',' ']")</f>
        <v>['The network', 'Please', 'DLU', 'Fix', 'Region', 'North Sumatra', 'Min', 'Package', 'Expensive', 'Network', 'Ngilak', 'Network', ' card ',' yesterday ',' please ',' dlu ',' stabilized ',' min ',' ']</v>
      </c>
      <c r="D6124" s="3">
        <v>1.0</v>
      </c>
    </row>
    <row r="6125" ht="15.75" customHeight="1">
      <c r="A6125" s="1">
        <v>6539.0</v>
      </c>
      <c r="B6125" s="3" t="s">
        <v>5851</v>
      </c>
      <c r="C6125" s="3" t="str">
        <f>IFERROR(__xludf.DUMMYFUNCTION("GOOGLETRANSLATE(B6125,""id"",""en"")"),"['application', 'makes it easy', 'check', 'pulse', 'quota', 'Telkomsel', 'Available', '']")</f>
        <v>['application', 'makes it easy', 'check', 'pulse', 'quota', 'Telkomsel', 'Available', '']</v>
      </c>
      <c r="D6125" s="3">
        <v>4.0</v>
      </c>
    </row>
    <row r="6126" ht="15.75" customHeight="1">
      <c r="A6126" s="1">
        <v>6540.0</v>
      </c>
      <c r="B6126" s="3" t="s">
        <v>5852</v>
      </c>
      <c r="C6126" s="3" t="str">
        <f>IFERROR(__xludf.DUMMYFUNCTION("GOOGLETRANSLATE(B6126,""id"",""en"")"),"['Good', 'Easy', 'Han', 'Win', 'Lottery', 'Direct', 'Sent', 'Address', 'Winner']")</f>
        <v>['Good', 'Easy', 'Han', 'Win', 'Lottery', 'Direct', 'Sent', 'Address', 'Winner']</v>
      </c>
      <c r="D6126" s="3">
        <v>3.0</v>
      </c>
    </row>
    <row r="6127" ht="15.75" customHeight="1">
      <c r="A6127" s="1">
        <v>6541.0</v>
      </c>
      <c r="B6127" s="3" t="s">
        <v>5853</v>
      </c>
      <c r="C6127" s="3" t="str">
        <f>IFERROR(__xludf.DUMMYFUNCTION("GOOGLETRANSLATE(B6127,""id"",""en"")"),"['buy', 'package', 'easy', 'cheap', 'mainly', 'the application', 'steady']")</f>
        <v>['buy', 'package', 'easy', 'cheap', 'mainly', 'the application', 'steady']</v>
      </c>
      <c r="D6127" s="3">
        <v>5.0</v>
      </c>
    </row>
    <row r="6128" ht="15.75" customHeight="1">
      <c r="A6128" s="1">
        <v>6542.0</v>
      </c>
      <c r="B6128" s="3" t="s">
        <v>5854</v>
      </c>
      <c r="C6128" s="3" t="str">
        <f>IFERROR(__xludf.DUMMYFUNCTION("GOOGLETRANSLATE(B6128,""id"",""en"")"),"['pulse', 'run out', 'missing', 'told', 'download', 'poor']")</f>
        <v>['pulse', 'run out', 'missing', 'told', 'download', 'poor']</v>
      </c>
      <c r="D6128" s="3">
        <v>1.0</v>
      </c>
    </row>
    <row r="6129" ht="15.75" customHeight="1">
      <c r="A6129" s="1">
        <v>6543.0</v>
      </c>
      <c r="B6129" s="3" t="s">
        <v>5855</v>
      </c>
      <c r="C6129" s="3" t="str">
        <f>IFERROR(__xludf.DUMMYFUNCTION("GOOGLETRANSLATE(B6129,""id"",""en"")"),"['The network', 'Increase', 'Kenceng', 'internet']")</f>
        <v>['The network', 'Increase', 'Kenceng', 'internet']</v>
      </c>
      <c r="D6129" s="3">
        <v>5.0</v>
      </c>
    </row>
    <row r="6130" ht="15.75" customHeight="1">
      <c r="A6130" s="1">
        <v>6544.0</v>
      </c>
      <c r="B6130" s="3" t="s">
        <v>5856</v>
      </c>
      <c r="C6130" s="3" t="str">
        <f>IFERROR(__xludf.DUMMYFUNCTION("GOOGLETRANSLATE(B6130,""id"",""en"")"),"['Hello', 'min', 'buy', 'package', 'already', 'buy', 'pulse', 'what', 'disappointed']")</f>
        <v>['Hello', 'min', 'buy', 'package', 'already', 'buy', 'pulse', 'what', 'disappointed']</v>
      </c>
      <c r="D6130" s="3">
        <v>1.0</v>
      </c>
    </row>
    <row r="6131" ht="15.75" customHeight="1">
      <c r="A6131" s="1">
        <v>6545.0</v>
      </c>
      <c r="B6131" s="3" t="s">
        <v>5857</v>
      </c>
      <c r="C6131" s="3" t="str">
        <f>IFERROR(__xludf.DUMMYFUNCTION("GOOGLETRANSLATE(B6131,""id"",""en"")"),"['Please', 'already', 'updated', 'told', 'Update', '']")</f>
        <v>['Please', 'already', 'updated', 'told', 'Update', '']</v>
      </c>
      <c r="D6131" s="3">
        <v>3.0</v>
      </c>
    </row>
    <row r="6132" ht="15.75" customHeight="1">
      <c r="A6132" s="1">
        <v>6546.0</v>
      </c>
      <c r="B6132" s="3" t="s">
        <v>5858</v>
      </c>
      <c r="C6132" s="3" t="str">
        <f>IFERROR(__xludf.DUMMYFUNCTION("GOOGLETRANSLATE(B6132,""id"",""en"")"),"['Maki', 'Easy', 'Nambibet', 'Login', 'Use', 'Magic', 'Link', 'Error', 'Berkx', 'Already', 'Easy', 'OTP', ' replace ',' package ',' already ',' Abis', 'Matiin', 'iternet', 'credit', 'take', 'until', 'abis',' abru ',' die ',' internet ' , 'Ngerugiin', 'Cas"&amp;"temer', 'Rich', 'Theft', 'Network', 'Dead', 'Increasing', 'Akfptifin', 'Internet', 'Credit', 'Delicious',' Jugk ',' MAH ',' Abis', 'because', 'quota', 'Abis',' forget ',' Matiin ',' network ',' detrimental ',' theft ',' smooth ']")</f>
        <v>['Maki', 'Easy', 'Nambibet', 'Login', 'Use', 'Magic', 'Link', 'Error', 'Berkx', 'Already', 'Easy', 'OTP', ' replace ',' package ',' already ',' Abis', 'Matiin', 'iternet', 'credit', 'take', 'until', 'abis',' abru ',' die ',' internet ' , 'Ngerugiin', 'Castemer', 'Rich', 'Theft', 'Network', 'Dead', 'Increasing', 'Akfptifin', 'Internet', 'Credit', 'Delicious',' Jugk ',' MAH ',' Abis', 'because', 'quota', 'Abis',' forget ',' Matiin ',' network ',' detrimental ',' theft ',' smooth ']</v>
      </c>
      <c r="D6132" s="3">
        <v>1.0</v>
      </c>
    </row>
    <row r="6133" ht="15.75" customHeight="1">
      <c r="A6133" s="1">
        <v>6547.0</v>
      </c>
      <c r="B6133" s="3" t="s">
        <v>5859</v>
      </c>
      <c r="C6133" s="3" t="str">
        <f>IFERROR(__xludf.DUMMYFUNCTION("GOOGLETRANSLATE(B6133,""id"",""en"")"),"['Connection', 'Network', 'Internet', 'Bad', 'Region', 'Malili', 'Luwu', 'East', 'South Sulawesi', 'Rain', ""]")</f>
        <v>['Connection', 'Network', 'Internet', 'Bad', 'Region', 'Malili', 'Luwu', 'East', 'South Sulawesi', 'Rain', "]</v>
      </c>
      <c r="D6133" s="3">
        <v>1.0</v>
      </c>
    </row>
    <row r="6134" ht="15.75" customHeight="1">
      <c r="A6134" s="1">
        <v>6548.0</v>
      </c>
      <c r="B6134" s="3" t="s">
        <v>5860</v>
      </c>
      <c r="C6134" s="3" t="str">
        <f>IFERROR(__xludf.DUMMYFUNCTION("GOOGLETRANSLATE(B6134,""id"",""en"")"),"['sucked', 'pulse', 'buy', 'package', 'chat', 'open', 'tetep', 'sumps', 'pulses', 'bangse', 'emang']")</f>
        <v>['sucked', 'pulse', 'buy', 'package', 'chat', 'open', 'tetep', 'sumps', 'pulses', 'bangse', 'emang']</v>
      </c>
      <c r="D6134" s="3">
        <v>3.0</v>
      </c>
    </row>
    <row r="6135" ht="15.75" customHeight="1">
      <c r="A6135" s="1">
        <v>6550.0</v>
      </c>
      <c r="B6135" s="3" t="s">
        <v>5861</v>
      </c>
      <c r="C6135" s="3" t="str">
        <f>IFERROR(__xludf.DUMMYFUNCTION("GOOGLETRANSLATE(B6135,""id"",""en"")"),"['app', 'difficult', 'login', 'slow', 'on', 'update', 'gift', 'quota', 'check', 'lost', 'exchange', 'gift', ' quota ',' limit ',' run out ',' check ',' zero ',' ']")</f>
        <v>['app', 'difficult', 'login', 'slow', 'on', 'update', 'gift', 'quota', 'check', 'lost', 'exchange', 'gift', ' quota ',' limit ',' run out ',' check ',' zero ',' ']</v>
      </c>
      <c r="D6135" s="3">
        <v>4.0</v>
      </c>
    </row>
    <row r="6136" ht="15.75" customHeight="1">
      <c r="A6136" s="1">
        <v>6552.0</v>
      </c>
      <c r="B6136" s="3" t="s">
        <v>5862</v>
      </c>
      <c r="C6136" s="3" t="str">
        <f>IFERROR(__xludf.DUMMYFUNCTION("GOOGLETRANSLATE(B6136,""id"",""en"")"),"['wants',' package ',' Sunpris', 'Deal', 'full', 'package', 'tired', 'chase', 'scared', 'scorched', 'buy', 'package', ' Under ',' Walopun ',' Package ',' Buy ', ""]")</f>
        <v>['wants',' package ',' Sunpris', 'Deal', 'full', 'package', 'tired', 'chase', 'scared', 'scorched', 'buy', 'package', ' Under ',' Walopun ',' Package ',' Buy ', "]</v>
      </c>
      <c r="D6136" s="3">
        <v>5.0</v>
      </c>
    </row>
    <row r="6137" ht="15.75" customHeight="1">
      <c r="A6137" s="1">
        <v>6553.0</v>
      </c>
      <c r="B6137" s="3" t="s">
        <v>5863</v>
      </c>
      <c r="C6137" s="3" t="str">
        <f>IFERROR(__xludf.DUMMYFUNCTION("GOOGLETRANSLATE(B6137,""id"",""en"")"),"['Hobby', 'sucked', 'pulses', '']")</f>
        <v>['Hobby', 'sucked', 'pulses', '']</v>
      </c>
      <c r="D6137" s="3">
        <v>1.0</v>
      </c>
    </row>
    <row r="6138" ht="15.75" customHeight="1">
      <c r="A6138" s="1">
        <v>6554.0</v>
      </c>
      <c r="B6138" s="3" t="s">
        <v>5864</v>
      </c>
      <c r="C6138" s="3" t="str">
        <f>IFERROR(__xludf.DUMMYFUNCTION("GOOGLETRANSLATE(B6138,""id"",""en"")"),"['Application', 'spend', 'pulse', 'pulse', 'run out', 'sumps']")</f>
        <v>['Application', 'spend', 'pulse', 'pulse', 'run out', 'sumps']</v>
      </c>
      <c r="D6138" s="3">
        <v>1.0</v>
      </c>
    </row>
    <row r="6139" ht="15.75" customHeight="1">
      <c r="A6139" s="1">
        <v>6555.0</v>
      </c>
      <c r="B6139" s="3" t="s">
        <v>5865</v>
      </c>
      <c r="C6139" s="3" t="str">
        <f>IFERROR(__xludf.DUMMYFUNCTION("GOOGLETRANSLATE(B6139,""id"",""en"")"),"['network', 'super', 'slow', 'really', '']")</f>
        <v>['network', 'super', 'slow', 'really', '']</v>
      </c>
      <c r="D6139" s="3">
        <v>1.0</v>
      </c>
    </row>
    <row r="6140" ht="15.75" customHeight="1">
      <c r="A6140" s="1">
        <v>6556.0</v>
      </c>
      <c r="B6140" s="3" t="s">
        <v>5866</v>
      </c>
      <c r="C6140" s="3" t="str">
        <f>IFERROR(__xludf.DUMMYFUNCTION("GOOGLETRANSLATE(B6140,""id"",""en"")"),"['What's about', 'Update', 'BKN', 'Application', 'A Day', 'Minimalis', 'Update', ""]")</f>
        <v>['What's about', 'Update', 'BKN', 'Application', 'A Day', 'Minimalis', 'Update', "]</v>
      </c>
      <c r="D6140" s="3">
        <v>1.0</v>
      </c>
    </row>
    <row r="6141" ht="15.75" customHeight="1">
      <c r="A6141" s="1">
        <v>6557.0</v>
      </c>
      <c r="B6141" s="3" t="s">
        <v>5867</v>
      </c>
      <c r="C6141" s="3" t="str">
        <f>IFERROR(__xludf.DUMMYFUNCTION("GOOGLETRANSLATE(B6141,""id"",""en"")"),"['Application', 'Ruwettt', 'Open', 'Application', 'Dead', 'Mulu', 'Severe', '']")</f>
        <v>['Application', 'Ruwettt', 'Open', 'Application', 'Dead', 'Mulu', 'Severe', '']</v>
      </c>
      <c r="D6141" s="3">
        <v>1.0</v>
      </c>
    </row>
    <row r="6142" ht="15.75" customHeight="1">
      <c r="A6142" s="1">
        <v>6558.0</v>
      </c>
      <c r="B6142" s="3" t="s">
        <v>5868</v>
      </c>
      <c r="C6142" s="3" t="str">
        <f>IFERROR(__xludf.DUMMYFUNCTION("GOOGLETRANSLATE(B6142,""id"",""en"")"),"['', 'intention', 'fix', 'service', 'comment', 'org', 'dsni', 'ugly', 'network', 'forgiveness',' signal ',' Telkomsel ',' severe ',' slow ',' missing ',' already ',' TLP ',' disgraced ',' Wait ',' Moor ',' TTP ',' change ']")</f>
        <v>['', 'intention', 'fix', 'service', 'comment', 'org', 'dsni', 'ugly', 'network', 'forgiveness',' signal ',' Telkomsel ',' severe ',' slow ',' missing ',' already ',' TLP ',' disgraced ',' Wait ',' Moor ',' TTP ',' change ']</v>
      </c>
      <c r="D6142" s="3">
        <v>1.0</v>
      </c>
    </row>
    <row r="6143" ht="15.75" customHeight="1">
      <c r="A6143" s="1">
        <v>6559.0</v>
      </c>
      <c r="B6143" s="3" t="s">
        <v>5869</v>
      </c>
      <c r="C6143" s="3" t="str">
        <f>IFERROR(__xludf.DUMMYFUNCTION("GOOGLETRANSLATE(B6143,""id"",""en"")"),"['Lally', 'discount', 'quota']")</f>
        <v>['Lally', 'discount', 'quota']</v>
      </c>
      <c r="D6143" s="3">
        <v>5.0</v>
      </c>
    </row>
    <row r="6144" ht="15.75" customHeight="1">
      <c r="A6144" s="1">
        <v>6560.0</v>
      </c>
      <c r="B6144" s="3" t="s">
        <v>5870</v>
      </c>
      <c r="C6144" s="3" t="str">
        <f>IFERROR(__xludf.DUMMYFUNCTION("GOOGLETRANSLATE(B6144,""id"",""en"")"),"['Law', 'Lau', 'Bgus', 'Love', 'Full', 'Star', '']")</f>
        <v>['Law', 'Lau', 'Bgus', 'Love', 'Full', 'Star', '']</v>
      </c>
      <c r="D6144" s="3">
        <v>1.0</v>
      </c>
    </row>
    <row r="6145" ht="15.75" customHeight="1">
      <c r="A6145" s="1">
        <v>6561.0</v>
      </c>
      <c r="B6145" s="3" t="s">
        <v>5871</v>
      </c>
      <c r="C6145" s="3" t="str">
        <f>IFERROR(__xludf.DUMMYFUNCTION("GOOGLETRANSLATE(B6145,""id"",""en"")"),"['Sousiny', 'easy', 'Increase', 'right', 'season', 'rain', 'Tetep', 'smooth', 'thank you', ""]")</f>
        <v>['Sousiny', 'easy', 'Increase', 'right', 'season', 'rain', 'Tetep', 'smooth', 'thank you', "]</v>
      </c>
      <c r="D6145" s="3">
        <v>4.0</v>
      </c>
    </row>
    <row r="6146" ht="15.75" customHeight="1">
      <c r="A6146" s="1">
        <v>6563.0</v>
      </c>
      <c r="B6146" s="3" t="s">
        <v>5872</v>
      </c>
      <c r="C6146" s="3" t="str">
        <f>IFERROR(__xludf.DUMMYFUNCTION("GOOGLETRANSLATE(B6146,""id"",""en"")"),"['Neg', 'right', 'network', 'told', 'tetep', 'rich', 'snail', 'already', 'expensive', 'according to', 'service', 'ngadu', ' end ',' mimin ',' mimin ',' stale ',' anjirr ',' ']")</f>
        <v>['Neg', 'right', 'network', 'told', 'tetep', 'rich', 'snail', 'already', 'expensive', 'according to', 'service', 'ngadu', ' end ',' mimin ',' mimin ',' stale ',' anjirr ',' ']</v>
      </c>
      <c r="D6146" s="3">
        <v>1.0</v>
      </c>
    </row>
    <row r="6147" ht="15.75" customHeight="1">
      <c r="A6147" s="1">
        <v>6564.0</v>
      </c>
      <c r="B6147" s="3" t="s">
        <v>5873</v>
      </c>
      <c r="C6147" s="3" t="str">
        <f>IFERROR(__xludf.DUMMYFUNCTION("GOOGLETRANSLATE(B6147,""id"",""en"")"),"['Satisfied', 'service', 'Exchange', 'Points', 'already', 'Not bad']")</f>
        <v>['Satisfied', 'service', 'Exchange', 'Points', 'already', 'Not bad']</v>
      </c>
      <c r="D6147" s="3">
        <v>3.0</v>
      </c>
    </row>
    <row r="6148" ht="15.75" customHeight="1">
      <c r="A6148" s="1">
        <v>6565.0</v>
      </c>
      <c r="B6148" s="3" t="s">
        <v>5874</v>
      </c>
      <c r="C6148" s="3" t="str">
        <f>IFERROR(__xludf.DUMMYFUNCTION("GOOGLETRANSLATE(B6148,""id"",""en"")"),"['Good', 'city', 'Jarkom', 'safe', 'smooth', 'like', 'deh', 'increase', 'service', 'addin', 'free', 'quota', ' Internet ',' ']")</f>
        <v>['Good', 'city', 'Jarkom', 'safe', 'smooth', 'like', 'deh', 'increase', 'service', 'addin', 'free', 'quota', ' Internet ',' ']</v>
      </c>
      <c r="D6148" s="3">
        <v>5.0</v>
      </c>
    </row>
    <row r="6149" ht="15.75" customHeight="1">
      <c r="A6149" s="1">
        <v>6566.0</v>
      </c>
      <c r="B6149" s="3" t="s">
        <v>5875</v>
      </c>
      <c r="C6149" s="3" t="str">
        <f>IFERROR(__xludf.DUMMYFUNCTION("GOOGLETRANSLATE(B6149,""id"",""en"")"),"['', 'Most importantly', 'signal', 'slow']")</f>
        <v>['', 'Most importantly', 'signal', 'slow']</v>
      </c>
      <c r="D6149" s="3">
        <v>5.0</v>
      </c>
    </row>
    <row r="6150" ht="15.75" customHeight="1">
      <c r="A6150" s="1">
        <v>6567.0</v>
      </c>
      <c r="B6150" s="3" t="s">
        <v>5876</v>
      </c>
      <c r="C6150" s="3" t="str">
        <f>IFERROR(__xludf.DUMMYFUNCTION("GOOGLETRANSLATE(B6150,""id"",""en"")"),"['Network', 'slow', 'Napa', 'service', 'Telkomsel', 'ad', 'promo', 'multiply', 'network', 'signal', 'fix']")</f>
        <v>['Network', 'slow', 'Napa', 'service', 'Telkomsel', 'ad', 'promo', 'multiply', 'network', 'signal', 'fix']</v>
      </c>
      <c r="D6150" s="3">
        <v>1.0</v>
      </c>
    </row>
    <row r="6151" ht="15.75" customHeight="1">
      <c r="A6151" s="1">
        <v>6569.0</v>
      </c>
      <c r="B6151" s="3" t="s">
        <v>5877</v>
      </c>
      <c r="C6151" s="3" t="str">
        <f>IFERROR(__xludf.DUMMYFUNCTION("GOOGLETRANSLATE(B6151,""id"",""en"")"),"['Package', 'promo', 'cheap', 'card', 'Telkomsel', 'appears', '']")</f>
        <v>['Package', 'promo', 'cheap', 'card', 'Telkomsel', 'appears', '']</v>
      </c>
      <c r="D6151" s="3">
        <v>5.0</v>
      </c>
    </row>
    <row r="6152" ht="15.75" customHeight="1">
      <c r="A6152" s="1">
        <v>6570.0</v>
      </c>
      <c r="B6152" s="3" t="s">
        <v>1715</v>
      </c>
      <c r="C6152" s="3" t="str">
        <f>IFERROR(__xludf.DUMMYFUNCTION("GOOGLETRANSLATE(B6152,""id"",""en"")"),"['Telkomsel', 'okay']")</f>
        <v>['Telkomsel', 'okay']</v>
      </c>
      <c r="D6152" s="3">
        <v>5.0</v>
      </c>
    </row>
    <row r="6153" ht="15.75" customHeight="1">
      <c r="A6153" s="1">
        <v>6571.0</v>
      </c>
      <c r="B6153" s="3" t="s">
        <v>5878</v>
      </c>
      <c r="C6153" s="3" t="str">
        <f>IFERROR(__xludf.DUMMYFUNCTION("GOOGLETRANSLATE(B6153,""id"",""en"")"),"['expensive', 'Points', 'Tuker', 'please', ""]")</f>
        <v>['expensive', 'Points', 'Tuker', 'please', "]</v>
      </c>
      <c r="D6153" s="3">
        <v>5.0</v>
      </c>
    </row>
    <row r="6154" ht="15.75" customHeight="1">
      <c r="A6154" s="1">
        <v>6572.0</v>
      </c>
      <c r="B6154" s="3" t="s">
        <v>5879</v>
      </c>
      <c r="C6154" s="3" t="str">
        <f>IFERROR(__xludf.DUMMYFUNCTION("GOOGLETRANSLATE(B6154,""id"",""en"")"),"['Congratulations',' night ',' application ',' Telkomsel ',' check ',' daily ',' buy ',' quota ',' additional ',' daily ',' Please ',' help ',' repair', '']")</f>
        <v>['Congratulations',' night ',' application ',' Telkomsel ',' check ',' daily ',' buy ',' quota ',' additional ',' daily ',' Please ',' help ',' repair', '']</v>
      </c>
      <c r="D6154" s="3">
        <v>3.0</v>
      </c>
    </row>
    <row r="6155" ht="15.75" customHeight="1">
      <c r="A6155" s="1">
        <v>6573.0</v>
      </c>
      <c r="B6155" s="3" t="s">
        <v>5880</v>
      </c>
      <c r="C6155" s="3" t="str">
        <f>IFERROR(__xludf.DUMMYFUNCTION("GOOGLETRANSLATE(B6155,""id"",""en"")"),"['gave', 'value', 'buy', 'package', 'skrg', 'Telkomsel', 'reduced', 'corruption', 'signal', 'ugly', ""]")</f>
        <v>['gave', 'value', 'buy', 'package', 'skrg', 'Telkomsel', 'reduced', 'corruption', 'signal', 'ugly', "]</v>
      </c>
      <c r="D6155" s="3">
        <v>1.0</v>
      </c>
    </row>
    <row r="6156" ht="15.75" customHeight="1">
      <c r="A6156" s="1">
        <v>6574.0</v>
      </c>
      <c r="B6156" s="3" t="s">
        <v>5881</v>
      </c>
      <c r="C6156" s="3" t="str">
        <f>IFERROR(__xludf.DUMMYFUNCTION("GOOGLETRANSLATE(B6156,""id"",""en"")"),"['Telkomsel', 'Bad', 'Quality', 'Telksel', 'Jingannya', 'Bad', 'Live', 'Tower', 'Telkomsel', 'slow', 'expensive', 'package', ' the data ',' quality ',' customers', 'loyal', 'Telkomsel', 'Audadah', 'use', 'disappointed', 'really', 'use', 'event', 'users','"&amp;" Telkomsel ' , 'leaving', 'card', 'repaired', 'disorder', 'network', '']")</f>
        <v>['Telkomsel', 'Bad', 'Quality', 'Telksel', 'Jingannya', 'Bad', 'Live', 'Tower', 'Telkomsel', 'slow', 'expensive', 'package', ' the data ',' quality ',' customers', 'loyal', 'Telkomsel', 'Audadah', 'use', 'disappointed', 'really', 'use', 'event', 'users',' Telkomsel ' , 'leaving', 'card', 'repaired', 'disorder', 'network', '']</v>
      </c>
      <c r="D6156" s="3">
        <v>1.0</v>
      </c>
    </row>
    <row r="6157" ht="15.75" customHeight="1">
      <c r="A6157" s="1">
        <v>6576.0</v>
      </c>
      <c r="B6157" s="3" t="s">
        <v>5882</v>
      </c>
      <c r="C6157" s="3" t="str">
        <f>IFERROR(__xludf.DUMMYFUNCTION("GOOGLETRANSLATE(B6157,""id"",""en"")"),"['application', 'useful', 'wifi', 'use', 'app']")</f>
        <v>['application', 'useful', 'wifi', 'use', 'app']</v>
      </c>
      <c r="D6157" s="3">
        <v>5.0</v>
      </c>
    </row>
    <row r="6158" ht="15.75" customHeight="1">
      <c r="A6158" s="1">
        <v>6577.0</v>
      </c>
      <c r="B6158" s="3" t="s">
        <v>5883</v>
      </c>
      <c r="C6158" s="3" t="str">
        <f>IFERROR(__xludf.DUMMYFUNCTION("GOOGLETRANSLATE(B6158,""id"",""en"")"),"['Thank you', 'Telkomsel', 'service', 'makes it easier', 'purchase', 'package', 'quota', 'check', ""]")</f>
        <v>['Thank you', 'Telkomsel', 'service', 'makes it easier', 'purchase', 'package', 'quota', 'check', "]</v>
      </c>
      <c r="D6158" s="3">
        <v>5.0</v>
      </c>
    </row>
    <row r="6159" ht="15.75" customHeight="1">
      <c r="A6159" s="1">
        <v>6578.0</v>
      </c>
      <c r="B6159" s="3" t="s">
        <v>5884</v>
      </c>
      <c r="C6159" s="3" t="str">
        <f>IFERROR(__xludf.DUMMYFUNCTION("GOOGLETRANSLATE(B6159,""id"",""en"")"),"['Customer', 'tariff', 'expensive', 'package', 'card', 'Telkomsel', 'rates',' different ',' like ',' like ',' Telkomsel ',' gave ',' Rates', 'Considerations',' Move ',' Provider ',' ']")</f>
        <v>['Customer', 'tariff', 'expensive', 'package', 'card', 'Telkomsel', 'rates',' different ',' like ',' like ',' Telkomsel ',' gave ',' Rates', 'Considerations',' Move ',' Provider ',' ']</v>
      </c>
      <c r="D6159" s="3">
        <v>3.0</v>
      </c>
    </row>
    <row r="6160" ht="15.75" customHeight="1">
      <c r="A6160" s="1">
        <v>6579.0</v>
      </c>
      <c r="B6160" s="3" t="s">
        <v>5885</v>
      </c>
      <c r="C6160" s="3" t="str">
        <f>IFERROR(__xludf.DUMMYFUNCTION("GOOGLETRANSLATE(B6160,""id"",""en"")"),"['Mantab', 'easy']")</f>
        <v>['Mantab', 'easy']</v>
      </c>
      <c r="D6160" s="3">
        <v>5.0</v>
      </c>
    </row>
    <row r="6161" ht="15.75" customHeight="1">
      <c r="A6161" s="1">
        <v>6580.0</v>
      </c>
      <c r="B6161" s="3" t="s">
        <v>5886</v>
      </c>
      <c r="C6161" s="3" t="str">
        <f>IFERROR(__xludf.DUMMYFUNCTION("GOOGLETRANSLATE(B6161,""id"",""en"")"),"['try']")</f>
        <v>['try']</v>
      </c>
      <c r="D6161" s="3">
        <v>5.0</v>
      </c>
    </row>
    <row r="6162" ht="15.75" customHeight="1">
      <c r="A6162" s="1">
        <v>6581.0</v>
      </c>
      <c r="B6162" s="3" t="s">
        <v>5887</v>
      </c>
      <c r="C6162" s="3" t="str">
        <f>IFERROR(__xludf.DUMMYFUNCTION("GOOGLETRANSLATE(B6162,""id"",""en"")"),"['easy', 'buy', 'pulse', 'check', 'leftover', 'quota', 'internet']")</f>
        <v>['easy', 'buy', 'pulse', 'check', 'leftover', 'quota', 'internet']</v>
      </c>
      <c r="D6162" s="3">
        <v>5.0</v>
      </c>
    </row>
    <row r="6163" ht="15.75" customHeight="1">
      <c r="A6163" s="1">
        <v>6582.0</v>
      </c>
      <c r="B6163" s="3" t="s">
        <v>5888</v>
      </c>
      <c r="C6163" s="3" t="str">
        <f>IFERROR(__xludf.DUMMYFUNCTION("GOOGLETRANSLATE(B6163,""id"",""en"")"),"['Daily', 'Check', 'Normal', 'Thank "",' Kasih ',' Dipetulin ',' Nie ',' Suggestion ',' Plus ',' Uneg ',' Uneg ',' Telkomsel ',' why ',' quota ',' application ',' date ',' used ',' first ',' quota ',' application ',' active ',' arising ',' no ',' kepakai "&amp;"',' loss' , 'Donk', 'Rich', 'Gini', 'Please', 'Benerin', 'Calue', 'Rules',' Buy ',' Package ',' Date ',' Preter ',' how']")</f>
        <v>['Daily', 'Check', 'Normal', 'Thank ",' Kasih ',' Dipetulin ',' Nie ',' Suggestion ',' Plus ',' Uneg ',' Uneg ',' Telkomsel ',' why ',' quota ',' application ',' date ',' used ',' first ',' quota ',' application ',' active ',' arising ',' no ',' kepakai ',' loss' , 'Donk', 'Rich', 'Gini', 'Please', 'Benerin', 'Calue', 'Rules',' Buy ',' Package ',' Date ',' Preter ',' how']</v>
      </c>
      <c r="D6163" s="3">
        <v>3.0</v>
      </c>
    </row>
    <row r="6164" ht="15.75" customHeight="1">
      <c r="A6164" s="1">
        <v>6583.0</v>
      </c>
      <c r="B6164" s="3" t="s">
        <v>5889</v>
      </c>
      <c r="C6164" s="3" t="str">
        <f>IFERROR(__xludf.DUMMYFUNCTION("GOOGLETRANSLATE(B6164,""id"",""en"")"),"['Nice', 'application', 'make it easy', 'buy', 'kouta', 'internet', 'pulse', 'hope', 'success', 'Telkomsel', ""]")</f>
        <v>['Nice', 'application', 'make it easy', 'buy', 'kouta', 'internet', 'pulse', 'hope', 'success', 'Telkomsel', "]</v>
      </c>
      <c r="D6164" s="3">
        <v>5.0</v>
      </c>
    </row>
    <row r="6165" ht="15.75" customHeight="1">
      <c r="A6165" s="1">
        <v>6584.0</v>
      </c>
      <c r="B6165" s="3" t="s">
        <v>5890</v>
      </c>
      <c r="C6165" s="3" t="str">
        <f>IFERROR(__xludf.DUMMYFUNCTION("GOOGLETRANSLATE(B6165,""id"",""en"")"),"['Login', 'Posts', 'Application', 'Closed', 'Mulu', 'Please', '']")</f>
        <v>['Login', 'Posts', 'Application', 'Closed', 'Mulu', 'Please', '']</v>
      </c>
      <c r="D6165" s="3">
        <v>1.0</v>
      </c>
    </row>
    <row r="6166" ht="15.75" customHeight="1">
      <c r="A6166" s="1">
        <v>6585.0</v>
      </c>
      <c r="B6166" s="3" t="s">
        <v>5891</v>
      </c>
      <c r="C6166" s="3" t="str">
        <f>IFERROR(__xludf.DUMMYFUNCTION("GOOGLETRANSLATE(B6166,""id"",""en"")"),"['card', 'sympathy', 'info', 'please', 'family', 'use', 'sympathy', 'fix', 'card', 'network', 'slow', 'expensive']")</f>
        <v>['card', 'sympathy', 'info', 'please', 'family', 'use', 'sympathy', 'fix', 'card', 'network', 'slow', 'expensive']</v>
      </c>
      <c r="D6166" s="3">
        <v>5.0</v>
      </c>
    </row>
    <row r="6167" ht="15.75" customHeight="1">
      <c r="A6167" s="1">
        <v>6586.0</v>
      </c>
      <c r="B6167" s="3" t="s">
        <v>5892</v>
      </c>
      <c r="C6167" s="3" t="str">
        <f>IFERROR(__xludf.DUMMYFUNCTION("GOOGLETRANSLATE(B6167,""id"",""en"")"),"['wasteful', 'telcomsel', 'package', 'expensive', 'replace', 'Indosat', ""]")</f>
        <v>['wasteful', 'telcomsel', 'package', 'expensive', 'replace', 'Indosat', "]</v>
      </c>
      <c r="D6167" s="3">
        <v>1.0</v>
      </c>
    </row>
    <row r="6168" ht="15.75" customHeight="1">
      <c r="A6168" s="1">
        <v>6588.0</v>
      </c>
      <c r="B6168" s="3" t="s">
        <v>5893</v>
      </c>
      <c r="C6168" s="3" t="str">
        <f>IFERROR(__xludf.DUMMYFUNCTION("GOOGLETRANSLATE(B6168,""id"",""en"")"),"['Convenience']")</f>
        <v>['Convenience']</v>
      </c>
      <c r="D6168" s="3">
        <v>5.0</v>
      </c>
    </row>
    <row r="6169" ht="15.75" customHeight="1">
      <c r="A6169" s="1">
        <v>6589.0</v>
      </c>
      <c r="B6169" s="3" t="s">
        <v>5894</v>
      </c>
      <c r="C6169" s="3" t="str">
        <f>IFERROR(__xludf.DUMMYFUNCTION("GOOGLETRANSLATE(B6169,""id"",""en"")"),"['Min', 'Plis', 'Adin', 'Pitur', 'Amanin', 'Credit', 'Cut', '']")</f>
        <v>['Min', 'Plis', 'Adin', 'Pitur', 'Amanin', 'Credit', 'Cut', '']</v>
      </c>
      <c r="D6169" s="3">
        <v>1.0</v>
      </c>
    </row>
    <row r="6170" ht="15.75" customHeight="1">
      <c r="A6170" s="1">
        <v>6590.0</v>
      </c>
      <c r="B6170" s="3" t="s">
        <v>5895</v>
      </c>
      <c r="C6170" s="3" t="str">
        <f>IFERROR(__xludf.DUMMYFUNCTION("GOOGLETRANSLATE(B6170,""id"",""en"")"),"['Telkomsel', 'steady', 'believe', 'Massa']")</f>
        <v>['Telkomsel', 'steady', 'believe', 'Massa']</v>
      </c>
      <c r="D6170" s="3">
        <v>5.0</v>
      </c>
    </row>
    <row r="6171" ht="15.75" customHeight="1">
      <c r="A6171" s="1">
        <v>6591.0</v>
      </c>
      <c r="B6171" s="3" t="s">
        <v>5896</v>
      </c>
      <c r="C6171" s="3" t="str">
        <f>IFERROR(__xludf.DUMMYFUNCTION("GOOGLETRANSLATE(B6171,""id"",""en"")"),"['so expensive']")</f>
        <v>['so expensive']</v>
      </c>
      <c r="D6171" s="3">
        <v>3.0</v>
      </c>
    </row>
    <row r="6172" ht="15.75" customHeight="1">
      <c r="A6172" s="1">
        <v>6592.0</v>
      </c>
      <c r="B6172" s="3" t="s">
        <v>5897</v>
      </c>
      <c r="C6172" s="3" t="str">
        <f>IFERROR(__xludf.DUMMYFUNCTION("GOOGLETRANSLATE(B6172,""id"",""en"")"),"['Telkomsel', 'slow', 'Bener', 'for a while', 'for a while', 'signal', 'ilang', 'Season', 'Gini', 'Disturbs',' Activity ',' Bentar ',' signal ',' ilang ',' city ',' bring ',' area ',' outskirts', 'angel', 'signal', 'ilang', 'blasssssss',' coakes', 'expens"&amp;"ive', 'stable' , 'Oklah', 'users',' Telkomsel ',' now ',' already ',' buy ',' quota ',' expensive ',' signal ',' kaga ',' stable ',' WES ',' Angel ',' Please ',' Fix ',' Thank you ', ""]")</f>
        <v>['Telkomsel', 'slow', 'Bener', 'for a while', 'for a while', 'signal', 'ilang', 'Season', 'Gini', 'Disturbs',' Activity ',' Bentar ',' signal ',' ilang ',' city ',' bring ',' area ',' outskirts', 'angel', 'signal', 'ilang', 'blasssssss',' coakes', 'expensive', 'stable' , 'Oklah', 'users',' Telkomsel ',' now ',' already ',' buy ',' quota ',' expensive ',' signal ',' kaga ',' stable ',' WES ',' Angel ',' Please ',' Fix ',' Thank you ', "]</v>
      </c>
      <c r="D6172" s="3">
        <v>1.0</v>
      </c>
    </row>
    <row r="6173" ht="15.75" customHeight="1">
      <c r="A6173" s="1">
        <v>6594.0</v>
      </c>
      <c r="B6173" s="3" t="s">
        <v>5898</v>
      </c>
      <c r="C6173" s="3" t="str">
        <f>IFERROR(__xludf.DUMMYFUNCTION("GOOGLETRANSLATE(B6173,""id"",""en"")"),"['Application', 'Useful', 'Money', 'Buy', 'PKT', 'Data']")</f>
        <v>['Application', 'Useful', 'Money', 'Buy', 'PKT', 'Data']</v>
      </c>
      <c r="D6173" s="3">
        <v>4.0</v>
      </c>
    </row>
    <row r="6174" ht="15.75" customHeight="1">
      <c r="A6174" s="1">
        <v>6595.0</v>
      </c>
      <c r="B6174" s="3" t="s">
        <v>5899</v>
      </c>
      <c r="C6174" s="3" t="str">
        <f>IFERROR(__xludf.DUMMYFUNCTION("GOOGLETRANSLATE(B6174,""id"",""en"")"),"['price', 'expensive', 'Signal', 'rotten', 'likes',' ilang ',' number ',' stuck ',' account ',' apiece ',' scissors', 'card', ' broken ',' until ',' hot ',' looked ',' signal ']")</f>
        <v>['price', 'expensive', 'Signal', 'rotten', 'likes',' ilang ',' number ',' stuck ',' account ',' apiece ',' scissors', 'card', ' broken ',' until ',' hot ',' looked ',' signal ']</v>
      </c>
      <c r="D6174" s="3">
        <v>1.0</v>
      </c>
    </row>
    <row r="6175" ht="15.75" customHeight="1">
      <c r="A6175" s="1">
        <v>6596.0</v>
      </c>
      <c r="B6175" s="3" t="s">
        <v>5900</v>
      </c>
      <c r="C6175" s="3" t="str">
        <f>IFERROR(__xludf.DUMMYFUNCTION("GOOGLETRANSLATE(B6175,""id"",""en"")"),"['buy', 'data', 'internet', 'divided', 'quota', 'internet', 'omg', 'gb', 'maxstream', 'use', 'quota', 'internet', ' DGAN ',' quota ',' omg ',' quata ',' maxstream ',' used ',' active ',' how ',' ']")</f>
        <v>['buy', 'data', 'internet', 'divided', 'quota', 'internet', 'omg', 'gb', 'maxstream', 'use', 'quota', 'internet', ' DGAN ',' quota ',' omg ',' quata ',' maxstream ',' used ',' active ',' how ',' ']</v>
      </c>
      <c r="D6175" s="3">
        <v>1.0</v>
      </c>
    </row>
    <row r="6176" ht="15.75" customHeight="1">
      <c r="A6176" s="1">
        <v>6597.0</v>
      </c>
      <c r="B6176" s="3" t="s">
        <v>5901</v>
      </c>
      <c r="C6176" s="3" t="str">
        <f>IFERROR(__xludf.DUMMYFUNCTION("GOOGLETRANSLATE(B6176,""id"",""en"")"),"['swear', 'Telkomsel', 'pulp', 'really', 'gave', 'kouta', 'free', 'slow', 'really', 'kouta', 'main', 'fast', ' Disappointed ',' really ',' Telkomsel ',' ']")</f>
        <v>['swear', 'Telkomsel', 'pulp', 'really', 'gave', 'kouta', 'free', 'slow', 'really', 'kouta', 'main', 'fast', ' Disappointed ',' really ',' Telkomsel ',' ']</v>
      </c>
      <c r="D6176" s="3">
        <v>1.0</v>
      </c>
    </row>
    <row r="6177" ht="15.75" customHeight="1">
      <c r="A6177" s="1">
        <v>6598.0</v>
      </c>
      <c r="B6177" s="3" t="s">
        <v>5902</v>
      </c>
      <c r="C6177" s="3" t="str">
        <f>IFERROR(__xludf.DUMMYFUNCTION("GOOGLETRANSLATE(B6177,""id"",""en"")"),"['Buy', 'Package', 'Telkomsel']")</f>
        <v>['Buy', 'Package', 'Telkomsel']</v>
      </c>
      <c r="D6177" s="3">
        <v>5.0</v>
      </c>
    </row>
    <row r="6178" ht="15.75" customHeight="1">
      <c r="A6178" s="1">
        <v>6599.0</v>
      </c>
      <c r="B6178" s="3" t="s">
        <v>5903</v>
      </c>
      <c r="C6178" s="3" t="str">
        <f>IFERROR(__xludf.DUMMYFUNCTION("GOOGLETRANSLATE(B6178,""id"",""en"")"),"['package', 'expensive', 'pulse', 'filled', 'run out', 'todd']")</f>
        <v>['package', 'expensive', 'pulse', 'filled', 'run out', 'todd']</v>
      </c>
      <c r="D6178" s="3">
        <v>1.0</v>
      </c>
    </row>
    <row r="6179" ht="15.75" customHeight="1">
      <c r="A6179" s="1">
        <v>6600.0</v>
      </c>
      <c r="B6179" s="3" t="s">
        <v>5904</v>
      </c>
      <c r="C6179" s="3" t="str">
        <f>IFERROR(__xludf.DUMMYFUNCTION("GOOGLETRANSLATE(B6179,""id"",""en"")"),"['Lotsin', 'promo', 'help', 'pandemic', 'thank you', 'Telkomsel', ""]")</f>
        <v>['Lotsin', 'promo', 'help', 'pandemic', 'thank you', 'Telkomsel', "]</v>
      </c>
      <c r="D6179" s="3">
        <v>5.0</v>
      </c>
    </row>
    <row r="6180" ht="15.75" customHeight="1">
      <c r="A6180" s="1">
        <v>6601.0</v>
      </c>
      <c r="B6180" s="3" t="s">
        <v>5905</v>
      </c>
      <c r="C6180" s="3" t="str">
        <f>IFERROR(__xludf.DUMMYFUNCTION("GOOGLETRANSLATE(B6180,""id"",""en"")"),"['Paketan', 'bought', 'expensive', 'right', 'I', 'Maen', 'Game', 'Down', 'Telkomsel', 'Disappointed', 'really', ""]")</f>
        <v>['Paketan', 'bought', 'expensive', 'right', 'I', 'Maen', 'Game', 'Down', 'Telkomsel', 'Disappointed', 'really', "]</v>
      </c>
      <c r="D6180" s="3">
        <v>1.0</v>
      </c>
    </row>
    <row r="6181" ht="15.75" customHeight="1">
      <c r="A6181" s="1">
        <v>6602.0</v>
      </c>
      <c r="B6181" s="3" t="s">
        <v>5906</v>
      </c>
      <c r="C6181" s="3" t="str">
        <f>IFERROR(__xludf.DUMMYFUNCTION("GOOGLETRANSLATE(B6181,""id"",""en"")"),"['Sales',' Mulu ',' Cheered ',' Network ',' Inaugurated ',' Like ',' Nasty ',' Karuan ',' Bela ',' Buy ',' Package ',' Stable ',' Taunya ',' Out ',' Thinking ',' Ama ',' Operator ', ""]")</f>
        <v>['Sales',' Mulu ',' Cheered ',' Network ',' Inaugurated ',' Like ',' Nasty ',' Karuan ',' Bela ',' Buy ',' Package ',' Stable ',' Taunya ',' Out ',' Thinking ',' Ama ',' Operator ', "]</v>
      </c>
      <c r="D6181" s="3">
        <v>1.0</v>
      </c>
    </row>
    <row r="6182" ht="15.75" customHeight="1">
      <c r="A6182" s="1">
        <v>6603.0</v>
      </c>
      <c r="B6182" s="3" t="s">
        <v>5907</v>
      </c>
      <c r="C6182" s="3" t="str">
        <f>IFERROR(__xludf.DUMMYFUNCTION("GOOGLETRANSLATE(B6182,""id"",""en"")"),"['Signal', 'Lemott', 'Mahall', 'Sadhh']")</f>
        <v>['Signal', 'Lemott', 'Mahall', 'Sadhh']</v>
      </c>
      <c r="D6182" s="3">
        <v>1.0</v>
      </c>
    </row>
    <row r="6183" ht="15.75" customHeight="1">
      <c r="A6183" s="1">
        <v>6604.0</v>
      </c>
      <c r="B6183" s="3" t="s">
        <v>5908</v>
      </c>
      <c r="C6183" s="3" t="str">
        <f>IFERROR(__xludf.DUMMYFUNCTION("GOOGLETRANSLATE(B6183,""id"",""en"")"),"['Network', 'Telkomsel', 'KNPA', 'Match', 'FAIL', 'LOGIN', 'PUBG', '']")</f>
        <v>['Network', 'Telkomsel', 'KNPA', 'Match', 'FAIL', 'LOGIN', 'PUBG', '']</v>
      </c>
      <c r="D6183" s="3">
        <v>1.0</v>
      </c>
    </row>
    <row r="6184" ht="15.75" customHeight="1">
      <c r="A6184" s="1">
        <v>6605.0</v>
      </c>
      <c r="B6184" s="3" t="s">
        <v>5909</v>
      </c>
      <c r="C6184" s="3" t="str">
        <f>IFERROR(__xludf.DUMMYFUNCTION("GOOGLETRANSLATE(B6184,""id"",""en"")"),"['Application', 'Ngras', 'Credit']")</f>
        <v>['Application', 'Ngras', 'Credit']</v>
      </c>
      <c r="D6184" s="3">
        <v>2.0</v>
      </c>
    </row>
    <row r="6185" ht="15.75" customHeight="1">
      <c r="A6185" s="1">
        <v>6606.0</v>
      </c>
      <c r="B6185" s="3" t="s">
        <v>5910</v>
      </c>
      <c r="C6185" s="3" t="str">
        <f>IFERROR(__xludf.DUMMYFUNCTION("GOOGLETRANSLATE(B6185,""id"",""en"")"),"['Network', 'quota', 'multimedia', 'slow', 'really', 'lie', 'use']")</f>
        <v>['Network', 'quota', 'multimedia', 'slow', 'really', 'lie', 'use']</v>
      </c>
      <c r="D6185" s="3">
        <v>1.0</v>
      </c>
    </row>
    <row r="6186" ht="15.75" customHeight="1">
      <c r="A6186" s="1">
        <v>6607.0</v>
      </c>
      <c r="B6186" s="3" t="s">
        <v>5911</v>
      </c>
      <c r="C6186" s="3" t="str">
        <f>IFERROR(__xludf.DUMMYFUNCTION("GOOGLETRANSLATE(B6186,""id"",""en"")"),"['Enter', 'transaction', 'payment', 'APL']")</f>
        <v>['Enter', 'transaction', 'payment', 'APL']</v>
      </c>
      <c r="D6186" s="3">
        <v>3.0</v>
      </c>
    </row>
    <row r="6187" ht="15.75" customHeight="1">
      <c r="A6187" s="1">
        <v>6608.0</v>
      </c>
      <c r="B6187" s="3" t="s">
        <v>5912</v>
      </c>
      <c r="C6187" s="3" t="str">
        <f>IFERROR(__xludf.DUMMYFUNCTION("GOOGLETRANSLATE(B6187,""id"",""en"")"),"['Sip', 'Anyway']")</f>
        <v>['Sip', 'Anyway']</v>
      </c>
      <c r="D6187" s="3">
        <v>5.0</v>
      </c>
    </row>
    <row r="6188" ht="15.75" customHeight="1">
      <c r="A6188" s="1">
        <v>6609.0</v>
      </c>
      <c r="B6188" s="3" t="s">
        <v>5913</v>
      </c>
      <c r="C6188" s="3" t="str">
        <f>IFERROR(__xludf.DUMMYFUNCTION("GOOGLETRANSLATE(B6188,""id"",""en"")"),"['SMS', 'NSP', 'enter', 'spend', 'pulses', 'use', 'nsp', ""]")</f>
        <v>['SMS', 'NSP', 'enter', 'spend', 'pulses', 'use', 'nsp', "]</v>
      </c>
      <c r="D6188" s="3">
        <v>1.0</v>
      </c>
    </row>
    <row r="6189" ht="15.75" customHeight="1">
      <c r="A6189" s="1">
        <v>6610.0</v>
      </c>
      <c r="B6189" s="3" t="s">
        <v>5914</v>
      </c>
      <c r="C6189" s="3" t="str">
        <f>IFERROR(__xludf.DUMMYFUNCTION("GOOGLETRANSLATE(B6189,""id"",""en"")"),"['Application', 'MyTelkomsel', 'Good', 'Easy', 'Check', 'Quota', 'Number', '']")</f>
        <v>['Application', 'MyTelkomsel', 'Good', 'Easy', 'Check', 'Quota', 'Number', '']</v>
      </c>
      <c r="D6189" s="3">
        <v>5.0</v>
      </c>
    </row>
    <row r="6190" ht="15.75" customHeight="1">
      <c r="A6190" s="1">
        <v>6611.0</v>
      </c>
      <c r="B6190" s="3" t="s">
        <v>5915</v>
      </c>
      <c r="C6190" s="3" t="str">
        <f>IFERROR(__xludf.DUMMYFUNCTION("GOOGLETRANSLATE(B6190,""id"",""en"")"),"['Choice', 'payment', 'via', 'APK', 'Ribet', '']")</f>
        <v>['Choice', 'payment', 'via', 'APK', 'Ribet', '']</v>
      </c>
      <c r="D6190" s="3">
        <v>2.0</v>
      </c>
    </row>
    <row r="6191" ht="15.75" customHeight="1">
      <c r="A6191" s="1">
        <v>6612.0</v>
      </c>
      <c r="B6191" s="3" t="s">
        <v>5916</v>
      </c>
      <c r="C6191" s="3" t="str">
        <f>IFERROR(__xludf.DUMMYFUNCTION("GOOGLETRANSLATE(B6191,""id"",""en"")"),"['Network', 'troubled', 'test', 'cook', 'network', 'sudden', 'missing', 'arising', 'speed', 'MB', 'sudden', 'fix', ' WOI ',' already ',' expensive ',' network ',' slow ',' Pulak ',' Bagusan ',' Tree ',' Telkomnyet ', ""]")</f>
        <v>['Network', 'troubled', 'test', 'cook', 'network', 'sudden', 'missing', 'arising', 'speed', 'MB', 'sudden', 'fix', ' WOI ',' already ',' expensive ',' network ',' slow ',' Pulak ',' Bagusan ',' Tree ',' Telkomnyet ', "]</v>
      </c>
      <c r="D6191" s="3">
        <v>1.0</v>
      </c>
    </row>
    <row r="6192" ht="15.75" customHeight="1">
      <c r="A6192" s="1">
        <v>6613.0</v>
      </c>
      <c r="B6192" s="3" t="s">
        <v>5917</v>
      </c>
      <c r="C6192" s="3" t="str">
        <f>IFERROR(__xludf.DUMMYFUNCTION("GOOGLETRANSLATE(B6192,""id"",""en"")"),"['Update', 'Mulu', '']")</f>
        <v>['Update', 'Mulu', '']</v>
      </c>
      <c r="D6192" s="3">
        <v>3.0</v>
      </c>
    </row>
    <row r="6193" ht="15.75" customHeight="1">
      <c r="A6193" s="1">
        <v>6614.0</v>
      </c>
      <c r="B6193" s="3" t="s">
        <v>5918</v>
      </c>
      <c r="C6193" s="3" t="str">
        <f>IFERROR(__xludf.DUMMYFUNCTION("GOOGLETRANSLATE(B6193,""id"",""en"")"),"['Thank you', 'Telkomsel', 'Provides', 'Package', 'Cheap', 'Save']")</f>
        <v>['Thank you', 'Telkomsel', 'Provides', 'Package', 'Cheap', 'Save']</v>
      </c>
      <c r="D6193" s="3">
        <v>4.0</v>
      </c>
    </row>
    <row r="6194" ht="15.75" customHeight="1">
      <c r="A6194" s="1">
        <v>6615.0</v>
      </c>
      <c r="B6194" s="3" t="s">
        <v>5919</v>
      </c>
      <c r="C6194" s="3" t="str">
        <f>IFERROR(__xludf.DUMMYFUNCTION("GOOGLETRANSLATE(B6194,""id"",""en"")"),"['Duhh', 'Registration', 'Troubled', 'Telkomsel', 'Great', 'Promotion', 'In fact', 'Network', 'Super', 'Leet', '']")</f>
        <v>['Duhh', 'Registration', 'Troubled', 'Telkomsel', 'Great', 'Promotion', 'In fact', 'Network', 'Super', 'Leet', '']</v>
      </c>
      <c r="D6194" s="3">
        <v>1.0</v>
      </c>
    </row>
    <row r="6195" ht="15.75" customHeight="1">
      <c r="A6195" s="1">
        <v>6616.0</v>
      </c>
      <c r="B6195" s="3" t="s">
        <v>5920</v>
      </c>
      <c r="C6195" s="3" t="str">
        <f>IFERROR(__xludf.DUMMYFUNCTION("GOOGLETRANSLATE(B6195,""id"",""en"")"),"['Lanvar']")</f>
        <v>['Lanvar']</v>
      </c>
      <c r="D6195" s="3">
        <v>5.0</v>
      </c>
    </row>
    <row r="6196" ht="15.75" customHeight="1">
      <c r="A6196" s="1">
        <v>6617.0</v>
      </c>
      <c r="B6196" s="3" t="s">
        <v>5921</v>
      </c>
      <c r="C6196" s="3" t="str">
        <f>IFERROR(__xludf.DUMMYFUNCTION("GOOGLETRANSLATE(B6196,""id"",""en"")"),"['The network', 'slow']")</f>
        <v>['The network', 'slow']</v>
      </c>
      <c r="D6196" s="3">
        <v>2.0</v>
      </c>
    </row>
    <row r="6197" ht="15.75" customHeight="1">
      <c r="A6197" s="1">
        <v>6618.0</v>
      </c>
      <c r="B6197" s="3" t="s">
        <v>5922</v>
      </c>
      <c r="C6197" s="3" t="str">
        <f>IFERROR(__xludf.DUMMYFUNCTION("GOOGLETRANSLATE(B6197,""id"",""en"")"),"['City', 'Bandar', 'Lampung', 'Network', 'smooth', 'lag', 'KTober', 'Telkomsel', 'lag', 'really', 'dark', 'in', ' according to ',' paid ']")</f>
        <v>['City', 'Bandar', 'Lampung', 'Network', 'smooth', 'lag', 'KTober', 'Telkomsel', 'lag', 'really', 'dark', 'in', ' according to ',' paid ']</v>
      </c>
      <c r="D6197" s="3">
        <v>1.0</v>
      </c>
    </row>
    <row r="6198" ht="15.75" customHeight="1">
      <c r="A6198" s="1">
        <v>6619.0</v>
      </c>
      <c r="B6198" s="3" t="s">
        <v>735</v>
      </c>
      <c r="C6198" s="3" t="str">
        <f>IFERROR(__xludf.DUMMYFUNCTION("GOOGLETRANSLATE(B6198,""id"",""en"")"),"['help']")</f>
        <v>['help']</v>
      </c>
      <c r="D6198" s="3">
        <v>5.0</v>
      </c>
    </row>
    <row r="6199" ht="15.75" customHeight="1">
      <c r="A6199" s="1">
        <v>6620.0</v>
      </c>
      <c r="B6199" s="3" t="s">
        <v>5923</v>
      </c>
      <c r="C6199" s="3" t="str">
        <f>IFERROR(__xludf.DUMMYFUNCTION("GOOGLETRANSLATE(B6199,""id"",""en"")"),"['Honest', 'Bener', 'Bener', 'Disappointed', 'Telkomsel', 'Gara', 'Signal', 'ugly', 'Credit', 'Scor', 'Game', 'Band', ' play ',' Rank ',' already ',' quota ',' internet ',' expensive ',' network ',' sometimes', 'like', 'bad', 'really', 'deh', 'Telkomsel' "&amp;", 'please', 'Telkomsel', 'network', 'fix', 'LiGi', 'good', 'every time', 'buy', 'package', 'network', '']")</f>
        <v>['Honest', 'Bener', 'Bener', 'Disappointed', 'Telkomsel', 'Gara', 'Signal', 'ugly', 'Credit', 'Scor', 'Game', 'Band', ' play ',' Rank ',' already ',' quota ',' internet ',' expensive ',' network ',' sometimes', 'like', 'bad', 'really', 'deh', 'Telkomsel' , 'please', 'Telkomsel', 'network', 'fix', 'LiGi', 'good', 'every time', 'buy', 'package', 'network', '']</v>
      </c>
      <c r="D6199" s="3">
        <v>2.0</v>
      </c>
    </row>
    <row r="6200" ht="15.75" customHeight="1">
      <c r="A6200" s="1">
        <v>6621.0</v>
      </c>
      <c r="B6200" s="3" t="s">
        <v>5924</v>
      </c>
      <c r="C6200" s="3" t="str">
        <f>IFERROR(__xludf.DUMMYFUNCTION("GOOGLETRANSLATE(B6200,""id"",""en"")"),"['The price', 'expensive', 'really', 'belek', 'data', 'GB', 'active', 'HR', 'exciting', 'price', 'GB', 'rb']")</f>
        <v>['The price', 'expensive', 'really', 'belek', 'data', 'GB', 'active', 'HR', 'exciting', 'price', 'GB', 'rb']</v>
      </c>
      <c r="D6200" s="3">
        <v>1.0</v>
      </c>
    </row>
    <row r="6201" ht="15.75" customHeight="1">
      <c r="A6201" s="1">
        <v>6622.0</v>
      </c>
      <c r="B6201" s="3" t="s">
        <v>5925</v>
      </c>
      <c r="C6201" s="3" t="str">
        <f>IFERROR(__xludf.DUMMYFUNCTION("GOOGLETRANSLATE(B6201,""id"",""en"")"),"['multiply', 'promo', 'yaaa', '']")</f>
        <v>['multiply', 'promo', 'yaaa', '']</v>
      </c>
      <c r="D6201" s="3">
        <v>5.0</v>
      </c>
    </row>
    <row r="6202" ht="15.75" customHeight="1">
      <c r="A6202" s="1">
        <v>6623.0</v>
      </c>
      <c r="B6202" s="3" t="s">
        <v>5926</v>
      </c>
      <c r="C6202" s="3" t="str">
        <f>IFERROR(__xludf.DUMMYFUNCTION("GOOGLETRANSLATE(B6202,""id"",""en"")"),"['Announcement', 'Undi', 'Hepi', 'Promise', 'Date', 'Oct', 'Sampe', 'News']")</f>
        <v>['Announcement', 'Undi', 'Hepi', 'Promise', 'Date', 'Oct', 'Sampe', 'News']</v>
      </c>
      <c r="D6202" s="3">
        <v>1.0</v>
      </c>
    </row>
    <row r="6203" ht="15.75" customHeight="1">
      <c r="A6203" s="1">
        <v>6624.0</v>
      </c>
      <c r="B6203" s="3" t="s">
        <v>5927</v>
      </c>
      <c r="C6203" s="3" t="str">
        <f>IFERROR(__xludf.DUMMYFUNCTION("GOOGLETRANSLATE(B6203,""id"",""en"")"),"['Reduce', 'Price']")</f>
        <v>['Reduce', 'Price']</v>
      </c>
      <c r="D6203" s="3">
        <v>5.0</v>
      </c>
    </row>
    <row r="6204" ht="15.75" customHeight="1">
      <c r="A6204" s="1">
        <v>6625.0</v>
      </c>
      <c r="B6204" s="3" t="s">
        <v>5928</v>
      </c>
      <c r="C6204" s="3" t="str">
        <f>IFERROR(__xludf.DUMMYFUNCTION("GOOGLETRANSLATE(B6204,""id"",""en"")"),"['Buy', 'Package', 'Combo', 'Package', 'Multi', 'Media', 'Useful', 'Yesterday', 'Package', 'Package', 'Multimedia', ' Bagusan ',' please ',' buy ',' package ',' ']")</f>
        <v>['Buy', 'Package', 'Combo', 'Package', 'Multi', 'Media', 'Useful', 'Yesterday', 'Package', 'Package', 'Multimedia', ' Bagusan ',' please ',' buy ',' package ',' ']</v>
      </c>
      <c r="D6204" s="3">
        <v>1.0</v>
      </c>
    </row>
    <row r="6205" ht="15.75" customHeight="1">
      <c r="A6205" s="1">
        <v>6626.0</v>
      </c>
      <c r="B6205" s="3" t="s">
        <v>5929</v>
      </c>
      <c r="C6205" s="3" t="str">
        <f>IFERROR(__xludf.DUMMYFUNCTION("GOOGLETRANSLATE(B6205,""id"",""en"")"),"['Main', 'Mobilegen', 'Area', 'Mountain', 'Putri', 'Plosok', 'Please', 'Fix']")</f>
        <v>['Main', 'Mobilegen', 'Area', 'Mountain', 'Putri', 'Plosok', 'Please', 'Fix']</v>
      </c>
      <c r="D6205" s="3">
        <v>1.0</v>
      </c>
    </row>
    <row r="6206" ht="15.75" customHeight="1">
      <c r="A6206" s="1">
        <v>6627.0</v>
      </c>
      <c r="B6206" s="3" t="s">
        <v>5930</v>
      </c>
      <c r="C6206" s="3" t="str">
        <f>IFERROR(__xludf.DUMMYFUNCTION("GOOGLETRANSLATE(B6206,""id"",""en"")"),"['signal', 'strong', 'like', 'good', 'good']")</f>
        <v>['signal', 'strong', 'like', 'good', 'good']</v>
      </c>
      <c r="D6206" s="3">
        <v>5.0</v>
      </c>
    </row>
    <row r="6207" ht="15.75" customHeight="1">
      <c r="A6207" s="1">
        <v>6628.0</v>
      </c>
      <c r="B6207" s="3" t="s">
        <v>5931</v>
      </c>
      <c r="C6207" s="3" t="str">
        <f>IFERROR(__xludf.DUMMYFUNCTION("GOOGLETRANSLATE(B6207,""id"",""en"")"),"['', 'info', 'network', 'Telkomsel', 'Severe', 'entered', 'game', 'entry', 'change', 'card', 'the case', 'why', ' ', 'repair', '']")</f>
        <v>['', 'info', 'network', 'Telkomsel', 'Severe', 'entered', 'game', 'entry', 'change', 'card', 'the case', 'why', ' ', 'repair', '']</v>
      </c>
      <c r="D6207" s="3">
        <v>4.0</v>
      </c>
    </row>
    <row r="6208" ht="15.75" customHeight="1">
      <c r="A6208" s="1">
        <v>6629.0</v>
      </c>
      <c r="B6208" s="3" t="s">
        <v>5932</v>
      </c>
      <c r="C6208" s="3" t="str">
        <f>IFERROR(__xludf.DUMMYFUNCTION("GOOGLETRANSLATE(B6208,""id"",""en"")"),"['Open', 'Link', 'Facebook', 'Offer', 'Untul', 'Buy', 'Package', 'Internet', 'Package', 'NGPAIN', 'DIDINED', 'TRS', ' ']")</f>
        <v>['Open', 'Link', 'Facebook', 'Offer', 'Untul', 'Buy', 'Package', 'Internet', 'Package', 'NGPAIN', 'DIDINED', 'TRS', ' ']</v>
      </c>
      <c r="D6208" s="3">
        <v>1.0</v>
      </c>
    </row>
    <row r="6209" ht="15.75" customHeight="1">
      <c r="A6209" s="1">
        <v>6630.0</v>
      </c>
      <c r="B6209" s="3" t="s">
        <v>5933</v>
      </c>
      <c r="C6209" s="3" t="str">
        <f>IFERROR(__xludf.DUMMYFUNCTION("GOOGLETRANSLATE(B6209,""id"",""en"")"),"['contents',' pulse ',' application ',' Telkomsel ',' enter ',' balance ',' shopeepay ',' already ',' truncated ',' plus', 'action', 'the', ' Best ',' ']")</f>
        <v>['contents',' pulse ',' application ',' Telkomsel ',' enter ',' balance ',' shopeepay ',' already ',' truncated ',' plus', 'action', 'the', ' Best ',' ']</v>
      </c>
      <c r="D6209" s="3">
        <v>1.0</v>
      </c>
    </row>
    <row r="6210" ht="15.75" customHeight="1">
      <c r="A6210" s="1">
        <v>6631.0</v>
      </c>
      <c r="B6210" s="3" t="s">
        <v>5934</v>
      </c>
      <c r="C6210" s="3" t="str">
        <f>IFERROR(__xludf.DUMMYFUNCTION("GOOGLETRANSLATE(B6210,""id"",""en"")"),"['', 'package', 'cheerful', 'GB', 'no', 'buy', 'lgi', 'disorder', 'already', 'week', 'try', 'no', "" ]")</f>
        <v>['', 'package', 'cheerful', 'GB', 'no', 'buy', 'lgi', 'disorder', 'already', 'week', 'try', 'no', " ]</v>
      </c>
      <c r="D6210" s="3">
        <v>2.0</v>
      </c>
    </row>
    <row r="6211" ht="15.75" customHeight="1">
      <c r="A6211" s="1">
        <v>6632.0</v>
      </c>
      <c r="B6211" s="3" t="s">
        <v>5935</v>
      </c>
      <c r="C6211" s="3" t="str">
        <f>IFERROR(__xludf.DUMMYFUNCTION("GOOGLETRANSLATE(B6211,""id"",""en"")"),"['Disappointed', 'Bonus',' GB ',' Claims', 'Considered', 'Toling', 'Min', 'Fix', 'Quota', 'Claim', 'Needs',' Urge ',' BGINI ',' quota ',' savings']")</f>
        <v>['Disappointed', 'Bonus',' GB ',' Claims', 'Considered', 'Toling', 'Min', 'Fix', 'Quota', 'Claim', 'Needs',' Urge ',' BGINI ',' quota ',' savings']</v>
      </c>
      <c r="D6211" s="3">
        <v>1.0</v>
      </c>
    </row>
    <row r="6212" ht="15.75" customHeight="1">
      <c r="A6212" s="1">
        <v>6633.0</v>
      </c>
      <c r="B6212" s="3" t="s">
        <v>5936</v>
      </c>
      <c r="C6212" s="3" t="str">
        <f>IFERROR(__xludf.DUMMYFUNCTION("GOOGLETRANSLATE(B6212,""id"",""en"")"),"['Gift', 'Car', 'Honda', 'Brio']")</f>
        <v>['Gift', 'Car', 'Honda', 'Brio']</v>
      </c>
      <c r="D6212" s="3">
        <v>5.0</v>
      </c>
    </row>
    <row r="6213" ht="15.75" customHeight="1">
      <c r="A6213" s="1">
        <v>6634.0</v>
      </c>
      <c r="B6213" s="3" t="s">
        <v>5937</v>
      </c>
      <c r="C6213" s="3" t="str">
        <f>IFERROR(__xludf.DUMMYFUNCTION("GOOGLETRANSLATE(B6213,""id"",""en"")"),"['repair', '']")</f>
        <v>['repair', '']</v>
      </c>
      <c r="D6213" s="3">
        <v>4.0</v>
      </c>
    </row>
    <row r="6214" ht="15.75" customHeight="1">
      <c r="A6214" s="1">
        <v>6635.0</v>
      </c>
      <c r="B6214" s="3" t="s">
        <v>5938</v>
      </c>
      <c r="C6214" s="3" t="str">
        <f>IFERROR(__xludf.DUMMYFUNCTION("GOOGLETRANSLATE(B6214,""id"",""en"")"),"['Try', 'Download', 'MyTelkom', 'Lemot', 'Pisan', 'QOATA', 'MSH', 'Download', 'Ampunnnn', 'Slow', 'Card', 'Hello', ' Exchange ',' Honey ',' Number ',' ']")</f>
        <v>['Try', 'Download', 'MyTelkom', 'Lemot', 'Pisan', 'QOATA', 'MSH', 'Download', 'Ampunnnn', 'Slow', 'Card', 'Hello', ' Exchange ',' Honey ',' Number ',' ']</v>
      </c>
      <c r="D6214" s="3">
        <v>1.0</v>
      </c>
    </row>
    <row r="6215" ht="15.75" customHeight="1">
      <c r="A6215" s="1">
        <v>6637.0</v>
      </c>
      <c r="B6215" s="3" t="s">
        <v>5939</v>
      </c>
      <c r="C6215" s="3" t="str">
        <f>IFERROR(__xludf.DUMMYFUNCTION("GOOGLETRANSLATE(B6215,""id"",""en"")"),"['fair', 'already', 'check', 'reset', 'check', '']")</f>
        <v>['fair', 'already', 'check', 'reset', 'check', '']</v>
      </c>
      <c r="D6215" s="3">
        <v>5.0</v>
      </c>
    </row>
    <row r="6216" ht="15.75" customHeight="1">
      <c r="A6216" s="1">
        <v>6638.0</v>
      </c>
      <c r="B6216" s="3" t="s">
        <v>5940</v>
      </c>
      <c r="C6216" s="3" t="str">
        <f>IFERROR(__xludf.DUMMYFUNCTION("GOOGLETRANSLATE(B6216,""id"",""en"")"),"['Telkomsel', 'please', 'signal', 'speed', 'stable', 'below', 'kbps', 'quota', 'please', 'help', 'Telkomsel']")</f>
        <v>['Telkomsel', 'please', 'signal', 'speed', 'stable', 'below', 'kbps', 'quota', 'please', 'help', 'Telkomsel']</v>
      </c>
      <c r="D6216" s="3">
        <v>3.0</v>
      </c>
    </row>
    <row r="6217" ht="15.75" customHeight="1">
      <c r="A6217" s="1">
        <v>6639.0</v>
      </c>
      <c r="B6217" s="3" t="s">
        <v>5941</v>
      </c>
      <c r="C6217" s="3" t="str">
        <f>IFERROR(__xludf.DUMMYFUNCTION("GOOGLETRANSLATE(B6217,""id"",""en"")"),"['Try', 'Not bad', 'Good', 'Easy', 'Purchase', 'Package', 'Internet', 'Thanks']")</f>
        <v>['Try', 'Not bad', 'Good', 'Easy', 'Purchase', 'Package', 'Internet', 'Thanks']</v>
      </c>
      <c r="D6217" s="3">
        <v>4.0</v>
      </c>
    </row>
    <row r="6218" ht="15.75" customHeight="1">
      <c r="A6218" s="1">
        <v>6640.0</v>
      </c>
      <c r="B6218" s="3" t="s">
        <v>5942</v>
      </c>
      <c r="C6218" s="3" t="str">
        <f>IFERROR(__xludf.DUMMYFUNCTION("GOOGLETRANSLATE(B6218,""id"",""en"")"),"['Service', 'satisfying']")</f>
        <v>['Service', 'satisfying']</v>
      </c>
      <c r="D6218" s="3">
        <v>5.0</v>
      </c>
    </row>
    <row r="6219" ht="15.75" customHeight="1">
      <c r="A6219" s="1">
        <v>6641.0</v>
      </c>
      <c r="B6219" s="3" t="s">
        <v>5943</v>
      </c>
      <c r="C6219" s="3" t="str">
        <f>IFERROR(__xludf.DUMMYFUNCTION("GOOGLETRANSLATE(B6219,""id"",""en"")"),"['Win', 'Lottery', 'Telkomsel', '']")</f>
        <v>['Win', 'Lottery', 'Telkomsel', '']</v>
      </c>
      <c r="D6219" s="3">
        <v>5.0</v>
      </c>
    </row>
    <row r="6220" ht="15.75" customHeight="1">
      <c r="A6220" s="1">
        <v>6642.0</v>
      </c>
      <c r="B6220" s="3" t="s">
        <v>5944</v>
      </c>
      <c r="C6220" s="3" t="str">
        <f>IFERROR(__xludf.DUMMYFUNCTION("GOOGLETRANSLATE(B6220,""id"",""en"")"),"['strange', 'apk', 'Telkomsel', 'pulse', 'open', 'apk', 'reduce', 'pulse', 'data', 'cellular', 'wifi', 'jdi', ' Open ',' APK ',' Take ',' Package ',' Telkomsel ',' Automatic ',' Reducing ',' Credit ',' Strange ', ""]")</f>
        <v>['strange', 'apk', 'Telkomsel', 'pulse', 'open', 'apk', 'reduce', 'pulse', 'data', 'cellular', 'wifi', 'jdi', ' Open ',' APK ',' Take ',' Package ',' Telkomsel ',' Automatic ',' Reducing ',' Credit ',' Strange ', "]</v>
      </c>
      <c r="D6220" s="3">
        <v>1.0</v>
      </c>
    </row>
    <row r="6221" ht="15.75" customHeight="1">
      <c r="A6221" s="1">
        <v>6643.0</v>
      </c>
      <c r="B6221" s="3" t="s">
        <v>5945</v>
      </c>
      <c r="C6221" s="3" t="str">
        <f>IFERROR(__xludf.DUMMYFUNCTION("GOOGLETRANSLATE(B6221,""id"",""en"")"),"['woy', 'developer', 'cave', 'buy', 'package', 'data', 'appears',' rich ',' gini ',' sorry ',' disorder ',' system ',' Please ',' check ',' connection ',' already ',' repeat ',' transaction ',' minutes', 'that's',' already ',' cave ',' buy ',' package ','"&amp;" ngentod ' , 'detrimental', 'users', 'buy', 'combo', 'Sakti', 'console', 'emang', 'you', 'Pan', ""]")</f>
        <v>['woy', 'developer', 'cave', 'buy', 'package', 'data', 'appears',' rich ',' gini ',' sorry ',' disorder ',' system ',' Please ',' check ',' connection ',' already ',' repeat ',' transaction ',' minutes', 'that's',' already ',' cave ',' buy ',' package ',' ngentod ' , 'detrimental', 'users', 'buy', 'combo', 'Sakti', 'console', 'emang', 'you', 'Pan', "]</v>
      </c>
      <c r="D6221" s="3">
        <v>1.0</v>
      </c>
    </row>
    <row r="6222" ht="15.75" customHeight="1">
      <c r="A6222" s="1">
        <v>6644.0</v>
      </c>
      <c r="B6222" s="3" t="s">
        <v>5946</v>
      </c>
      <c r="C6222" s="3" t="str">
        <f>IFERROR(__xludf.DUMMYFUNCTION("GOOGLETRANSLATE(B6222,""id"",""en"")"),"['Network', 'disappointing', 'please', 'phact', 'Telkomtol', 'repaired', 'network', 'woiii', 'times',' play ',' ngelag ',' ngelag ',' Ngellag ',' person ',' toxic ',' muluuuu ',' please ',' yahh ',' please ',' fix ',' network ',' muuu ',' thank you ', ""]")</f>
        <v>['Network', 'disappointing', 'please', 'phact', 'Telkomtol', 'repaired', 'network', 'woiii', 'times',' play ',' ngelag ',' ngelag ',' Ngellag ',' person ',' toxic ',' muluuuu ',' please ',' yahh ',' please ',' fix ',' network ',' muuu ',' thank you ', "]</v>
      </c>
      <c r="D6222" s="3">
        <v>1.0</v>
      </c>
    </row>
    <row r="6223" ht="15.75" customHeight="1">
      <c r="A6223" s="1">
        <v>6645.0</v>
      </c>
      <c r="B6223" s="3" t="s">
        <v>5947</v>
      </c>
      <c r="C6223" s="3" t="str">
        <f>IFERROR(__xludf.DUMMYFUNCTION("GOOGLETRANSLATE(B6223,""id"",""en"")"),"['Daily', 'check', 'bug', 'yesterday', 'Stamp', 'check', 'ilang', 'then' reward ',' stamp ',' Claim ',' take ']")</f>
        <v>['Daily', 'check', 'bug', 'yesterday', 'Stamp', 'check', 'ilang', 'then' reward ',' stamp ',' Claim ',' take ']</v>
      </c>
      <c r="D6223" s="3">
        <v>1.0</v>
      </c>
    </row>
    <row r="6224" ht="15.75" customHeight="1">
      <c r="A6224" s="1">
        <v>6646.0</v>
      </c>
      <c r="B6224" s="3" t="s">
        <v>5948</v>
      </c>
      <c r="C6224" s="3" t="str">
        <f>IFERROR(__xludf.DUMMYFUNCTION("GOOGLETRANSLATE(B6224,""id"",""en"")"),"['Love', 'Bintang', 'buy', 'pulse', 'date', 'yesterday', 'right', 'chat', 'pulse', 'stay', 'gapake', 'call' Package ',' Credit ',' TLP ']")</f>
        <v>['Love', 'Bintang', 'buy', 'pulse', 'date', 'yesterday', 'right', 'chat', 'pulse', 'stay', 'gapake', 'call' Package ',' Credit ',' TLP ']</v>
      </c>
      <c r="D6224" s="3">
        <v>1.0</v>
      </c>
    </row>
    <row r="6225" ht="15.75" customHeight="1">
      <c r="A6225" s="1">
        <v>6647.0</v>
      </c>
      <c r="B6225" s="3" t="s">
        <v>323</v>
      </c>
      <c r="C6225" s="3" t="str">
        <f>IFERROR(__xludf.DUMMYFUNCTION("GOOGLETRANSLATE(B6225,""id"",""en"")"),"['Telkomsel']")</f>
        <v>['Telkomsel']</v>
      </c>
      <c r="D6225" s="3">
        <v>5.0</v>
      </c>
    </row>
    <row r="6226" ht="15.75" customHeight="1">
      <c r="A6226" s="1">
        <v>6648.0</v>
      </c>
      <c r="B6226" s="3" t="s">
        <v>5949</v>
      </c>
      <c r="C6226" s="3" t="str">
        <f>IFERROR(__xludf.DUMMYFUNCTION("GOOGLETRANSLATE(B6226,""id"",""en"")"),"['Network', 'Telkomsel', 'Region', 'Like', 'ilang', 'ilang', 'Embossed', 'Seen']")</f>
        <v>['Network', 'Telkomsel', 'Region', 'Like', 'ilang', 'ilang', 'Embossed', 'Seen']</v>
      </c>
      <c r="D6226" s="3">
        <v>1.0</v>
      </c>
    </row>
    <row r="6227" ht="15.75" customHeight="1">
      <c r="A6227" s="1">
        <v>6649.0</v>
      </c>
      <c r="B6227" s="3" t="s">
        <v>5950</v>
      </c>
      <c r="C6227" s="3" t="str">
        <f>IFERROR(__xludf.DUMMYFUNCTION("GOOGLETRANSLATE(B6227,""id"",""en"")"),"['Wonder', 'uda', 'check', 'check', 'alpa', 'check', '']")</f>
        <v>['Wonder', 'uda', 'check', 'check', 'alpa', 'check', '']</v>
      </c>
      <c r="D6227" s="3">
        <v>4.0</v>
      </c>
    </row>
    <row r="6228" ht="15.75" customHeight="1">
      <c r="A6228" s="1">
        <v>6650.0</v>
      </c>
      <c r="B6228" s="3" t="s">
        <v>5951</v>
      </c>
      <c r="C6228" s="3" t="str">
        <f>IFERROR(__xludf.DUMMYFUNCTION("GOOGLETRANSLATE(B6228,""id"",""en"")"),"['Please', 'help', 'kmren', 'number', 'list', 'telephone', 'internet', 'topup', 'fill in', 'pulses', 'enter', '']")</f>
        <v>['Please', 'help', 'kmren', 'number', 'list', 'telephone', 'internet', 'topup', 'fill in', 'pulses', 'enter', '']</v>
      </c>
      <c r="D6228" s="3">
        <v>2.0</v>
      </c>
    </row>
    <row r="6229" ht="15.75" customHeight="1">
      <c r="A6229" s="1">
        <v>6651.0</v>
      </c>
      <c r="B6229" s="3" t="s">
        <v>5952</v>
      </c>
      <c r="C6229" s="3" t="str">
        <f>IFERROR(__xludf.DUMMYFUNCTION("GOOGLETRANSLATE(B6229,""id"",""en"")"),"['Good', 'dear', 'like', 'Ngak', 'Hadia', 'That's',' fill in ',' pulse ',' contents', 'pouco', 'apk', 'ngak', ' Fill ',' Vouch ',' Try ',' Canain ',' Get ',' Quota ',' Beepa ',' Lucdrae ',' Delicious']")</f>
        <v>['Good', 'dear', 'like', 'Ngak', 'Hadia', 'That's',' fill in ',' pulse ',' contents', 'pouco', 'apk', 'ngak', ' Fill ',' Vouch ',' Try ',' Canain ',' Get ',' Quota ',' Beepa ',' Lucdrae ',' Delicious']</v>
      </c>
      <c r="D6229" s="3">
        <v>3.0</v>
      </c>
    </row>
    <row r="6230" ht="15.75" customHeight="1">
      <c r="A6230" s="1">
        <v>6652.0</v>
      </c>
      <c r="B6230" s="3" t="s">
        <v>5953</v>
      </c>
      <c r="C6230" s="3" t="str">
        <f>IFERROR(__xludf.DUMMYFUNCTION("GOOGLETRANSLATE(B6230,""id"",""en"")"),"['times',' love ',' promo ',' gtu ',' kek ',' customer ',' jga ',' happy ',' stay ',' then ',' provider ',' telkom ',' Suggestions', 'already', 'materialized', 'ksih', 'star', '']")</f>
        <v>['times',' love ',' promo ',' gtu ',' kek ',' customer ',' jga ',' happy ',' stay ',' then ',' provider ',' telkom ',' Suggestions', 'already', 'materialized', 'ksih', 'star', '']</v>
      </c>
      <c r="D6230" s="3">
        <v>4.0</v>
      </c>
    </row>
    <row r="6231" ht="15.75" customHeight="1">
      <c r="A6231" s="1">
        <v>6653.0</v>
      </c>
      <c r="B6231" s="3" t="s">
        <v>5954</v>
      </c>
      <c r="C6231" s="3" t="str">
        <f>IFERROR(__xludf.DUMMYFUNCTION("GOOGLETRANSLATE(B6231,""id"",""en"")"),"['The app', 'difficult', 'open', 'ngeselin', 'really', 'males', 'tel']")</f>
        <v>['The app', 'difficult', 'open', 'ngeselin', 'really', 'males', 'tel']</v>
      </c>
      <c r="D6231" s="3">
        <v>1.0</v>
      </c>
    </row>
    <row r="6232" ht="15.75" customHeight="1">
      <c r="A6232" s="1">
        <v>6654.0</v>
      </c>
      <c r="B6232" s="3" t="s">
        <v>5955</v>
      </c>
      <c r="C6232" s="3" t="str">
        <f>IFERROR(__xludf.DUMMYFUNCTION("GOOGLETRANSLATE(B6232,""id"",""en"")"),"['connection', 'bad', 'price', 'package', 'decent', 'expensive', 'good', 'where', '']")</f>
        <v>['connection', 'bad', 'price', 'package', 'decent', 'expensive', 'good', 'where', '']</v>
      </c>
      <c r="D6232" s="3">
        <v>1.0</v>
      </c>
    </row>
    <row r="6233" ht="15.75" customHeight="1">
      <c r="A6233" s="1">
        <v>6655.0</v>
      </c>
      <c r="B6233" s="3" t="s">
        <v>5956</v>
      </c>
      <c r="C6233" s="3" t="str">
        <f>IFERROR(__xludf.DUMMYFUNCTION("GOOGLETRANSLATE(B6233,""id"",""en"")"),"['', 'can', 'voucher', 'daily', 'check', 'right', 'fill', 'pulse', 'run out', 'quota', 'run out', 'msh', 'fix ',' LBH ',' transparent ',' system ']")</f>
        <v>['', 'can', 'voucher', 'daily', 'check', 'right', 'fill', 'pulse', 'run out', 'quota', 'run out', 'msh', 'fix ',' LBH ',' transparent ',' system ']</v>
      </c>
      <c r="D6233" s="3">
        <v>1.0</v>
      </c>
    </row>
    <row r="6234" ht="15.75" customHeight="1">
      <c r="A6234" s="1">
        <v>6656.0</v>
      </c>
      <c r="B6234" s="3" t="s">
        <v>5957</v>
      </c>
      <c r="C6234" s="3" t="str">
        <f>IFERROR(__xludf.DUMMYFUNCTION("GOOGLETRANSLATE(B6234,""id"",""en"")"),"['Season', 'really', 'TOP', 'VIA', 'APP', 'Credit', 'Enter', 'Enter', 'Complaint', 'Twitter', 'Slow', ""]")</f>
        <v>['Season', 'really', 'TOP', 'VIA', 'APP', 'Credit', 'Enter', 'Enter', 'Complaint', 'Twitter', 'Slow', "]</v>
      </c>
      <c r="D6234" s="3">
        <v>1.0</v>
      </c>
    </row>
    <row r="6235" ht="15.75" customHeight="1">
      <c r="A6235" s="1">
        <v>6658.0</v>
      </c>
      <c r="B6235" s="3" t="s">
        <v>5958</v>
      </c>
      <c r="C6235" s="3" t="str">
        <f>IFERROR(__xludf.DUMMYFUNCTION("GOOGLETRANSLATE(B6235,""id"",""en"")"),"['ugly', 'times', 'network', 'telkom', 'buy', 'package', 'telkom', 'delete', 'card', 'telkom', 'indonesia']")</f>
        <v>['ugly', 'times', 'network', 'telkom', 'buy', 'package', 'telkom', 'delete', 'card', 'telkom', 'indonesia']</v>
      </c>
      <c r="D6235" s="3">
        <v>1.0</v>
      </c>
    </row>
    <row r="6236" ht="15.75" customHeight="1">
      <c r="A6236" s="1">
        <v>6659.0</v>
      </c>
      <c r="B6236" s="3" t="s">
        <v>4576</v>
      </c>
      <c r="C6236" s="3" t="str">
        <f>IFERROR(__xludf.DUMMYFUNCTION("GOOGLETRANSLATE(B6236,""id"",""en"")"),"['service']")</f>
        <v>['service']</v>
      </c>
      <c r="D6236" s="3">
        <v>5.0</v>
      </c>
    </row>
    <row r="6237" ht="15.75" customHeight="1">
      <c r="A6237" s="1">
        <v>6660.0</v>
      </c>
      <c r="B6237" s="3" t="s">
        <v>5959</v>
      </c>
      <c r="C6237" s="3" t="str">
        <f>IFERROR(__xludf.DUMMYFUNCTION("GOOGLETRANSLATE(B6237,""id"",""en"")"),"['Forced', 'Telkomsel']")</f>
        <v>['Forced', 'Telkomsel']</v>
      </c>
      <c r="D6237" s="3">
        <v>1.0</v>
      </c>
    </row>
    <row r="6238" ht="15.75" customHeight="1">
      <c r="A6238" s="1">
        <v>6661.0</v>
      </c>
      <c r="B6238" s="3" t="s">
        <v>5960</v>
      </c>
      <c r="C6238" s="3" t="str">
        <f>IFERROR(__xludf.DUMMYFUNCTION("GOOGLETRANSLATE(B6238,""id"",""en"")"),"['payment', 'Linkaja', 'access', 'continued']")</f>
        <v>['payment', 'Linkaja', 'access', 'continued']</v>
      </c>
      <c r="D6238" s="3">
        <v>3.0</v>
      </c>
    </row>
    <row r="6239" ht="15.75" customHeight="1">
      <c r="A6239" s="1">
        <v>6662.0</v>
      </c>
      <c r="B6239" s="3" t="s">
        <v>5961</v>
      </c>
      <c r="C6239" s="3" t="str">
        <f>IFERROR(__xludf.DUMMYFUNCTION("GOOGLETRANSLATE(B6239,""id"",""en"")"),"['leot', 'really', 'times',' checked ',' quota ',' please ',' Telkomsel ',' repaired ',' system ',' class', 'Telkomsel', 'slow', ' very']")</f>
        <v>['leot', 'really', 'times',' checked ',' quota ',' please ',' Telkomsel ',' repaired ',' system ',' class', 'Telkomsel', 'slow', ' very']</v>
      </c>
      <c r="D6239" s="3">
        <v>1.0</v>
      </c>
    </row>
    <row r="6240" ht="15.75" customHeight="1">
      <c r="A6240" s="1">
        <v>6664.0</v>
      </c>
      <c r="B6240" s="3" t="s">
        <v>5962</v>
      </c>
      <c r="C6240" s="3" t="str">
        <f>IFERROR(__xludf.DUMMYFUNCTION("GOOGLETRANSLATE(B6240,""id"",""en"")"),"['service', 'ugly', 'package', 'expensive', 'expensive', 'network', 'disorder', '']")</f>
        <v>['service', 'ugly', 'package', 'expensive', 'expensive', 'network', 'disorder', '']</v>
      </c>
      <c r="D6240" s="3">
        <v>1.0</v>
      </c>
    </row>
    <row r="6241" ht="15.75" customHeight="1">
      <c r="A6241" s="1">
        <v>6665.0</v>
      </c>
      <c r="B6241" s="3" t="s">
        <v>5963</v>
      </c>
      <c r="C6241" s="3" t="str">
        <f>IFERROR(__xludf.DUMMYFUNCTION("GOOGLETRANSLATE(B6241,""id"",""en"")"),"['Advertising', 'annoying']")</f>
        <v>['Advertising', 'annoying']</v>
      </c>
      <c r="D6241" s="3">
        <v>1.0</v>
      </c>
    </row>
    <row r="6242" ht="15.75" customHeight="1">
      <c r="A6242" s="1">
        <v>6666.0</v>
      </c>
      <c r="B6242" s="3" t="s">
        <v>5964</v>
      </c>
      <c r="C6242" s="3" t="str">
        <f>IFERROR(__xludf.DUMMYFUNCTION("GOOGLETRANSLATE(B6242,""id"",""en"")"),"['like', 'application', 'help', 'sya']")</f>
        <v>['like', 'application', 'help', 'sya']</v>
      </c>
      <c r="D6242" s="3">
        <v>5.0</v>
      </c>
    </row>
    <row r="6243" ht="15.75" customHeight="1">
      <c r="A6243" s="1">
        <v>6667.0</v>
      </c>
      <c r="B6243" s="3" t="s">
        <v>5965</v>
      </c>
      <c r="C6243" s="3" t="str">
        <f>IFERROR(__xludf.DUMMYFUNCTION("GOOGLETRANSLATE(B6243,""id"",""en"")"),"['signal', 'like', 'drop', 'like', 'stuck', 'activity', 'disturbed', 'signal', 'bad', ""]")</f>
        <v>['signal', 'like', 'drop', 'like', 'stuck', 'activity', 'disturbed', 'signal', 'bad', "]</v>
      </c>
      <c r="D6243" s="3">
        <v>1.0</v>
      </c>
    </row>
    <row r="6244" ht="15.75" customHeight="1">
      <c r="A6244" s="1">
        <v>6668.0</v>
      </c>
      <c r="B6244" s="3" t="s">
        <v>5966</v>
      </c>
      <c r="C6244" s="3" t="str">
        <f>IFERROR(__xludf.DUMMYFUNCTION("GOOGLETRANSLATE(B6244,""id"",""en"")"),"['', 'Telkomsel', 'help']")</f>
        <v>['', 'Telkomsel', 'help']</v>
      </c>
      <c r="D6244" s="3">
        <v>5.0</v>
      </c>
    </row>
    <row r="6245" ht="15.75" customHeight="1">
      <c r="A6245" s="1">
        <v>6669.0</v>
      </c>
      <c r="B6245" s="3" t="s">
        <v>5967</v>
      </c>
      <c r="C6245" s="3" t="str">
        <f>IFERROR(__xludf.DUMMYFUNCTION("GOOGLETRANSLATE(B6245,""id"",""en"")"),"['Destroyed', 'Lebur', 'Signal', 'Telkomsel', 'Lined', 'Urban', 'Building', 'Destroyed', 'Sousal', 'Disappointed', 'Disappointed', 'Number', ' Number ',' Hallo ',' ']")</f>
        <v>['Destroyed', 'Lebur', 'Signal', 'Telkomsel', 'Lined', 'Urban', 'Building', 'Destroyed', 'Sousal', 'Disappointed', 'Disappointed', 'Number', ' Number ',' Hallo ',' ']</v>
      </c>
      <c r="D6245" s="3">
        <v>1.0</v>
      </c>
    </row>
    <row r="6246" ht="15.75" customHeight="1">
      <c r="A6246" s="1">
        <v>6670.0</v>
      </c>
      <c r="B6246" s="3" t="s">
        <v>80</v>
      </c>
      <c r="C6246" s="3" t="str">
        <f>IFERROR(__xludf.DUMMYFUNCTION("GOOGLETRANSLATE(B6246,""id"",""en"")"),"['help', '']")</f>
        <v>['help', '']</v>
      </c>
      <c r="D6246" s="3">
        <v>5.0</v>
      </c>
    </row>
    <row r="6247" ht="15.75" customHeight="1">
      <c r="A6247" s="1">
        <v>6671.0</v>
      </c>
      <c r="B6247" s="3" t="s">
        <v>5968</v>
      </c>
      <c r="C6247" s="3" t="str">
        <f>IFERROR(__xludf.DUMMYFUNCTION("GOOGLETRANSLATE(B6247,""id"",""en"")"),"['TelkomTod', 'signal', 'SERES', 'ilang', 'pdhal', 'expensive', 'pulak', 'lose', 'ama', 'indosat']")</f>
        <v>['TelkomTod', 'signal', 'SERES', 'ilang', 'pdhal', 'expensive', 'pulak', 'lose', 'ama', 'indosat']</v>
      </c>
      <c r="D6247" s="3">
        <v>1.0</v>
      </c>
    </row>
    <row r="6248" ht="15.75" customHeight="1">
      <c r="A6248" s="1">
        <v>6672.0</v>
      </c>
      <c r="B6248" s="3" t="s">
        <v>5969</v>
      </c>
      <c r="C6248" s="3" t="str">
        <f>IFERROR(__xludf.DUMMYFUNCTION("GOOGLETRANSLATE(B6248,""id"",""en"")"),"['take', 'package', 'Kombo', 'Sakti', 'right', 'bought', 'failed', 'disorder', 'system', 'already', 'yesterday']")</f>
        <v>['take', 'package', 'Kombo', 'Sakti', 'right', 'bought', 'failed', 'disorder', 'system', 'already', 'yesterday']</v>
      </c>
      <c r="D6248" s="3">
        <v>1.0</v>
      </c>
    </row>
    <row r="6249" ht="15.75" customHeight="1">
      <c r="A6249" s="1">
        <v>6673.0</v>
      </c>
      <c r="B6249" s="3" t="s">
        <v>2829</v>
      </c>
      <c r="C6249" s="3" t="str">
        <f>IFERROR(__xludf.DUMMYFUNCTION("GOOGLETRANSLATE(B6249,""id"",""en"")"),"['It's easy', 'user', '']")</f>
        <v>['It's easy', 'user', '']</v>
      </c>
      <c r="D6249" s="3">
        <v>5.0</v>
      </c>
    </row>
    <row r="6250" ht="15.75" customHeight="1">
      <c r="A6250" s="1">
        <v>6674.0</v>
      </c>
      <c r="B6250" s="3" t="s">
        <v>5970</v>
      </c>
      <c r="C6250" s="3" t="str">
        <f>IFERROR(__xludf.DUMMYFUNCTION("GOOGLETRANSLATE(B6250,""id"",""en"")"),"['Telkomsel', 'TER', 'TERMAN', 'works',' Nambahin ',' promo ',' quota ',' signal ',' use ',' note ',' please ',' Note ',' its quality ',' guaranteed ',' signal ',' stable ',' usage ',' wasteful ',' compare ',' offends', 'org', 'feeling', 'annoyed', 'cellu"&amp;"lar', 'Telkomsel' , 'play', 'signal', 'sometimes', 'disorder', 'city']")</f>
        <v>['Telkomsel', 'TER', 'TERMAN', 'works',' Nambahin ',' promo ',' quota ',' signal ',' use ',' note ',' please ',' Note ',' its quality ',' guaranteed ',' signal ',' stable ',' usage ',' wasteful ',' compare ',' offends', 'org', 'feeling', 'annoyed', 'cellular', 'Telkomsel' , 'play', 'signal', 'sometimes', 'disorder', 'city']</v>
      </c>
      <c r="D6250" s="3">
        <v>1.0</v>
      </c>
    </row>
    <row r="6251" ht="15.75" customHeight="1">
      <c r="A6251" s="1">
        <v>6676.0</v>
      </c>
      <c r="B6251" s="3" t="s">
        <v>5971</v>
      </c>
      <c r="C6251" s="3" t="str">
        <f>IFERROR(__xludf.DUMMYFUNCTION("GOOGLETRANSLATE(B6251,""id"",""en"")"),"['Fix', 'signal', 'ilang', 'stable', 'ugly', 'network', 'Telkomsel']")</f>
        <v>['Fix', 'signal', 'ilang', 'stable', 'ugly', 'network', 'Telkomsel']</v>
      </c>
      <c r="D6251" s="3">
        <v>3.0</v>
      </c>
    </row>
    <row r="6252" ht="15.75" customHeight="1">
      <c r="A6252" s="1">
        <v>6677.0</v>
      </c>
      <c r="B6252" s="3" t="s">
        <v>5972</v>
      </c>
      <c r="C6252" s="3" t="str">
        <f>IFERROR(__xludf.DUMMYFUNCTION("GOOGLETRANSLATE(B6252,""id"",""en"")"),"['', 'told', 'Update', 'Abis',' Update ',' Open ',' Delete ',' Install ',' Install ',' reset ',' difficult ',' Login ',' enter ',' Deh ',' Application ',' Telkomsel ',' Terrrbaaaiikkkk ',' MantaaApppp ',' ']")</f>
        <v>['', 'told', 'Update', 'Abis',' Update ',' Open ',' Delete ',' Install ',' Install ',' reset ',' difficult ',' Login ',' enter ',' Deh ',' Application ',' Telkomsel ',' Terrrbaaaiikkkk ',' MantaaApppp ',' ']</v>
      </c>
      <c r="D6252" s="3">
        <v>5.0</v>
      </c>
    </row>
    <row r="6253" ht="15.75" customHeight="1">
      <c r="A6253" s="1">
        <v>6678.0</v>
      </c>
      <c r="B6253" s="3" t="s">
        <v>5973</v>
      </c>
      <c r="C6253" s="3" t="str">
        <f>IFERROR(__xludf.DUMMYFUNCTION("GOOGLETRANSLATE(B6253,""id"",""en"")"),"['Please', 'take', 'pulse', 'tax', 'a day', 'rupiah', 'pulse', ""]")</f>
        <v>['Please', 'take', 'pulse', 'tax', 'a day', 'rupiah', 'pulse', "]</v>
      </c>
      <c r="D6253" s="3">
        <v>5.0</v>
      </c>
    </row>
    <row r="6254" ht="15.75" customHeight="1">
      <c r="A6254" s="1">
        <v>6679.0</v>
      </c>
      <c r="B6254" s="3" t="s">
        <v>5974</v>
      </c>
      <c r="C6254" s="3" t="str">
        <f>IFERROR(__xludf.DUMMYFUNCTION("GOOGLETRANSLATE(B6254,""id"",""en"")"),"['Login', 'Game', 'Quota', 'Buy', 'Quota', 'Kemdikbud']")</f>
        <v>['Login', 'Game', 'Quota', 'Buy', 'Quota', 'Kemdikbud']</v>
      </c>
      <c r="D6254" s="3">
        <v>1.0</v>
      </c>
    </row>
    <row r="6255" ht="15.75" customHeight="1">
      <c r="A6255" s="1">
        <v>6680.0</v>
      </c>
      <c r="B6255" s="3" t="s">
        <v>5975</v>
      </c>
      <c r="C6255" s="3" t="str">
        <f>IFERROR(__xludf.DUMMYFUNCTION("GOOGLETRANSLATE(B6255,""id"",""en"")"),"['Thanks', 'Useful']")</f>
        <v>['Thanks', 'Useful']</v>
      </c>
      <c r="D6255" s="3">
        <v>5.0</v>
      </c>
    </row>
    <row r="6256" ht="15.75" customHeight="1">
      <c r="A6256" s="1">
        <v>6681.0</v>
      </c>
      <c r="B6256" s="3" t="s">
        <v>5976</v>
      </c>
      <c r="C6256" s="3" t="str">
        <f>IFERROR(__xludf.DUMMYFUNCTION("GOOGLETRANSLATE(B6256,""id"",""en"")"),"['Enhanced', 'Performance', 'Young', 'Use']")</f>
        <v>['Enhanced', 'Performance', 'Young', 'Use']</v>
      </c>
      <c r="D6256" s="3">
        <v>3.0</v>
      </c>
    </row>
    <row r="6257" ht="15.75" customHeight="1">
      <c r="A6257" s="1">
        <v>6682.0</v>
      </c>
      <c r="B6257" s="3" t="s">
        <v>5977</v>
      </c>
      <c r="C6257" s="3" t="str">
        <f>IFERROR(__xludf.DUMMYFUNCTION("GOOGLETRANSLATE(B6257,""id"",""en"")"),"['Help', 'quota', 'gamesmax', 'silver', 'lined', 'quota', 'multimedian', 'dipake', 'defective', 'really', 'company', 'big', ' Doang ',' ']")</f>
        <v>['Help', 'quota', 'gamesmax', 'silver', 'lined', 'quota', 'multimedian', 'dipake', 'defective', 'really', 'company', 'big', ' Doang ',' ']</v>
      </c>
      <c r="D6257" s="3">
        <v>1.0</v>
      </c>
    </row>
    <row r="6258" ht="15.75" customHeight="1">
      <c r="A6258" s="1">
        <v>6683.0</v>
      </c>
      <c r="B6258" s="3" t="s">
        <v>1367</v>
      </c>
      <c r="C6258" s="3" t="str">
        <f>IFERROR(__xludf.DUMMYFUNCTION("GOOGLETRANSLATE(B6258,""id"",""en"")"),"['The application', 'good']")</f>
        <v>['The application', 'good']</v>
      </c>
      <c r="D6258" s="3">
        <v>5.0</v>
      </c>
    </row>
    <row r="6259" ht="15.75" customHeight="1">
      <c r="A6259" s="1">
        <v>6684.0</v>
      </c>
      <c r="B6259" s="3" t="s">
        <v>5978</v>
      </c>
      <c r="C6259" s="3" t="str">
        <f>IFERROR(__xludf.DUMMYFUNCTION("GOOGLETRANSLATE(B6259,""id"",""en"")"),"['Try', 'Download', 'reset', 'Application', 'Say', 'Goodbye', 'Telkomsel', '']")</f>
        <v>['Try', 'Download', 'reset', 'Application', 'Say', 'Goodbye', 'Telkomsel', '']</v>
      </c>
      <c r="D6259" s="3">
        <v>1.0</v>
      </c>
    </row>
    <row r="6260" ht="15.75" customHeight="1">
      <c r="A6260" s="1">
        <v>6685.0</v>
      </c>
      <c r="B6260" s="3" t="s">
        <v>5979</v>
      </c>
      <c r="C6260" s="3" t="str">
        <f>IFERROR(__xludf.DUMMYFUNCTION("GOOGLETRANSLATE(B6260,""id"",""en"")"),"['Notification', 'POP', 'Application', 'Notification', 'Promo', 'Internet', 'Combo', 'Unlimited', 'RB', 'Etc.', 'Click', 'Notif', ' Appearing ',' promo ',' found ',' strange ',' Try ',' Real ',' Jngn ',' promo ',' cheating ',' sometimes', 'get', 'sms',' p"&amp;"romo ' , 'Click', 'Link', 'Results', 'Promo', 'Find', 'Fun', 'Public', 'Name', 'Please', 'Fix', ""]")</f>
        <v>['Notification', 'POP', 'Application', 'Notification', 'Promo', 'Internet', 'Combo', 'Unlimited', 'RB', 'Etc.', 'Click', 'Notif', ' Appearing ',' promo ',' found ',' strange ',' Try ',' Real ',' Jngn ',' promo ',' cheating ',' sometimes', 'get', 'sms',' promo ' , 'Click', 'Link', 'Results', 'Promo', 'Find', 'Fun', 'Public', 'Name', 'Please', 'Fix', "]</v>
      </c>
      <c r="D6260" s="3">
        <v>1.0</v>
      </c>
    </row>
    <row r="6261" ht="15.75" customHeight="1">
      <c r="A6261" s="1">
        <v>6686.0</v>
      </c>
      <c r="B6261" s="3" t="s">
        <v>5980</v>
      </c>
      <c r="C6261" s="3" t="str">
        <f>IFERROR(__xludf.DUMMYFUNCTION("GOOGLETRANSLATE(B6261,""id"",""en"")"),"['', 'Bener', 'APK', 'Take', 'Promo', 'Get', 'Coin', 'Shopee', 'printed', 'Rame', 'cashback', 'Try', 'Buy ', 'enter', '']")</f>
        <v>['', 'Bener', 'APK', 'Take', 'Promo', 'Get', 'Coin', 'Shopee', 'printed', 'Rame', 'cashback', 'Try', 'Buy ', 'enter', '']</v>
      </c>
      <c r="D6261" s="3">
        <v>1.0</v>
      </c>
    </row>
    <row r="6262" ht="15.75" customHeight="1">
      <c r="A6262" s="1">
        <v>6687.0</v>
      </c>
      <c r="B6262" s="3" t="s">
        <v>1714</v>
      </c>
      <c r="C6262" s="3" t="str">
        <f>IFERROR(__xludf.DUMMYFUNCTION("GOOGLETRANSLATE(B6262,""id"",""en"")"),"['Easy', 'buy', 'quota']")</f>
        <v>['Easy', 'buy', 'quota']</v>
      </c>
      <c r="D6262" s="3">
        <v>3.0</v>
      </c>
    </row>
    <row r="6263" ht="15.75" customHeight="1">
      <c r="A6263" s="1">
        <v>6688.0</v>
      </c>
      <c r="B6263" s="3" t="s">
        <v>5981</v>
      </c>
      <c r="C6263" s="3" t="str">
        <f>IFERROR(__xludf.DUMMYFUNCTION("GOOGLETRANSLATE(B6263,""id"",""en"")"),"['disappointing', 'Asih', 'really', 'bug', 'check', '']")</f>
        <v>['disappointing', 'Asih', 'really', 'bug', 'check', '']</v>
      </c>
      <c r="D6263" s="3">
        <v>1.0</v>
      </c>
    </row>
    <row r="6264" ht="15.75" customHeight="1">
      <c r="A6264" s="1">
        <v>6689.0</v>
      </c>
      <c r="B6264" s="3" t="s">
        <v>223</v>
      </c>
      <c r="C6264" s="3" t="str">
        <f>IFERROR(__xludf.DUMMYFUNCTION("GOOGLETRANSLATE(B6264,""id"",""en"")"),"['']")</f>
        <v>['']</v>
      </c>
      <c r="D6264" s="3">
        <v>5.0</v>
      </c>
    </row>
    <row r="6265" ht="15.75" customHeight="1">
      <c r="A6265" s="1">
        <v>6690.0</v>
      </c>
      <c r="B6265" s="3" t="s">
        <v>5982</v>
      </c>
      <c r="C6265" s="3" t="str">
        <f>IFERROR(__xludf.DUMMYFUNCTION("GOOGLETRANSLATE(B6265,""id"",""en"")"),"['Steady', 'version', 'Latest', 'Sound', '']")</f>
        <v>['Steady', 'version', 'Latest', 'Sound', '']</v>
      </c>
      <c r="D6265" s="3">
        <v>5.0</v>
      </c>
    </row>
    <row r="6266" ht="15.75" customHeight="1">
      <c r="A6266" s="1">
        <v>6691.0</v>
      </c>
      <c r="B6266" s="3" t="s">
        <v>5983</v>
      </c>
      <c r="C6266" s="3" t="str">
        <f>IFERROR(__xludf.DUMMYFUNCTION("GOOGLETRANSLATE(B6266,""id"",""en"")"),"['update', 'daily', 'chack', 'already', 'chack', 'full', 'severe', 'really', 'intention', 'love', 'quota', 'what' do ',' The program ',' Rich ',' that's', '']")</f>
        <v>['update', 'daily', 'chack', 'already', 'chack', 'full', 'severe', 'really', 'intention', 'love', 'quota', 'what' do ',' The program ',' Rich ',' that's', '']</v>
      </c>
      <c r="D6266" s="3">
        <v>4.0</v>
      </c>
    </row>
    <row r="6267" ht="15.75" customHeight="1">
      <c r="A6267" s="1">
        <v>6692.0</v>
      </c>
      <c r="B6267" s="3" t="s">
        <v>5984</v>
      </c>
      <c r="C6267" s="3" t="str">
        <f>IFERROR(__xludf.DUMMYFUNCTION("GOOGLETRANSLATE(B6267,""id"",""en"")"),"['Continue', 'Mantap', 'smooth', 'Jaya', 'Seamless', 'Rahayu']")</f>
        <v>['Continue', 'Mantap', 'smooth', 'Jaya', 'Seamless', 'Rahayu']</v>
      </c>
      <c r="D6267" s="3">
        <v>5.0</v>
      </c>
    </row>
    <row r="6268" ht="15.75" customHeight="1">
      <c r="A6268" s="1">
        <v>6693.0</v>
      </c>
      <c r="B6268" s="3" t="s">
        <v>5985</v>
      </c>
      <c r="C6268" s="3" t="str">
        <f>IFERROR(__xludf.DUMMYFUNCTION("GOOGLETRANSLATE(B6268,""id"",""en"")"),"['Pkei', 'slow', 'Gaes']")</f>
        <v>['Pkei', 'slow', 'Gaes']</v>
      </c>
      <c r="D6268" s="3">
        <v>5.0</v>
      </c>
    </row>
    <row r="6269" ht="15.75" customHeight="1">
      <c r="A6269" s="1">
        <v>6694.0</v>
      </c>
      <c r="B6269" s="3" t="s">
        <v>5986</v>
      </c>
      <c r="C6269" s="3" t="str">
        <f>IFERROR(__xludf.DUMMYFUNCTION("GOOGLETRANSLATE(B6269,""id"",""en"")"),"['signal', 'Josss', 'Putie', 'Telkomsel', 'Litu', ""]")</f>
        <v>['signal', 'Josss', 'Putie', 'Telkomsel', 'Litu', "]</v>
      </c>
      <c r="D6269" s="3">
        <v>5.0</v>
      </c>
    </row>
    <row r="6270" ht="15.75" customHeight="1">
      <c r="A6270" s="1">
        <v>6695.0</v>
      </c>
      <c r="B6270" s="3" t="s">
        <v>5987</v>
      </c>
      <c r="C6270" s="3" t="str">
        <f>IFERROR(__xludf.DUMMYFUNCTION("GOOGLETRANSLATE(B6270,""id"",""en"")"),"['Helimatity', 'Ribet']")</f>
        <v>['Helimatity', 'Ribet']</v>
      </c>
      <c r="D6270" s="3">
        <v>5.0</v>
      </c>
    </row>
    <row r="6271" ht="15.75" customHeight="1">
      <c r="A6271" s="1">
        <v>6696.0</v>
      </c>
      <c r="B6271" s="3" t="s">
        <v>5988</v>
      </c>
      <c r="C6271" s="3" t="str">
        <f>IFERROR(__xludf.DUMMYFUNCTION("GOOGLETRANSLATE(B6271,""id"",""en"")"),"['Menbantu', 'in', 'purchase', 'pulse', 'data', 'etc.']")</f>
        <v>['Menbantu', 'in', 'purchase', 'pulse', 'data', 'etc.']</v>
      </c>
      <c r="D6271" s="3">
        <v>5.0</v>
      </c>
    </row>
    <row r="6272" ht="15.75" customHeight="1">
      <c r="A6272" s="1">
        <v>6697.0</v>
      </c>
      <c r="B6272" s="3" t="s">
        <v>5989</v>
      </c>
      <c r="C6272" s="3" t="str">
        <f>IFERROR(__xludf.DUMMYFUNCTION("GOOGLETRANSLATE(B6272,""id"",""en"")"),"['Help', 'insalatlah', 'easy', 'rez', 'aamiin', 'Allah', 'humma', 'aamiin']")</f>
        <v>['Help', 'insalatlah', 'easy', 'rez', 'aamiin', 'Allah', 'humma', 'aamiin']</v>
      </c>
      <c r="D6272" s="3">
        <v>5.0</v>
      </c>
    </row>
    <row r="6273" ht="15.75" customHeight="1">
      <c r="A6273" s="1">
        <v>6698.0</v>
      </c>
      <c r="B6273" s="3" t="s">
        <v>5990</v>
      </c>
      <c r="C6273" s="3" t="str">
        <f>IFERROR(__xludf.DUMMYFUNCTION("GOOGLETRANSLATE(B6273,""id"",""en"")"),"['signal', 'ugly', 'please', 'fix']")</f>
        <v>['signal', 'ugly', 'please', 'fix']</v>
      </c>
      <c r="D6273" s="3">
        <v>2.0</v>
      </c>
    </row>
    <row r="6274" ht="15.75" customHeight="1">
      <c r="A6274" s="1">
        <v>6699.0</v>
      </c>
      <c r="B6274" s="3" t="s">
        <v>5991</v>
      </c>
      <c r="C6274" s="3" t="str">
        <f>IFERROR(__xludf.DUMMYFUNCTION("GOOGLETRANSLATE(B6274,""id"",""en"")"),"['Not bad', 'update']")</f>
        <v>['Not bad', 'update']</v>
      </c>
      <c r="D6274" s="3">
        <v>4.0</v>
      </c>
    </row>
    <row r="6275" ht="15.75" customHeight="1">
      <c r="A6275" s="1">
        <v>6700.0</v>
      </c>
      <c r="B6275" s="3" t="s">
        <v>5992</v>
      </c>
      <c r="C6275" s="3" t="str">
        <f>IFERROR(__xludf.DUMMYFUNCTION("GOOGLETRANSLATE(B6275,""id"",""en"")"),"['', 'really', 'dipake', 'the application']")</f>
        <v>['', 'really', 'dipake', 'the application']</v>
      </c>
      <c r="D6275" s="3">
        <v>1.0</v>
      </c>
    </row>
    <row r="6276" ht="15.75" customHeight="1">
      <c r="A6276" s="1">
        <v>6701.0</v>
      </c>
      <c r="B6276" s="3" t="s">
        <v>5993</v>
      </c>
      <c r="C6276" s="3" t="str">
        <f>IFERROR(__xludf.DUMMYFUNCTION("GOOGLETRANSLATE(B6276,""id"",""en"")"),"['haha']")</f>
        <v>['haha']</v>
      </c>
      <c r="D6276" s="3">
        <v>3.0</v>
      </c>
    </row>
    <row r="6277" ht="15.75" customHeight="1">
      <c r="A6277" s="1">
        <v>6702.0</v>
      </c>
      <c r="B6277" s="3" t="s">
        <v>5994</v>
      </c>
      <c r="C6277" s="3" t="str">
        <f>IFERROR(__xludf.DUMMYFUNCTION("GOOGLETRANSLATE(B6277,""id"",""en"")"),"['application', 'promo', 'apply', 'turn', 'already', 'list', 'apply', 'times',' ngadin ',' promo ',' honest ',' boss', ' mah ',' hoax ',' including ']")</f>
        <v>['application', 'promo', 'apply', 'turn', 'already', 'list', 'apply', 'times',' ngadin ',' promo ',' honest ',' boss', ' mah ',' hoax ',' including ']</v>
      </c>
      <c r="D6277" s="3">
        <v>1.0</v>
      </c>
    </row>
    <row r="6278" ht="15.75" customHeight="1">
      <c r="A6278" s="1">
        <v>6703.0</v>
      </c>
      <c r="B6278" s="3" t="s">
        <v>5995</v>
      </c>
      <c r="C6278" s="3" t="str">
        <f>IFERROR(__xludf.DUMMYFUNCTION("GOOGLETRANSLATE(B6278,""id"",""en"")"),"['Good', 'The network', 'expensive', 'Different', 'Different', 'Package', 'Data', 'Offered']")</f>
        <v>['Good', 'The network', 'expensive', 'Different', 'Different', 'Package', 'Data', 'Offered']</v>
      </c>
      <c r="D6278" s="3">
        <v>5.0</v>
      </c>
    </row>
    <row r="6279" ht="15.75" customHeight="1">
      <c r="A6279" s="1">
        <v>6704.0</v>
      </c>
      <c r="B6279" s="3" t="s">
        <v>5996</v>
      </c>
      <c r="C6279" s="3" t="str">
        <f>IFERROR(__xludf.DUMMYFUNCTION("GOOGLETRANSLATE(B6279,""id"",""en"")"),"['Moon', 'many years',' diligently ',' buy ',' package ',' internet ',' times', 'per month', 'NMR', 'April', 'May', 'signal', ' Sudden ',' ugly ',' Segek ',' ugly ',' complain ',' most ',' people ',' in place ',' complain ',' kapok ',' buy ',' package ','"&amp;" internet ' , 'Mending', 'buy', 'thousands',' can ',' GB ',' for ',' NOW ',' Bye ',' bye ',' package ',' internet ',' Telkomsel ',' See ',' You ',' Again ',' Your Signal ',' Good ',' Package ',' InternetMu ',' LBH ',' Cheap ',' Rotfl ', ""]")</f>
        <v>['Moon', 'many years',' diligently ',' buy ',' package ',' internet ',' times', 'per month', 'NMR', 'April', 'May', 'signal', ' Sudden ',' ugly ',' Segek ',' ugly ',' complain ',' most ',' people ',' in place ',' complain ',' kapok ',' buy ',' package ',' internet ' , 'Mending', 'buy', 'thousands',' can ',' GB ',' for ',' NOW ',' Bye ',' bye ',' package ',' internet ',' Telkomsel ',' See ',' You ',' Again ',' Your Signal ',' Good ',' Package ',' InternetMu ',' LBH ',' Cheap ',' Rotfl ', "]</v>
      </c>
      <c r="D6279" s="3">
        <v>1.0</v>
      </c>
    </row>
    <row r="6280" ht="15.75" customHeight="1">
      <c r="A6280" s="1">
        <v>6705.0</v>
      </c>
      <c r="B6280" s="3" t="s">
        <v>5997</v>
      </c>
      <c r="C6280" s="3" t="str">
        <f>IFERROR(__xludf.DUMMYFUNCTION("GOOGLETRANSLATE(B6280,""id"",""en"")"),"['signal', 'ugly', 'ilang', 'how', 'user', 'comfortable', 'cool', 'play', 'game', 'signal', 'lost', 'increase', ' Update ',' Star ']")</f>
        <v>['signal', 'ugly', 'ilang', 'how', 'user', 'comfortable', 'cool', 'play', 'game', 'signal', 'lost', 'increase', ' Update ',' Star ']</v>
      </c>
      <c r="D6280" s="3">
        <v>1.0</v>
      </c>
    </row>
    <row r="6281" ht="15.75" customHeight="1">
      <c r="A6281" s="1">
        <v>6706.0</v>
      </c>
      <c r="B6281" s="3" t="s">
        <v>5998</v>
      </c>
      <c r="C6281" s="3" t="str">
        <f>IFERROR(__xludf.DUMMYFUNCTION("GOOGLETRANSLATE(B6281,""id"",""en"")"),"['Telkomsel', 'Hopefully', 'Move']")</f>
        <v>['Telkomsel', 'Hopefully', 'Move']</v>
      </c>
      <c r="D6281" s="3">
        <v>5.0</v>
      </c>
    </row>
    <row r="6282" ht="15.75" customHeight="1">
      <c r="A6282" s="1">
        <v>6707.0</v>
      </c>
      <c r="B6282" s="3" t="s">
        <v>4415</v>
      </c>
      <c r="C6282" s="3" t="str">
        <f>IFERROR(__xludf.DUMMYFUNCTION("GOOGLETRANSLATE(B6282,""id"",""en"")"),"['Application', 'help', ""]")</f>
        <v>['Application', 'help', "]</v>
      </c>
      <c r="D6282" s="3">
        <v>5.0</v>
      </c>
    </row>
    <row r="6283" ht="15.75" customHeight="1">
      <c r="A6283" s="1">
        <v>6708.0</v>
      </c>
      <c r="B6283" s="3" t="s">
        <v>5999</v>
      </c>
      <c r="C6283" s="3" t="str">
        <f>IFERROR(__xludf.DUMMYFUNCTION("GOOGLETRANSLATE(B6283,""id"",""en"")"),"['Love', 'star', 'the application', 'good', 'promo', 'change', 'change', 'promo']")</f>
        <v>['Love', 'star', 'the application', 'good', 'promo', 'change', 'change', 'promo']</v>
      </c>
      <c r="D6283" s="3">
        <v>5.0</v>
      </c>
    </row>
    <row r="6284" ht="15.75" customHeight="1">
      <c r="A6284" s="1">
        <v>6709.0</v>
      </c>
      <c r="B6284" s="3" t="s">
        <v>6000</v>
      </c>
      <c r="C6284" s="3" t="str">
        <f>IFERROR(__xludf.DUMMYFUNCTION("GOOGLETRANSLATE(B6284,""id"",""en"")"),"['Help', 'with', 'Purchase', 'pls', 'sngat', 'cheap']")</f>
        <v>['Help', 'with', 'Purchase', 'pls', 'sngat', 'cheap']</v>
      </c>
      <c r="D6284" s="3">
        <v>5.0</v>
      </c>
    </row>
    <row r="6285" ht="15.75" customHeight="1">
      <c r="A6285" s="1">
        <v>6710.0</v>
      </c>
      <c r="B6285" s="3" t="s">
        <v>6001</v>
      </c>
      <c r="C6285" s="3" t="str">
        <f>IFERROR(__xludf.DUMMYFUNCTION("GOOGLETRANSLATE(B6285,""id"",""en"")"),"['signal', 'paraaah', 'check', 'quota', 'buy', 'quota', 'difficult', 'bad']")</f>
        <v>['signal', 'paraaah', 'check', 'quota', 'buy', 'quota', 'difficult', 'bad']</v>
      </c>
      <c r="D6285" s="3">
        <v>1.0</v>
      </c>
    </row>
    <row r="6286" ht="15.75" customHeight="1">
      <c r="A6286" s="1">
        <v>6711.0</v>
      </c>
      <c r="B6286" s="3" t="s">
        <v>6002</v>
      </c>
      <c r="C6286" s="3" t="str">
        <f>IFERROR(__xludf.DUMMYFUNCTION("GOOGLETRANSLATE(B6286,""id"",""en"")"),"['Disappointed', 'Really', 'Abis',' Update ',' Ngelag ',' Sepe ',' Ping ',' Ping ',' Jump ',' Signal ',' Batang ',' Then ',' ilang ',' added ',' KeaLrhaan ',' ']")</f>
        <v>['Disappointed', 'Really', 'Abis',' Update ',' Ngelag ',' Sepe ',' Ping ',' Ping ',' Jump ',' Signal ',' Batang ',' Then ',' ilang ',' added ',' KeaLrhaan ',' ']</v>
      </c>
      <c r="D6286" s="3">
        <v>1.0</v>
      </c>
    </row>
    <row r="6287" ht="15.75" customHeight="1">
      <c r="A6287" s="1">
        <v>6712.0</v>
      </c>
      <c r="B6287" s="3" t="s">
        <v>6003</v>
      </c>
      <c r="C6287" s="3" t="str">
        <f>IFERROR(__xludf.DUMMYFUNCTION("GOOGLETRANSLATE(B6287,""id"",""en"")"),"['steady', 'signal', 'kalw', 'price', 'cheap', '']")</f>
        <v>['steady', 'signal', 'kalw', 'price', 'cheap', '']</v>
      </c>
      <c r="D6287" s="3">
        <v>5.0</v>
      </c>
    </row>
    <row r="6288" ht="15.75" customHeight="1">
      <c r="A6288" s="1">
        <v>6713.0</v>
      </c>
      <c r="B6288" s="3" t="s">
        <v>6004</v>
      </c>
      <c r="C6288" s="3" t="str">
        <f>IFERROR(__xludf.DUMMYFUNCTION("GOOGLETRANSLATE(B6288,""id"",""en"")"),"['gymna', 'siii', 'told', 'busting', 'seteleh', 'busting', 'ugly', 'application', 'payment', 'ovo', 'shopee', 'etc.' ASTAGAAA ',' Rich ',' Gini ',' I ',' Ogah ',' Between ',' Tired ',' App ',' Tekomsel ']")</f>
        <v>['gymna', 'siii', 'told', 'busting', 'seteleh', 'busting', 'ugly', 'application', 'payment', 'ovo', 'shopee', 'etc.' ASTAGAAA ',' Rich ',' Gini ',' I ',' Ogah ',' Between ',' Tired ',' App ',' Tekomsel ']</v>
      </c>
      <c r="D6288" s="3">
        <v>1.0</v>
      </c>
    </row>
    <row r="6289" ht="15.75" customHeight="1">
      <c r="A6289" s="1">
        <v>6714.0</v>
      </c>
      <c r="B6289" s="3" t="s">
        <v>6005</v>
      </c>
      <c r="C6289" s="3" t="str">
        <f>IFERROR(__xludf.DUMMYFUNCTION("GOOGLETRANSLATE(B6289,""id"",""en"")"),"['Kasi', 'Hot', 'promo', 'cheap', 'quota', 'smpe', 'moved', 'competitor']")</f>
        <v>['Kasi', 'Hot', 'promo', 'cheap', 'quota', 'smpe', 'moved', 'competitor']</v>
      </c>
      <c r="D6289" s="3">
        <v>2.0</v>
      </c>
    </row>
    <row r="6290" ht="15.75" customHeight="1">
      <c r="A6290" s="1">
        <v>6716.0</v>
      </c>
      <c r="B6290" s="3" t="s">
        <v>6006</v>
      </c>
      <c r="C6290" s="3" t="str">
        <f>IFERROR(__xludf.DUMMYFUNCTION("GOOGLETRANSLATE(B6290,""id"",""en"")"),"['subscription', 'game', 'pulse', 'sumps', 'run out', 'gmn', 'ngatasnya']")</f>
        <v>['subscription', 'game', 'pulse', 'sumps', 'run out', 'gmn', 'ngatasnya']</v>
      </c>
      <c r="D6290" s="3">
        <v>5.0</v>
      </c>
    </row>
    <row r="6291" ht="15.75" customHeight="1">
      <c r="A6291" s="1">
        <v>6717.0</v>
      </c>
      <c r="B6291" s="3" t="s">
        <v>6007</v>
      </c>
      <c r="C6291" s="3" t="str">
        <f>IFERROR(__xludf.DUMMYFUNCTION("GOOGLETRANSLATE(B6291,""id"",""en"")"),"['Please', 'fix', 'internet']")</f>
        <v>['Please', 'fix', 'internet']</v>
      </c>
      <c r="D6291" s="3">
        <v>3.0</v>
      </c>
    </row>
    <row r="6292" ht="15.75" customHeight="1">
      <c r="A6292" s="1">
        <v>6718.0</v>
      </c>
      <c r="B6292" s="3" t="s">
        <v>6008</v>
      </c>
      <c r="C6292" s="3" t="str">
        <f>IFERROR(__xludf.DUMMYFUNCTION("GOOGLETRANSLATE(B6292,""id"",""en"")"),"['already', 'Telkomsel', 'package', 'unlimited', 'youtube', 'no', 'conditions',' provisions', 'boundary', 'use', 'why', ' YouTube ',' aspect ',' BUMN ',' Gini ',' really ',' Gosh ',' already ',' capitalist ',' Banya ',' conspiracy ']")</f>
        <v>['already', 'Telkomsel', 'package', 'unlimited', 'youtube', 'no', 'conditions',' provisions', 'boundary', 'use', 'why', ' YouTube ',' aspect ',' BUMN ',' Gini ',' really ',' Gosh ',' already ',' capitalist ',' Banya ',' conspiracy ']</v>
      </c>
      <c r="D6292" s="3">
        <v>1.0</v>
      </c>
    </row>
    <row r="6293" ht="15.75" customHeight="1">
      <c r="A6293" s="1">
        <v>6719.0</v>
      </c>
      <c r="B6293" s="3" t="s">
        <v>6009</v>
      </c>
      <c r="C6293" s="3" t="str">
        <f>IFERROR(__xludf.DUMMYFUNCTION("GOOGLETRANSLATE(B6293,""id"",""en"")"),"['disappointed', 'service', 'Telkomsel', 'community', 'Papua', 'need', 'access',' internet ',' easy ',' equality ',' information ',' knowledge ',' Telkomsel ',' only ',' Proveder ',' has', 'connection', 'bad', 'price', 'package', 'towering', 'only', ""]")</f>
        <v>['disappointed', 'service', 'Telkomsel', 'community', 'Papua', 'need', 'access',' internet ',' easy ',' equality ',' information ',' knowledge ',' Telkomsel ',' only ',' Proveder ',' has', 'connection', 'bad', 'price', 'package', 'towering', 'only', "]</v>
      </c>
      <c r="D6293" s="3">
        <v>1.0</v>
      </c>
    </row>
    <row r="6294" ht="15.75" customHeight="1">
      <c r="A6294" s="1">
        <v>6720.0</v>
      </c>
      <c r="B6294" s="3" t="s">
        <v>6010</v>
      </c>
      <c r="C6294" s="3" t="str">
        <f>IFERROR(__xludf.DUMMYFUNCTION("GOOGLETRANSLATE(B6294,""id"",""en"")"),"['Telkomsel', 'Kayak', 'Gini', 'skrg', 'oath', 'bagusan', 'provider', 'price', 'cheap', 'bandingin', 'telkom', 'feel', ' Buy ',' quota ',' expensive ',' ']")</f>
        <v>['Telkomsel', 'Kayak', 'Gini', 'skrg', 'oath', 'bagusan', 'provider', 'price', 'cheap', 'bandingin', 'telkom', 'feel', ' Buy ',' quota ',' expensive ',' ']</v>
      </c>
      <c r="D6294" s="3">
        <v>1.0</v>
      </c>
    </row>
    <row r="6295" ht="15.75" customHeight="1">
      <c r="A6295" s="1">
        <v>6721.0</v>
      </c>
      <c r="B6295" s="3" t="s">
        <v>6011</v>
      </c>
      <c r="C6295" s="3" t="str">
        <f>IFERROR(__xludf.DUMMYFUNCTION("GOOGLETRANSLATE(B6295,""id"",""en"")"),"['Feature', 'Check', 'Application', 'Bug', 'Login', 'Login', 'Ngurn', 'Claim', 'Voucher', '']")</f>
        <v>['Feature', 'Check', 'Application', 'Bug', 'Login', 'Login', 'Ngurn', 'Claim', 'Voucher', '']</v>
      </c>
      <c r="D6295" s="3">
        <v>5.0</v>
      </c>
    </row>
    <row r="6296" ht="15.75" customHeight="1">
      <c r="A6296" s="1">
        <v>6722.0</v>
      </c>
      <c r="B6296" s="3" t="s">
        <v>6012</v>
      </c>
      <c r="C6296" s="3" t="str">
        <f>IFERROR(__xludf.DUMMYFUNCTION("GOOGLETRANSLATE(B6296,""id"",""en"")"),"['How', 'Log', 'Error', 'What', '']")</f>
        <v>['How', 'Log', 'Error', 'What', '']</v>
      </c>
      <c r="D6296" s="3">
        <v>1.0</v>
      </c>
    </row>
    <row r="6297" ht="15.75" customHeight="1">
      <c r="A6297" s="1">
        <v>6723.0</v>
      </c>
      <c r="B6297" s="3" t="s">
        <v>6013</v>
      </c>
      <c r="C6297" s="3" t="str">
        <f>IFERROR(__xludf.DUMMYFUNCTION("GOOGLETRANSLATE(B6297,""id"",""en"")"),"['package', 'internet', 'stay', 'a day', 'slow', 'signal', 'briefly', 'briefly', 'lost', 'quota']")</f>
        <v>['package', 'internet', 'stay', 'a day', 'slow', 'signal', 'briefly', 'briefly', 'lost', 'quota']</v>
      </c>
      <c r="D6297" s="3">
        <v>1.0</v>
      </c>
    </row>
    <row r="6298" ht="15.75" customHeight="1">
      <c r="A6298" s="1">
        <v>6724.0</v>
      </c>
      <c r="B6298" s="3" t="s">
        <v>6014</v>
      </c>
      <c r="C6298" s="3" t="str">
        <f>IFERROR(__xludf.DUMMYFUNCTION("GOOGLETRANSLATE(B6298,""id"",""en"")"),"['', 'Buk', 'brapa', 'owh', 'rb', 'unlimited', 'yes',' yes', 'okay', 'deh', 'week', 'thenn', 'ajg ',' Takaa ',' prepaid ',' unlimited ',' bangst ']")</f>
        <v>['', 'Buk', 'brapa', 'owh', 'rb', 'unlimited', 'yes',' yes', 'okay', 'deh', 'week', 'thenn', 'ajg ',' Takaa ',' prepaid ',' unlimited ',' bangst ']</v>
      </c>
      <c r="D6298" s="3">
        <v>1.0</v>
      </c>
    </row>
    <row r="6299" ht="15.75" customHeight="1">
      <c r="A6299" s="1">
        <v>6725.0</v>
      </c>
      <c r="B6299" s="3" t="s">
        <v>6015</v>
      </c>
      <c r="C6299" s="3" t="str">
        <f>IFERROR(__xludf.DUMMYFUNCTION("GOOGLETRANSLATE(B6299,""id"",""en"")"),"['buy', 'quota', 'expensive', 'exorbitant', 'signal', 'stable', 'lbih', 'tends',' ping ',' red ',' tlong ',' repaired ',' Where ',' kmi ',' mmberi ',' suggestion ',' criticism ',' tlong ',' responded ',' Thanks']")</f>
        <v>['buy', 'quota', 'expensive', 'exorbitant', 'signal', 'stable', 'lbih', 'tends',' ping ',' red ',' tlong ',' repaired ',' Where ',' kmi ',' mmberi ',' suggestion ',' criticism ',' tlong ',' responded ',' Thanks']</v>
      </c>
      <c r="D6299" s="3">
        <v>1.0</v>
      </c>
    </row>
    <row r="6300" ht="15.75" customHeight="1">
      <c r="A6300" s="1">
        <v>6726.0</v>
      </c>
      <c r="B6300" s="3" t="s">
        <v>6016</v>
      </c>
      <c r="C6300" s="3" t="str">
        <f>IFERROR(__xludf.DUMMYFUNCTION("GOOGLETRANSLATE(B6300,""id"",""en"")"),"['satisfying', 'mkasih', 'cell']")</f>
        <v>['satisfying', 'mkasih', 'cell']</v>
      </c>
      <c r="D6300" s="3">
        <v>5.0</v>
      </c>
    </row>
    <row r="6301" ht="15.75" customHeight="1">
      <c r="A6301" s="1">
        <v>6727.0</v>
      </c>
      <c r="B6301" s="3" t="s">
        <v>6017</v>
      </c>
      <c r="C6301" s="3" t="str">
        <f>IFERROR(__xludf.DUMMYFUNCTION("GOOGLETRANSLATE(B6301,""id"",""en"")"),"['already', 'good', 'boobs', 'cheap', 'little', '']")</f>
        <v>['already', 'good', 'boobs', 'cheap', 'little', '']</v>
      </c>
      <c r="D6301" s="3">
        <v>5.0</v>
      </c>
    </row>
    <row r="6302" ht="15.75" customHeight="1">
      <c r="A6302" s="1">
        <v>6728.0</v>
      </c>
      <c r="B6302" s="3" t="s">
        <v>6018</v>
      </c>
      <c r="C6302" s="3" t="str">
        <f>IFERROR(__xludf.DUMMYFUNCTION("GOOGLETRANSLATE(B6302,""id"",""en"")"),"['Package', 'self-help', 'special', 'corporate', 'ojol', 'fast', 'abis', ""]")</f>
        <v>['Package', 'self-help', 'special', 'corporate', 'ojol', 'fast', 'abis', "]</v>
      </c>
      <c r="D6302" s="3">
        <v>5.0</v>
      </c>
    </row>
    <row r="6303" ht="15.75" customHeight="1">
      <c r="A6303" s="1">
        <v>6729.0</v>
      </c>
      <c r="B6303" s="3" t="s">
        <v>6019</v>
      </c>
      <c r="C6303" s="3" t="str">
        <f>IFERROR(__xludf.DUMMYFUNCTION("GOOGLETRANSLATE(B6303,""id"",""en"")"),"['Good', 'fast', 'access', 'buyer', '']")</f>
        <v>['Good', 'fast', 'access', 'buyer', '']</v>
      </c>
      <c r="D6303" s="3">
        <v>5.0</v>
      </c>
    </row>
    <row r="6304" ht="15.75" customHeight="1">
      <c r="A6304" s="1">
        <v>6730.0</v>
      </c>
      <c r="B6304" s="3" t="s">
        <v>6020</v>
      </c>
      <c r="C6304" s="3" t="str">
        <f>IFERROR(__xludf.DUMMYFUNCTION("GOOGLETRANSLATE(B6304,""id"",""en"")"),"['', 'Update', 'Nambah', 'Akulaku', 'Telkomsel', 'Stand', ""]")</f>
        <v>['', 'Update', 'Nambah', 'Akulaku', 'Telkomsel', 'Stand', "]</v>
      </c>
      <c r="D6304" s="3">
        <v>1.0</v>
      </c>
    </row>
    <row r="6305" ht="15.75" customHeight="1">
      <c r="A6305" s="1">
        <v>6731.0</v>
      </c>
      <c r="B6305" s="3" t="s">
        <v>6021</v>
      </c>
      <c r="C6305" s="3" t="str">
        <f>IFERROR(__xludf.DUMMYFUNCTION("GOOGLETRANSLATE(B6305,""id"",""en"")"),"['signal', 'good', 'Telkomsel', 'tired', 'cave', 'pakek', 'telkomsel', 'package', 'expensive', 'according to', 'network', 'regret', ' oath ',' play ',' game ',' muter ',' muter ',' tower ',' near ',' try ',' yng ']")</f>
        <v>['signal', 'good', 'Telkomsel', 'tired', 'cave', 'pakek', 'telkomsel', 'package', 'expensive', 'according to', 'network', 'regret', ' oath ',' play ',' game ',' muter ',' muter ',' tower ',' near ',' try ',' yng ']</v>
      </c>
      <c r="D6305" s="3">
        <v>1.0</v>
      </c>
    </row>
    <row r="6306" ht="15.75" customHeight="1">
      <c r="A6306" s="1">
        <v>6732.0</v>
      </c>
      <c r="B6306" s="3" t="s">
        <v>6022</v>
      </c>
      <c r="C6306" s="3" t="str">
        <f>IFERROR(__xludf.DUMMYFUNCTION("GOOGLETRANSLATE(B6306,""id"",""en"")"),"['', 'ksih', 'star', 'sox', 'bonus',' sms', 'difficult', 'dgunakn', 'failed', 'send', 'bonus',' telephone ',' pulsa ',' Credit ',' truncated ',' cut ',' tlg ',' dlu ',' fix ',' program ',' packagex ',' tks']")</f>
        <v>['', 'ksih', 'star', 'sox', 'bonus',' sms', 'difficult', 'dgunakn', 'failed', 'send', 'bonus',' telephone ',' pulsa ',' Credit ',' truncated ',' cut ',' tlg ',' dlu ',' fix ',' program ',' packagex ',' tks']</v>
      </c>
      <c r="D6306" s="3">
        <v>1.0</v>
      </c>
    </row>
    <row r="6307" ht="15.75" customHeight="1">
      <c r="A6307" s="1">
        <v>6733.0</v>
      </c>
      <c r="B6307" s="3" t="s">
        <v>6023</v>
      </c>
      <c r="C6307" s="3" t="str">
        <f>IFERROR(__xludf.DUMMYFUNCTION("GOOGLETRANSLATE(B6307,""id"",""en"")"),"['Please', 'send', 'SMS', 'promotion', 'nsp', 'videomax', 'accept', 'times',' sms', 'annoying', 'need', 'service', ' NSP ',' VideoMax ',' ']")</f>
        <v>['Please', 'send', 'SMS', 'promotion', 'nsp', 'videomax', 'accept', 'times',' sms', 'annoying', 'need', 'service', ' NSP ',' VideoMax ',' ']</v>
      </c>
      <c r="D6307" s="3">
        <v>1.0</v>
      </c>
    </row>
    <row r="6308" ht="15.75" customHeight="1">
      <c r="A6308" s="1">
        <v>6734.0</v>
      </c>
      <c r="B6308" s="3" t="s">
        <v>6024</v>
      </c>
      <c r="C6308" s="3" t="str">
        <f>IFERROR(__xludf.DUMMYFUNCTION("GOOGLETRANSLATE(B6308,""id"",""en"")"),"['', 'down', 'rating', 'stable', 'signal', 'chek', 'auto', 'move', 'manual', 'fit', 'load', 'reset', 'respond ',' You ',' Proud of ',' Sorry ',' Error ',' System ',' Sorry ',' System ',' Press', 'Load', 'reset', 'respond', ""]")</f>
        <v>['', 'down', 'rating', 'stable', 'signal', 'chek', 'auto', 'move', 'manual', 'fit', 'load', 'reset', 'respond ',' You ',' Proud of ',' Sorry ',' Error ',' System ',' Sorry ',' System ',' Press', 'Load', 'reset', 'respond', "]</v>
      </c>
      <c r="D6308" s="3">
        <v>3.0</v>
      </c>
    </row>
    <row r="6309" ht="15.75" customHeight="1">
      <c r="A6309" s="1">
        <v>6735.0</v>
      </c>
      <c r="B6309" s="3" t="s">
        <v>137</v>
      </c>
      <c r="C6309" s="3" t="str">
        <f>IFERROR(__xludf.DUMMYFUNCTION("GOOGLETRANSLATE(B6309,""id"",""en"")"),"Of course")</f>
        <v>Of course</v>
      </c>
      <c r="D6309" s="3">
        <v>4.0</v>
      </c>
    </row>
    <row r="6310" ht="15.75" customHeight="1">
      <c r="A6310" s="1">
        <v>6736.0</v>
      </c>
      <c r="B6310" s="3" t="s">
        <v>6025</v>
      </c>
      <c r="C6310" s="3" t="str">
        <f>IFERROR(__xludf.DUMMYFUNCTION("GOOGLETRANSLATE(B6310,""id"",""en"")"),"['package', 'expensive', 'late', 'contents', 'package', 'direct', 'sucked', 'pulse', 'really']")</f>
        <v>['package', 'expensive', 'late', 'contents', 'package', 'direct', 'sucked', 'pulse', 'really']</v>
      </c>
      <c r="D6310" s="3">
        <v>1.0</v>
      </c>
    </row>
    <row r="6311" ht="15.75" customHeight="1">
      <c r="A6311" s="1">
        <v>6737.0</v>
      </c>
      <c r="B6311" s="3" t="s">
        <v>6026</v>
      </c>
      <c r="C6311" s="3" t="str">
        <f>IFERROR(__xludf.DUMMYFUNCTION("GOOGLETRANSLATE(B6311,""id"",""en"")"),"['Nambah', 'Severe', 'quota', 'internet', 'GB', 'update', 'telkmsl', 'already', 'card', 'already', 'signal', 'what', ' Suwe ',' Bener ']")</f>
        <v>['Nambah', 'Severe', 'quota', 'internet', 'GB', 'update', 'telkmsl', 'already', 'card', 'already', 'signal', 'what', ' Suwe ',' Bener ']</v>
      </c>
      <c r="D6311" s="3">
        <v>1.0</v>
      </c>
    </row>
    <row r="6312" ht="15.75" customHeight="1">
      <c r="A6312" s="1">
        <v>6738.0</v>
      </c>
      <c r="B6312" s="3" t="s">
        <v>137</v>
      </c>
      <c r="C6312" s="3" t="str">
        <f>IFERROR(__xludf.DUMMYFUNCTION("GOOGLETRANSLATE(B6312,""id"",""en"")"),"Of course")</f>
        <v>Of course</v>
      </c>
      <c r="D6312" s="3">
        <v>5.0</v>
      </c>
    </row>
    <row r="6313" ht="15.75" customHeight="1">
      <c r="A6313" s="1">
        <v>6739.0</v>
      </c>
      <c r="B6313" s="3" t="s">
        <v>6027</v>
      </c>
      <c r="C6313" s="3" t="str">
        <f>IFERROR(__xludf.DUMMYFUNCTION("GOOGLETRANSLATE(B6313,""id"",""en"")"),"['network', 'Telkomsel', 'difficult', 'according to', 'rates',' expensive ',' name ',' term ',' card ',' sultan ',' expensive ',' Service ',' bad ']")</f>
        <v>['network', 'Telkomsel', 'difficult', 'according to', 'rates',' expensive ',' name ',' term ',' card ',' sultan ',' expensive ',' Service ',' bad ']</v>
      </c>
      <c r="D6313" s="3">
        <v>1.0</v>
      </c>
    </row>
    <row r="6314" ht="15.75" customHeight="1">
      <c r="A6314" s="1">
        <v>6740.0</v>
      </c>
      <c r="B6314" s="3" t="s">
        <v>5886</v>
      </c>
      <c r="C6314" s="3" t="str">
        <f>IFERROR(__xludf.DUMMYFUNCTION("GOOGLETRANSLATE(B6314,""id"",""en"")"),"['try']")</f>
        <v>['try']</v>
      </c>
      <c r="D6314" s="3">
        <v>5.0</v>
      </c>
    </row>
    <row r="6315" ht="15.75" customHeight="1">
      <c r="A6315" s="1">
        <v>6741.0</v>
      </c>
      <c r="B6315" s="3" t="s">
        <v>122</v>
      </c>
      <c r="C6315" s="3" t="str">
        <f>IFERROR(__xludf.DUMMYFUNCTION("GOOGLETRANSLATE(B6315,""id"",""en"")"),"['easy']")</f>
        <v>['easy']</v>
      </c>
      <c r="D6315" s="3">
        <v>5.0</v>
      </c>
    </row>
    <row r="6316" ht="15.75" customHeight="1">
      <c r="A6316" s="1">
        <v>6742.0</v>
      </c>
      <c r="B6316" s="3" t="s">
        <v>6028</v>
      </c>
      <c r="C6316" s="3" t="str">
        <f>IFERROR(__xludf.DUMMYFUNCTION("GOOGLETRANSLATE(B6316,""id"",""en"")"),"['Friendly', 'user', 'buy', 'package', 'data', 'easy', 'failed', 'loading', 'open', 'application']")</f>
        <v>['Friendly', 'user', 'buy', 'package', 'data', 'easy', 'failed', 'loading', 'open', 'application']</v>
      </c>
      <c r="D6316" s="3">
        <v>5.0</v>
      </c>
    </row>
    <row r="6317" ht="15.75" customHeight="1">
      <c r="A6317" s="1">
        <v>6743.0</v>
      </c>
      <c r="B6317" s="3" t="s">
        <v>6029</v>
      </c>
      <c r="C6317" s="3" t="str">
        <f>IFERROR(__xludf.DUMMYFUNCTION("GOOGLETRANSLATE(B6317,""id"",""en"")"),"['Star', 'dlu', 'msh', 'monitored', 'signal', 'Telkomsel', 'skrg', 'slow']")</f>
        <v>['Star', 'dlu', 'msh', 'monitored', 'signal', 'Telkomsel', 'skrg', 'slow']</v>
      </c>
      <c r="D6317" s="3">
        <v>3.0</v>
      </c>
    </row>
    <row r="6318" ht="15.75" customHeight="1">
      <c r="A6318" s="1">
        <v>6744.0</v>
      </c>
      <c r="B6318" s="3" t="s">
        <v>6030</v>
      </c>
      <c r="C6318" s="3" t="str">
        <f>IFERROR(__xludf.DUMMYFUNCTION("GOOGLETRANSLATE(B6318,""id"",""en"")"),"['Good', 'easy', 'list', 'join it', 'help', 'application']")</f>
        <v>['Good', 'easy', 'list', 'join it', 'help', 'application']</v>
      </c>
      <c r="D6318" s="3">
        <v>5.0</v>
      </c>
    </row>
    <row r="6319" ht="15.75" customHeight="1">
      <c r="A6319" s="1">
        <v>6745.0</v>
      </c>
      <c r="B6319" s="3" t="s">
        <v>6031</v>
      </c>
      <c r="C6319" s="3" t="str">
        <f>IFERROR(__xludf.DUMMYFUNCTION("GOOGLETRANSLATE(B6319,""id"",""en"")"),"['mksh', 'Telkomsel', 'easy', 'check', 'package', 'pulse', 'kouta', 'like']")</f>
        <v>['mksh', 'Telkomsel', 'easy', 'check', 'package', 'pulse', 'kouta', 'like']</v>
      </c>
      <c r="D6319" s="3">
        <v>5.0</v>
      </c>
    </row>
    <row r="6320" ht="15.75" customHeight="1">
      <c r="A6320" s="1">
        <v>6746.0</v>
      </c>
      <c r="B6320" s="3" t="s">
        <v>6032</v>
      </c>
      <c r="C6320" s="3" t="str">
        <f>IFERROR(__xludf.DUMMYFUNCTION("GOOGLETRANSLATE(B6320,""id"",""en"")"),"['address', 'email', 'sendin', 'email', 'sent', 'emang', 'thank', 'pangaduan', 'criticism', 'closed', 'so', '']")</f>
        <v>['address', 'email', 'sendin', 'email', 'sent', 'emang', 'thank', 'pangaduan', 'criticism', 'closed', 'so', '']</v>
      </c>
      <c r="D6320" s="3">
        <v>1.0</v>
      </c>
    </row>
    <row r="6321" ht="15.75" customHeight="1">
      <c r="A6321" s="1">
        <v>6747.0</v>
      </c>
      <c r="B6321" s="3" t="s">
        <v>6033</v>
      </c>
      <c r="C6321" s="3" t="str">
        <f>IFERROR(__xludf.DUMMYFUNCTION("GOOGLETRANSLATE(B6321,""id"",""en"")"),"['Love', 'star', 'quota', 'emergency']")</f>
        <v>['Love', 'star', 'quota', 'emergency']</v>
      </c>
      <c r="D6321" s="3">
        <v>5.0</v>
      </c>
    </row>
    <row r="6322" ht="15.75" customHeight="1">
      <c r="A6322" s="1">
        <v>6748.0</v>
      </c>
      <c r="B6322" s="3" t="s">
        <v>6034</v>
      </c>
      <c r="C6322" s="3" t="str">
        <f>IFERROR(__xludf.DUMMYFUNCTION("GOOGLETRANSLATE(B6322,""id"",""en"")"),"['Prizes', 'hope', 'winner', '']")</f>
        <v>['Prizes', 'hope', 'winner', '']</v>
      </c>
      <c r="D6322" s="3">
        <v>5.0</v>
      </c>
    </row>
    <row r="6323" ht="15.75" customHeight="1">
      <c r="A6323" s="1">
        <v>6749.0</v>
      </c>
      <c r="B6323" s="3" t="s">
        <v>80</v>
      </c>
      <c r="C6323" s="3" t="str">
        <f>IFERROR(__xludf.DUMMYFUNCTION("GOOGLETRANSLATE(B6323,""id"",""en"")"),"['help', '']")</f>
        <v>['help', '']</v>
      </c>
      <c r="D6323" s="3">
        <v>5.0</v>
      </c>
    </row>
    <row r="6324" ht="15.75" customHeight="1">
      <c r="A6324" s="1">
        <v>6750.0</v>
      </c>
      <c r="B6324" s="3" t="s">
        <v>6035</v>
      </c>
      <c r="C6324" s="3" t="str">
        <f>IFERROR(__xludf.DUMMYFUNCTION("GOOGLETRANSLATE(B6324,""id"",""en"")"),"['contents', 'credit', 'missing', 'cave', 'no', 'debt', 'package', 'emergency', 'pulse', 'cave', 'cut "",' package ',' Emergency ',' in ',' SMS ',' Klau ',' Package ',' Emergency ',' Cave ',' Lunasin ',' mean ',' Try ',' Maling ',' Search ',' Fortunately "&amp;"' , 'Segitux', 'Switch', 'Network', 'smooth', 'slow', 'Maling', 'pulses', ""]")</f>
        <v>['contents', 'credit', 'missing', 'cave', 'no', 'debt', 'package', 'emergency', 'pulse', 'cave', 'cut ",' package ',' Emergency ',' in ',' SMS ',' Klau ',' Package ',' Emergency ',' Cave ',' Lunasin ',' mean ',' Try ',' Maling ',' Search ',' Fortunately ' , 'Segitux', 'Switch', 'Network', 'smooth', 'slow', 'Maling', 'pulses', "]</v>
      </c>
      <c r="D6324" s="3">
        <v>1.0</v>
      </c>
    </row>
    <row r="6325" ht="15.75" customHeight="1">
      <c r="A6325" s="1">
        <v>6751.0</v>
      </c>
      <c r="B6325" s="3" t="s">
        <v>6036</v>
      </c>
      <c r="C6325" s="3" t="str">
        <f>IFERROR(__xludf.DUMMYFUNCTION("GOOGLETRANSLATE(B6325,""id"",""en"")"),"['Application', 'Good', 'Thank you']")</f>
        <v>['Application', 'Good', 'Thank you']</v>
      </c>
      <c r="D6325" s="3">
        <v>5.0</v>
      </c>
    </row>
    <row r="6326" ht="15.75" customHeight="1">
      <c r="A6326" s="1">
        <v>6752.0</v>
      </c>
      <c r="B6326" s="3" t="s">
        <v>6037</v>
      </c>
      <c r="C6326" s="3" t="str">
        <f>IFERROR(__xludf.DUMMYFUNCTION("GOOGLETRANSLATE(B6326,""id"",""en"")"),"['Curhat', 'Telkomsel', 'many years',' Feel ',' quality ',' decreases', 'plump', 'price', 'quota', 'expensive', 'cutting', 'pulses',' Severe ',' signal ',' torn ',' lose ',' provider ',' please ',' repaired ',' ']")</f>
        <v>['Curhat', 'Telkomsel', 'many years',' Feel ',' quality ',' decreases', 'plump', 'price', 'quota', 'expensive', 'cutting', 'pulses',' Severe ',' signal ',' torn ',' lose ',' provider ',' please ',' repaired ',' ']</v>
      </c>
      <c r="D6326" s="3">
        <v>1.0</v>
      </c>
    </row>
    <row r="6327" ht="15.75" customHeight="1">
      <c r="A6327" s="1">
        <v>6753.0</v>
      </c>
      <c r="B6327" s="3" t="s">
        <v>6038</v>
      </c>
      <c r="C6327" s="3" t="str">
        <f>IFERROR(__xludf.DUMMYFUNCTION("GOOGLETRANSLATE(B6327,""id"",""en"")"),"['Buy', 'Change', 'Package', 'Served', '']")</f>
        <v>['Buy', 'Change', 'Package', 'Served', '']</v>
      </c>
      <c r="D6327" s="3">
        <v>1.0</v>
      </c>
    </row>
    <row r="6328" ht="15.75" customHeight="1">
      <c r="A6328" s="1">
        <v>6754.0</v>
      </c>
      <c r="B6328" s="3" t="s">
        <v>6039</v>
      </c>
      <c r="C6328" s="3" t="str">
        <f>IFERROR(__xludf.DUMMYFUNCTION("GOOGLETRANSLATE(B6328,""id"",""en"")"),"['Application', 'Service', 'Easy', 'Thank you', 'Telkomsel', ""]")</f>
        <v>['Application', 'Service', 'Easy', 'Thank you', 'Telkomsel', "]</v>
      </c>
      <c r="D6328" s="3">
        <v>5.0</v>
      </c>
    </row>
    <row r="6329" ht="15.75" customHeight="1">
      <c r="A6329" s="1">
        <v>6755.0</v>
      </c>
      <c r="B6329" s="3" t="s">
        <v>6040</v>
      </c>
      <c r="C6329" s="3" t="str">
        <f>IFERROR(__xludf.DUMMYFUNCTION("GOOGLETRANSLATE(B6329,""id"",""en"")"),"['Hopefully', 'application', 'bring', 'blessing', 'Amin', 'Rabbalalamin']")</f>
        <v>['Hopefully', 'application', 'bring', 'blessing', 'Amin', 'Rabbalalamin']</v>
      </c>
      <c r="D6329" s="3">
        <v>5.0</v>
      </c>
    </row>
    <row r="6330" ht="15.75" customHeight="1">
      <c r="A6330" s="1">
        <v>6756.0</v>
      </c>
      <c r="B6330" s="3" t="s">
        <v>6041</v>
      </c>
      <c r="C6330" s="3" t="str">
        <f>IFERROR(__xludf.DUMMYFUNCTION("GOOGLETRANSLATE(B6330,""id"",""en"")"),"['Cool', 'really', 'the application', 'like', 'really', 'no', 'complicated', ""]")</f>
        <v>['Cool', 'really', 'the application', 'like', 'really', 'no', 'complicated', "]</v>
      </c>
      <c r="D6330" s="3">
        <v>5.0</v>
      </c>
    </row>
    <row r="6331" ht="15.75" customHeight="1">
      <c r="A6331" s="1">
        <v>6757.0</v>
      </c>
      <c r="B6331" s="3" t="s">
        <v>6042</v>
      </c>
      <c r="C6331" s="3" t="str">
        <f>IFERROR(__xludf.DUMMYFUNCTION("GOOGLETRANSLATE(B6331,""id"",""en"")"),"['Constraints', 'anything']")</f>
        <v>['Constraints', 'anything']</v>
      </c>
      <c r="D6331" s="3">
        <v>5.0</v>
      </c>
    </row>
    <row r="6332" ht="15.75" customHeight="1">
      <c r="A6332" s="1">
        <v>6758.0</v>
      </c>
      <c r="B6332" s="3" t="s">
        <v>6043</v>
      </c>
      <c r="C6332" s="3" t="str">
        <f>IFERROR(__xludf.DUMMYFUNCTION("GOOGLETRANSLATE(B6332,""id"",""en"")"),"['Class',' Telkomsel ',' apk ',' ngelock ',' credit ',' lose ',' axis', 'the network', 'destroyed', 'price', 'expensive', 'severe', ' Waste ',' Untung ',' eman ', ""]")</f>
        <v>['Class',' Telkomsel ',' apk ',' ngelock ',' credit ',' lose ',' axis', 'the network', 'destroyed', 'price', 'expensive', 'severe', ' Waste ',' Untung ',' eman ', "]</v>
      </c>
      <c r="D6332" s="3">
        <v>1.0</v>
      </c>
    </row>
    <row r="6333" ht="15.75" customHeight="1">
      <c r="A6333" s="1">
        <v>6759.0</v>
      </c>
      <c r="B6333" s="3" t="s">
        <v>6044</v>
      </c>
      <c r="C6333" s="3" t="str">
        <f>IFERROR(__xludf.DUMMYFUNCTION("GOOGLETRANSLATE(B6333,""id"",""en"")"),"['APK', 'buy', 'package', 'internet', 'special', 'game', 'bonus',' quota ',' main ',' quota ',' main ',' abis', ' Quota ',' Game ',' Gunain ',' Purpose ',' Sis', 'Expensive', 'Doang', 'Jan', 'Money', 'Thinking', 'Sis']")</f>
        <v>['APK', 'buy', 'package', 'internet', 'special', 'game', 'bonus',' quota ',' main ',' quota ',' main ',' abis', ' Quota ',' Game ',' Gunain ',' Purpose ',' Sis', 'Expensive', 'Doang', 'Jan', 'Money', 'Thinking', 'Sis']</v>
      </c>
      <c r="D6333" s="3">
        <v>1.0</v>
      </c>
    </row>
    <row r="6334" ht="15.75" customHeight="1">
      <c r="A6334" s="1">
        <v>6760.0</v>
      </c>
      <c r="B6334" s="3" t="s">
        <v>6045</v>
      </c>
      <c r="C6334" s="3" t="str">
        <f>IFERROR(__xludf.DUMMYFUNCTION("GOOGLETRANSLATE(B6334,""id"",""en"")"),"['Fasting', 'internet', 'expensive', 'quality', 'network', 'abal', 'abal']")</f>
        <v>['Fasting', 'internet', 'expensive', 'quality', 'network', 'abal', 'abal']</v>
      </c>
      <c r="D6334" s="3">
        <v>1.0</v>
      </c>
    </row>
    <row r="6335" ht="15.75" customHeight="1">
      <c r="A6335" s="1">
        <v>6761.0</v>
      </c>
      <c r="B6335" s="3" t="s">
        <v>323</v>
      </c>
      <c r="C6335" s="3" t="str">
        <f>IFERROR(__xludf.DUMMYFUNCTION("GOOGLETRANSLATE(B6335,""id"",""en"")"),"['Telkomsel']")</f>
        <v>['Telkomsel']</v>
      </c>
      <c r="D6335" s="3">
        <v>5.0</v>
      </c>
    </row>
    <row r="6336" ht="15.75" customHeight="1">
      <c r="A6336" s="1">
        <v>6762.0</v>
      </c>
      <c r="B6336" s="3" t="s">
        <v>6046</v>
      </c>
      <c r="C6336" s="3" t="str">
        <f>IFERROR(__xludf.DUMMYFUNCTION("GOOGLETRANSLATE(B6336,""id"",""en"")"),"['efficient', 'checks', 'pulse', 'quota', 'make it easy', 'buy', 'package']")</f>
        <v>['efficient', 'checks', 'pulse', 'quota', 'make it easy', 'buy', 'package']</v>
      </c>
      <c r="D6336" s="3">
        <v>5.0</v>
      </c>
    </row>
    <row r="6337" ht="15.75" customHeight="1">
      <c r="A6337" s="1">
        <v>6763.0</v>
      </c>
      <c r="B6337" s="3" t="s">
        <v>6047</v>
      </c>
      <c r="C6337" s="3" t="str">
        <f>IFERROR(__xludf.DUMMYFUNCTION("GOOGLETRANSLATE(B6337,""id"",""en"")"),"['Help', 'charging', 'quota', 'pulse', 'good', '']")</f>
        <v>['Help', 'charging', 'quota', 'pulse', 'good', '']</v>
      </c>
      <c r="D6337" s="3">
        <v>4.0</v>
      </c>
    </row>
    <row r="6338" ht="15.75" customHeight="1">
      <c r="A6338" s="1">
        <v>6765.0</v>
      </c>
      <c r="B6338" s="3" t="s">
        <v>6048</v>
      </c>
      <c r="C6338" s="3" t="str">
        <f>IFERROR(__xludf.DUMMYFUNCTION("GOOGLETRANSLATE(B6338,""id"",""en"")"),"['Loging', 'aka', 'slow', 'open']")</f>
        <v>['Loging', 'aka', 'slow', 'open']</v>
      </c>
      <c r="D6338" s="3">
        <v>2.0</v>
      </c>
    </row>
    <row r="6339" ht="15.75" customHeight="1">
      <c r="A6339" s="1">
        <v>6766.0</v>
      </c>
      <c r="B6339" s="3" t="s">
        <v>6049</v>
      </c>
      <c r="C6339" s="3" t="str">
        <f>IFERROR(__xludf.DUMMYFUNCTION("GOOGLETRANSLATE(B6339,""id"",""en"")"),"['', 'check', 'gift', 'vocer', 'gmn', 'use', '']")</f>
        <v>['', 'check', 'gift', 'vocer', 'gmn', 'use', '']</v>
      </c>
      <c r="D6339" s="3">
        <v>4.0</v>
      </c>
    </row>
    <row r="6340" ht="15.75" customHeight="1">
      <c r="A6340" s="1">
        <v>6768.0</v>
      </c>
      <c r="B6340" s="3" t="s">
        <v>6050</v>
      </c>
      <c r="C6340" s="3" t="str">
        <f>IFERROR(__xludf.DUMMYFUNCTION("GOOGLETRANSLATE(B6340,""id"",""en"")"),"['Cool', 'Please', 'Menu', 'Package', 'Special', 'Call', 'Change', 'Price']")</f>
        <v>['Cool', 'Please', 'Menu', 'Package', 'Special', 'Call', 'Change', 'Price']</v>
      </c>
      <c r="D6340" s="3">
        <v>5.0</v>
      </c>
    </row>
    <row r="6341" ht="15.75" customHeight="1">
      <c r="A6341" s="1">
        <v>6770.0</v>
      </c>
      <c r="B6341" s="3" t="s">
        <v>3886</v>
      </c>
      <c r="C6341" s="3" t="str">
        <f>IFERROR(__xludf.DUMMYFUNCTION("GOOGLETRANSLATE(B6341,""id"",""en"")"),"['good', '']")</f>
        <v>['good', '']</v>
      </c>
      <c r="D6341" s="3">
        <v>5.0</v>
      </c>
    </row>
    <row r="6342" ht="15.75" customHeight="1">
      <c r="A6342" s="1">
        <v>6771.0</v>
      </c>
      <c r="B6342" s="3" t="s">
        <v>6051</v>
      </c>
      <c r="C6342" s="3" t="str">
        <f>IFERROR(__xludf.DUMMYFUNCTION("GOOGLETRANSLATE(B6342,""id"",""en"")"),"['pulse', 'missing', 'loss',' tens', 'rupiah', 'person', 'conscious',' noticed ',' reduced ',' right ',' checked ',' statement ',' Usage ',' Internet ',' SIM ',' Card ',' Used ',' Provider ',' Telephone ',' Enter ',' Telephone ',' Home ',' Pulsaku ',' Suc"&amp;"ked ',' People ' , 'telephone', 'approval', 'credit', 'charged', 'receiver', ""]")</f>
        <v>['pulse', 'missing', 'loss',' tens', 'rupiah', 'person', 'conscious',' noticed ',' reduced ',' right ',' checked ',' statement ',' Usage ',' Internet ',' SIM ',' Card ',' Used ',' Provider ',' Telephone ',' Enter ',' Telephone ',' Home ',' Pulsaku ',' Sucked ',' People ' , 'telephone', 'approval', 'credit', 'charged', 'receiver', "]</v>
      </c>
      <c r="D6342" s="3">
        <v>1.0</v>
      </c>
    </row>
    <row r="6343" ht="15.75" customHeight="1">
      <c r="A6343" s="1">
        <v>6772.0</v>
      </c>
      <c r="B6343" s="3" t="s">
        <v>6052</v>
      </c>
      <c r="C6343" s="3" t="str">
        <f>IFERROR(__xludf.DUMMYFUNCTION("GOOGLETRANSLATE(B6343,""id"",""en"")"),"['Steady', 'Telkomsel', 'easy']")</f>
        <v>['Steady', 'Telkomsel', 'easy']</v>
      </c>
      <c r="D6343" s="3">
        <v>5.0</v>
      </c>
    </row>
    <row r="6344" ht="15.75" customHeight="1">
      <c r="A6344" s="1">
        <v>6774.0</v>
      </c>
      <c r="B6344" s="3" t="s">
        <v>6053</v>
      </c>
      <c r="C6344" s="3" t="str">
        <f>IFERROR(__xludf.DUMMYFUNCTION("GOOGLETRANSLATE(B6344,""id"",""en"")"),"['Sell', 'Advertising', 'boss',' buy ',' package ',' game ',' max ',' used ',' digame ',' network ',' down ',' rot ',' Telkomsel ']")</f>
        <v>['Sell', 'Advertising', 'boss',' buy ',' package ',' game ',' max ',' used ',' digame ',' network ',' down ',' rot ',' Telkomsel ']</v>
      </c>
      <c r="D6344" s="3">
        <v>1.0</v>
      </c>
    </row>
    <row r="6345" ht="15.75" customHeight="1">
      <c r="A6345" s="1">
        <v>6775.0</v>
      </c>
      <c r="B6345" s="3" t="s">
        <v>6054</v>
      </c>
      <c r="C6345" s="3" t="str">
        <f>IFERROR(__xludf.DUMMYFUNCTION("GOOGLETRANSLATE(B6345,""id"",""en"")"),"['', 'Telkomsel', 'sii', 'fill in', 'pulse', 'yesterday', 'take', 'pulses',' make ',' wifi ',' mode ',' plane ',' turn on ',' Data ',' take ',' oath ',' sii ',' loss', ""]")</f>
        <v>['', 'Telkomsel', 'sii', 'fill in', 'pulse', 'yesterday', 'take', 'pulses',' make ',' wifi ',' mode ',' plane ',' turn on ',' Data ',' take ',' oath ',' sii ',' loss', "]</v>
      </c>
      <c r="D6345" s="3">
        <v>2.0</v>
      </c>
    </row>
    <row r="6346" ht="15.75" customHeight="1">
      <c r="A6346" s="1">
        <v>6776.0</v>
      </c>
      <c r="B6346" s="3" t="s">
        <v>6055</v>
      </c>
      <c r="C6346" s="3" t="str">
        <f>IFERROR(__xludf.DUMMYFUNCTION("GOOGLETRANSLATE(B6346,""id"",""en"")"),"['Ntar']")</f>
        <v>['Ntar']</v>
      </c>
      <c r="D6346" s="3">
        <v>3.0</v>
      </c>
    </row>
    <row r="6347" ht="15.75" customHeight="1">
      <c r="A6347" s="1">
        <v>6777.0</v>
      </c>
      <c r="B6347" s="3" t="s">
        <v>6056</v>
      </c>
      <c r="C6347" s="3" t="str">
        <f>IFERROR(__xludf.DUMMYFUNCTION("GOOGLETRANSLATE(B6347,""id"",""en"")"),"['Disappointed', 'signal', 'error', 'ugly', 'Telkomsel', 'skrng', 'wear', 'Telkomsel', 'skrng', 'ngk', 'thank', 'love']")</f>
        <v>['Disappointed', 'signal', 'error', 'ugly', 'Telkomsel', 'skrng', 'wear', 'Telkomsel', 'skrng', 'ngk', 'thank', 'love']</v>
      </c>
      <c r="D6347" s="3">
        <v>1.0</v>
      </c>
    </row>
    <row r="6348" ht="15.75" customHeight="1">
      <c r="A6348" s="1">
        <v>6778.0</v>
      </c>
      <c r="B6348" s="3" t="s">
        <v>6057</v>
      </c>
      <c r="C6348" s="3" t="str">
        <f>IFERROR(__xludf.DUMMYFUNCTION("GOOGLETRANSLATE(B6348,""id"",""en"")"),"['', 'APK', 'Playleter', 'update']")</f>
        <v>['', 'APK', 'Playleter', 'update']</v>
      </c>
      <c r="D6348" s="3">
        <v>1.0</v>
      </c>
    </row>
    <row r="6349" ht="15.75" customHeight="1">
      <c r="A6349" s="1">
        <v>6779.0</v>
      </c>
      <c r="B6349" s="3" t="s">
        <v>6058</v>
      </c>
      <c r="C6349" s="3" t="str">
        <f>IFERROR(__xludf.DUMMYFUNCTION("GOOGLETRANSLATE(B6349,""id"",""en"")"),"['INSA', 'God', 'sustenance', 'Layi', 'Undi', 'Hepi', 'motorbike', 'NMX', 'Hopefully', 'reached', 'Under year', 'Telkomsel', ' aamiin ',' rabbal ',' alamin ']")</f>
        <v>['INSA', 'God', 'sustenance', 'Layi', 'Undi', 'Hepi', 'motorbike', 'NMX', 'Hopefully', 'reached', 'Under year', 'Telkomsel', ' aamiin ',' rabbal ',' alamin ']</v>
      </c>
      <c r="D6349" s="3">
        <v>5.0</v>
      </c>
    </row>
    <row r="6350" ht="15.75" customHeight="1">
      <c r="A6350" s="1">
        <v>6780.0</v>
      </c>
      <c r="B6350" s="3" t="s">
        <v>6059</v>
      </c>
      <c r="C6350" s="3" t="str">
        <f>IFERROR(__xludf.DUMMYFUNCTION("GOOGLETRANSLATE(B6350,""id"",""en"")"),"['expensive', 'doang', 'lag']")</f>
        <v>['expensive', 'doang', 'lag']</v>
      </c>
      <c r="D6350" s="3">
        <v>1.0</v>
      </c>
    </row>
    <row r="6351" ht="15.75" customHeight="1">
      <c r="A6351" s="1">
        <v>6781.0</v>
      </c>
      <c r="B6351" s="3" t="s">
        <v>1982</v>
      </c>
      <c r="C6351" s="3" t="str">
        <f>IFERROR(__xludf.DUMMYFUNCTION("GOOGLETRANSLATE(B6351,""id"",""en"")"),"['signal', 'stable']")</f>
        <v>['signal', 'stable']</v>
      </c>
      <c r="D6351" s="3">
        <v>1.0</v>
      </c>
    </row>
    <row r="6352" ht="15.75" customHeight="1">
      <c r="A6352" s="1">
        <v>6782.0</v>
      </c>
      <c r="B6352" s="3" t="s">
        <v>6060</v>
      </c>
      <c r="C6352" s="3" t="str">
        <f>IFERROR(__xludf.DUMMYFUNCTION("GOOGLETRANSLATE(B6352,""id"",""en"")"),"['expensive', 'doang', 'quality', 'kek', 'pig']")</f>
        <v>['expensive', 'doang', 'quality', 'kek', 'pig']</v>
      </c>
      <c r="D6352" s="3">
        <v>1.0</v>
      </c>
    </row>
    <row r="6353" ht="15.75" customHeight="1">
      <c r="A6353" s="1">
        <v>6783.0</v>
      </c>
      <c r="B6353" s="3" t="s">
        <v>6061</v>
      </c>
      <c r="C6353" s="3" t="str">
        <f>IFERROR(__xludf.DUMMYFUNCTION("GOOGLETRANSLATE(B6353,""id"",""en"")"),"['Terbimah', 'love', 'because', 'fix', 'bug', '']")</f>
        <v>['Terbimah', 'love', 'because', 'fix', 'bug', '']</v>
      </c>
      <c r="D6353" s="3">
        <v>5.0</v>
      </c>
    </row>
    <row r="6354" ht="15.75" customHeight="1">
      <c r="A6354" s="1">
        <v>6784.0</v>
      </c>
      <c r="B6354" s="3" t="s">
        <v>6062</v>
      </c>
      <c r="C6354" s="3" t="str">
        <f>IFERROR(__xludf.DUMMYFUNCTION("GOOGLETRANSLATE(B6354,""id"",""en"")"),"['Network', 'pig', 'teach', 'network', 'stable', 'BECUS', 'sell', 'package', 'buy', 'package', 'owe', 'jingan', ' Kek ',' Pampek ']")</f>
        <v>['Network', 'pig', 'teach', 'network', 'stable', 'BECUS', 'sell', 'package', 'buy', 'package', 'owe', 'jingan', ' Kek ',' Pampek ']</v>
      </c>
      <c r="D6354" s="3">
        <v>1.0</v>
      </c>
    </row>
    <row r="6355" ht="15.75" customHeight="1">
      <c r="A6355" s="1">
        <v>6785.0</v>
      </c>
      <c r="B6355" s="3" t="s">
        <v>6063</v>
      </c>
      <c r="C6355" s="3" t="str">
        <f>IFERROR(__xludf.DUMMYFUNCTION("GOOGLETRANSLATE(B6355,""id"",""en"")"),"['', 'check', 'package', 'entry', 'kayak', 'buy', 'open', 'Facebook', 'Instagram', 'WhatsApp', 'Tiktok', 'etc.', 'TPI ',' skrng ',' strange ',' times', 'APK', 'check', 'udh', 'run out', 'run out', 'repeated', 'lgi', 'check', 'mean', 'How', 'please', 'Telk"&amp;"omsel']")</f>
        <v>['', 'check', 'package', 'entry', 'kayak', 'buy', 'open', 'Facebook', 'Instagram', 'WhatsApp', 'Tiktok', 'etc.', 'TPI ',' skrng ',' strange ',' times', 'APK', 'check', 'udh', 'run out', 'run out', 'repeated', 'lgi', 'check', 'mean', 'How', 'please', 'Telkomsel']</v>
      </c>
      <c r="D6355" s="3">
        <v>1.0</v>
      </c>
    </row>
    <row r="6356" ht="15.75" customHeight="1">
      <c r="A6356" s="1">
        <v>6786.0</v>
      </c>
      <c r="B6356" s="3" t="s">
        <v>6064</v>
      </c>
      <c r="C6356" s="3" t="str">
        <f>IFERROR(__xludf.DUMMYFUNCTION("GOOGLETRANSLATE(B6356,""id"",""en"")"),"['oath', 'Disappointed', 'Telkomsel', 'Network', 'missing', 'Mulu', 'Opeakator', 'competition', 'race', 'fix', 'quality', 'network', ' Telkomsel ',' Bad ',' Telkomsel ',' Severe ',' Severe ',' Severe ',' ']")</f>
        <v>['oath', 'Disappointed', 'Telkomsel', 'Network', 'missing', 'Mulu', 'Opeakator', 'competition', 'race', 'fix', 'quality', 'network', ' Telkomsel ',' Bad ',' Telkomsel ',' Severe ',' Severe ',' Severe ',' ']</v>
      </c>
      <c r="D6356" s="3">
        <v>1.0</v>
      </c>
    </row>
    <row r="6357" ht="15.75" customHeight="1">
      <c r="A6357" s="1">
        <v>6787.0</v>
      </c>
      <c r="B6357" s="3" t="s">
        <v>6065</v>
      </c>
      <c r="C6357" s="3" t="str">
        <f>IFERROR(__xludf.DUMMYFUNCTION("GOOGLETRANSLATE(B6357,""id"",""en"")"),"['easy', 'uses', 'check', 'pulse', 'kuwota']")</f>
        <v>['easy', 'uses', 'check', 'pulse', 'kuwota']</v>
      </c>
      <c r="D6357" s="3">
        <v>5.0</v>
      </c>
    </row>
    <row r="6358" ht="15.75" customHeight="1">
      <c r="A6358" s="1">
        <v>6788.0</v>
      </c>
      <c r="B6358" s="3" t="s">
        <v>6066</v>
      </c>
      <c r="C6358" s="3" t="str">
        <f>IFERROR(__xludf.DUMMYFUNCTION("GOOGLETRANSLATE(B6358,""id"",""en"")"),"['system', 'network', 'stable', ""]")</f>
        <v>['system', 'network', 'stable', "]</v>
      </c>
      <c r="D6358" s="3">
        <v>5.0</v>
      </c>
    </row>
    <row r="6359" ht="15.75" customHeight="1">
      <c r="A6359" s="1">
        <v>6789.0</v>
      </c>
      <c r="B6359" s="3" t="s">
        <v>6067</v>
      </c>
      <c r="C6359" s="3" t="str">
        <f>IFERROR(__xludf.DUMMYFUNCTION("GOOGLETRANSLATE(B6359,""id"",""en"")"),"['', 'Play', 'Mobile', 'Legend', 'Signal', 'Telkomsel', 'Stuck', 'Loading', 'Screen', 'Mulu', 'Change', 'Card', "" ]")</f>
        <v>['', 'Play', 'Mobile', 'Legend', 'Signal', 'Telkomsel', 'Stuck', 'Loading', 'Screen', 'Mulu', 'Change', 'Card', " ]</v>
      </c>
      <c r="D6359" s="3">
        <v>2.0</v>
      </c>
    </row>
    <row r="6360" ht="15.75" customHeight="1">
      <c r="A6360" s="1">
        <v>6790.0</v>
      </c>
      <c r="B6360" s="3" t="s">
        <v>6068</v>
      </c>
      <c r="C6360" s="3" t="str">
        <f>IFERROR(__xludf.DUMMYFUNCTION("GOOGLETRANSLATE(B6360,""id"",""en"")"),"['signal', 'Telkomsel', 'ugly', 'Play', 'Bideo', 'Daridulu', 'no', 'obstacles', ""]")</f>
        <v>['signal', 'Telkomsel', 'ugly', 'Play', 'Bideo', 'Daridulu', 'no', 'obstacles', "]</v>
      </c>
      <c r="D6360" s="3">
        <v>1.0</v>
      </c>
    </row>
    <row r="6361" ht="15.75" customHeight="1">
      <c r="A6361" s="1">
        <v>6791.0</v>
      </c>
      <c r="B6361" s="3" t="s">
        <v>6069</v>
      </c>
      <c r="C6361" s="3" t="str">
        <f>IFERROR(__xludf.DUMMYFUNCTION("GOOGLETRANSLATE(B6361,""id"",""en"")"),"['quota', 'ilang', 'already', 'complain', 'answer', 'cs', 'connected', ""]")</f>
        <v>['quota', 'ilang', 'already', 'complain', 'answer', 'cs', 'connected', "]</v>
      </c>
      <c r="D6361" s="3">
        <v>1.0</v>
      </c>
    </row>
    <row r="6362" ht="15.75" customHeight="1">
      <c r="A6362" s="1">
        <v>6792.0</v>
      </c>
      <c r="B6362" s="3" t="s">
        <v>6070</v>
      </c>
      <c r="C6362" s="3" t="str">
        <f>IFERROR(__xludf.DUMMYFUNCTION("GOOGLETRANSLATE(B6362,""id"",""en"")"),"['expensive', 'Doang', 'card', 'Telkomsel', 'TPI', 'Jaringn', 'Kek', 'Taik']")</f>
        <v>['expensive', 'Doang', 'card', 'Telkomsel', 'TPI', 'Jaringn', 'Kek', 'Taik']</v>
      </c>
      <c r="D6362" s="3">
        <v>1.0</v>
      </c>
    </row>
    <row r="6363" ht="15.75" customHeight="1">
      <c r="A6363" s="1">
        <v>6793.0</v>
      </c>
      <c r="B6363" s="3" t="s">
        <v>6071</v>
      </c>
      <c r="C6363" s="3" t="str">
        <f>IFERROR(__xludf.DUMMYFUNCTION("GOOGLETRANSLATE(B6363,""id"",""en"")"),"['apk', 'good', 'bgus']")</f>
        <v>['apk', 'good', 'bgus']</v>
      </c>
      <c r="D6363" s="3">
        <v>5.0</v>
      </c>
    </row>
    <row r="6364" ht="15.75" customHeight="1">
      <c r="A6364" s="1">
        <v>6794.0</v>
      </c>
      <c r="B6364" s="3" t="s">
        <v>6072</v>
      </c>
      <c r="C6364" s="3" t="str">
        <f>IFERROR(__xludf.DUMMYFUNCTION("GOOGLETRANSLATE(B6364,""id"",""en"")"),"['', 'City', 'Palembang', 'Region', 'Gandus',' Use ',' Card ',' Telkomsel ',' NGK ',' Signal ',' Play ',' Gaem ',' Ngk ',' Over ',' use ',' card ',' Telkom ',' card ',' Hello ',' signal ',' missing ',' missing ',' sometimes', 'sometimes',' NGK ', '']")</f>
        <v>['', 'City', 'Palembang', 'Region', 'Gandus',' Use ',' Card ',' Telkomsel ',' NGK ',' Signal ',' Play ',' Gaem ',' Ngk ',' Over ',' use ',' card ',' Telkom ',' card ',' Hello ',' signal ',' missing ',' missing ',' sometimes', 'sometimes',' NGK ', '']</v>
      </c>
      <c r="D6364" s="3">
        <v>1.0</v>
      </c>
    </row>
    <row r="6365" ht="15.75" customHeight="1">
      <c r="A6365" s="1">
        <v>6795.0</v>
      </c>
      <c r="B6365" s="3" t="s">
        <v>6073</v>
      </c>
      <c r="C6365" s="3" t="str">
        <f>IFERROR(__xludf.DUMMYFUNCTION("GOOGLETRANSLATE(B6365,""id"",""en"")"),"['Network', 'garbage', 'price', 'expensive']")</f>
        <v>['Network', 'garbage', 'price', 'expensive']</v>
      </c>
      <c r="D6365" s="3">
        <v>1.0</v>
      </c>
    </row>
    <row r="6366" ht="15.75" customHeight="1">
      <c r="A6366" s="1">
        <v>6796.0</v>
      </c>
      <c r="B6366" s="3" t="s">
        <v>6074</v>
      </c>
      <c r="C6366" s="3" t="str">
        <f>IFERROR(__xludf.DUMMYFUNCTION("GOOGLETRANSLATE(B6366,""id"",""en"")"),"['buy', 'package', 'expensive', 'network', 'ugly', 'really', 'bangse', 'emang', 'telkomsel', 'telephone', 'broke', 'dead', ' Signal ',' strong ',' then ',' out ',' wrong ', ""]")</f>
        <v>['buy', 'package', 'expensive', 'network', 'ugly', 'really', 'bangse', 'emang', 'telkomsel', 'telephone', 'broke', 'dead', ' Signal ',' strong ',' then ',' out ',' wrong ', "]</v>
      </c>
      <c r="D6366" s="3">
        <v>1.0</v>
      </c>
    </row>
    <row r="6367" ht="15.75" customHeight="1">
      <c r="A6367" s="1">
        <v>6797.0</v>
      </c>
      <c r="B6367" s="3" t="s">
        <v>6075</v>
      </c>
      <c r="C6367" s="3" t="str">
        <f>IFERROR(__xludf.DUMMYFUNCTION("GOOGLETRANSLATE(B6367,""id"",""en"")"),"['Network', 'ugly', 'upgrade', 'package', 'card', 'Hallo', 'destroyed', 'network', 'quota', 'checked', 'app', 'Telkomsel', ' network ',' normal ',' emang ',' threatened ',' app ',' ']")</f>
        <v>['Network', 'ugly', 'upgrade', 'package', 'card', 'Hallo', 'destroyed', 'network', 'quota', 'checked', 'app', 'Telkomsel', ' network ',' normal ',' emang ',' threatened ',' app ',' ']</v>
      </c>
      <c r="D6367" s="3">
        <v>1.0</v>
      </c>
    </row>
    <row r="6368" ht="15.75" customHeight="1">
      <c r="A6368" s="1">
        <v>6798.0</v>
      </c>
      <c r="B6368" s="3" t="s">
        <v>6076</v>
      </c>
      <c r="C6368" s="3" t="str">
        <f>IFERROR(__xludf.DUMMYFUNCTION("GOOGLETRANSLATE(B6368,""id"",""en"")"),"['UDH', 'Kapok', 'Follow', 'Telkomsel', 'Points',' Disappointed ',' Exchange ',' Points', 'Sampe', 'Coupon', 'Lottery', 'Win', ' his pants', 'Exchange', 'promo', 'embossed', 'process',' draw ',' Telkomsel ',' Points', 'Fairplay', 'Show', 'process',' plus'"&amp;", 'hope' , 'Material', 'Consideration', 'Telkomsel', 'Kedep', '']")</f>
        <v>['UDH', 'Kapok', 'Follow', 'Telkomsel', 'Points',' Disappointed ',' Exchange ',' Points', 'Sampe', 'Coupon', 'Lottery', 'Win', ' his pants', 'Exchange', 'promo', 'embossed', 'process',' draw ',' Telkomsel ',' Points', 'Fairplay', 'Show', 'process',' plus', 'hope' , 'Material', 'Consideration', 'Telkomsel', 'Kedep', '']</v>
      </c>
      <c r="D6368" s="3">
        <v>1.0</v>
      </c>
    </row>
    <row r="6369" ht="15.75" customHeight="1">
      <c r="A6369" s="1">
        <v>6799.0</v>
      </c>
      <c r="B6369" s="3" t="s">
        <v>6077</v>
      </c>
      <c r="C6369" s="3" t="str">
        <f>IFERROR(__xludf.DUMMYFUNCTION("GOOGLETRANSLATE(B6369,""id"",""en"")"),"['signal', 'Telkomsel', 'bad', 'broken', 'please', 'expansion', 'network', ""]")</f>
        <v>['signal', 'Telkomsel', 'bad', 'broken', 'please', 'expansion', 'network', "]</v>
      </c>
      <c r="D6369" s="3">
        <v>1.0</v>
      </c>
    </row>
    <row r="6370" ht="15.75" customHeight="1">
      <c r="A6370" s="1">
        <v>6800.0</v>
      </c>
      <c r="B6370" s="3" t="s">
        <v>6078</v>
      </c>
      <c r="C6370" s="3" t="str">
        <f>IFERROR(__xludf.DUMMYFUNCTION("GOOGLETRANSLATE(B6370,""id"",""en"")"),"['understand']")</f>
        <v>['understand']</v>
      </c>
      <c r="D6370" s="3">
        <v>5.0</v>
      </c>
    </row>
    <row r="6371" ht="15.75" customHeight="1">
      <c r="A6371" s="1">
        <v>6801.0</v>
      </c>
      <c r="B6371" s="3" t="s">
        <v>6079</v>
      </c>
      <c r="C6371" s="3" t="str">
        <f>IFERROR(__xludf.DUMMYFUNCTION("GOOGLETRANSLATE(B6371,""id"",""en"")"),"['quota', 'internet', 'play', 'game', 'difficult', 'really', 'loby', 'game', 'signal', 'good', 'really', 'right', ' Play ',' rich ',' quota ',' run out ',' right ',' check ',' bngt ',' cellphone ',' obstacle ',' ']")</f>
        <v>['quota', 'internet', 'play', 'game', 'difficult', 'really', 'loby', 'game', 'signal', 'good', 'really', 'right', ' Play ',' rich ',' quota ',' run out ',' right ',' check ',' bngt ',' cellphone ',' obstacle ',' ']</v>
      </c>
      <c r="D6371" s="3">
        <v>1.0</v>
      </c>
    </row>
    <row r="6372" ht="15.75" customHeight="1">
      <c r="A6372" s="1">
        <v>6802.0</v>
      </c>
      <c r="B6372" s="3" t="s">
        <v>6080</v>
      </c>
      <c r="C6372" s="3" t="str">
        <f>IFERROR(__xludf.DUMMYFUNCTION("GOOGLETRANSLATE(B6372,""id"",""en"")"),"['check', 'person', 'kereset', 'finish', 'stay', 'take', 'errant']")</f>
        <v>['check', 'person', 'kereset', 'finish', 'stay', 'take', 'errant']</v>
      </c>
      <c r="D6372" s="3">
        <v>2.0</v>
      </c>
    </row>
    <row r="6373" ht="15.75" customHeight="1">
      <c r="A6373" s="1">
        <v>6803.0</v>
      </c>
      <c r="B6373" s="3" t="s">
        <v>6081</v>
      </c>
      <c r="C6373" s="3" t="str">
        <f>IFERROR(__xludf.DUMMYFUNCTION("GOOGLETRANSLATE(B6373,""id"",""en"")"),"['Love', 'Option', 'Disables', 'Package', 'Datalah', '']")</f>
        <v>['Love', 'Option', 'Disables', 'Package', 'Datalah', '']</v>
      </c>
      <c r="D6373" s="3">
        <v>1.0</v>
      </c>
    </row>
    <row r="6374" ht="15.75" customHeight="1">
      <c r="A6374" s="1">
        <v>6804.0</v>
      </c>
      <c r="B6374" s="3" t="s">
        <v>6082</v>
      </c>
      <c r="C6374" s="3" t="str">
        <f>IFERROR(__xludf.DUMMYFUNCTION("GOOGLETRANSLATE(B6374,""id"",""en"")"),"['', 'Bet']")</f>
        <v>['', 'Bet']</v>
      </c>
      <c r="D6374" s="3">
        <v>1.0</v>
      </c>
    </row>
    <row r="6375" ht="15.75" customHeight="1">
      <c r="A6375" s="1">
        <v>6805.0</v>
      </c>
      <c r="B6375" s="3" t="s">
        <v>6083</v>
      </c>
      <c r="C6375" s="3" t="str">
        <f>IFERROR(__xludf.DUMMYFUNCTION("GOOGLETRANSLATE(B6375,""id"",""en"")"),"['Nyampe', 'quota', 'repeated', 'Zalora', 'APK', 'AAAAA', 'LIAT', 'LIAT', 'Haaah']")</f>
        <v>['Nyampe', 'quota', 'repeated', 'Zalora', 'APK', 'AAAAA', 'LIAT', 'LIAT', 'Haaah']</v>
      </c>
      <c r="D6375" s="3">
        <v>1.0</v>
      </c>
    </row>
    <row r="6376" ht="15.75" customHeight="1">
      <c r="A6376" s="1">
        <v>6806.0</v>
      </c>
      <c r="B6376" s="3" t="s">
        <v>6084</v>
      </c>
      <c r="C6376" s="3" t="str">
        <f>IFERROR(__xludf.DUMMYFUNCTION("GOOGLETRANSLATE(B6376,""id"",""en"")"),"['signal', 'rotten', 'city', 'price', 'package', 'expensive', 'quality', 'kampung']")</f>
        <v>['signal', 'rotten', 'city', 'price', 'package', 'expensive', 'quality', 'kampung']</v>
      </c>
      <c r="D6376" s="3">
        <v>1.0</v>
      </c>
    </row>
    <row r="6377" ht="15.75" customHeight="1">
      <c r="A6377" s="1">
        <v>6807.0</v>
      </c>
      <c r="B6377" s="3" t="s">
        <v>289</v>
      </c>
      <c r="C6377" s="3" t="str">
        <f>IFERROR(__xludf.DUMMYFUNCTION("GOOGLETRANSLATE(B6377,""id"",""en"")"),"['Good', 'help']")</f>
        <v>['Good', 'help']</v>
      </c>
      <c r="D6377" s="3">
        <v>5.0</v>
      </c>
    </row>
    <row r="6378" ht="15.75" customHeight="1">
      <c r="A6378" s="1">
        <v>6808.0</v>
      </c>
      <c r="B6378" s="3" t="s">
        <v>6085</v>
      </c>
      <c r="C6378" s="3" t="str">
        <f>IFERROR(__xludf.DUMMYFUNCTION("GOOGLETRANSLATE(B6378,""id"",""en"")"),"['Kasi', 'cave', 'promo', 'cheap', 'dung']")</f>
        <v>['Kasi', 'cave', 'promo', 'cheap', 'dung']</v>
      </c>
      <c r="D6378" s="3">
        <v>4.0</v>
      </c>
    </row>
    <row r="6379" ht="15.75" customHeight="1">
      <c r="A6379" s="1">
        <v>6809.0</v>
      </c>
      <c r="B6379" s="3" t="s">
        <v>6086</v>
      </c>
      <c r="C6379" s="3" t="str">
        <f>IFERROR(__xludf.DUMMYFUNCTION("GOOGLETRANSLATE(B6379,""id"",""en"")"),"['Daily', 'Check', 'Normal', 'Thank you']")</f>
        <v>['Daily', 'Check', 'Normal', 'Thank you']</v>
      </c>
      <c r="D6379" s="3">
        <v>5.0</v>
      </c>
    </row>
    <row r="6380" ht="15.75" customHeight="1">
      <c r="A6380" s="1">
        <v>6810.0</v>
      </c>
      <c r="B6380" s="3" t="s">
        <v>6087</v>
      </c>
      <c r="C6380" s="3" t="str">
        <f>IFERROR(__xludf.DUMMYFUNCTION("GOOGLETRANSLATE(B6380,""id"",""en"")"),"['Application', 'Good', 'Mandatory', 'Download', '']")</f>
        <v>['Application', 'Good', 'Mandatory', 'Download', '']</v>
      </c>
      <c r="D6380" s="3">
        <v>5.0</v>
      </c>
    </row>
    <row r="6381" ht="15.75" customHeight="1">
      <c r="A6381" s="1">
        <v>6811.0</v>
      </c>
      <c r="B6381" s="3" t="s">
        <v>6088</v>
      </c>
      <c r="C6381" s="3" t="str">
        <f>IFERROR(__xludf.DUMMYFUNCTION("GOOGLETRANSLATE(B6381,""id"",""en"")"),"['application', 'steady', 'practical', 'fill in', 'quota', 'internet', 'pulse']")</f>
        <v>['application', 'steady', 'practical', 'fill in', 'quota', 'internet', 'pulse']</v>
      </c>
      <c r="D6381" s="3">
        <v>5.0</v>
      </c>
    </row>
    <row r="6382" ht="15.75" customHeight="1">
      <c r="A6382" s="1">
        <v>6812.0</v>
      </c>
      <c r="B6382" s="3" t="s">
        <v>6089</v>
      </c>
      <c r="C6382" s="3" t="str">
        <f>IFERROR(__xludf.DUMMYFUNCTION("GOOGLETRANSLATE(B6382,""id"",""en"")"),"['Price', 'Star', 'Quality', 'Feet', 'Browsing', 'Current', 'Ngegame', 'Jumping', 'Sampe', 'MS']")</f>
        <v>['Price', 'Star', 'Quality', 'Feet', 'Browsing', 'Current', 'Ngegame', 'Jumping', 'Sampe', 'MS']</v>
      </c>
      <c r="D6382" s="3">
        <v>1.0</v>
      </c>
    </row>
    <row r="6383" ht="15.75" customHeight="1">
      <c r="A6383" s="1">
        <v>6813.0</v>
      </c>
      <c r="B6383" s="3" t="s">
        <v>6090</v>
      </c>
      <c r="C6383" s="3" t="str">
        <f>IFERROR(__xludf.DUMMYFUNCTION("GOOGLETRANSLATE(B6383,""id"",""en"")"),"['Telkomsel', 'no', 'satisfying', 'customer', 'satisfaction', 'network', 'Telkomsel', 'Lift', 'Talk', 'Anjiiing', ""]")</f>
        <v>['Telkomsel', 'no', 'satisfying', 'customer', 'satisfaction', 'network', 'Telkomsel', 'Lift', 'Talk', 'Anjiiing', "]</v>
      </c>
      <c r="D6383" s="3">
        <v>1.0</v>
      </c>
    </row>
    <row r="6384" ht="15.75" customHeight="1">
      <c r="A6384" s="1">
        <v>6814.0</v>
      </c>
      <c r="B6384" s="3" t="s">
        <v>6091</v>
      </c>
      <c r="C6384" s="3" t="str">
        <f>IFERROR(__xludf.DUMMYFUNCTION("GOOGLETRANSLATE(B6384,""id"",""en"")"),"['fast', 'network', 'good', 'slow', 'goodya', 'basics', 'picture', 'vidio', '']")</f>
        <v>['fast', 'network', 'good', 'slow', 'goodya', 'basics', 'picture', 'vidio', '']</v>
      </c>
      <c r="D6384" s="3">
        <v>5.0</v>
      </c>
    </row>
    <row r="6385" ht="15.75" customHeight="1">
      <c r="A6385" s="1">
        <v>6815.0</v>
      </c>
      <c r="B6385" s="3" t="s">
        <v>6092</v>
      </c>
      <c r="C6385" s="3" t="str">
        <f>IFERROR(__xludf.DUMMYFUNCTION("GOOGLETRANSLATE(B6385,""id"",""en"")"),"['Buy', 'Package', 'Combo', 'Sakti', 'Connection', 'What's',' Package ',' Combo ',' Sakti ',' Buy ',' Kenpa ',' application']")</f>
        <v>['Buy', 'Package', 'Combo', 'Sakti', 'Connection', 'What's',' Package ',' Combo ',' Sakti ',' Buy ',' Kenpa ',' application']</v>
      </c>
      <c r="D6385" s="3">
        <v>1.0</v>
      </c>
    </row>
    <row r="6386" ht="15.75" customHeight="1">
      <c r="A6386" s="1">
        <v>6816.0</v>
      </c>
      <c r="B6386" s="3" t="s">
        <v>6093</v>
      </c>
      <c r="C6386" s="3" t="str">
        <f>IFERROR(__xludf.DUMMYFUNCTION("GOOGLETRANSLATE(B6386,""id"",""en"")"),"['users',' Telkomsel ',' Direct ',' Download ',' Application ',' Telkomsel ',' Success', 'Enter', 'Open', 'Application', 'Try', 'Repeated', ' TTP ',' Delete ',' Download ',' Open ',' Application ',' Open ',' Application ',' Delete ',' Download ',' Re-down"&amp;"load ',' Please ',' Min ',' Repair ' , '']")</f>
        <v>['users',' Telkomsel ',' Direct ',' Download ',' Application ',' Telkomsel ',' Success', 'Enter', 'Open', 'Application', 'Try', 'Repeated', ' TTP ',' Delete ',' Download ',' Open ',' Application ',' Open ',' Application ',' Delete ',' Download ',' Re-download ',' Please ',' Min ',' Repair ' , '']</v>
      </c>
      <c r="D6386" s="3">
        <v>2.0</v>
      </c>
    </row>
    <row r="6387" ht="15.75" customHeight="1">
      <c r="A6387" s="1">
        <v>6817.0</v>
      </c>
      <c r="B6387" s="3" t="s">
        <v>6094</v>
      </c>
      <c r="C6387" s="3" t="str">
        <f>IFERROR(__xludf.DUMMYFUNCTION("GOOGLETRANSLATE(B6387,""id"",""en"")"),"['Network', 'Internet', 'Bad', 'Try', 'Stable', 'Network', 'Internet', 'Want', 'Over', 'Kek', 'Gini', 'tros',' Internet Network']")</f>
        <v>['Network', 'Internet', 'Bad', 'Try', 'Stable', 'Network', 'Internet', 'Want', 'Over', 'Kek', 'Gini', 'tros',' Internet Network']</v>
      </c>
      <c r="D6387" s="3">
        <v>1.0</v>
      </c>
    </row>
    <row r="6388" ht="15.75" customHeight="1">
      <c r="A6388" s="1">
        <v>6818.0</v>
      </c>
      <c r="B6388" s="3" t="s">
        <v>6095</v>
      </c>
      <c r="C6388" s="3" t="str">
        <f>IFERROR(__xludf.DUMMYFUNCTION("GOOGLETRANSLATE(B6388,""id"",""en"")"),"['Telkomsel', 'here', 'kayak', 'garbage', 'signal', 'internet', 'buy', 'expensive', 'expensive', 'quota', 'repaired', 'slow', ' Kayak ',' Gini ',' Hold ',' Move ',' Provider ',' Please ',' heard ',' fix ',' Sorry ', ""]")</f>
        <v>['Telkomsel', 'here', 'kayak', 'garbage', 'signal', 'internet', 'buy', 'expensive', 'expensive', 'quota', 'repaired', 'slow', ' Kayak ',' Gini ',' Hold ',' Move ',' Provider ',' Please ',' heard ',' fix ',' Sorry ', "]</v>
      </c>
      <c r="D6388" s="3">
        <v>1.0</v>
      </c>
    </row>
    <row r="6389" ht="15.75" customHeight="1">
      <c r="A6389" s="1">
        <v>6819.0</v>
      </c>
      <c r="B6389" s="3" t="s">
        <v>6096</v>
      </c>
      <c r="C6389" s="3" t="str">
        <f>IFERROR(__xludf.DUMMYFUNCTION("GOOGLETRANSLATE(B6389,""id"",""en"")"),"['signal', 'ugly', 'plus',' slow ',' location ',' home ',' near ',' forestry ',' city ',' rich ',' gini ',' telkomnyet ',' ']")</f>
        <v>['signal', 'ugly', 'plus',' slow ',' location ',' home ',' near ',' forestry ',' city ',' rich ',' gini ',' telkomnyet ',' ']</v>
      </c>
      <c r="D6389" s="3">
        <v>1.0</v>
      </c>
    </row>
    <row r="6390" ht="15.75" customHeight="1">
      <c r="A6390" s="1">
        <v>6820.0</v>
      </c>
      <c r="B6390" s="3" t="s">
        <v>6097</v>
      </c>
      <c r="C6390" s="3" t="str">
        <f>IFERROR(__xludf.DUMMYFUNCTION("GOOGLETRANSLATE(B6390,""id"",""en"")"),"['brother', 'Telkom', 'Bosen', 'Life', 'Satellite', 'Oli', 'Tower', 'Pencingi', 'Cat', 'brother', 'Telkom', 'Week', ' His office ',' Marpoyan ',' Peace ',' Road ',' Cempedak ',' By ',' Mobile ',' Legen ',' Yok ',' by ',' Tigrel ',' You ',' card ' , 'You',"&amp;" 'card', 'meet', 'in front', 'Gramedia', 'lose', 'closed', 'win', 'buy', 'Kombo', 'Sakti', 'Cem', ' Taik ',' application ',' good ',' spirit ',' bang ',' hope ',' upgrade ',' until ',' ']")</f>
        <v>['brother', 'Telkom', 'Bosen', 'Life', 'Satellite', 'Oli', 'Tower', 'Pencingi', 'Cat', 'brother', 'Telkom', 'Week', ' His office ',' Marpoyan ',' Peace ',' Road ',' Cempedak ',' By ',' Mobile ',' Legen ',' Yok ',' by ',' Tigrel ',' You ',' card ' , 'You', 'card', 'meet', 'in front', 'Gramedia', 'lose', 'closed', 'win', 'buy', 'Kombo', 'Sakti', 'Cem', ' Taik ',' application ',' good ',' spirit ',' bang ',' hope ',' upgrade ',' until ',' ']</v>
      </c>
      <c r="D6390" s="3">
        <v>5.0</v>
      </c>
    </row>
    <row r="6391" ht="15.75" customHeight="1">
      <c r="A6391" s="1">
        <v>6821.0</v>
      </c>
      <c r="B6391" s="3" t="s">
        <v>6098</v>
      </c>
      <c r="C6391" s="3" t="str">
        <f>IFERROR(__xludf.DUMMYFUNCTION("GOOGLETRANSLATE(B6391,""id"",""en"")"),"['woy', 'knp', 'daily', 'check', 'cave', 'already', 'staped', 'towards',' aaaarrgghh ',' making ',' making ',' bad ',' Telkom ']")</f>
        <v>['woy', 'knp', 'daily', 'check', 'cave', 'already', 'staped', 'towards',' aaaarrgghh ',' making ',' making ',' bad ',' Telkom ']</v>
      </c>
      <c r="D6391" s="3">
        <v>1.0</v>
      </c>
    </row>
    <row r="6392" ht="15.75" customHeight="1">
      <c r="A6392" s="1">
        <v>6822.0</v>
      </c>
      <c r="B6392" s="3" t="s">
        <v>6099</v>
      </c>
      <c r="C6392" s="3" t="str">
        <f>IFERROR(__xludf.DUMMYFUNCTION("GOOGLETRANSLATE(B6392,""id"",""en"")"),"['expensive', 'package', 'no', 'free']")</f>
        <v>['expensive', 'package', 'no', 'free']</v>
      </c>
      <c r="D6392" s="3">
        <v>5.0</v>
      </c>
    </row>
    <row r="6393" ht="15.75" customHeight="1">
      <c r="A6393" s="1">
        <v>6823.0</v>
      </c>
      <c r="B6393" s="3" t="s">
        <v>6100</v>
      </c>
      <c r="C6393" s="3" t="str">
        <f>IFERROR(__xludf.DUMMYFUNCTION("GOOGLETRANSLATE(B6393,""id"",""en"")"),"['Daily', 'check', 'error', 'repeat', '']")</f>
        <v>['Daily', 'check', 'error', 'repeat', '']</v>
      </c>
      <c r="D6393" s="3">
        <v>3.0</v>
      </c>
    </row>
    <row r="6394" ht="15.75" customHeight="1">
      <c r="A6394" s="1">
        <v>6824.0</v>
      </c>
      <c r="B6394" s="3" t="s">
        <v>6101</v>
      </c>
      <c r="C6394" s="3" t="str">
        <f>IFERROR(__xludf.DUMMYFUNCTION("GOOGLETRANSLATE(B6394,""id"",""en"")"),"['quota', 'sosmed', 'first']")</f>
        <v>['quota', 'sosmed', 'first']</v>
      </c>
      <c r="D6394" s="3">
        <v>3.0</v>
      </c>
    </row>
    <row r="6395" ht="15.75" customHeight="1">
      <c r="A6395" s="1">
        <v>6825.0</v>
      </c>
      <c r="B6395" s="3" t="s">
        <v>6102</v>
      </c>
      <c r="C6395" s="3" t="str">
        <f>IFERROR(__xludf.DUMMYFUNCTION("GOOGLETRANSLATE(B6395,""id"",""en"")"),"['Network', 'The widest', 'Kyak', 'fart', 'Ntar', 'Embossed', 'Ntar', 'Lost', 'Ngeselin', ""]")</f>
        <v>['Network', 'The widest', 'Kyak', 'fart', 'Ntar', 'Embossed', 'Ntar', 'Lost', 'Ngeselin', "]</v>
      </c>
      <c r="D6395" s="3">
        <v>1.0</v>
      </c>
    </row>
    <row r="6396" ht="15.75" customHeight="1">
      <c r="A6396" s="1">
        <v>6826.0</v>
      </c>
      <c r="B6396" s="3" t="s">
        <v>3561</v>
      </c>
      <c r="C6396" s="3" t="str">
        <f>IFERROR(__xludf.DUMMYFUNCTION("GOOGLETRANSLATE(B6396,""id"",""en"")"),"['disappointing']")</f>
        <v>['disappointing']</v>
      </c>
      <c r="D6396" s="3">
        <v>1.0</v>
      </c>
    </row>
    <row r="6397" ht="15.75" customHeight="1">
      <c r="A6397" s="1">
        <v>6827.0</v>
      </c>
      <c r="B6397" s="3" t="s">
        <v>6103</v>
      </c>
      <c r="C6397" s="3" t="str">
        <f>IFERROR(__xludf.DUMMYFUNCTION("GOOGLETRANSLATE(B6397,""id"",""en"")"),"['response', 'fast', 'discount', '']")</f>
        <v>['response', 'fast', 'discount', '']</v>
      </c>
      <c r="D6397" s="3">
        <v>5.0</v>
      </c>
    </row>
    <row r="6398" ht="15.75" customHeight="1">
      <c r="A6398" s="1">
        <v>6828.0</v>
      </c>
      <c r="B6398" s="3" t="s">
        <v>6104</v>
      </c>
      <c r="C6398" s="3" t="str">
        <f>IFERROR(__xludf.DUMMYFUNCTION("GOOGLETRANSLATE(B6398,""id"",""en"")"),"['Ngehina', 'application', 'person', 'difficult', 'poor', 'apk', 'try', 'apk', 'no']")</f>
        <v>['Ngehina', 'application', 'person', 'difficult', 'poor', 'apk', 'try', 'apk', 'no']</v>
      </c>
      <c r="D6398" s="3">
        <v>5.0</v>
      </c>
    </row>
    <row r="6399" ht="15.75" customHeight="1">
      <c r="A6399" s="1">
        <v>6829.0</v>
      </c>
      <c r="B6399" s="3" t="s">
        <v>6105</v>
      </c>
      <c r="C6399" s="3" t="str">
        <f>IFERROR(__xludf.DUMMYFUNCTION("GOOGLETRANSLATE(B6399,""id"",""en"")"),"['Crazy', 'Telkomsel', 'Uda', 'Chek', 'Sampe', 'Lost', 'Chek', ""]")</f>
        <v>['Crazy', 'Telkomsel', 'Uda', 'Chek', 'Sampe', 'Lost', 'Chek', "]</v>
      </c>
      <c r="D6399" s="3">
        <v>1.0</v>
      </c>
    </row>
    <row r="6400" ht="15.75" customHeight="1">
      <c r="A6400" s="1">
        <v>6830.0</v>
      </c>
      <c r="B6400" s="3" t="s">
        <v>6106</v>
      </c>
      <c r="C6400" s="3" t="str">
        <f>IFERROR(__xludf.DUMMYFUNCTION("GOOGLETRANSLATE(B6400,""id"",""en"")"),"['Thank you', 'Telkomsel', 'Happy', 'That's',' Given ',' Quota ',' Free ',' Follow ',' Daily ',' Check ',' Diligently ',' Tuker ',' Points', 'get', 'Credit', 'Rb', 'Hopefully', 'Tomorrow', 'Can', 'Ehe', 'Sometimes',' Sinyal ',' Dadet ',' Rich ',' Stubs' ,"&amp;" 'Asked', 'Pete', 'Pliss',' please ',' repaired ',' comfortable ',' this made ',' already ',' so ',' thank you ',' hope ',' hope ',' Jaya ',' Yaaa ',' ']")</f>
        <v>['Thank you', 'Telkomsel', 'Happy', 'That's',' Given ',' Quota ',' Free ',' Follow ',' Daily ',' Check ',' Diligently ',' Tuker ',' Points', 'get', 'Credit', 'Rb', 'Hopefully', 'Tomorrow', 'Can', 'Ehe', 'Sometimes',' Sinyal ',' Dadet ',' Rich ',' Stubs' , 'Asked', 'Pete', 'Pliss',' please ',' repaired ',' comfortable ',' this made ',' already ',' so ',' thank you ',' hope ',' hope ',' Jaya ',' Yaaa ',' ']</v>
      </c>
      <c r="D6400" s="3">
        <v>5.0</v>
      </c>
    </row>
    <row r="6401" ht="15.75" customHeight="1">
      <c r="A6401" s="1">
        <v>6831.0</v>
      </c>
      <c r="B6401" s="3" t="s">
        <v>6107</v>
      </c>
      <c r="C6401" s="3" t="str">
        <f>IFERROR(__xludf.DUMMYFUNCTION("GOOGLETRANSLATE(B6401,""id"",""en"")"),"['Telkomsel', 'service', 'best', 'keep', 'work', 'nation']")</f>
        <v>['Telkomsel', 'service', 'best', 'keep', 'work', 'nation']</v>
      </c>
      <c r="D6401" s="3">
        <v>5.0</v>
      </c>
    </row>
    <row r="6402" ht="15.75" customHeight="1">
      <c r="A6402" s="1">
        <v>6833.0</v>
      </c>
      <c r="B6402" s="3" t="s">
        <v>6108</v>
      </c>
      <c r="C6402" s="3" t="str">
        <f>IFERROR(__xludf.DUMMYFUNCTION("GOOGLETRANSLATE(B6402,""id"",""en"")"),"['Disappointed', 'Telkomsel', 'buy', 'voucher', 'package', 'data', 'used', 'money', 'missing', 'time', 'buy', 'voucher', ' Package ',' Data ',' Im ',' Telkomsel ',' Disappointed ',' ']")</f>
        <v>['Disappointed', 'Telkomsel', 'buy', 'voucher', 'package', 'data', 'used', 'money', 'missing', 'time', 'buy', 'voucher', ' Package ',' Data ',' Im ',' Telkomsel ',' Disappointed ',' ']</v>
      </c>
      <c r="D6402" s="3">
        <v>1.0</v>
      </c>
    </row>
    <row r="6403" ht="15.75" customHeight="1">
      <c r="A6403" s="1">
        <v>6834.0</v>
      </c>
      <c r="B6403" s="3" t="s">
        <v>6109</v>
      </c>
      <c r="C6403" s="3" t="str">
        <f>IFERROR(__xludf.DUMMYFUNCTION("GOOGLETRANSLATE(B6403,""id"",""en"")"),"['Out', 'updated', 'Daily', 'checkin', 'zero', 'checkin', 'daily', 'omitted', 'love', 'star', ""]")</f>
        <v>['Out', 'updated', 'Daily', 'checkin', 'zero', 'checkin', 'daily', 'omitted', 'love', 'star', "]</v>
      </c>
      <c r="D6403" s="3">
        <v>1.0</v>
      </c>
    </row>
    <row r="6404" ht="15.75" customHeight="1">
      <c r="A6404" s="1">
        <v>6835.0</v>
      </c>
      <c r="B6404" s="3" t="s">
        <v>6110</v>
      </c>
      <c r="C6404" s="3" t="str">
        <f>IFERROR(__xludf.DUMMYFUNCTION("GOOGLETRANSLATE(B6404,""id"",""en"")"),"['pokonya', 'steady', 'home', 'buy', 'pulse', 'useful', 'download', 'apk', 'pokonya', 'hesitant']")</f>
        <v>['pokonya', 'steady', 'home', 'buy', 'pulse', 'useful', 'download', 'apk', 'pokonya', 'hesitant']</v>
      </c>
      <c r="D6404" s="3">
        <v>5.0</v>
      </c>
    </row>
    <row r="6405" ht="15.75" customHeight="1">
      <c r="A6405" s="1">
        <v>6836.0</v>
      </c>
      <c r="B6405" s="3" t="s">
        <v>6111</v>
      </c>
      <c r="C6405" s="3" t="str">
        <f>IFERROR(__xludf.DUMMYFUNCTION("GOOGLETRANSLATE(B6405,""id"",""en"")"),"['Claim', 'Package', 'Eehh', 'Daily', 'Check', 'zero', ""]")</f>
        <v>['Claim', 'Package', 'Eehh', 'Daily', 'Check', 'zero', "]</v>
      </c>
      <c r="D6405" s="3">
        <v>1.0</v>
      </c>
    </row>
    <row r="6406" ht="15.75" customHeight="1">
      <c r="A6406" s="1">
        <v>6837.0</v>
      </c>
      <c r="B6406" s="3" t="s">
        <v>6112</v>
      </c>
      <c r="C6406" s="3" t="str">
        <f>IFERROR(__xludf.DUMMYFUNCTION("GOOGLETRANSLATE(B6406,""id"",""en"")"),"['Please', 'Telkomsel', 'love', 'pulse', 'save', 'open', 'pulse', 'run out', 'because', 'pulse', 'save', 'please', ' Buy ',' pulse ',' taste ',' pulse ',' save ',' coookkk ']")</f>
        <v>['Please', 'Telkomsel', 'love', 'pulse', 'save', 'open', 'pulse', 'run out', 'because', 'pulse', 'save', 'please', ' Buy ',' pulse ',' taste ',' pulse ',' save ',' coookkk ']</v>
      </c>
      <c r="D6406" s="3">
        <v>2.0</v>
      </c>
    </row>
    <row r="6407" ht="15.75" customHeight="1">
      <c r="A6407" s="1">
        <v>6838.0</v>
      </c>
      <c r="B6407" s="3" t="s">
        <v>6113</v>
      </c>
      <c r="C6407" s="3" t="str">
        <f>IFERROR(__xludf.DUMMYFUNCTION("GOOGLETRANSLATE(B6407,""id"",""en"")"),"['Get', 'Bonus', 'GB', 'Shame', 'Quota', 'Main', ""]")</f>
        <v>['Get', 'Bonus', 'GB', 'Shame', 'Quota', 'Main', "]</v>
      </c>
      <c r="D6407" s="3">
        <v>1.0</v>
      </c>
    </row>
    <row r="6408" ht="15.75" customHeight="1">
      <c r="A6408" s="1">
        <v>6839.0</v>
      </c>
      <c r="B6408" s="3" t="s">
        <v>220</v>
      </c>
      <c r="C6408" s="3" t="str">
        <f>IFERROR(__xludf.DUMMYFUNCTION("GOOGLETRANSLATE(B6408,""id"",""en"")"),"['', 'Telkomsel']")</f>
        <v>['', 'Telkomsel']</v>
      </c>
      <c r="D6408" s="3">
        <v>4.0</v>
      </c>
    </row>
    <row r="6409" ht="15.75" customHeight="1">
      <c r="A6409" s="1">
        <v>6840.0</v>
      </c>
      <c r="B6409" s="3" t="s">
        <v>6114</v>
      </c>
      <c r="C6409" s="3" t="str">
        <f>IFERROR(__xludf.DUMMYFUNCTION("GOOGLETRANSLATE(B6409,""id"",""en"")"),"['please', 'Telkomsel', 'signal', 'return', 'kayak', 'already', 'expensive', 'signal', 'slow', 'customer', 'disappointed', 'signal', ' Tjdak ',' good ']")</f>
        <v>['please', 'Telkomsel', 'signal', 'return', 'kayak', 'already', 'expensive', 'signal', 'slow', 'customer', 'disappointed', 'signal', ' Tjdak ',' good ']</v>
      </c>
      <c r="D6409" s="3">
        <v>3.0</v>
      </c>
    </row>
    <row r="6410" ht="15.75" customHeight="1">
      <c r="A6410" s="1">
        <v>6841.0</v>
      </c>
      <c r="B6410" s="3" t="s">
        <v>6115</v>
      </c>
      <c r="C6410" s="3" t="str">
        <f>IFERROR(__xludf.DUMMYFUNCTION("GOOGLETRANSLATE(B6410,""id"",""en"")"),"['funny', 'program', 'check', 'smooth', 'left', 'check', 'finished', 'claim', 'quota', 'GB', 'GB', 'period', ' The rest ',' repeated ',' loss', 'how', 'Customer', 'loyal', 'ehh', 'provider', 'disappointing', ""]")</f>
        <v>['funny', 'program', 'check', 'smooth', 'left', 'check', 'finished', 'claim', 'quota', 'GB', 'GB', 'period', ' The rest ',' repeated ',' loss', 'how', 'Customer', 'loyal', 'ehh', 'provider', 'disappointing', "]</v>
      </c>
      <c r="D6410" s="3">
        <v>1.0</v>
      </c>
    </row>
    <row r="6411" ht="15.75" customHeight="1">
      <c r="A6411" s="1">
        <v>6842.0</v>
      </c>
      <c r="B6411" s="3" t="s">
        <v>6116</v>
      </c>
      <c r="C6411" s="3" t="str">
        <f>IFERROR(__xludf.DUMMYFUNCTION("GOOGLETRANSLATE(B6411,""id"",""en"")"),"['check', 'HRI', 'TPI', 'repeated', 'MLAI', 'HRI', 'PERTMA', 'LGI', 'Please', 'repaired', 'The program', 'Telkomsel']")</f>
        <v>['check', 'HRI', 'TPI', 'repeated', 'MLAI', 'HRI', 'PERTMA', 'LGI', 'Please', 'repaired', 'The program', 'Telkomsel']</v>
      </c>
      <c r="D6411" s="3">
        <v>3.0</v>
      </c>
    </row>
    <row r="6412" ht="15.75" customHeight="1">
      <c r="A6412" s="1">
        <v>6843.0</v>
      </c>
      <c r="B6412" s="3" t="s">
        <v>6117</v>
      </c>
      <c r="C6412" s="3" t="str">
        <f>IFERROR(__xludf.DUMMYFUNCTION("GOOGLETRANSLATE(B6412,""id"",""en"")"),"['regret', 'update', 'application', 'gift', 'chekin', 'keriset', 'already', 'nyampe', 'voucher', 'discount', ""]")</f>
        <v>['regret', 'update', 'application', 'gift', 'chekin', 'keriset', 'already', 'nyampe', 'voucher', 'discount', "]</v>
      </c>
      <c r="D6412" s="3">
        <v>1.0</v>
      </c>
    </row>
    <row r="6413" ht="15.75" customHeight="1">
      <c r="A6413" s="1">
        <v>6844.0</v>
      </c>
      <c r="B6413" s="3" t="s">
        <v>6118</v>
      </c>
      <c r="C6413" s="3" t="str">
        <f>IFERROR(__xludf.DUMMYFUNCTION("GOOGLETRANSLATE(B6413,""id"",""en"")"),"['just', 'network', 'bad', 'NDA', 'according to', 'price', 'package', 'bought', 'gini', 'trs',' nggk ',' kepake ',' cards', 'Indonesia']")</f>
        <v>['just', 'network', 'bad', 'NDA', 'according to', 'price', 'package', 'bought', 'gini', 'trs',' nggk ',' kepake ',' cards', 'Indonesia']</v>
      </c>
      <c r="D6413" s="3">
        <v>1.0</v>
      </c>
    </row>
    <row r="6414" ht="15.75" customHeight="1">
      <c r="A6414" s="1">
        <v>6845.0</v>
      </c>
      <c r="B6414" s="3" t="s">
        <v>6119</v>
      </c>
      <c r="C6414" s="3" t="str">
        <f>IFERROR(__xludf.DUMMYFUNCTION("GOOGLETRANSLATE(B6414,""id"",""en"")"),"['Chek', 'repeated', ""]")</f>
        <v>['Chek', 'repeated', "]</v>
      </c>
      <c r="D6414" s="3">
        <v>1.0</v>
      </c>
    </row>
    <row r="6415" ht="15.75" customHeight="1">
      <c r="A6415" s="1">
        <v>6847.0</v>
      </c>
      <c r="B6415" s="3" t="s">
        <v>6120</v>
      </c>
      <c r="C6415" s="3" t="str">
        <f>IFERROR(__xludf.DUMMYFUNCTION("GOOGLETRANSLATE(B6415,""id"",""en"")"),"['Package', 'Game', 'Max', 'Gbisa', 'Please', 'Repair']")</f>
        <v>['Package', 'Game', 'Max', 'Gbisa', 'Please', 'Repair']</v>
      </c>
      <c r="D6415" s="3">
        <v>2.0</v>
      </c>
    </row>
    <row r="6416" ht="15.75" customHeight="1">
      <c r="A6416" s="1">
        <v>6848.0</v>
      </c>
      <c r="B6416" s="3" t="s">
        <v>6121</v>
      </c>
      <c r="C6416" s="3" t="str">
        <f>IFERROR(__xludf.DUMMYFUNCTION("GOOGLETRANSLATE(B6416,""id"",""en"")"),"['Ngellag', 'price', 'expensive', 'according to', 'quality', 'expensive', 'lag', 'nyeael', 'cave', 'buy']")</f>
        <v>['Ngellag', 'price', 'expensive', 'according to', 'quality', 'expensive', 'lag', 'nyeael', 'cave', 'buy']</v>
      </c>
      <c r="D6416" s="3">
        <v>1.0</v>
      </c>
    </row>
    <row r="6417" ht="15.75" customHeight="1">
      <c r="A6417" s="1">
        <v>6849.0</v>
      </c>
      <c r="B6417" s="3" t="s">
        <v>6122</v>
      </c>
      <c r="C6417" s="3" t="str">
        <f>IFERROR(__xludf.DUMMYFUNCTION("GOOGLETRANSLATE(B6417,""id"",""en"")"),"['', 'UDH', 'Cape', 'Check', 'UDH', 'Dapet', 'Reward', 'BLM', 'Claim', 'Reset', 'Really', 'Give', 'Hope ',' fake ',' rich ',' that's']")</f>
        <v>['', 'UDH', 'Cape', 'Check', 'UDH', 'Dapet', 'Reward', 'BLM', 'Claim', 'Reset', 'Really', 'Give', 'Hope ',' fake ',' rich ',' that's']</v>
      </c>
      <c r="D6417" s="3">
        <v>2.0</v>
      </c>
    </row>
    <row r="6418" ht="15.75" customHeight="1">
      <c r="A6418" s="1">
        <v>6850.0</v>
      </c>
      <c r="B6418" s="3" t="s">
        <v>6123</v>
      </c>
      <c r="C6418" s="3" t="str">
        <f>IFERROR(__xludf.DUMMYFUNCTION("GOOGLETRANSLATE(B6418,""id"",""en"")"),"['woe', 'tsel', 'ajg', 'mission', 'daily', 'check', 'repeated', 'pdhal', 'checkin', 'times',' can ',' quota ',' GB ',' pdhal ',' checkin ',' cheating ',' name ',' Telkomsel ',' Litu ',' bner ']")</f>
        <v>['woe', 'tsel', 'ajg', 'mission', 'daily', 'check', 'repeated', 'pdhal', 'checkin', 'times',' can ',' quota ',' GB ',' pdhal ',' checkin ',' cheating ',' name ',' Telkomsel ',' Litu ',' bner ']</v>
      </c>
      <c r="D6418" s="3">
        <v>1.0</v>
      </c>
    </row>
    <row r="6419" ht="15.75" customHeight="1">
      <c r="A6419" s="1">
        <v>6851.0</v>
      </c>
      <c r="B6419" s="3" t="s">
        <v>6124</v>
      </c>
      <c r="C6419" s="3" t="str">
        <f>IFERROR(__xludf.DUMMYFUNCTION("GOOGLETRANSLATE(B6419,""id"",""en"")"),"['Fix', 'Telkomsel', 'BURIK', 'Used', 'Signal', 'Lemot', 'Enter', 'Game', 'Very', 'Sampe', 'Posts',' Connection ',' Stable ',' enter ',' game ']")</f>
        <v>['Fix', 'Telkomsel', 'BURIK', 'Used', 'Signal', 'Lemot', 'Enter', 'Game', 'Very', 'Sampe', 'Posts',' Connection ',' Stable ',' enter ',' game ']</v>
      </c>
      <c r="D6419" s="3">
        <v>1.0</v>
      </c>
    </row>
    <row r="6420" ht="15.75" customHeight="1">
      <c r="A6420" s="1">
        <v>6852.0</v>
      </c>
      <c r="B6420" s="3" t="s">
        <v>6125</v>
      </c>
      <c r="C6420" s="3" t="str">
        <f>IFERROR(__xludf.DUMMYFUNCTION("GOOGLETRANSLATE(B6420,""id"",""en"")"),"['Safety', 'Joss', 'Success', '']")</f>
        <v>['Safety', 'Joss', 'Success', '']</v>
      </c>
      <c r="D6420" s="3">
        <v>5.0</v>
      </c>
    </row>
    <row r="6421" ht="15.75" customHeight="1">
      <c r="A6421" s="1">
        <v>6853.0</v>
      </c>
      <c r="B6421" s="3" t="s">
        <v>6126</v>
      </c>
      <c r="C6421" s="3" t="str">
        <f>IFERROR(__xludf.DUMMYFUNCTION("GOOGLETRANSLATE(B6421,""id"",""en"")"),"['already', 'updet', 'then', 'chekin', 'mala', 'suru', 'repeated', 'bankrupt', 'go bankrupt', 'boss',' add ',' difficult ',' Pelangan ',' signal ',' strong ',' slow ',' card ',' expensive ',' cheater ',' ']")</f>
        <v>['already', 'updet', 'then', 'chekin', 'mala', 'suru', 'repeated', 'bankrupt', 'go bankrupt', 'boss',' add ',' difficult ',' Pelangan ',' signal ',' strong ',' slow ',' card ',' expensive ',' cheater ',' ']</v>
      </c>
      <c r="D6421" s="3">
        <v>1.0</v>
      </c>
    </row>
    <row r="6422" ht="15.75" customHeight="1">
      <c r="A6422" s="1">
        <v>6854.0</v>
      </c>
      <c r="B6422" s="3" t="s">
        <v>6127</v>
      </c>
      <c r="C6422" s="3" t="str">
        <f>IFERROR(__xludf.DUMMYFUNCTION("GOOGLETRANSLATE(B6422,""id"",""en"")"),"['Signal', 'Network', 'Telkomsel', 'Good']")</f>
        <v>['Signal', 'Network', 'Telkomsel', 'Good']</v>
      </c>
      <c r="D6422" s="3">
        <v>5.0</v>
      </c>
    </row>
    <row r="6423" ht="15.75" customHeight="1">
      <c r="A6423" s="1">
        <v>6855.0</v>
      </c>
      <c r="B6423" s="3" t="s">
        <v>6128</v>
      </c>
      <c r="C6423" s="3" t="str">
        <f>IFERROR(__xludf.DUMMYFUNCTION("GOOGLETRANSLATE(B6423,""id"",""en"")"),"['turn', 'take', 'bonus',' GB ',' check ',' network ',' ksini ',' lemod ',' really ',' promo ',' expensive ',' like ',' sya ',' love ',' star ',' ksini ',' check ',' eeech ',' masi ',' repeat ',' dri ',' lgi ',' cute ',' tricks', 'cueuu' ]")</f>
        <v>['turn', 'take', 'bonus',' GB ',' check ',' network ',' ksini ',' lemod ',' really ',' promo ',' expensive ',' like ',' sya ',' love ',' star ',' ksini ',' check ',' eeech ',' masi ',' repeat ',' dri ',' lgi ',' cute ',' tricks', 'cueuu' ]</v>
      </c>
      <c r="D6423" s="3">
        <v>1.0</v>
      </c>
    </row>
    <row r="6424" ht="15.75" customHeight="1">
      <c r="A6424" s="1">
        <v>6856.0</v>
      </c>
      <c r="B6424" s="3" t="s">
        <v>6129</v>
      </c>
      <c r="C6424" s="3" t="str">
        <f>IFERROR(__xludf.DUMMYFUNCTION("GOOGLETRANSLATE(B6424,""id"",""en"")"),"['Cheap', 'festive', 'promoxa', 'jooooos']")</f>
        <v>['Cheap', 'festive', 'promoxa', 'jooooos']</v>
      </c>
      <c r="D6424" s="3">
        <v>5.0</v>
      </c>
    </row>
    <row r="6425" ht="15.75" customHeight="1">
      <c r="A6425" s="1">
        <v>6857.0</v>
      </c>
      <c r="B6425" s="3" t="s">
        <v>6130</v>
      </c>
      <c r="C6425" s="3" t="str">
        <f>IFERROR(__xludf.DUMMYFUNCTION("GOOGLETRANSLATE(B6425,""id"",""en"")"),"['Please', 'Package', 'Cheap', 'Expensive']")</f>
        <v>['Please', 'Package', 'Cheap', 'Expensive']</v>
      </c>
      <c r="D6425" s="3">
        <v>4.0</v>
      </c>
    </row>
    <row r="6426" ht="15.75" customHeight="1">
      <c r="A6426" s="1">
        <v>6858.0</v>
      </c>
      <c r="B6426" s="3" t="s">
        <v>6131</v>
      </c>
      <c r="C6426" s="3" t="str">
        <f>IFERROR(__xludf.DUMMYFUNCTION("GOOGLETRANSLATE(B6426,""id"",""en"")"),"['already', 'belayin', 'open', 'daily', 'check', 'already', 'nyampe', 'repeat', 'disorder', 'what', 'min', '']")</f>
        <v>['already', 'belayin', 'open', 'daily', 'check', 'already', 'nyampe', 'repeat', 'disorder', 'what', 'min', '']</v>
      </c>
      <c r="D6426" s="3">
        <v>1.0</v>
      </c>
    </row>
    <row r="6427" ht="15.75" customHeight="1">
      <c r="A6427" s="1">
        <v>6859.0</v>
      </c>
      <c r="B6427" s="3" t="s">
        <v>6132</v>
      </c>
      <c r="C6427" s="3" t="str">
        <f>IFERROR(__xludf.DUMMYFUNCTION("GOOGLETRANSLATE(B6427,""id"",""en"")"),"['The net', 'like', 'stable', 'buy', 'package', 'price', 'package', 'cheap', 'signal', 'like', 'Suffs',' his web ',' slow ',' dlu ',' proud ',' really ',' Telkomsel ',' regret ',' please ',' mimin ',' his jar ',' fix ',' thank you ']")</f>
        <v>['The net', 'like', 'stable', 'buy', 'package', 'price', 'package', 'cheap', 'signal', 'like', 'Suffs',' his web ',' slow ',' dlu ',' proud ',' really ',' Telkomsel ',' regret ',' please ',' mimin ',' his jar ',' fix ',' thank you ']</v>
      </c>
      <c r="D6427" s="3">
        <v>1.0</v>
      </c>
    </row>
    <row r="6428" ht="15.75" customHeight="1">
      <c r="A6428" s="1">
        <v>6860.0</v>
      </c>
      <c r="B6428" s="3" t="s">
        <v>6133</v>
      </c>
      <c r="C6428" s="3" t="str">
        <f>IFERROR(__xludf.DUMMYFUNCTION("GOOGLETRANSLATE(B6428,""id"",""en"")"),"['Masok', 'Telkomsel', 'update', 'masok', 'kin', 'NMR', 'masok', 'please', 'fix', '']")</f>
        <v>['Masok', 'Telkomsel', 'update', 'masok', 'kin', 'NMR', 'masok', 'please', 'fix', '']</v>
      </c>
      <c r="D6428" s="3">
        <v>1.0</v>
      </c>
    </row>
    <row r="6429" ht="15.75" customHeight="1">
      <c r="A6429" s="1">
        <v>6861.0</v>
      </c>
      <c r="B6429" s="3" t="s">
        <v>6134</v>
      </c>
      <c r="C6429" s="3" t="str">
        <f>IFERROR(__xludf.DUMMYFUNCTION("GOOGLETRANSLATE(B6429,""id"",""en"")"),"['according to', 'relita', 'in', 'writing', 'KTA', 'date', 'BKL', 'HBS', 'BLM', 'APAP', 'HBS', 'DLU', ' Strange ',' might ',' weird ']")</f>
        <v>['according to', 'relita', 'in', 'writing', 'KTA', 'date', 'BKL', 'HBS', 'BLM', 'APAP', 'HBS', 'DLU', ' Strange ',' might ',' weird ']</v>
      </c>
      <c r="D6429" s="3">
        <v>1.0</v>
      </c>
    </row>
    <row r="6430" ht="15.75" customHeight="1">
      <c r="A6430" s="1">
        <v>6862.0</v>
      </c>
      <c r="B6430" s="3" t="s">
        <v>6135</v>
      </c>
      <c r="C6430" s="3" t="str">
        <f>IFERROR(__xludf.DUMMYFUNCTION("GOOGLETRANSLATE(B6430,""id"",""en"")"),"['App', 'updated', 'error', 'contents', 'pulse', 'no', 'check', 'on the day', 'disappointed', '']")</f>
        <v>['App', 'updated', 'error', 'contents', 'pulse', 'no', 'check', 'on the day', 'disappointed', '']</v>
      </c>
      <c r="D6430" s="3">
        <v>2.0</v>
      </c>
    </row>
    <row r="6431" ht="15.75" customHeight="1">
      <c r="A6431" s="1">
        <v>6863.0</v>
      </c>
      <c r="B6431" s="3" t="s">
        <v>6136</v>
      </c>
      <c r="C6431" s="3" t="str">
        <f>IFERROR(__xludf.DUMMYFUNCTION("GOOGLETRANSLATE(B6431,""id"",""en"")"),"['connection', 'network', 'internet', 'card', 'hello', 'card', 'hello', 'tetep', 'slump', 'say it', 'priority', 'network', ' different ',' package ',' expensive ',' feel ',' here ',' network ',' internet ',' Telkomsel ',' down ',' umah ',' already ',' jos"&amp;"s', 'really' , 'Already', 'Tetep', 'Melempem', 'YouTube', 'Disappointed', '']")</f>
        <v>['connection', 'network', 'internet', 'card', 'hello', 'card', 'hello', 'tetep', 'slump', 'say it', 'priority', 'network', ' different ',' package ',' expensive ',' feel ',' here ',' network ',' internet ',' Telkomsel ',' down ',' umah ',' already ',' joss', 'really' , 'Already', 'Tetep', 'Melempem', 'YouTube', 'Disappointed', '']</v>
      </c>
      <c r="D6431" s="3">
        <v>1.0</v>
      </c>
    </row>
    <row r="6432" ht="15.75" customHeight="1">
      <c r="A6432" s="1">
        <v>6864.0</v>
      </c>
      <c r="B6432" s="3" t="s">
        <v>6137</v>
      </c>
      <c r="C6432" s="3" t="str">
        <f>IFERROR(__xludf.DUMMYFUNCTION("GOOGLETRANSLATE(B6432,""id"",""en"")"),"['Sorry', 'customers', 'sympathy', 'monthly', 'application', 'Telkomsel', 'Please', 'explanation', 'trimks']")</f>
        <v>['Sorry', 'customers', 'sympathy', 'monthly', 'application', 'Telkomsel', 'Please', 'explanation', 'trimks']</v>
      </c>
      <c r="D6432" s="3">
        <v>5.0</v>
      </c>
    </row>
    <row r="6433" ht="15.75" customHeight="1">
      <c r="A6433" s="1">
        <v>6865.0</v>
      </c>
      <c r="B6433" s="3" t="s">
        <v>6138</v>
      </c>
      <c r="C6433" s="3" t="str">
        <f>IFERROR(__xludf.DUMMYFUNCTION("GOOGLETRANSLATE(B6433,""id"",""en"")"),"['Daily', 'check', 'reset', 'already', 'login', 'until', 'app', 'broken', ""]")</f>
        <v>['Daily', 'check', 'reset', 'already', 'login', 'until', 'app', 'broken', "]</v>
      </c>
      <c r="D6433" s="3">
        <v>1.0</v>
      </c>
    </row>
    <row r="6434" ht="15.75" customHeight="1">
      <c r="A6434" s="1">
        <v>6866.0</v>
      </c>
      <c r="B6434" s="3" t="s">
        <v>6139</v>
      </c>
      <c r="C6434" s="3" t="str">
        <f>IFERROR(__xludf.DUMMYFUNCTION("GOOGLETRANSLATE(B6434,""id"",""en"")"),"['Network', 'problematic', 'application', 'run', 'slow', '']")</f>
        <v>['Network', 'problematic', 'application', 'run', 'slow', '']</v>
      </c>
      <c r="D6434" s="3">
        <v>2.0</v>
      </c>
    </row>
    <row r="6435" ht="15.75" customHeight="1">
      <c r="A6435" s="1">
        <v>6867.0</v>
      </c>
      <c r="B6435" s="3" t="s">
        <v>6140</v>
      </c>
      <c r="C6435" s="3" t="str">
        <f>IFERROR(__xludf.DUMMYFUNCTION("GOOGLETRANSLATE(B6435,""id"",""en"")"),"['min', 'tsel', 'program', 'check', 'udh', 'check', 'right', 'open', 'apps', '']")</f>
        <v>['min', 'tsel', 'program', 'check', 'udh', 'check', 'right', 'open', 'apps', '']</v>
      </c>
      <c r="D6435" s="3">
        <v>1.0</v>
      </c>
    </row>
    <row r="6436" ht="15.75" customHeight="1">
      <c r="A6436" s="1">
        <v>6868.0</v>
      </c>
      <c r="B6436" s="3" t="s">
        <v>6141</v>
      </c>
      <c r="C6436" s="3" t="str">
        <f>IFERROR(__xludf.DUMMYFUNCTION("GOOGLETRANSLATE(B6436,""id"",""en"")"),"['Out', 'update', 'number', 'run out', 'sent', 'pulse', 'package', 'data', 'missing', 'noada', 'hystori', 'difficult', ' buyin ',' quota ',' person ',' number ',' Kesimpen ',' kayak ',' repaired ',' tmbh ',' star ']")</f>
        <v>['Out', 'update', 'number', 'run out', 'sent', 'pulse', 'package', 'data', 'missing', 'noada', 'hystori', 'difficult', ' buyin ',' quota ',' person ',' number ',' Kesimpen ',' kayak ',' repaired ',' tmbh ',' star ']</v>
      </c>
      <c r="D6436" s="3">
        <v>1.0</v>
      </c>
    </row>
    <row r="6437" ht="15.75" customHeight="1">
      <c r="A6437" s="1">
        <v>6869.0</v>
      </c>
      <c r="B6437" s="3" t="s">
        <v>6142</v>
      </c>
      <c r="C6437" s="3" t="str">
        <f>IFERROR(__xludf.DUMMYFUNCTION("GOOGLETRANSLATE(B6437,""id"",""en"")"),"['Delicious', 'Bintang', 'Continue', 'The Application']")</f>
        <v>['Delicious', 'Bintang', 'Continue', 'The Application']</v>
      </c>
      <c r="D6437" s="3">
        <v>4.0</v>
      </c>
    </row>
    <row r="6438" ht="15.75" customHeight="1">
      <c r="A6438" s="1">
        <v>6870.0</v>
      </c>
      <c r="B6438" s="3" t="s">
        <v>6143</v>
      </c>
      <c r="C6438" s="3" t="str">
        <f>IFERROR(__xludf.DUMMYFUNCTION("GOOGLETRANSLATE(B6438,""id"",""en"")"),"['disappointing', 'credit', 'buy', 'package', 'contents',' pulse ',' balance ',' BERES ',' transaction ',' use ',' Mimin ',' Veronika ',' ']")</f>
        <v>['disappointing', 'credit', 'buy', 'package', 'contents',' pulse ',' balance ',' BERES ',' transaction ',' use ',' Mimin ',' Veronika ',' ']</v>
      </c>
      <c r="D6438" s="3">
        <v>1.0</v>
      </c>
    </row>
    <row r="6439" ht="15.75" customHeight="1">
      <c r="A6439" s="1">
        <v>6871.0</v>
      </c>
      <c r="B6439" s="3" t="s">
        <v>3117</v>
      </c>
      <c r="C6439" s="3" t="str">
        <f>IFERROR(__xludf.DUMMYFUNCTION("GOOGLETRANSLATE(B6439,""id"",""en"")"),"['Love', 'Bintang', '']")</f>
        <v>['Love', 'Bintang', '']</v>
      </c>
      <c r="D6439" s="3">
        <v>2.0</v>
      </c>
    </row>
    <row r="6440" ht="15.75" customHeight="1">
      <c r="A6440" s="1">
        <v>6872.0</v>
      </c>
      <c r="B6440" s="3" t="s">
        <v>6144</v>
      </c>
      <c r="C6440" s="3" t="str">
        <f>IFERROR(__xludf.DUMMYFUNCTION("GOOGLETRANSLATE(B6440,""id"",""en"")"),"['check', 'enter', 'package', 'free', 'want', 'claim', 'difficult', 'use', 'application', 'please', 'repair']")</f>
        <v>['check', 'enter', 'package', 'free', 'want', 'claim', 'difficult', 'use', 'application', 'please', 'repair']</v>
      </c>
      <c r="D6440" s="3">
        <v>2.0</v>
      </c>
    </row>
    <row r="6441" ht="15.75" customHeight="1">
      <c r="A6441" s="1">
        <v>6873.0</v>
      </c>
      <c r="B6441" s="3" t="s">
        <v>6145</v>
      </c>
      <c r="C6441" s="3" t="str">
        <f>IFERROR(__xludf.DUMMYFUNCTION("GOOGLETRANSLATE(B6441,""id"",""en"")"),"['signal', 'easy', 'lost', 'quota', 'expensive', 'please', 'fix', 'as soon as possible', '']")</f>
        <v>['signal', 'easy', 'lost', 'quota', 'expensive', 'please', 'fix', 'as soon as possible', '']</v>
      </c>
      <c r="D6441" s="3">
        <v>1.0</v>
      </c>
    </row>
    <row r="6442" ht="15.75" customHeight="1">
      <c r="A6442" s="1">
        <v>6874.0</v>
      </c>
      <c r="B6442" s="3" t="s">
        <v>6146</v>
      </c>
      <c r="C6442" s="3" t="str">
        <f>IFERROR(__xludf.DUMMYFUNCTION("GOOGLETRANSLATE(B6442,""id"",""en"")"),"['min', 'right', 'check', 'daily', 'already', 'stay', 'nukerin', 'prize', 'missing', 'ngeselin', 'bnget', 'already', ' patient ',' bullak ',' open ',' Telkomsel ',' daily ',' check ',' ehh ',' zonk ',' ']")</f>
        <v>['min', 'right', 'check', 'daily', 'already', 'stay', 'nukerin', 'prize', 'missing', 'ngeselin', 'bnget', 'already', ' patient ',' bullak ',' open ',' Telkomsel ',' daily ',' check ',' ehh ',' zonk ',' ']</v>
      </c>
      <c r="D6442" s="3">
        <v>1.0</v>
      </c>
    </row>
    <row r="6443" ht="15.75" customHeight="1">
      <c r="A6443" s="1">
        <v>6875.0</v>
      </c>
      <c r="B6443" s="3" t="s">
        <v>6147</v>
      </c>
      <c r="C6443" s="3" t="str">
        <f>IFERROR(__xludf.DUMMYFUNCTION("GOOGLETRANSLATE(B6443,""id"",""en"")"),"['application', 'good', 'suggestion', 'features',' barrier ',' pulse ',' sucked ',' package ',' data ',' run out ',' fun ',' good ',' pulse ']")</f>
        <v>['application', 'good', 'suggestion', 'features',' barrier ',' pulse ',' sucked ',' package ',' data ',' run out ',' fun ',' good ',' pulse ']</v>
      </c>
      <c r="D6443" s="3">
        <v>5.0</v>
      </c>
    </row>
    <row r="6444" ht="15.75" customHeight="1">
      <c r="A6444" s="1">
        <v>6876.0</v>
      </c>
      <c r="B6444" s="3" t="s">
        <v>6148</v>
      </c>
      <c r="C6444" s="3" t="str">
        <f>IFERROR(__xludf.DUMMYFUNCTION("GOOGLETRANSLATE(B6444,""id"",""en"")"),"['Check', 'Date', 'Check', 'Claim', 'Reward', 'Card', 'Hopefully', 'Enhanced', 'Change', 'Card']")</f>
        <v>['Check', 'Date', 'Check', 'Claim', 'Reward', 'Card', 'Hopefully', 'Enhanced', 'Change', 'Card']</v>
      </c>
      <c r="D6444" s="3">
        <v>1.0</v>
      </c>
    </row>
    <row r="6445" ht="15.75" customHeight="1">
      <c r="A6445" s="1">
        <v>6877.0</v>
      </c>
      <c r="B6445" s="3" t="s">
        <v>6149</v>
      </c>
      <c r="C6445" s="3" t="str">
        <f>IFERROR(__xludf.DUMMYFUNCTION("GOOGLETRANSLATE(B6445,""id"",""en"")"),"['signal', 'ugly', 'really', 'how', 'Telkomsel', 'kayak', 'gini', 'signal', ""]")</f>
        <v>['signal', 'ugly', 'really', 'how', 'Telkomsel', 'kayak', 'gini', 'signal', "]</v>
      </c>
      <c r="D6445" s="3">
        <v>1.0</v>
      </c>
    </row>
    <row r="6446" ht="15.75" customHeight="1">
      <c r="A6446" s="1">
        <v>6878.0</v>
      </c>
      <c r="B6446" s="3" t="s">
        <v>6150</v>
      </c>
      <c r="C6446" s="3" t="str">
        <f>IFERROR(__xludf.DUMMYFUNCTION("GOOGLETRANSLATE(B6446,""id"",""en"")"),"['Increase', 'Quality']")</f>
        <v>['Increase', 'Quality']</v>
      </c>
      <c r="D6446" s="3">
        <v>5.0</v>
      </c>
    </row>
    <row r="6447" ht="15.75" customHeight="1">
      <c r="A6447" s="1">
        <v>6879.0</v>
      </c>
      <c r="B6447" s="3" t="s">
        <v>6151</v>
      </c>
      <c r="C6447" s="3" t="str">
        <f>IFERROR(__xludf.DUMMYFUNCTION("GOOGLETRANSLATE(B6447,""id"",""en"")"),"['Daily', 'Chek', 'repeated', 'please', 'repaired']")</f>
        <v>['Daily', 'Chek', 'repeated', 'please', 'repaired']</v>
      </c>
      <c r="D6447" s="3">
        <v>2.0</v>
      </c>
    </row>
    <row r="6448" ht="15.75" customHeight="1">
      <c r="A6448" s="1">
        <v>6880.0</v>
      </c>
      <c r="B6448" s="3" t="s">
        <v>6152</v>
      </c>
      <c r="C6448" s="3" t="str">
        <f>IFERROR(__xludf.DUMMYFUNCTION("GOOGLETRANSLATE(B6448,""id"",""en"")"),"['Daily', 'Check', 'Error', 'reset', ""]")</f>
        <v>['Daily', 'Check', 'Error', 'reset', "]</v>
      </c>
      <c r="D6448" s="3">
        <v>2.0</v>
      </c>
    </row>
    <row r="6449" ht="15.75" customHeight="1">
      <c r="A6449" s="1">
        <v>6881.0</v>
      </c>
      <c r="B6449" s="3" t="s">
        <v>6153</v>
      </c>
      <c r="C6449" s="3" t="str">
        <f>IFERROR(__xludf.DUMMYFUNCTION("GOOGLETRANSLATE(B6449,""id"",""en"")"),"['package', 'expensive', 'quality', 'signal', 'please', 'adjusted', 'quality', 'signal', 'decline', 'daily', 'check', 'reset', ' ']")</f>
        <v>['package', 'expensive', 'quality', 'signal', 'please', 'adjusted', 'quality', 'signal', 'decline', 'daily', 'check', 'reset', ' ']</v>
      </c>
      <c r="D6449" s="3">
        <v>1.0</v>
      </c>
    </row>
    <row r="6450" ht="15.75" customHeight="1">
      <c r="A6450" s="1">
        <v>6882.0</v>
      </c>
      <c r="B6450" s="3" t="s">
        <v>6154</v>
      </c>
      <c r="C6450" s="3" t="str">
        <f>IFERROR(__xludf.DUMMYFUNCTION("GOOGLETRANSLATE(B6450,""id"",""en"")"),"['right', 'play', 'game', 'nge', 'lag', 'open', 'youtube', 'smooth', 'please', 'telkom', ""]")</f>
        <v>['right', 'play', 'game', 'nge', 'lag', 'open', 'youtube', 'smooth', 'please', 'telkom', "]</v>
      </c>
      <c r="D6450" s="3">
        <v>1.0</v>
      </c>
    </row>
    <row r="6451" ht="15.75" customHeight="1">
      <c r="A6451" s="1">
        <v>6884.0</v>
      </c>
      <c r="B6451" s="3" t="s">
        <v>6155</v>
      </c>
      <c r="C6451" s="3" t="str">
        <f>IFERROR(__xludf.DUMMYFUNCTION("GOOGLETRANSLATE(B6451,""id"",""en"")"),"['Nambah', 'error', 'daily', 'check', 'login', '']")</f>
        <v>['Nambah', 'error', 'daily', 'check', 'login', '']</v>
      </c>
      <c r="D6451" s="3">
        <v>1.0</v>
      </c>
    </row>
    <row r="6452" ht="15.75" customHeight="1">
      <c r="A6452" s="1">
        <v>6885.0</v>
      </c>
      <c r="B6452" s="3" t="s">
        <v>6156</v>
      </c>
      <c r="C6452" s="3" t="str">
        <f>IFERROR(__xludf.DUMMYFUNCTION("GOOGLETRANSLATE(B6452,""id"",""en"")"),"['APK', 'jerksek', 'Russy', 'Performi', 'Udh', 'difficult', 'difficult', 'check out', 'MLH', 'JDI', 'BURIK', 'really']")</f>
        <v>['APK', 'jerksek', 'Russy', 'Performi', 'Udh', 'difficult', 'difficult', 'check out', 'MLH', 'JDI', 'BURIK', 'really']</v>
      </c>
      <c r="D6452" s="3">
        <v>1.0</v>
      </c>
    </row>
    <row r="6453" ht="15.75" customHeight="1">
      <c r="A6453" s="1">
        <v>6886.0</v>
      </c>
      <c r="B6453" s="3" t="s">
        <v>80</v>
      </c>
      <c r="C6453" s="3" t="str">
        <f>IFERROR(__xludf.DUMMYFUNCTION("GOOGLETRANSLATE(B6453,""id"",""en"")"),"['help', '']")</f>
        <v>['help', '']</v>
      </c>
      <c r="D6453" s="3">
        <v>4.0</v>
      </c>
    </row>
    <row r="6454" ht="15.75" customHeight="1">
      <c r="A6454" s="1">
        <v>6887.0</v>
      </c>
      <c r="B6454" s="3" t="s">
        <v>6157</v>
      </c>
      <c r="C6454" s="3" t="str">
        <f>IFERROR(__xludf.DUMMYFUNCTION("GOOGLETRANSLATE(B6454,""id"",""en"")"),"['Credit', 'Cut', 'Anying', 'Daily', 'Check', 'Intention', 'Check', 'Kereset', 'zero', 'Bang', 'Package', 'Data', ' expensive ',' signal ',' tetep ',' BURIK ']")</f>
        <v>['Credit', 'Cut', 'Anying', 'Daily', 'Check', 'Intention', 'Check', 'Kereset', 'zero', 'Bang', 'Package', 'Data', ' expensive ',' signal ',' tetep ',' BURIK ']</v>
      </c>
      <c r="D6454" s="3">
        <v>1.0</v>
      </c>
    </row>
    <row r="6455" ht="15.75" customHeight="1">
      <c r="A6455" s="1">
        <v>6888.0</v>
      </c>
      <c r="B6455" s="3" t="s">
        <v>6158</v>
      </c>
      <c r="C6455" s="3" t="str">
        <f>IFERROR(__xludf.DUMMYFUNCTION("GOOGLETRANSLATE(B6455,""id"",""en"")"),"['tired', 'check', 'UDH', 'HRI', 'reset', 'Dri', 'lgi', ""]")</f>
        <v>['tired', 'check', 'UDH', 'HRI', 'reset', 'Dri', 'lgi', "]</v>
      </c>
      <c r="D6455" s="3">
        <v>1.0</v>
      </c>
    </row>
    <row r="6456" ht="15.75" customHeight="1">
      <c r="A6456" s="1">
        <v>6889.0</v>
      </c>
      <c r="B6456" s="3" t="s">
        <v>6159</v>
      </c>
      <c r="C6456" s="3" t="str">
        <f>IFERROR(__xludf.DUMMYFUNCTION("GOOGLETRANSLATE(B6456,""id"",""en"")"),"['Daile', 'Chekin', 'Ngebug', 'Already', 'Chekin', 'Repeat', 'Wakrunyah', 'Stay', 'Fool']")</f>
        <v>['Daile', 'Chekin', 'Ngebug', 'Already', 'Chekin', 'Repeat', 'Wakrunyah', 'Stay', 'Fool']</v>
      </c>
      <c r="D6456" s="3">
        <v>1.0</v>
      </c>
    </row>
    <row r="6457" ht="15.75" customHeight="1">
      <c r="A6457" s="1">
        <v>6890.0</v>
      </c>
      <c r="B6457" s="3" t="s">
        <v>6160</v>
      </c>
      <c r="C6457" s="3" t="str">
        <f>IFERROR(__xludf.DUMMYFUNCTION("GOOGLETRANSLATE(B6457,""id"",""en"")"),"['cheated', 'Telkomsel', 'price', 'expensive', 'package', 'internet', 'pulse', 'regular', 'comparable', 'speed', 'network', 'position', ' Region ',' Position ',' ']")</f>
        <v>['cheated', 'Telkomsel', 'price', 'expensive', 'package', 'internet', 'pulse', 'regular', 'comparable', 'speed', 'network', 'position', ' Region ',' Position ',' ']</v>
      </c>
      <c r="D6457" s="3">
        <v>1.0</v>
      </c>
    </row>
    <row r="6458" ht="15.75" customHeight="1">
      <c r="A6458" s="1">
        <v>6891.0</v>
      </c>
      <c r="B6458" s="3" t="s">
        <v>6161</v>
      </c>
      <c r="C6458" s="3" t="str">
        <f>IFERROR(__xludf.DUMMYFUNCTION("GOOGLETRANSLATE(B6458,""id"",""en"")"),"['application', 'bngst', 'cave', 'already', 'gatherin', 'chek', 'entry', 'hsri', 'chek', 'lost', 'please', 'Telkomsel', ' Intention ',' Reward ',' Reward ',' Customer ',' Eye ',' Harapan ',' Fake ',' Customer ',' Telkomsel ',' Reduced ',' Switch ',' Opera"&amp;"tor ']")</f>
        <v>['application', 'bngst', 'cave', 'already', 'gatherin', 'chek', 'entry', 'hsri', 'chek', 'lost', 'please', 'Telkomsel', ' Intention ',' Reward ',' Reward ',' Customer ',' Eye ',' Harapan ',' Fake ',' Customer ',' Telkomsel ',' Reduced ',' Switch ',' Operator ']</v>
      </c>
      <c r="D6458" s="3">
        <v>1.0</v>
      </c>
    </row>
    <row r="6459" ht="15.75" customHeight="1">
      <c r="A6459" s="1">
        <v>6892.0</v>
      </c>
      <c r="B6459" s="3" t="s">
        <v>6162</v>
      </c>
      <c r="C6459" s="3" t="str">
        <f>IFERROR(__xludf.DUMMYFUNCTION("GOOGLETRANSLATE(B6459,""id"",""en"")"),"['satisfying', 'DIDLM', 'room']")</f>
        <v>['satisfying', 'DIDLM', 'room']</v>
      </c>
      <c r="D6459" s="3">
        <v>5.0</v>
      </c>
    </row>
    <row r="6460" ht="15.75" customHeight="1">
      <c r="A6460" s="1">
        <v>6893.0</v>
      </c>
      <c r="B6460" s="3" t="s">
        <v>6163</v>
      </c>
      <c r="C6460" s="3" t="str">
        <f>IFERROR(__xludf.DUMMYFUNCTION("GOOGLETRANSLATE(B6460,""id"",""en"")"),"['The application', 'like', 'error']")</f>
        <v>['The application', 'like', 'error']</v>
      </c>
      <c r="D6460" s="3">
        <v>1.0</v>
      </c>
    </row>
    <row r="6461" ht="15.75" customHeight="1">
      <c r="A6461" s="1">
        <v>6894.0</v>
      </c>
      <c r="B6461" s="3" t="s">
        <v>6164</v>
      </c>
      <c r="C6461" s="3" t="str">
        <f>IFERROR(__xludf.DUMMYFUNCTION("GOOGLETRANSLATE(B6461,""id"",""en"")"),"['Maketin', 'Kuta', 'Penybanan', 'Sopay', 'Please', 'Help']")</f>
        <v>['Maketin', 'Kuta', 'Penybanan', 'Sopay', 'Please', 'Help']</v>
      </c>
      <c r="D6461" s="3">
        <v>1.0</v>
      </c>
    </row>
    <row r="6462" ht="15.75" customHeight="1">
      <c r="A6462" s="1">
        <v>6895.0</v>
      </c>
      <c r="B6462" s="3" t="s">
        <v>6165</v>
      </c>
      <c r="C6462" s="3" t="str">
        <f>IFERROR(__xludf.DUMMYFUNCTION("GOOGLETRANSLATE(B6462,""id"",""en"")"),"['already', 'difficult', 'difficult', 'collecting', 'stamps', 'reset', 'how', 'leftover', 'claim', 'prize', ""]")</f>
        <v>['already', 'difficult', 'difficult', 'collecting', 'stamps', 'reset', 'how', 'leftover', 'claim', 'prize', "]</v>
      </c>
      <c r="D6462" s="3">
        <v>1.0</v>
      </c>
    </row>
    <row r="6463" ht="15.75" customHeight="1">
      <c r="A6463" s="1">
        <v>6896.0</v>
      </c>
      <c r="B6463" s="3" t="s">
        <v>6166</v>
      </c>
      <c r="C6463" s="3" t="str">
        <f>IFERROR(__xludf.DUMMYFUNCTION("GOOGLETRANSLATE(B6463,""id"",""en"")"),"['Star', 'dlu', 'min', 'knpa', 'results',' check ',' daily ',' apk ',' telkomsel ',' reset ',' kmbli ',' udh ',' Check ',' Daily ',' Untk ',' Get ',' Package ',' Free ',' PDHL ',' BLM ',' Reset ',' Min ',' Pdhl ',' Reset ',' date ' , 'October', 'KNPA', 'U"&amp;"DH', 'Reset', 'Min', 'now', 'date', 'October', 'please', 'repaired', 'bug', 'min', ' UDH ',' Cape ',' Login ',' APK ',' Telkomsel ',' Untk ',' take ',' prize ',' Package ',' Maap ',' Collapin ',' Star ',' Min ' , 'JDI', 'Disappointed', 'Skli', ""]")</f>
        <v>['Star', 'dlu', 'min', 'knpa', 'results',' check ',' daily ',' apk ',' telkomsel ',' reset ',' kmbli ',' udh ',' Check ',' Daily ',' Untk ',' Get ',' Package ',' Free ',' PDHL ',' BLM ',' Reset ',' Min ',' Pdhl ',' Reset ',' date ' , 'October', 'KNPA', 'UDH', 'Reset', 'Min', 'now', 'date', 'October', 'please', 'repaired', 'bug', 'min', ' UDH ',' Cape ',' Login ',' APK ',' Telkomsel ',' Untk ',' take ',' prize ',' Package ',' Maap ',' Collapin ',' Star ',' Min ' , 'JDI', 'Disappointed', 'Skli', "]</v>
      </c>
      <c r="D6463" s="3">
        <v>1.0</v>
      </c>
    </row>
    <row r="6464" ht="15.75" customHeight="1">
      <c r="A6464" s="1">
        <v>6897.0</v>
      </c>
      <c r="B6464" s="3" t="s">
        <v>6167</v>
      </c>
      <c r="C6464" s="3" t="str">
        <f>IFERROR(__xludf.DUMMYFUNCTION("GOOGLETRANSLATE(B6464,""id"",""en"")"),"['Kayak', 'Fair', 'That's', 'yes', 'Wind', 'Rain', 'Daily', 'Chek', 'Chek', 'Routine', 'Fix', ""]")</f>
        <v>['Kayak', 'Fair', 'That's', 'yes', 'Wind', 'Rain', 'Daily', 'Chek', 'Chek', 'Routine', 'Fix', "]</v>
      </c>
      <c r="D6464" s="3">
        <v>1.0</v>
      </c>
    </row>
    <row r="6465" ht="15.75" customHeight="1">
      <c r="A6465" s="1">
        <v>6898.0</v>
      </c>
      <c r="B6465" s="3" t="s">
        <v>6168</v>
      </c>
      <c r="C6465" s="3" t="str">
        <f>IFERROR(__xludf.DUMMYFUNCTION("GOOGLETRANSLATE(B6465,""id"",""en"")"),"['Daily', 'check', 'repeated', 'Period', 'according to', 'date', 'determined', 'hilarious']")</f>
        <v>['Daily', 'check', 'repeated', 'Period', 'according to', 'date', 'determined', 'hilarious']</v>
      </c>
      <c r="D6465" s="3">
        <v>1.0</v>
      </c>
    </row>
    <row r="6466" ht="15.75" customHeight="1">
      <c r="A6466" s="1">
        <v>6899.0</v>
      </c>
      <c r="B6466" s="3" t="s">
        <v>6169</v>
      </c>
      <c r="C6466" s="3" t="str">
        <f>IFERROR(__xludf.DUMMYFUNCTION("GOOGLETRANSLATE(B6466,""id"",""en"")"),"['disappointing', 'service', 'signal', 'Telkomsel']")</f>
        <v>['disappointing', 'service', 'signal', 'Telkomsel']</v>
      </c>
      <c r="D6466" s="3">
        <v>2.0</v>
      </c>
    </row>
    <row r="6467" ht="15.75" customHeight="1">
      <c r="A6467" s="1">
        <v>6900.0</v>
      </c>
      <c r="B6467" s="3" t="s">
        <v>6170</v>
      </c>
      <c r="C6467" s="3" t="str">
        <f>IFERROR(__xludf.DUMMYFUNCTION("GOOGLETRANSLATE(B6467,""id"",""en"")"),"['signal', 'internet', 'housing', 'Elysium', 'Lippo', 'Cikarang', 'bad', 'housing', 'elite', 'network', 'internet', 'bad', ' please ',' followed up ',' as soon as possible ']")</f>
        <v>['signal', 'internet', 'housing', 'Elysium', 'Lippo', 'Cikarang', 'bad', 'housing', 'elite', 'network', 'internet', 'bad', ' please ',' followed up ',' as soon as possible ']</v>
      </c>
      <c r="D6467" s="3">
        <v>1.0</v>
      </c>
    </row>
    <row r="6468" ht="15.75" customHeight="1">
      <c r="A6468" s="1">
        <v>6901.0</v>
      </c>
      <c r="B6468" s="3" t="s">
        <v>6171</v>
      </c>
      <c r="C6468" s="3" t="str">
        <f>IFERROR(__xludf.DUMMYFUNCTION("GOOGLETRANSLATE(B6468,""id"",""en"")"),"['already', 'check', 'week', 'update', 'app', 'reset', 'gini', 'mending', 'update', 'app', '']")</f>
        <v>['already', 'check', 'week', 'update', 'app', 'reset', 'gini', 'mending', 'update', 'app', '']</v>
      </c>
      <c r="D6468" s="3">
        <v>1.0</v>
      </c>
    </row>
    <row r="6469" ht="15.75" customHeight="1">
      <c r="A6469" s="1">
        <v>6902.0</v>
      </c>
      <c r="B6469" s="3" t="s">
        <v>6172</v>
      </c>
      <c r="C6469" s="3" t="str">
        <f>IFERROR(__xludf.DUMMYFUNCTION("GOOGLETRANSLATE(B6469,""id"",""en"")"),"['How', 'already', 'check', 'right', 'check', 'missing', 'error']")</f>
        <v>['How', 'already', 'check', 'right', 'check', 'missing', 'error']</v>
      </c>
      <c r="D6469" s="3">
        <v>3.0</v>
      </c>
    </row>
    <row r="6470" ht="15.75" customHeight="1">
      <c r="A6470" s="1">
        <v>6903.0</v>
      </c>
      <c r="B6470" s="3" t="s">
        <v>6173</v>
      </c>
      <c r="C6470" s="3" t="str">
        <f>IFERROR(__xludf.DUMMYFUNCTION("GOOGLETRANSLATE(B6470,""id"",""en"")"),"['Addin', 'Features',' Check ',' Histori ',' Transaction ',' Customer ',' Pulses', 'Reduced', 'Transaction', 'Dial', 'Transaction', 'Doang', ' At least ',' transaction ',' Know ',' ']")</f>
        <v>['Addin', 'Features',' Check ',' Histori ',' Transaction ',' Customer ',' Pulses', 'Reduced', 'Transaction', 'Dial', 'Transaction', 'Doang', ' At least ',' transaction ',' Know ',' ']</v>
      </c>
      <c r="D6470" s="3">
        <v>3.0</v>
      </c>
    </row>
    <row r="6471" ht="15.75" customHeight="1">
      <c r="A6471" s="1">
        <v>6904.0</v>
      </c>
      <c r="B6471" s="3" t="s">
        <v>6174</v>
      </c>
      <c r="C6471" s="3" t="str">
        <f>IFERROR(__xludf.DUMMYFUNCTION("GOOGLETRANSLATE(B6471,""id"",""en"")"),"['like', 'card', 'delicious', 'network', 'card', 'supports', 'network', ""]")</f>
        <v>['like', 'card', 'delicious', 'network', 'card', 'supports', 'network', "]</v>
      </c>
      <c r="D6471" s="3">
        <v>5.0</v>
      </c>
    </row>
    <row r="6472" ht="15.75" customHeight="1">
      <c r="A6472" s="1">
        <v>6905.0</v>
      </c>
      <c r="B6472" s="3" t="s">
        <v>6175</v>
      </c>
      <c r="C6472" s="3" t="str">
        <f>IFERROR(__xludf.DUMMYFUNCTION("GOOGLETRANSLATE(B6472,""id"",""en"")"),"['Not bad', 'good', 'network', 'weak']")</f>
        <v>['Not bad', 'good', 'network', 'weak']</v>
      </c>
      <c r="D6472" s="3">
        <v>3.0</v>
      </c>
    </row>
    <row r="6473" ht="15.75" customHeight="1">
      <c r="A6473" s="1">
        <v>6906.0</v>
      </c>
      <c r="B6473" s="3" t="s">
        <v>6176</v>
      </c>
      <c r="C6473" s="3" t="str">
        <f>IFERROR(__xludf.DUMMYFUNCTION("GOOGLETRANSLATE(B6473,""id"",""en"")"),"['content', 'voucher', 'via', 'application', 'ngeapain', 'sell', 'voucher', 'update', 'application', 'provider', 'price', 'package', ' Internet ',' cheap ',' folding ',' quality ',' network ',' admitted ',' cheap ',' Malaysia ',' quota ',' internet ',' un"&amp;"limited ',' fup ',' bandwidth ' , 'Speed', 'Mbps', 'Ringgit', 'Tens', 'Times', 'Folding', 'Price', 'Quota', 'Internet', 'Telkomsel']")</f>
        <v>['content', 'voucher', 'via', 'application', 'ngeapain', 'sell', 'voucher', 'update', 'application', 'provider', 'price', 'package', ' Internet ',' cheap ',' folding ',' quality ',' network ',' admitted ',' cheap ',' Malaysia ',' quota ',' internet ',' unlimited ',' fup ',' bandwidth ' , 'Speed', 'Mbps', 'Ringgit', 'Tens', 'Times', 'Folding', 'Price', 'Quota', 'Internet', 'Telkomsel']</v>
      </c>
      <c r="D6473" s="3">
        <v>1.0</v>
      </c>
    </row>
    <row r="6474" ht="15.75" customHeight="1">
      <c r="A6474" s="1">
        <v>6907.0</v>
      </c>
      <c r="B6474" s="3" t="s">
        <v>6177</v>
      </c>
      <c r="C6474" s="3" t="str">
        <f>IFERROR(__xludf.DUMMYFUNCTION("GOOGLETRANSLATE(B6474,""id"",""en"")"),"['card', 'defective', 'idiot', 'bat', 'card', 'week', 'slow', 'forgiveness',' gini ',' make ',' tsel ',' ngebct ',' Playstore ',' Choice ',' Region ',' Cuman ',' Tsel ',' Network ',' Fool ',' Hopefully ',' Developer ',' AXIS ',' Read ',' Komenan ',' Masan"&amp;"gin ' , 'AXIS', 'Region', 'APK', 'Tsel', 'Location', 'Village', 'Kalimantan']")</f>
        <v>['card', 'defective', 'idiot', 'bat', 'card', 'week', 'slow', 'forgiveness',' gini ',' make ',' tsel ',' ngebct ',' Playstore ',' Choice ',' Region ',' Cuman ',' Tsel ',' Network ',' Fool ',' Hopefully ',' Developer ',' AXIS ',' Read ',' Komenan ',' Masangin ' , 'AXIS', 'Region', 'APK', 'Tsel', 'Location', 'Village', 'Kalimantan']</v>
      </c>
      <c r="D6474" s="3">
        <v>1.0</v>
      </c>
    </row>
    <row r="6475" ht="15.75" customHeight="1">
      <c r="A6475" s="1">
        <v>6908.0</v>
      </c>
      <c r="B6475" s="3" t="s">
        <v>6178</v>
      </c>
      <c r="C6475" s="3" t="str">
        <f>IFERROR(__xludf.DUMMYFUNCTION("GOOGLETRANSLATE(B6475,""id"",""en"")"),"['Severe', 'rigged', 'Telkomsel', 'Daily', 'check', 'stay', 'right', 'update', 'application', 'repeated', 'limit', 'repeated', ' ']")</f>
        <v>['Severe', 'rigged', 'Telkomsel', 'Daily', 'check', 'stay', 'right', 'update', 'application', 'repeated', 'limit', 'repeated', ' ']</v>
      </c>
      <c r="D6475" s="3">
        <v>1.0</v>
      </c>
    </row>
    <row r="6476" ht="15.75" customHeight="1">
      <c r="A6476" s="1">
        <v>6909.0</v>
      </c>
      <c r="B6476" s="3" t="s">
        <v>6179</v>
      </c>
      <c r="C6476" s="3" t="str">
        <f>IFERROR(__xludf.DUMMYFUNCTION("GOOGLETRANSLATE(B6476,""id"",""en"")"),"['Singal', 'Stable', 'Out', 'Update', 'Even', 'Deily', 'Check', 'Reset']")</f>
        <v>['Singal', 'Stable', 'Out', 'Update', 'Even', 'Deily', 'Check', 'Reset']</v>
      </c>
      <c r="D6476" s="3">
        <v>1.0</v>
      </c>
    </row>
    <row r="6477" ht="15.75" customHeight="1">
      <c r="A6477" s="1">
        <v>6910.0</v>
      </c>
      <c r="B6477" s="3" t="s">
        <v>6180</v>
      </c>
      <c r="C6477" s="3" t="str">
        <f>IFERROR(__xludf.DUMMYFUNCTION("GOOGLETRANSLATE(B6477,""id"",""en"")"),"['Network', 'Telkomsel', 'Slow', 'Severe', 'Raying', 'Pakek']")</f>
        <v>['Network', 'Telkomsel', 'Slow', 'Severe', 'Raying', 'Pakek']</v>
      </c>
      <c r="D6477" s="3">
        <v>1.0</v>
      </c>
    </row>
    <row r="6478" ht="15.75" customHeight="1">
      <c r="A6478" s="1">
        <v>6911.0</v>
      </c>
      <c r="B6478" s="3" t="s">
        <v>6181</v>
      </c>
      <c r="C6478" s="3" t="str">
        <f>IFERROR(__xludf.DUMMYFUNCTION("GOOGLETRANSLATE(B6478,""id"",""en"")"),"['The application', 'knp', 'error', 'daily', 'check', 'kog', 'error', 'already', 'good', 'program']")</f>
        <v>['The application', 'knp', 'error', 'daily', 'check', 'kog', 'error', 'already', 'good', 'program']</v>
      </c>
      <c r="D6478" s="3">
        <v>1.0</v>
      </c>
    </row>
    <row r="6479" ht="15.75" customHeight="1">
      <c r="A6479" s="1">
        <v>6912.0</v>
      </c>
      <c r="B6479" s="3" t="s">
        <v>6182</v>
      </c>
      <c r="C6479" s="3" t="str">
        <f>IFERROR(__xludf.DUMMYFUNCTION("GOOGLETRANSLATE(B6479,""id"",""en"")"),"['wants',' how ',' already ',' check ',' already ',' full ',' reset ',' styled ',' gift ',' loss', 'programmya', 'ttp', ' The enactment ',' Check ',' already ',' Tuker ',' quota ',' repeated ']")</f>
        <v>['wants',' how ',' already ',' check ',' already ',' full ',' reset ',' styled ',' gift ',' loss', 'programmya', 'ttp', ' The enactment ',' Check ',' already ',' Tuker ',' quota ',' repeated ']</v>
      </c>
      <c r="D6479" s="3">
        <v>1.0</v>
      </c>
    </row>
    <row r="6480" ht="15.75" customHeight="1">
      <c r="A6480" s="1">
        <v>6913.0</v>
      </c>
      <c r="B6480" s="3" t="s">
        <v>6183</v>
      </c>
      <c r="C6480" s="3" t="str">
        <f>IFERROR(__xludf.DUMMYFUNCTION("GOOGLETRANSLATE(B6480,""id"",""en"")"),"['like', 'blank', 'white', 'sometimes',' delete ',' chace ',' delete ',' data ',' open ',' bother ',' right ',' ngactive ',' quota']")</f>
        <v>['like', 'blank', 'white', 'sometimes',' delete ',' chace ',' delete ',' data ',' open ',' bother ',' right ',' ngactive ',' quota']</v>
      </c>
      <c r="D6480" s="3">
        <v>1.0</v>
      </c>
    </row>
    <row r="6481" ht="15.75" customHeight="1">
      <c r="A6481" s="1">
        <v>6914.0</v>
      </c>
      <c r="B6481" s="3" t="s">
        <v>6184</v>
      </c>
      <c r="C6481" s="3" t="str">
        <f>IFERROR(__xludf.DUMMYFUNCTION("GOOGLETRANSLATE(B6481,""id"",""en"")"),"['APK', 'Nga', 'megapa', 'right', 'enter', 'check', 'check', 'reset', 'turu', 'check']")</f>
        <v>['APK', 'Nga', 'megapa', 'right', 'enter', 'check', 'check', 'reset', 'turu', 'check']</v>
      </c>
      <c r="D6481" s="3">
        <v>1.0</v>
      </c>
    </row>
    <row r="6482" ht="15.75" customHeight="1">
      <c r="A6482" s="1">
        <v>6915.0</v>
      </c>
      <c r="B6482" s="3" t="s">
        <v>6185</v>
      </c>
      <c r="C6482" s="3" t="str">
        <f>IFERROR(__xludf.DUMMYFUNCTION("GOOGLETRANSLATE(B6482,""id"",""en"")"),"['Telkomsel', 'tasty', 'admin', 'network', 'signal', 'ngilan']")</f>
        <v>['Telkomsel', 'tasty', 'admin', 'network', 'signal', 'ngilan']</v>
      </c>
      <c r="D6482" s="3">
        <v>2.0</v>
      </c>
    </row>
    <row r="6483" ht="15.75" customHeight="1">
      <c r="A6483" s="1">
        <v>6916.0</v>
      </c>
      <c r="B6483" s="3" t="s">
        <v>6186</v>
      </c>
      <c r="C6483" s="3" t="str">
        <f>IFERROR(__xludf.DUMMYFUNCTION("GOOGLETRANSLATE(B6483,""id"",""en"")"),"['card', 'Maha', 'changed', 'package', 'no', 'cheap', '']")</f>
        <v>['card', 'Maha', 'changed', 'package', 'no', 'cheap', '']</v>
      </c>
      <c r="D6483" s="3">
        <v>1.0</v>
      </c>
    </row>
    <row r="6484" ht="15.75" customHeight="1">
      <c r="A6484" s="1">
        <v>6917.0</v>
      </c>
      <c r="B6484" s="3" t="s">
        <v>6187</v>
      </c>
      <c r="C6484" s="3" t="str">
        <f>IFERROR(__xludf.DUMMYFUNCTION("GOOGLETRANSLATE(B6484,""id"",""en"")"),"['Telkomsel', 'Ngeleg', 'Tokong', 'Fix', '']")</f>
        <v>['Telkomsel', 'Ngeleg', 'Tokong', 'Fix', '']</v>
      </c>
      <c r="D6484" s="3">
        <v>1.0</v>
      </c>
    </row>
    <row r="6485" ht="15.75" customHeight="1">
      <c r="A6485" s="1">
        <v>6918.0</v>
      </c>
      <c r="B6485" s="3" t="s">
        <v>6188</v>
      </c>
      <c r="C6485" s="3" t="str">
        <f>IFERROR(__xludf.DUMMYFUNCTION("GOOGLETRANSLATE(B6485,""id"",""en"")"),"['Daily', 'check', 'reset', 'already', 'happy', 'got', 'quota', 'internet', 'I think', 'hunu']")</f>
        <v>['Daily', 'check', 'reset', 'already', 'happy', 'got', 'quota', 'internet', 'I think', 'hunu']</v>
      </c>
      <c r="D6485" s="3">
        <v>1.0</v>
      </c>
    </row>
    <row r="6486" ht="15.75" customHeight="1">
      <c r="A6486" s="1">
        <v>6919.0</v>
      </c>
      <c r="B6486" s="3" t="s">
        <v>6189</v>
      </c>
      <c r="C6486" s="3" t="str">
        <f>IFERROR(__xludf.DUMMYFUNCTION("GOOGLETRANSLATE(B6486,""id"",""en"")"),"['Network', 'Burik', 'APK's', '']")</f>
        <v>['Network', 'Burik', 'APK's', '']</v>
      </c>
      <c r="D6486" s="3">
        <v>1.0</v>
      </c>
    </row>
    <row r="6487" ht="15.75" customHeight="1">
      <c r="A6487" s="1">
        <v>6921.0</v>
      </c>
      <c r="B6487" s="3" t="s">
        <v>6190</v>
      </c>
      <c r="C6487" s="3" t="str">
        <f>IFERROR(__xludf.DUMMYFUNCTION("GOOGLETRANSLATE(B6487,""id"",""en"")"),"['samgat', 'help']")</f>
        <v>['samgat', 'help']</v>
      </c>
      <c r="D6487" s="3">
        <v>5.0</v>
      </c>
    </row>
    <row r="6488" ht="15.75" customHeight="1">
      <c r="A6488" s="1">
        <v>6922.0</v>
      </c>
      <c r="B6488" s="3" t="s">
        <v>6191</v>
      </c>
      <c r="C6488" s="3" t="str">
        <f>IFERROR(__xludf.DUMMYFUNCTION("GOOGLETRANSLATE(B6488,""id"",""en"")"),"['', 'pulses', 'sumps', 'absent', 'reset', 'already', 'expensive', 'package', 'slow', 'quality', 'signal', 'Telkom', "" ]")</f>
        <v>['', 'pulses', 'sumps', 'absent', 'reset', 'already', 'expensive', 'package', 'slow', 'quality', 'signal', 'Telkom', " ]</v>
      </c>
      <c r="D6488" s="3">
        <v>1.0</v>
      </c>
    </row>
    <row r="6489" ht="15.75" customHeight="1">
      <c r="A6489" s="1">
        <v>6923.0</v>
      </c>
      <c r="B6489" s="3" t="s">
        <v>154</v>
      </c>
      <c r="C6489" s="3" t="str">
        <f>IFERROR(__xludf.DUMMYFUNCTION("GOOGLETRANSLATE(B6489,""id"",""en"")"),"['satisfying']")</f>
        <v>['satisfying']</v>
      </c>
      <c r="D6489" s="3">
        <v>5.0</v>
      </c>
    </row>
    <row r="6490" ht="15.75" customHeight="1">
      <c r="A6490" s="1">
        <v>6924.0</v>
      </c>
      <c r="B6490" s="3" t="s">
        <v>6192</v>
      </c>
      <c r="C6490" s="3" t="str">
        <f>IFERROR(__xludf.DUMMYFUNCTION("GOOGLETRANSLATE(B6490,""id"",""en"")"),"['Daily', 'Check', 'How', 'Login', 'skrg', 'repeated', 'check', ""]")</f>
        <v>['Daily', 'Check', 'How', 'Login', 'skrg', 'repeated', 'check', "]</v>
      </c>
      <c r="D6490" s="3">
        <v>1.0</v>
      </c>
    </row>
    <row r="6491" ht="15.75" customHeight="1">
      <c r="A6491" s="1">
        <v>6925.0</v>
      </c>
      <c r="B6491" s="3" t="s">
        <v>6193</v>
      </c>
      <c r="C6491" s="3" t="str">
        <f>IFERROR(__xludf.DUMMYFUNCTION("GOOGLETRANSLATE(B6491,""id"",""en"")"),"['Fix', 'signal', 'taik', 'all-round', 'expensive', 'mending', 'kayak', 'gini']")</f>
        <v>['Fix', 'signal', 'taik', 'all-round', 'expensive', 'mending', 'kayak', 'gini']</v>
      </c>
      <c r="D6491" s="3">
        <v>1.0</v>
      </c>
    </row>
    <row r="6492" ht="15.75" customHeight="1">
      <c r="A6492" s="1">
        <v>6926.0</v>
      </c>
      <c r="B6492" s="3" t="s">
        <v>6194</v>
      </c>
      <c r="C6492" s="3" t="str">
        <f>IFERROR(__xludf.DUMMYFUNCTION("GOOGLETRANSLATE(B6492,""id"",""en"")"),"['Ngaco', 'daily', 'check', 'already']")</f>
        <v>['Ngaco', 'daily', 'check', 'already']</v>
      </c>
      <c r="D6492" s="3">
        <v>1.0</v>
      </c>
    </row>
    <row r="6493" ht="15.75" customHeight="1">
      <c r="A6493" s="1">
        <v>6927.0</v>
      </c>
      <c r="B6493" s="3" t="s">
        <v>6195</v>
      </c>
      <c r="C6493" s="3" t="str">
        <f>IFERROR(__xludf.DUMMYFUNCTION("GOOGLETRANSLATE(B6493,""id"",""en"")"),"['Updet', 'Lalotx', 'Mnta', 'Forgiveness', 'Open', 'Lalot', 'Mending', 'Nda', 'Update']")</f>
        <v>['Updet', 'Lalotx', 'Mnta', 'Forgiveness', 'Open', 'Lalot', 'Mending', 'Nda', 'Update']</v>
      </c>
      <c r="D6493" s="3">
        <v>3.0</v>
      </c>
    </row>
    <row r="6494" ht="15.75" customHeight="1">
      <c r="A6494" s="1">
        <v>6928.0</v>
      </c>
      <c r="B6494" s="3" t="s">
        <v>6196</v>
      </c>
      <c r="C6494" s="3" t="str">
        <f>IFERROR(__xludf.DUMMYFUNCTION("GOOGLETRANSLATE(B6494,""id"",""en"")"),"['Enter', 'code', 'Veritification', 'lol']")</f>
        <v>['Enter', 'code', 'Veritification', 'lol']</v>
      </c>
      <c r="D6494" s="3">
        <v>1.0</v>
      </c>
    </row>
    <row r="6495" ht="15.75" customHeight="1">
      <c r="A6495" s="1">
        <v>6929.0</v>
      </c>
      <c r="B6495" s="3" t="s">
        <v>6197</v>
      </c>
      <c r="C6495" s="3" t="str">
        <f>IFERROR(__xludf.DUMMYFUNCTION("GOOGLETRANSLATE(B6495,""id"",""en"")"),"['check', 'gift', 'GB', 'check', 'change', 'changed', 'check', 'trouble', 'gmn', 'Telkomsel', ""]")</f>
        <v>['check', 'gift', 'GB', 'check', 'change', 'changed', 'check', 'trouble', 'gmn', 'Telkomsel', "]</v>
      </c>
      <c r="D6495" s="3">
        <v>4.0</v>
      </c>
    </row>
    <row r="6496" ht="15.75" customHeight="1">
      <c r="A6496" s="1">
        <v>6930.0</v>
      </c>
      <c r="B6496" s="3" t="s">
        <v>6198</v>
      </c>
      <c r="C6496" s="3" t="str">
        <f>IFERROR(__xludf.DUMMYFUNCTION("GOOGLETRANSLATE(B6496,""id"",""en"")"),"['HBS', 'Updated', 'Daily', 'checkin']")</f>
        <v>['HBS', 'Updated', 'Daily', 'checkin']</v>
      </c>
      <c r="D6496" s="3">
        <v>2.0</v>
      </c>
    </row>
    <row r="6497" ht="15.75" customHeight="1">
      <c r="A6497" s="1">
        <v>6931.0</v>
      </c>
      <c r="B6497" s="3" t="s">
        <v>6199</v>
      </c>
      <c r="C6497" s="3" t="str">
        <f>IFERROR(__xludf.DUMMYFUNCTION("GOOGLETRANSLATE(B6497,""id"",""en"")"),"['Daily', 'Daily', 'Login', 'Mending', 'Gausah', 'Already', 'For days',' Gathering ',' Ceklis', 'Pas',' Claim ',' Gift ',' Ngak ',' points', 'missing', 'gift', 'expiration', 'October', 'Hadehhh', 'Scam', ""]")</f>
        <v>['Daily', 'Daily', 'Login', 'Mending', 'Gausah', 'Already', 'For days',' Gathering ',' Ceklis', 'Pas',' Claim ',' Gift ',' Ngak ',' points', 'missing', 'gift', 'expiration', 'October', 'Hadehhh', 'Scam', "]</v>
      </c>
      <c r="D6497" s="3">
        <v>1.0</v>
      </c>
    </row>
    <row r="6498" ht="15.75" customHeight="1">
      <c r="A6498" s="1">
        <v>6932.0</v>
      </c>
      <c r="B6498" s="3" t="s">
        <v>6200</v>
      </c>
      <c r="C6498" s="3" t="str">
        <f>IFERROR(__xludf.DUMMYFUNCTION("GOOGLETRANSLATE(B6498,""id"",""en"")"),"['try', 'application', '']")</f>
        <v>['try', 'application', '']</v>
      </c>
      <c r="D6498" s="3">
        <v>4.0</v>
      </c>
    </row>
    <row r="6499" ht="15.75" customHeight="1">
      <c r="A6499" s="1">
        <v>6933.0</v>
      </c>
      <c r="B6499" s="3" t="s">
        <v>6201</v>
      </c>
      <c r="C6499" s="3" t="str">
        <f>IFERROR(__xludf.DUMMYFUNCTION("GOOGLETRANSLATE(B6499,""id"",""en"")"),"['Love', 'steady']")</f>
        <v>['Love', 'steady']</v>
      </c>
      <c r="D6499" s="3">
        <v>5.0</v>
      </c>
    </row>
    <row r="6500" ht="15.75" customHeight="1">
      <c r="A6500" s="1">
        <v>6934.0</v>
      </c>
      <c r="B6500" s="3" t="s">
        <v>384</v>
      </c>
      <c r="C6500" s="3" t="str">
        <f>IFERROR(__xludf.DUMMYFUNCTION("GOOGLETRANSLATE(B6500,""id"",""en"")"),"['beneficial', '']")</f>
        <v>['beneficial', '']</v>
      </c>
      <c r="D6500" s="3">
        <v>5.0</v>
      </c>
    </row>
    <row r="6501" ht="15.75" customHeight="1">
      <c r="A6501" s="1">
        <v>6935.0</v>
      </c>
      <c r="B6501" s="3" t="s">
        <v>6202</v>
      </c>
      <c r="C6501" s="3" t="str">
        <f>IFERROR(__xludf.DUMMYFUNCTION("GOOGLETRANSLATE(B6501,""id"",""en"")"),"['finished', 'dead', 'lights', 'login', 'check', 'research', 'reset', 'ajg']")</f>
        <v>['finished', 'dead', 'lights', 'login', 'check', 'research', 'reset', 'ajg']</v>
      </c>
      <c r="D6501" s="3">
        <v>1.0</v>
      </c>
    </row>
    <row r="6502" ht="15.75" customHeight="1">
      <c r="A6502" s="1">
        <v>6936.0</v>
      </c>
      <c r="B6502" s="3" t="s">
        <v>6203</v>
      </c>
      <c r="C6502" s="3" t="str">
        <f>IFERROR(__xludf.DUMMYFUNCTION("GOOGLETRANSLATE(B6502,""id"",""en"")"),"['Check', 'Changed', 'Check', 'Strange']")</f>
        <v>['Check', 'Changed', 'Check', 'Strange']</v>
      </c>
      <c r="D6502" s="3">
        <v>1.0</v>
      </c>
    </row>
    <row r="6503" ht="15.75" customHeight="1">
      <c r="A6503" s="1">
        <v>6937.0</v>
      </c>
      <c r="B6503" s="3" t="s">
        <v>6204</v>
      </c>
      <c r="C6503" s="3" t="str">
        <f>IFERROR(__xludf.DUMMYFUNCTION("GOOGLETRANSLATE(B6503,""id"",""en"")"),"['check', 'already', 'times', 'application', 'garbage']")</f>
        <v>['check', 'already', 'times', 'application', 'garbage']</v>
      </c>
      <c r="D6503" s="3">
        <v>1.0</v>
      </c>
    </row>
    <row r="6504" ht="15.75" customHeight="1">
      <c r="A6504" s="1">
        <v>6939.0</v>
      </c>
      <c r="B6504" s="3" t="s">
        <v>6205</v>
      </c>
      <c r="C6504" s="3" t="str">
        <f>IFERROR(__xludf.DUMMYFUNCTION("GOOGLETRANSLATE(B6504,""id"",""en"")"),"['Disappointed', 'Application', 'Telkomsel', 'Daily', 'Check', 'right', 'Reward', 'Package', 'Data', 'Accessible', 'Give', 'Promo', ' Intention ',' Admin ',' Over ',' Bales', 'Chat', 'Via', 'Application', 'Telkomsel', 'Dibales',' Bales', 'Advertise', 'Dis"&amp;"appointed']")</f>
        <v>['Disappointed', 'Application', 'Telkomsel', 'Daily', 'Check', 'right', 'Reward', 'Package', 'Data', 'Accessible', 'Give', 'Promo', ' Intention ',' Admin ',' Over ',' Bales', 'Chat', 'Via', 'Application', 'Telkomsel', 'Dibales',' Bales', 'Advertise', 'Disappointed']</v>
      </c>
      <c r="D6504" s="3">
        <v>1.0</v>
      </c>
    </row>
    <row r="6505" ht="15.75" customHeight="1">
      <c r="A6505" s="1">
        <v>6940.0</v>
      </c>
      <c r="B6505" s="3" t="s">
        <v>6206</v>
      </c>
      <c r="C6505" s="3" t="str">
        <f>IFERROR(__xludf.DUMMYFUNCTION("GOOGLETRANSLATE(B6505,""id"",""en"")"),"['Lottery', 'Telkomsel', 'missing', '']")</f>
        <v>['Lottery', 'Telkomsel', 'missing', '']</v>
      </c>
      <c r="D6505" s="3">
        <v>1.0</v>
      </c>
    </row>
    <row r="6506" ht="15.75" customHeight="1">
      <c r="A6506" s="1">
        <v>6941.0</v>
      </c>
      <c r="B6506" s="3" t="s">
        <v>6207</v>
      </c>
      <c r="C6506" s="3" t="str">
        <f>IFERROR(__xludf.DUMMYFUNCTION("GOOGLETRANSLATE(B6506,""id"",""en"")"),"['Update', 'Bonus', 'BLM', 'Use', 'Lost', 'That's', 'Update', 'Season', '']")</f>
        <v>['Update', 'Bonus', 'BLM', 'Use', 'Lost', 'That's', 'Update', 'Season', '']</v>
      </c>
      <c r="D6506" s="3">
        <v>1.0</v>
      </c>
    </row>
    <row r="6507" ht="15.75" customHeight="1">
      <c r="A6507" s="1">
        <v>6942.0</v>
      </c>
      <c r="B6507" s="3" t="s">
        <v>6208</v>
      </c>
      <c r="C6507" s="3" t="str">
        <f>IFERROR(__xludf.DUMMYFUNCTION("GOOGLETRANSLATE(B6507,""id"",""en"")"),"['easy', 'check', 'pulse', 'quota', 'offer', '']")</f>
        <v>['easy', 'check', 'pulse', 'quota', 'offer', '']</v>
      </c>
      <c r="D6507" s="3">
        <v>5.0</v>
      </c>
    </row>
    <row r="6508" ht="15.75" customHeight="1">
      <c r="A6508" s="1">
        <v>6943.0</v>
      </c>
      <c r="B6508" s="3" t="s">
        <v>6209</v>
      </c>
      <c r="C6508" s="3" t="str">
        <f>IFERROR(__xludf.DUMMYFUNCTION("GOOGLETRANSLATE(B6508,""id"",""en"")"),"['application', 'check', 'right', 'open', 'bonus', 'point', 'clam', 'prize', ""]")</f>
        <v>['application', 'check', 'right', 'open', 'bonus', 'point', 'clam', 'prize', "]</v>
      </c>
      <c r="D6508" s="3">
        <v>1.0</v>
      </c>
    </row>
    <row r="6509" ht="15.75" customHeight="1">
      <c r="A6509" s="1">
        <v>6944.0</v>
      </c>
      <c r="B6509" s="3" t="s">
        <v>6210</v>
      </c>
      <c r="C6509" s="3" t="str">
        <f>IFERROR(__xludf.DUMMYFUNCTION("GOOGLETRANSLATE(B6509,""id"",""en"")"),"['contents',' credit ',' claim ',' voucher ',' Rp ',' pulses', 'missing', 'really', 'week', 'contents',' pulse ',' via ',' APKLIJI ',' MyTelkomsel ',' payment ',' via ',' shopee ',' ehh ',' pulses', 'enter', 'balance', 'shopeepay', 'already', 'cheek', 'al"&amp;"ready' , 'chat', 'customer', 'service', 'sampe', 'send', 'proof', 'screenshoot', 'payment', 'work', 'process',' enter ',' pulses', ' Log ',' Daily ',' Live ',' Claim ',' Voucher ',' Quota ',' Ehh ',' Log ',' Daily ',' ']")</f>
        <v>['contents',' credit ',' claim ',' voucher ',' Rp ',' pulses', 'missing', 'really', 'week', 'contents',' pulse ',' via ',' APKLIJI ',' MyTelkomsel ',' payment ',' via ',' shopee ',' ehh ',' pulses', 'enter', 'balance', 'shopeepay', 'already', 'cheek', 'already' , 'chat', 'customer', 'service', 'sampe', 'send', 'proof', 'screenshoot', 'payment', 'work', 'process',' enter ',' pulses', ' Log ',' Daily ',' Live ',' Claim ',' Voucher ',' Quota ',' Ehh ',' Log ',' Daily ',' ']</v>
      </c>
      <c r="D6509" s="3">
        <v>1.0</v>
      </c>
    </row>
    <row r="6510" ht="15.75" customHeight="1">
      <c r="A6510" s="1">
        <v>6945.0</v>
      </c>
      <c r="B6510" s="3" t="s">
        <v>6211</v>
      </c>
      <c r="C6510" s="3" t="str">
        <f>IFERROR(__xludf.DUMMYFUNCTION("GOOGLETRANSLATE(B6510,""id"",""en"")"),"['error', 'check', 'data', 'already', 'repeated', 'zero', 'poor', 'tired', 'login', 'data', 'free', 'error']")</f>
        <v>['error', 'check', 'data', 'already', 'repeated', 'zero', 'poor', 'tired', 'login', 'data', 'free', 'error']</v>
      </c>
      <c r="D6510" s="3">
        <v>5.0</v>
      </c>
    </row>
    <row r="6511" ht="15.75" customHeight="1">
      <c r="A6511" s="1">
        <v>6946.0</v>
      </c>
      <c r="B6511" s="3" t="s">
        <v>6212</v>
      </c>
      <c r="C6511" s="3" t="str">
        <f>IFERROR(__xludf.DUMMYFUNCTION("GOOGLETRANSLATE(B6511,""id"",""en"")"),"['Daily', 'check', 'reset']")</f>
        <v>['Daily', 'check', 'reset']</v>
      </c>
      <c r="D6511" s="3">
        <v>1.0</v>
      </c>
    </row>
    <row r="6512" ht="15.75" customHeight="1">
      <c r="A6512" s="1">
        <v>6947.0</v>
      </c>
      <c r="B6512" s="3" t="s">
        <v>6213</v>
      </c>
      <c r="C6512" s="3" t="str">
        <f>IFERROR(__xludf.DUMMYFUNCTION("GOOGLETRANSLATE(B6512,""id"",""en"")"),"['Increase', 'Function', 'Application', 'Content', 'Useful', 'User', 'Customer', '']")</f>
        <v>['Increase', 'Function', 'Application', 'Content', 'Useful', 'User', 'Customer', '']</v>
      </c>
      <c r="D6512" s="3">
        <v>5.0</v>
      </c>
    </row>
    <row r="6513" ht="15.75" customHeight="1">
      <c r="A6513" s="1">
        <v>6948.0</v>
      </c>
      <c r="B6513" s="3" t="s">
        <v>6214</v>
      </c>
      <c r="C6513" s="3" t="str">
        <f>IFERROR(__xludf.DUMMYFUNCTION("GOOGLETRANSLATE(B6513,""id"",""en"")"),"['Whyyyy', 'program', 'Daily', 'checkin', 'already', 'finished', 'right', 'open', 'apk', 'repair', 'lgi']")</f>
        <v>['Whyyyy', 'program', 'Daily', 'checkin', 'already', 'finished', 'right', 'open', 'apk', 'repair', 'lgi']</v>
      </c>
      <c r="D6513" s="3">
        <v>1.0</v>
      </c>
    </row>
    <row r="6514" ht="15.75" customHeight="1">
      <c r="A6514" s="1">
        <v>6949.0</v>
      </c>
      <c r="B6514" s="3" t="s">
        <v>6215</v>
      </c>
      <c r="C6514" s="3" t="str">
        <f>IFERROR(__xludf.DUMMYFUNCTION("GOOGLETRANSLATE(B6514,""id"",""en"")"),"['Dahlah', 'Chek', 'reset', 'Dri', 'Adin', 'Event', 'Kek', 'GTU', 'Signal', 'Stable', 'Price', 'Quota', ' expensive']")</f>
        <v>['Dahlah', 'Chek', 'reset', 'Dri', 'Adin', 'Event', 'Kek', 'GTU', 'Signal', 'Stable', 'Price', 'Quota', ' expensive']</v>
      </c>
      <c r="D6514" s="3">
        <v>1.0</v>
      </c>
    </row>
    <row r="6515" ht="15.75" customHeight="1">
      <c r="A6515" s="1">
        <v>6950.0</v>
      </c>
      <c r="B6515" s="3" t="s">
        <v>6216</v>
      </c>
      <c r="C6515" s="3" t="str">
        <f>IFERROR(__xludf.DUMMYFUNCTION("GOOGLETRANSLATE(B6515,""id"",""en"")"),"['signal', 'okay', 'package', 'internet', 'expensive']")</f>
        <v>['signal', 'okay', 'package', 'internet', 'expensive']</v>
      </c>
      <c r="D6515" s="3">
        <v>5.0</v>
      </c>
    </row>
    <row r="6516" ht="15.75" customHeight="1">
      <c r="A6516" s="1">
        <v>6951.0</v>
      </c>
      <c r="B6516" s="3" t="s">
        <v>6217</v>
      </c>
      <c r="C6516" s="3" t="str">
        <f>IFERROR(__xludf.DUMMYFUNCTION("GOOGLETRANSLATE(B6516,""id"",""en"")"),"['Check', 'Kenpa', 'repeat', 'COK']")</f>
        <v>['Check', 'Kenpa', 'repeat', 'COK']</v>
      </c>
      <c r="D6516" s="3">
        <v>1.0</v>
      </c>
    </row>
    <row r="6517" ht="15.75" customHeight="1">
      <c r="A6517" s="1">
        <v>6952.0</v>
      </c>
      <c r="B6517" s="3" t="s">
        <v>6218</v>
      </c>
      <c r="C6517" s="3" t="str">
        <f>IFERROR(__xludf.DUMMYFUNCTION("GOOGLETRANSLATE(B6517,""id"",""en"")"),"['Credit', 'Reduced', 'Daily', 'Check', 'Tereset', 'Stay', 'Intention', 'Feature', '']")</f>
        <v>['Credit', 'Reduced', 'Daily', 'Check', 'Tereset', 'Stay', 'Intention', 'Feature', '']</v>
      </c>
      <c r="D6517" s="3">
        <v>1.0</v>
      </c>
    </row>
    <row r="6518" ht="15.75" customHeight="1">
      <c r="A6518" s="1">
        <v>6953.0</v>
      </c>
      <c r="B6518" s="3" t="s">
        <v>6219</v>
      </c>
      <c r="C6518" s="3" t="str">
        <f>IFERROR(__xludf.DUMMYFUNCTION("GOOGLETRANSLATE(B6518,""id"",""en"")"),"['application', 'good', 'application', 'anything', 'eat', 'storage', 'update', 'application', 'light', 'consuming', 'memory', 'Telkomsel', ' make it happen ', ""]")</f>
        <v>['application', 'good', 'application', 'anything', 'eat', 'storage', 'update', 'application', 'light', 'consuming', 'memory', 'Telkomsel', ' make it happen ', "]</v>
      </c>
      <c r="D6518" s="3">
        <v>5.0</v>
      </c>
    </row>
    <row r="6519" ht="15.75" customHeight="1">
      <c r="A6519" s="1">
        <v>6954.0</v>
      </c>
      <c r="B6519" s="3" t="s">
        <v>6220</v>
      </c>
      <c r="C6519" s="3" t="str">
        <f>IFERROR(__xludf.DUMMYFUNCTION("GOOGLETRANSLATE(B6519,""id"",""en"")"),"['Provider', 'Telkomsel', 'Please', 'Signal', 'Area', 'Solo', 'Repaired', 'Quality', 'Signal', 'ugly', 'Most', 'Area', ' Solo ',' run ',' user ',' disappointed ',' signal ',' ugly ',' package ',' quota ',' makim ',' expensive ']")</f>
        <v>['Provider', 'Telkomsel', 'Please', 'Signal', 'Area', 'Solo', 'Repaired', 'Quality', 'Signal', 'ugly', 'Most', 'Area', ' Solo ',' run ',' user ',' disappointed ',' signal ',' ugly ',' package ',' quota ',' makim ',' expensive ']</v>
      </c>
      <c r="D6519" s="3">
        <v>1.0</v>
      </c>
    </row>
    <row r="6520" ht="15.75" customHeight="1">
      <c r="A6520" s="1">
        <v>6955.0</v>
      </c>
      <c r="B6520" s="3" t="s">
        <v>6221</v>
      </c>
      <c r="C6520" s="3" t="str">
        <f>IFERROR(__xludf.DUMMYFUNCTION("GOOGLETRANSLATE(B6520,""id"",""en"")"),"['signal', 'ugly', 'offer', 'internet', 'promo', 'suggestion', 'addin', 'description', 'range', 'speed', 'internet', 'brp', ' Mbps', 'people', 'zonk', 'that's',' right ',' buy ',' ']")</f>
        <v>['signal', 'ugly', 'offer', 'internet', 'promo', 'suggestion', 'addin', 'description', 'range', 'speed', 'internet', 'brp', ' Mbps', 'people', 'zonk', 'that's',' right ',' buy ',' ']</v>
      </c>
      <c r="D6520" s="3">
        <v>1.0</v>
      </c>
    </row>
    <row r="6521" ht="15.75" customHeight="1">
      <c r="A6521" s="1">
        <v>6956.0</v>
      </c>
      <c r="B6521" s="3" t="s">
        <v>6222</v>
      </c>
      <c r="C6521" s="3" t="str">
        <f>IFERROR(__xludf.DUMMYFUNCTION("GOOGLETRANSLATE(B6521,""id"",""en"")"),"['stay', 'check', 'can', 'knp', 'repeated', 'pdhl', 'msh', 'period', 'check']")</f>
        <v>['stay', 'check', 'can', 'knp', 'repeated', 'pdhl', 'msh', 'period', 'check']</v>
      </c>
      <c r="D6521" s="3">
        <v>3.0</v>
      </c>
    </row>
    <row r="6522" ht="15.75" customHeight="1">
      <c r="A6522" s="1">
        <v>6957.0</v>
      </c>
      <c r="B6522" s="3" t="s">
        <v>6223</v>
      </c>
      <c r="C6522" s="3" t="str">
        <f>IFERROR(__xludf.DUMMYFUNCTION("GOOGLETRANSLATE(B6522,""id"",""en"")"),"['SLLU', 'Increase', 'Network', 'Promo', 'Promo']")</f>
        <v>['SLLU', 'Increase', 'Network', 'Promo', 'Promo']</v>
      </c>
      <c r="D6522" s="3">
        <v>5.0</v>
      </c>
    </row>
    <row r="6523" ht="15.75" customHeight="1">
      <c r="A6523" s="1">
        <v>6958.0</v>
      </c>
      <c r="B6523" s="3" t="s">
        <v>6224</v>
      </c>
      <c r="C6523" s="3" t="str">
        <f>IFERROR(__xludf.DUMMYFUNCTION("GOOGLETRANSLATE(B6523,""id"",""en"")"),"['Daily', 'Chek', 'Telkomsel', 'Changed', 'Please', 'Explanation', 'KPD', 'Telkomsel', ""]")</f>
        <v>['Daily', 'Chek', 'Telkomsel', 'Changed', 'Please', 'Explanation', 'KPD', 'Telkomsel', "]</v>
      </c>
      <c r="D6523" s="3">
        <v>1.0</v>
      </c>
    </row>
    <row r="6524" ht="15.75" customHeight="1">
      <c r="A6524" s="1">
        <v>6959.0</v>
      </c>
      <c r="B6524" s="3" t="s">
        <v>6225</v>
      </c>
      <c r="C6524" s="3" t="str">
        <f>IFERROR(__xludf.DUMMYFUNCTION("GOOGLETRANSLATE(B6524,""id"",""en"")"),"['finished', 'update', 'daily', 'check', 'disappear', 'already', 'Try', 'Event', 'consistent', ""]")</f>
        <v>['finished', 'update', 'daily', 'check', 'disappear', 'already', 'Try', 'Event', 'consistent', "]</v>
      </c>
      <c r="D6524" s="3">
        <v>1.0</v>
      </c>
    </row>
    <row r="6525" ht="15.75" customHeight="1">
      <c r="A6525" s="1">
        <v>6960.0</v>
      </c>
      <c r="B6525" s="3" t="s">
        <v>6226</v>
      </c>
      <c r="C6525" s="3" t="str">
        <f>IFERROR(__xludf.DUMMYFUNCTION("GOOGLETRANSLATE(B6525,""id"",""en"")"),"['quota', 'leftover', 'GB', 'apply', 'disappointing', '']")</f>
        <v>['quota', 'leftover', 'GB', 'apply', 'disappointing', '']</v>
      </c>
      <c r="D6525" s="3">
        <v>1.0</v>
      </c>
    </row>
    <row r="6526" ht="15.75" customHeight="1">
      <c r="A6526" s="1">
        <v>6961.0</v>
      </c>
      <c r="B6526" s="3" t="s">
        <v>6227</v>
      </c>
      <c r="C6526" s="3" t="str">
        <f>IFERROR(__xludf.DUMMYFUNCTION("GOOGLETRANSLATE(B6526,""id"",""en"")"),"['Disappointed', 'Ama', 'Features',' Chek ',' Gara ',' Gara ',' Update ',' Research ',' UDH ',' Journey ',' Error ',' right ',' Chek ',' Direct ',' Research ']")</f>
        <v>['Disappointed', 'Ama', 'Features',' Chek ',' Gara ',' Gara ',' Update ',' Research ',' UDH ',' Journey ',' Error ',' right ',' Chek ',' Direct ',' Research ']</v>
      </c>
      <c r="D6526" s="3">
        <v>1.0</v>
      </c>
    </row>
    <row r="6527" ht="15.75" customHeight="1">
      <c r="A6527" s="1">
        <v>6962.0</v>
      </c>
      <c r="B6527" s="3" t="s">
        <v>6228</v>
      </c>
      <c r="C6527" s="3" t="str">
        <f>IFERROR(__xludf.DUMMYFUNCTION("GOOGLETRANSLATE(B6527,""id"",""en"")"),"['', 'like', 'apk', 'disappointing', 'results',' check ',' daily ',' leftover ',' fit ',' entry ',' repeat ',' day ',' period ',' leftover ',' check ',' loss', 'reward', 'stay', 'quota', 'momaang', 'nipu', 'laaah']")</f>
        <v>['', 'like', 'apk', 'disappointing', 'results',' check ',' daily ',' leftover ',' fit ',' entry ',' repeat ',' day ',' period ',' leftover ',' check ',' loss', 'reward', 'stay', 'quota', 'momaang', 'nipu', 'laaah']</v>
      </c>
      <c r="D6527" s="3">
        <v>1.0</v>
      </c>
    </row>
    <row r="6528" ht="15.75" customHeight="1">
      <c r="A6528" s="1">
        <v>6963.0</v>
      </c>
      <c r="B6528" s="3" t="s">
        <v>6229</v>
      </c>
      <c r="C6528" s="3" t="str">
        <f>IFERROR(__xludf.DUMMYFUNCTION("GOOGLETRANSLATE(B6528,""id"",""en"")"),"['Bizarre', 'Errr', 'already', 'Ceklis', 'Kog', 'Ngrestar', ""]")</f>
        <v>['Bizarre', 'Errr', 'already', 'Ceklis', 'Kog', 'Ngrestar', "]</v>
      </c>
      <c r="D6528" s="3">
        <v>3.0</v>
      </c>
    </row>
    <row r="6529" ht="15.75" customHeight="1">
      <c r="A6529" s="1">
        <v>6964.0</v>
      </c>
      <c r="B6529" s="3" t="s">
        <v>6230</v>
      </c>
      <c r="C6529" s="3" t="str">
        <f>IFERROR(__xludf.DUMMYFUNCTION("GOOGLETRANSLATE(B6529,""id"",""en"")"),"['Bug', 'Daily', 'checkin', 'logout', 'Gara', 'Gara', 'signal', 'weak', 'dailychekin', 'repeated', 'already', 'gift', ' Claim ']")</f>
        <v>['Bug', 'Daily', 'checkin', 'logout', 'Gara', 'Gara', 'signal', 'weak', 'dailychekin', 'repeated', 'already', 'gift', ' Claim ']</v>
      </c>
      <c r="D6529" s="3">
        <v>4.0</v>
      </c>
    </row>
    <row r="6530" ht="15.75" customHeight="1">
      <c r="A6530" s="1">
        <v>6965.0</v>
      </c>
      <c r="B6530" s="3" t="s">
        <v>6231</v>
      </c>
      <c r="C6530" s="3" t="str">
        <f>IFERROR(__xludf.DUMMYFUNCTION("GOOGLETRANSLATE(B6530,""id"",""en"")"),"['mandatory', 'use', 'Telkomsel', 'price', 'package', 'cheap', 'really', 'signal', 'good', 'really', 'good', 'really', ' Anyway ',' hahahahaha ',' antonym ',' the opposite ',' ']")</f>
        <v>['mandatory', 'use', 'Telkomsel', 'price', 'package', 'cheap', 'really', 'signal', 'good', 'really', 'good', 'really', ' Anyway ',' hahahahaha ',' antonym ',' the opposite ',' ']</v>
      </c>
      <c r="D6530" s="3">
        <v>1.0</v>
      </c>
    </row>
    <row r="6531" ht="15.75" customHeight="1">
      <c r="A6531" s="1">
        <v>6966.0</v>
      </c>
      <c r="B6531" s="3" t="s">
        <v>6232</v>
      </c>
      <c r="C6531" s="3" t="str">
        <f>IFERROR(__xludf.DUMMYFUNCTION("GOOGLETRANSLATE(B6531,""id"",""en"")"),"['network', 'slow', 'price', 'package', 'expensive', 'bored', 'use', 'Telkomsel', 'poor', 'cheerful', 'change', 'suffering', ' Disappointed ',' ']")</f>
        <v>['network', 'slow', 'price', 'package', 'expensive', 'bored', 'use', 'Telkomsel', 'poor', 'cheerful', 'change', 'suffering', ' Disappointed ',' ']</v>
      </c>
      <c r="D6531" s="3">
        <v>1.0</v>
      </c>
    </row>
    <row r="6532" ht="15.75" customHeight="1">
      <c r="A6532" s="1">
        <v>6967.0</v>
      </c>
      <c r="B6532" s="3" t="s">
        <v>6233</v>
      </c>
      <c r="C6532" s="3" t="str">
        <f>IFERROR(__xludf.DUMMYFUNCTION("GOOGLETRANSLATE(B6532,""id"",""en"")"),"['Login', 'ugly', 'gave', 'star', 'repair', 'ugly', 'little', 'login', 'just', 'clock', 'login', 'ehh', ' Must ',' Login ',' PDHAL ',' Logout ',' Delete ',' Chace ',' Ribet ',' Precise ',' SMS ',' Login ',' yaa ',' Nomer ',' Installed ' , 'connects',' app"&amp;"lication ',' resigned ',' waiting ',' playstore ',' nailable ',' rating ',' star ',' one-tenth ',' star ',' already ',' kalopun ',' Rating ',' minus', 'love', ""]")</f>
        <v>['Login', 'ugly', 'gave', 'star', 'repair', 'ugly', 'little', 'login', 'just', 'clock', 'login', 'ehh', ' Must ',' Login ',' PDHAL ',' Logout ',' Delete ',' Chace ',' Ribet ',' Precise ',' SMS ',' Login ',' yaa ',' Nomer ',' Installed ' , 'connects',' application ',' resigned ',' waiting ',' playstore ',' nailable ',' rating ',' star ',' one-tenth ',' star ',' already ',' kalopun ',' Rating ',' minus', 'love', "]</v>
      </c>
      <c r="D6532" s="3">
        <v>1.0</v>
      </c>
    </row>
    <row r="6533" ht="15.75" customHeight="1">
      <c r="A6533" s="1">
        <v>6968.0</v>
      </c>
      <c r="B6533" s="3" t="s">
        <v>6234</v>
      </c>
      <c r="C6533" s="3" t="str">
        <f>IFERROR(__xludf.DUMMYFUNCTION("GOOGLETRANSLATE(B6533,""id"",""en"")"),"['Daily', 'check', 'reset', 'check']")</f>
        <v>['Daily', 'check', 'reset', 'check']</v>
      </c>
      <c r="D6533" s="3">
        <v>2.0</v>
      </c>
    </row>
    <row r="6534" ht="15.75" customHeight="1">
      <c r="A6534" s="1">
        <v>6969.0</v>
      </c>
      <c r="B6534" s="3" t="s">
        <v>6235</v>
      </c>
      <c r="C6534" s="3" t="str">
        <f>IFERROR(__xludf.DUMMYFUNCTION("GOOGLETRANSLATE(B6534,""id"",""en"")"),"['Disappointed', 'plus',' really ',' many ',' times', 'contact', 'signal', 'tetep', 'rotten', 'because', 'number', 'throw', ' card ',' until ',' Tawarin ',' land ',' empty ',' made ',' tower ',' TPI ',' nil ',' know ',' defend ',' card ',' forced ' , 'For"&amp;"ced', 'Paska', 'Pay', 'Already', 'Pay', 'Quota', 'Useful', 'Honest', 'honest', 'Telkomsel', 'Place', 'Rotten', ' Sebidu ',' write ',' in the room ',' Karna ',' use ',' Operlaen ']")</f>
        <v>['Disappointed', 'plus',' really ',' many ',' times', 'contact', 'signal', 'tetep', 'rotten', 'because', 'number', 'throw', ' card ',' until ',' Tawarin ',' land ',' empty ',' made ',' tower ',' TPI ',' nil ',' know ',' defend ',' card ',' forced ' , 'Forced', 'Paska', 'Pay', 'Already', 'Pay', 'Quota', 'Useful', 'Honest', 'honest', 'Telkomsel', 'Place', 'Rotten', ' Sebidu ',' write ',' in the room ',' Karna ',' use ',' Operlaen ']</v>
      </c>
      <c r="D6534" s="3">
        <v>1.0</v>
      </c>
    </row>
    <row r="6535" ht="15.75" customHeight="1">
      <c r="A6535" s="1">
        <v>6970.0</v>
      </c>
      <c r="B6535" s="3" t="s">
        <v>6236</v>
      </c>
      <c r="C6535" s="3" t="str">
        <f>IFERROR(__xludf.DUMMYFUNCTION("GOOGLETRANSLATE(B6535,""id"",""en"")"),"['connection', 'internet', 'kayak', 'garbage', '']")</f>
        <v>['connection', 'internet', 'kayak', 'garbage', '']</v>
      </c>
      <c r="D6535" s="3">
        <v>1.0</v>
      </c>
    </row>
    <row r="6536" ht="15.75" customHeight="1">
      <c r="A6536" s="1">
        <v>6971.0</v>
      </c>
      <c r="B6536" s="3" t="s">
        <v>6237</v>
      </c>
      <c r="C6536" s="3" t="str">
        <f>IFERROR(__xludf.DUMMYFUNCTION("GOOGLETRANSLATE(B6536,""id"",""en"")"),"['Pay', 'ACOUNT', 'Virtual', 'Bank', 'BRI', 'Pay', 'Yesterday', 'Agreement', 'Menu', 'Bank', 'BRI', 'Update', ' Please ',' Feedback ',' Thanks']")</f>
        <v>['Pay', 'ACOUNT', 'Virtual', 'Bank', 'BRI', 'Pay', 'Yesterday', 'Agreement', 'Menu', 'Bank', 'BRI', 'Update', ' Please ',' Feedback ',' Thanks']</v>
      </c>
      <c r="D6536" s="3">
        <v>1.0</v>
      </c>
    </row>
    <row r="6537" ht="15.75" customHeight="1">
      <c r="A6537" s="1">
        <v>6972.0</v>
      </c>
      <c r="B6537" s="3" t="s">
        <v>6238</v>
      </c>
      <c r="C6537" s="3" t="str">
        <f>IFERROR(__xludf.DUMMYFUNCTION("GOOGLETRANSLATE(B6537,""id"",""en"")"),"['Please', 'Hold', 'Credit', 'Safe', 'Equipped', 'Thank', 'Love']")</f>
        <v>['Please', 'Hold', 'Credit', 'Safe', 'Equipped', 'Thank', 'Love']</v>
      </c>
      <c r="D6537" s="3">
        <v>1.0</v>
      </c>
    </row>
    <row r="6538" ht="15.75" customHeight="1">
      <c r="A6538" s="1">
        <v>6973.0</v>
      </c>
      <c r="B6538" s="3" t="s">
        <v>5669</v>
      </c>
      <c r="C6538" s="3" t="str">
        <f>IFERROR(__xludf.DUMMYFUNCTION("GOOGLETRANSLATE(B6538,""id"",""en"")"),"['Application', 'good', 'really', '']")</f>
        <v>['Application', 'good', 'really', '']</v>
      </c>
      <c r="D6538" s="3">
        <v>5.0</v>
      </c>
    </row>
    <row r="6539" ht="15.75" customHeight="1">
      <c r="A6539" s="1">
        <v>6974.0</v>
      </c>
      <c r="B6539" s="3" t="s">
        <v>6239</v>
      </c>
      <c r="C6539" s="3" t="str">
        <f>IFERROR(__xludf.DUMMYFUNCTION("GOOGLETRANSLATE(B6539,""id"",""en"")"),"['Daily', 'login', 'reset', 'login', 'repeated', 'reset', ""]")</f>
        <v>['Daily', 'login', 'reset', 'login', 'repeated', 'reset', "]</v>
      </c>
      <c r="D6539" s="3">
        <v>3.0</v>
      </c>
    </row>
    <row r="6540" ht="15.75" customHeight="1">
      <c r="A6540" s="1">
        <v>6975.0</v>
      </c>
      <c r="B6540" s="3" t="s">
        <v>6240</v>
      </c>
      <c r="C6540" s="3" t="str">
        <f>IFERROR(__xludf.DUMMYFUNCTION("GOOGLETRANSLATE(B6540,""id"",""en"")"),"['already', 'check', 'then', 'wanted', 'can', 'quota', 'free', 'repair', ""]")</f>
        <v>['already', 'check', 'then', 'wanted', 'can', 'quota', 'free', 'repair', "]</v>
      </c>
      <c r="D6540" s="3">
        <v>2.0</v>
      </c>
    </row>
    <row r="6541" ht="15.75" customHeight="1">
      <c r="A6541" s="1">
        <v>6976.0</v>
      </c>
      <c r="B6541" s="3" t="s">
        <v>6241</v>
      </c>
      <c r="C6541" s="3" t="str">
        <f>IFERROR(__xludf.DUMMYFUNCTION("GOOGLETRANSLATE(B6541,""id"",""en"")"),"['already', 'routine', 'daily', 'check', 'uda', 'daily', 'check', 'understand']")</f>
        <v>['already', 'routine', 'daily', 'check', 'uda', 'daily', 'check', 'understand']</v>
      </c>
      <c r="D6541" s="3">
        <v>2.0</v>
      </c>
    </row>
    <row r="6542" ht="15.75" customHeight="1">
      <c r="A6542" s="1">
        <v>6977.0</v>
      </c>
      <c r="B6542" s="3" t="s">
        <v>6242</v>
      </c>
      <c r="C6542" s="3" t="str">
        <f>IFERROR(__xludf.DUMMYFUNCTION("GOOGLETRANSLATE(B6542,""id"",""en"")"),"['Application', 'check', 'already', 'repeated', 'tetep', 'no', 'repeated', ""]")</f>
        <v>['Application', 'check', 'already', 'repeated', 'tetep', 'no', 'repeated', "]</v>
      </c>
      <c r="D6542" s="3">
        <v>1.0</v>
      </c>
    </row>
    <row r="6543" ht="15.75" customHeight="1">
      <c r="A6543" s="1">
        <v>6978.0</v>
      </c>
      <c r="B6543" s="3" t="s">
        <v>6243</v>
      </c>
      <c r="C6543" s="3" t="str">
        <f>IFERROR(__xludf.DUMMYFUNCTION("GOOGLETRANSLATE(B6543,""id"",""en"")"),"['Paketan', 'internet', 'Maha', 'Brooooo', ""]")</f>
        <v>['Paketan', 'internet', 'Maha', 'Brooooo', "]</v>
      </c>
      <c r="D6543" s="3">
        <v>1.0</v>
      </c>
    </row>
    <row r="6544" ht="15.75" customHeight="1">
      <c r="A6544" s="1">
        <v>6979.0</v>
      </c>
      <c r="B6544" s="3" t="s">
        <v>6244</v>
      </c>
      <c r="C6544" s="3" t="str">
        <f>IFERROR(__xludf.DUMMYFUNCTION("GOOGLETRANSLATE(B6544,""id"",""en"")"),"['apk', 'good', 'really', 'sagat', 'petrified', 'helpful']")</f>
        <v>['apk', 'good', 'really', 'sagat', 'petrified', 'helpful']</v>
      </c>
      <c r="D6544" s="3">
        <v>5.0</v>
      </c>
    </row>
    <row r="6545" ht="15.75" customHeight="1">
      <c r="A6545" s="1">
        <v>6980.0</v>
      </c>
      <c r="B6545" s="3" t="s">
        <v>6245</v>
      </c>
      <c r="C6545" s="3" t="str">
        <f>IFERROR(__xludf.DUMMYFUNCTION("GOOGLETRANSLATE(B6545,""id"",""en"")"),"['Satisfied', 'Anyway']")</f>
        <v>['Satisfied', 'Anyway']</v>
      </c>
      <c r="D6545" s="3">
        <v>5.0</v>
      </c>
    </row>
    <row r="6546" ht="15.75" customHeight="1">
      <c r="A6546" s="1">
        <v>6981.0</v>
      </c>
      <c r="B6546" s="3" t="s">
        <v>6246</v>
      </c>
      <c r="C6546" s="3" t="str">
        <f>IFERROR(__xludf.DUMMYFUNCTION("GOOGLETRANSLATE(B6546,""id"",""en"")"),"['The network', 'remote', 'his voice', 'no', 'despair', 'broke', 'sip', 'deh', 'unfortunately', 'can', 'lottery', ""]")</f>
        <v>['The network', 'remote', 'his voice', 'no', 'despair', 'broke', 'sip', 'deh', 'unfortunately', 'can', 'lottery', "]</v>
      </c>
      <c r="D6546" s="3">
        <v>4.0</v>
      </c>
    </row>
    <row r="6547" ht="15.75" customHeight="1">
      <c r="A6547" s="1">
        <v>6982.0</v>
      </c>
      <c r="B6547" s="3" t="s">
        <v>6247</v>
      </c>
      <c r="C6547" s="3" t="str">
        <f>IFERROR(__xludf.DUMMYFUNCTION("GOOGLETRANSLATE(B6547,""id"",""en"")"),"['Daily', 'check', 'ngeta', 'repeated', 'please', 'fix', 'bad', 'quality', 'app']")</f>
        <v>['Daily', 'check', 'ngeta', 'repeated', 'please', 'fix', 'bad', 'quality', 'app']</v>
      </c>
      <c r="D6547" s="3">
        <v>2.0</v>
      </c>
    </row>
    <row r="6548" ht="15.75" customHeight="1">
      <c r="A6548" s="1">
        <v>6983.0</v>
      </c>
      <c r="B6548" s="3" t="s">
        <v>6248</v>
      </c>
      <c r="C6548" s="3" t="str">
        <f>IFERROR(__xludf.DUMMYFUNCTION("GOOGLETRANSLATE(B6548,""id"",""en"")"),"['Please', 'mean', 'apasih', 'morning', 'check', 'claims',' paidih ',' GB ',' quota ',' internet ',' plan ',' afternoon ',' The claim ',' repeat ',' event ',' check ',' leftover ',' updated ',' ']")</f>
        <v>['Please', 'mean', 'apasih', 'morning', 'check', 'claims',' paidih ',' GB ',' quota ',' internet ',' plan ',' afternoon ',' The claim ',' repeat ',' event ',' check ',' leftover ',' updated ',' ']</v>
      </c>
      <c r="D6548" s="3">
        <v>1.0</v>
      </c>
    </row>
    <row r="6549" ht="15.75" customHeight="1">
      <c r="A6549" s="1">
        <v>6984.0</v>
      </c>
      <c r="B6549" s="3" t="s">
        <v>6249</v>
      </c>
      <c r="C6549" s="3" t="str">
        <f>IFERROR(__xludf.DUMMYFUNCTION("GOOGLETRANSLATE(B6549,""id"",""en"")"),"['hope', 'gift', 'Samsung']")</f>
        <v>['hope', 'gift', 'Samsung']</v>
      </c>
      <c r="D6549" s="3">
        <v>5.0</v>
      </c>
    </row>
    <row r="6550" ht="15.75" customHeight="1">
      <c r="A6550" s="1">
        <v>6985.0</v>
      </c>
      <c r="B6550" s="3" t="s">
        <v>6250</v>
      </c>
      <c r="C6550" s="3" t="str">
        <f>IFERROR(__xludf.DUMMYFUNCTION("GOOGLETRANSLATE(B6550,""id"",""en"")"),"['Mission', 'Check', 'Yng', 'Bad', 'Belom', 'Meng', 'Claim', 'Gift', 'Check', 'Lost', 'Period', 'Mission', ' remaining ',' ']")</f>
        <v>['Mission', 'Check', 'Yng', 'Bad', 'Belom', 'Meng', 'Claim', 'Gift', 'Check', 'Lost', 'Period', 'Mission', ' remaining ',' ']</v>
      </c>
      <c r="D6550" s="3">
        <v>1.0</v>
      </c>
    </row>
    <row r="6551" ht="15.75" customHeight="1">
      <c r="A6551" s="1">
        <v>6986.0</v>
      </c>
      <c r="B6551" s="3" t="s">
        <v>6251</v>
      </c>
      <c r="C6551" s="3" t="str">
        <f>IFERROR(__xludf.DUMMYFUNCTION("GOOGLETRANSLATE(B6551,""id"",""en"")"),"['Telkomsel', 'greedy', 'pulse', 'clay', 'pulse', 'unemployed', 'maen', 'suck', 'nda', 'recommendation', 'Telkomsel', 'bankrupt', ' Credit ',' NDA ',' Sudi ',' Frovedor ',' ']")</f>
        <v>['Telkomsel', 'greedy', 'pulse', 'clay', 'pulse', 'unemployed', 'maen', 'suck', 'nda', 'recommendation', 'Telkomsel', 'bankrupt', ' Credit ',' NDA ',' Sudi ',' Frovedor ',' ']</v>
      </c>
      <c r="D6551" s="3">
        <v>1.0</v>
      </c>
    </row>
    <row r="6552" ht="15.75" customHeight="1">
      <c r="A6552" s="1">
        <v>6987.0</v>
      </c>
      <c r="B6552" s="3" t="s">
        <v>6252</v>
      </c>
      <c r="C6552" s="3" t="str">
        <f>IFERROR(__xludf.DUMMYFUNCTION("GOOGLETRANSLATE(B6552,""id"",""en"")"),"['update', 'repeated', 'check', 'severe']")</f>
        <v>['update', 'repeated', 'check', 'severe']</v>
      </c>
      <c r="D6552" s="3">
        <v>2.0</v>
      </c>
    </row>
    <row r="6553" ht="15.75" customHeight="1">
      <c r="A6553" s="1">
        <v>6988.0</v>
      </c>
      <c r="B6553" s="3" t="s">
        <v>6253</v>
      </c>
      <c r="C6553" s="3" t="str">
        <f>IFERROR(__xludf.DUMMYFUNCTION("GOOGLETRANSLATE(B6553,""id"",""en"")"),"['Daily', 'chek', 'Terred', 'need', 'quota', 'please', 'min']")</f>
        <v>['Daily', 'chek', 'Terred', 'need', 'quota', 'please', 'min']</v>
      </c>
      <c r="D6553" s="3">
        <v>1.0</v>
      </c>
    </row>
    <row r="6554" ht="15.75" customHeight="1">
      <c r="A6554" s="1">
        <v>6989.0</v>
      </c>
      <c r="B6554" s="3" t="s">
        <v>6254</v>
      </c>
      <c r="C6554" s="3" t="str">
        <f>IFERROR(__xludf.DUMMYFUNCTION("GOOGLETRANSLATE(B6554,""id"",""en"")"),"['Benerin', 'Signal', 'Katulampa', 'Bogor', 'East', 'Koo', 'Severe', 'Main', 'Game', 'Hard', 'Buy', 'Expensive', ' package ',' signal ',' rich ',' gini ',' mah ',' try ',' buy ',' original ',' signal ',' severe ',' regret ',' buy ',' package ' , 'sympathy"&amp;"', 'mah', 'mending', 'replace', 'card']")</f>
        <v>['Benerin', 'Signal', 'Katulampa', 'Bogor', 'East', 'Koo', 'Severe', 'Main', 'Game', 'Hard', 'Buy', 'Expensive', ' package ',' signal ',' rich ',' gini ',' mah ',' try ',' buy ',' original ',' signal ',' severe ',' regret ',' buy ',' package ' , 'sympathy', 'mah', 'mending', 'replace', 'card']</v>
      </c>
      <c r="D6554" s="3">
        <v>1.0</v>
      </c>
    </row>
    <row r="6555" ht="15.75" customHeight="1">
      <c r="A6555" s="1">
        <v>6990.0</v>
      </c>
      <c r="B6555" s="3" t="s">
        <v>6255</v>
      </c>
      <c r="C6555" s="3" t="str">
        <f>IFERROR(__xludf.DUMMYFUNCTION("GOOGLETRANSLATE(B6555,""id"",""en"")"),"['Telkomsel', 'card', 'Telkomsel', 'already', 'check', 'already', 'get', 'bonus',' giga ',' only ',' stay ',' claims', ' Bonus', 'quota', 'doang', 'applied', 'repeated', 'check', 'please', 'telkomsel', 'engine', 'program', 'repaired', 'please', 'dukasih' "&amp;", 'pulse', 'save', 'kayak', 'Indosat', 'IM', 'Package', 'data', 'pulse', 'main', 'run out', 'network', 'change', ' Loss', 'pulse', 'main', 'network', 'change', ""]")</f>
        <v>['Telkomsel', 'card', 'Telkomsel', 'already', 'check', 'already', 'get', 'bonus',' giga ',' only ',' stay ',' claims', ' Bonus', 'quota', 'doang', 'applied', 'repeated', 'check', 'please', 'telkomsel', 'engine', 'program', 'repaired', 'please', 'dukasih' , 'pulse', 'save', 'kayak', 'Indosat', 'IM', 'Package', 'data', 'pulse', 'main', 'run out', 'network', 'change', ' Loss', 'pulse', 'main', 'network', 'change', "]</v>
      </c>
      <c r="D6555" s="3">
        <v>1.0</v>
      </c>
    </row>
    <row r="6556" ht="15.75" customHeight="1">
      <c r="A6556" s="1">
        <v>6991.0</v>
      </c>
      <c r="B6556" s="3" t="s">
        <v>6256</v>
      </c>
      <c r="C6556" s="3" t="str">
        <f>IFERROR(__xludf.DUMMYFUNCTION("GOOGLETRANSLATE(B6556,""id"",""en"")"),"['Good', 'promo']")</f>
        <v>['Good', 'promo']</v>
      </c>
      <c r="D6556" s="3">
        <v>5.0</v>
      </c>
    </row>
    <row r="6557" ht="15.75" customHeight="1">
      <c r="A6557" s="1">
        <v>6992.0</v>
      </c>
      <c r="B6557" s="3" t="s">
        <v>6257</v>
      </c>
      <c r="C6557" s="3" t="str">
        <f>IFERROR(__xludf.DUMMYFUNCTION("GOOGLETRANSLATE(B6557,""id"",""en"")"),"['already', 'enter', 'pulse', 'buy', 'GB', 'price', 'rb', 'failed', 'update', 'price', 'already', 'activate', ' Data ',' aware ',' quota ',' failed ',' pulse ',' bablasssssss', 'like', 'application', 'detrimental', '']")</f>
        <v>['already', 'enter', 'pulse', 'buy', 'GB', 'price', 'rb', 'failed', 'update', 'price', 'already', 'activate', ' Data ',' aware ',' quota ',' failed ',' pulse ',' bablasssssss', 'like', 'application', 'detrimental', '']</v>
      </c>
      <c r="D6557" s="3">
        <v>1.0</v>
      </c>
    </row>
    <row r="6558" ht="15.75" customHeight="1">
      <c r="A6558" s="1">
        <v>6993.0</v>
      </c>
      <c r="B6558" s="3" t="s">
        <v>6258</v>
      </c>
      <c r="C6558" s="3" t="str">
        <f>IFERROR(__xludf.DUMMYFUNCTION("GOOGLETRANSLATE(B6558,""id"",""en"")"),"['umpteenth', 'time', 'network', 'Telkomsel', 'disappointing', 'area', 'road', 'Taqwa', 'eyes',' red ',' kelurahan ',' works', ' Mulya ',' Kecamatan ',' Sematang ',' borang ',' card ',' sympathy ',' card ',' person ',' house ',' open ',' food ',' grabfood"&amp;" ',' fail ' , 'application', 'open', 'really', 'sad']")</f>
        <v>['umpteenth', 'time', 'network', 'Telkomsel', 'disappointing', 'area', 'road', 'Taqwa', 'eyes',' red ',' kelurahan ',' works', ' Mulya ',' Kecamatan ',' Sematang ',' borang ',' card ',' sympathy ',' card ',' person ',' house ',' open ',' food ',' grabfood ',' fail ' , 'application', 'open', 'really', 'sad']</v>
      </c>
      <c r="D6558" s="3">
        <v>1.0</v>
      </c>
    </row>
    <row r="6559" ht="15.75" customHeight="1">
      <c r="A6559" s="1">
        <v>6994.0</v>
      </c>
      <c r="B6559" s="3" t="s">
        <v>6259</v>
      </c>
      <c r="C6559" s="3" t="str">
        <f>IFERROR(__xludf.DUMMYFUNCTION("GOOGLETRANSLATE(B6559,""id"",""en"")"),"['jerk', 'Many', 'times', 'Calamalin', 'dozens', 'tens', 'check', 'zero', 'kebangeretan', 'Telkomsel', 'tricks', 'tricks']")</f>
        <v>['jerk', 'Many', 'times', 'Calamalin', 'dozens', 'tens', 'check', 'zero', 'kebangeretan', 'Telkomsel', 'tricks', 'tricks']</v>
      </c>
      <c r="D6559" s="3">
        <v>1.0</v>
      </c>
    </row>
    <row r="6560" ht="15.75" customHeight="1">
      <c r="A6560" s="1">
        <v>6995.0</v>
      </c>
      <c r="B6560" s="3" t="s">
        <v>6260</v>
      </c>
      <c r="C6560" s="3" t="str">
        <f>IFERROR(__xludf.DUMMYFUNCTION("GOOGLETRANSLATE(B6560,""id"",""en"")"),"['buy', 'package', 'expensive', 'network', 'slow', 'no', 'stable', 'dead', 'lights',' run out ',' play ',' Mending ',' AXIS ',' Dead ',' Lights', 'Network', 'Stable', 'Network', 'Package', 'Cheap', '']")</f>
        <v>['buy', 'package', 'expensive', 'network', 'slow', 'no', 'stable', 'dead', 'lights',' run out ',' play ',' Mending ',' AXIS ',' Dead ',' Lights', 'Network', 'Stable', 'Network', 'Package', 'Cheap', '']</v>
      </c>
      <c r="D6560" s="3">
        <v>1.0</v>
      </c>
    </row>
    <row r="6561" ht="15.75" customHeight="1">
      <c r="A6561" s="1">
        <v>6996.0</v>
      </c>
      <c r="B6561" s="3" t="s">
        <v>6261</v>
      </c>
      <c r="C6561" s="3" t="str">
        <f>IFERROR(__xludf.DUMMYFUNCTION("GOOGLETRANSLATE(B6561,""id"",""en"")"),"['Network', 'kayak', 'expensive', 'doang', 'pig', 'anjeng', '']")</f>
        <v>['Network', 'kayak', 'expensive', 'doang', 'pig', 'anjeng', '']</v>
      </c>
      <c r="D6561" s="3">
        <v>1.0</v>
      </c>
    </row>
    <row r="6562" ht="15.75" customHeight="1">
      <c r="A6562" s="1">
        <v>6997.0</v>
      </c>
      <c r="B6562" s="3" t="s">
        <v>6262</v>
      </c>
      <c r="C6562" s="3" t="str">
        <f>IFERROR(__xludf.DUMMYFUNCTION("GOOGLETRANSLATE(B6562,""id"",""en"")"),"['', 'update', 'dayli', 'check', 'ilang', 'gajelas', 'APK']")</f>
        <v>['', 'update', 'dayli', 'check', 'ilang', 'gajelas', 'APK']</v>
      </c>
      <c r="D6562" s="3">
        <v>1.0</v>
      </c>
    </row>
    <row r="6563" ht="15.75" customHeight="1">
      <c r="A6563" s="1">
        <v>6998.0</v>
      </c>
      <c r="B6563" s="3" t="s">
        <v>6263</v>
      </c>
      <c r="C6563" s="3" t="str">
        <f>IFERROR(__xludf.DUMMYFUNCTION("GOOGLETRANSLATE(B6563,""id"",""en"")"),"['Daily', 'check', 'dilapidated', 'essay', 'cave', 'already', 'loginnn', 'assert', 'gift', 'alreadyhh', 'daily', ' Check ',' already ',' smpaii ',' daily ',' noll ',' again ',' updatee ',' application ',' ']")</f>
        <v>['Daily', 'check', 'dilapidated', 'essay', 'cave', 'already', 'loginnn', 'assert', 'gift', 'alreadyhh', 'daily', ' Check ',' already ',' smpaii ',' daily ',' noll ',' again ',' updatee ',' application ',' ']</v>
      </c>
      <c r="D6563" s="3">
        <v>1.0</v>
      </c>
    </row>
    <row r="6564" ht="15.75" customHeight="1">
      <c r="A6564" s="1">
        <v>6999.0</v>
      </c>
      <c r="B6564" s="3" t="s">
        <v>6264</v>
      </c>
      <c r="C6564" s="3" t="str">
        <f>IFERROR(__xludf.DUMMYFUNCTION("GOOGLETRANSLATE(B6564,""id"",""en"")"),"['Package', 'expensive', 'season', 'pandemic', 'mahalin', 'wasteful']")</f>
        <v>['Package', 'expensive', 'season', 'pandemic', 'mahalin', 'wasteful']</v>
      </c>
      <c r="D6564" s="3">
        <v>1.0</v>
      </c>
    </row>
    <row r="6565" ht="15.75" customHeight="1">
      <c r="A6565" s="1">
        <v>7000.0</v>
      </c>
      <c r="B6565" s="3" t="s">
        <v>6265</v>
      </c>
      <c r="C6565" s="3" t="str">
        <f>IFERROR(__xludf.DUMMYFUNCTION("GOOGLETRANSLATE(B6565,""id"",""en"")"),"['check', 'daily', 'reset', 'check', 'leftover', 'event', 'check', '']")</f>
        <v>['check', 'daily', 'reset', 'check', 'leftover', 'event', 'check', '']</v>
      </c>
      <c r="D6565" s="3">
        <v>1.0</v>
      </c>
    </row>
    <row r="6566" ht="15.75" customHeight="1">
      <c r="A6566" s="1">
        <v>7001.0</v>
      </c>
      <c r="B6566" s="3" t="s">
        <v>6266</v>
      </c>
      <c r="C6566" s="3" t="str">
        <f>IFERROR(__xludf.DUMMYFUNCTION("GOOGLETRANSLATE(B6566,""id"",""en"")"),"['', 'Telkomsel', 'Nipu', 'buy', 'quota', 'internet', 'night', 'payment', 'via', 'funds',' quota ',' entered ',' enter ',' Balance ',' Fund ',' Reduced ',' Really ',' Harm ',' Consumer ',' How ',' Explanation ',' Telkomsel ', ""]")</f>
        <v>['', 'Telkomsel', 'Nipu', 'buy', 'quota', 'internet', 'night', 'payment', 'via', 'funds',' quota ',' entered ',' enter ',' Balance ',' Fund ',' Reduced ',' Really ',' Harm ',' Consumer ',' How ',' Explanation ',' Telkomsel ', "]</v>
      </c>
      <c r="D6566" s="3">
        <v>1.0</v>
      </c>
    </row>
    <row r="6567" ht="15.75" customHeight="1">
      <c r="A6567" s="1">
        <v>7002.0</v>
      </c>
      <c r="B6567" s="3" t="s">
        <v>6267</v>
      </c>
      <c r="C6567" s="3" t="str">
        <f>IFERROR(__xludf.DUMMYFUNCTION("GOOGLETRANSLATE(B6567,""id"",""en"")"),"['TELKOMNYET', 'UDH', 'Different', 'Asked', 'Moving', 'Operator', 'Next to', 'Stable', 'Telkomnyet', 'essence', 'ugly']")</f>
        <v>['TELKOMNYET', 'UDH', 'Different', 'Asked', 'Moving', 'Operator', 'Next to', 'Stable', 'Telkomnyet', 'essence', 'ugly']</v>
      </c>
      <c r="D6567" s="3">
        <v>1.0</v>
      </c>
    </row>
    <row r="6568" ht="15.75" customHeight="1">
      <c r="A6568" s="1">
        <v>7003.0</v>
      </c>
      <c r="B6568" s="3" t="s">
        <v>6268</v>
      </c>
      <c r="C6568" s="3" t="str">
        <f>IFERROR(__xludf.DUMMYFUNCTION("GOOGLETRANSLATE(B6568,""id"",""en"")"),"['Please', 'repaired', 'program', 'check', 'cook', 'in the month', 'half', 'check', 'check', 'just', 'claims',' The prize ',' open ',' the padlock ',' stay ',' Wrong ',' Named ',' Pain ',' Bloody ',' Fair ',' Prizes', 'Claimed', 'Check', 'Positioned' , 'C"&amp;"heck', 'Nyesek', '']")</f>
        <v>['Please', 'repaired', 'program', 'check', 'cook', 'in the month', 'half', 'check', 'check', 'just', 'claims',' The prize ',' open ',' the padlock ',' stay ',' Wrong ',' Named ',' Pain ',' Bloody ',' Fair ',' Prizes', 'Claimed', 'Check', 'Positioned' , 'Check', 'Nyesek', '']</v>
      </c>
      <c r="D6568" s="3">
        <v>3.0</v>
      </c>
    </row>
    <row r="6569" ht="15.75" customHeight="1">
      <c r="A6569" s="1">
        <v>7004.0</v>
      </c>
      <c r="B6569" s="3" t="s">
        <v>6269</v>
      </c>
      <c r="C6569" s="3" t="str">
        <f>IFERROR(__xludf.DUMMYFUNCTION("GOOGLETRANSLATE(B6569,""id"",""en"")"),"['Season', 'already', 'check', 'mytsel', 'stay', 'open', 'repair', 'what', 'admin', ""]")</f>
        <v>['Season', 'already', 'check', 'mytsel', 'stay', 'open', 'repair', 'what', 'admin', "]</v>
      </c>
      <c r="D6569" s="3">
        <v>1.0</v>
      </c>
    </row>
    <row r="6570" ht="15.75" customHeight="1">
      <c r="A6570" s="1">
        <v>7005.0</v>
      </c>
      <c r="B6570" s="3" t="s">
        <v>6270</v>
      </c>
      <c r="C6570" s="3" t="str">
        <f>IFERROR(__xludf.DUMMYFUNCTION("GOOGLETRANSLATE(B6570,""id"",""en"")"),"['Daily', 'check', 'reset', 'already', 'kak', 'twitter']")</f>
        <v>['Daily', 'check', 'reset', 'already', 'kak', 'twitter']</v>
      </c>
      <c r="D6570" s="3">
        <v>1.0</v>
      </c>
    </row>
    <row r="6571" ht="15.75" customHeight="1">
      <c r="A6571" s="1">
        <v>7006.0</v>
      </c>
      <c r="B6571" s="3" t="s">
        <v>6271</v>
      </c>
      <c r="C6571" s="3" t="str">
        <f>IFERROR(__xludf.DUMMYFUNCTION("GOOGLETRANSLATE(B6571,""id"",""en"")"),"['Daily', 'Login', 'Restart', 'Reward', 'Reward', 'Taken', 'Disappointed', 'Cheated', 'Daily', 'Login', 'In' In 'Telkomsel', ' Delete ',' Daily ',' Login ',' Telkomsel ',' ']")</f>
        <v>['Daily', 'Login', 'Restart', 'Reward', 'Reward', 'Taken', 'Disappointed', 'Cheated', 'Daily', 'Login', 'In' In 'Telkomsel', ' Delete ',' Daily ',' Login ',' Telkomsel ',' ']</v>
      </c>
      <c r="D6571" s="3">
        <v>1.0</v>
      </c>
    </row>
    <row r="6572" ht="15.75" customHeight="1">
      <c r="A6572" s="1">
        <v>7007.0</v>
      </c>
      <c r="B6572" s="3" t="s">
        <v>5886</v>
      </c>
      <c r="C6572" s="3" t="str">
        <f>IFERROR(__xludf.DUMMYFUNCTION("GOOGLETRANSLATE(B6572,""id"",""en"")"),"['try']")</f>
        <v>['try']</v>
      </c>
      <c r="D6572" s="3">
        <v>3.0</v>
      </c>
    </row>
    <row r="6573" ht="15.75" customHeight="1">
      <c r="A6573" s="1">
        <v>7008.0</v>
      </c>
      <c r="B6573" s="3" t="s">
        <v>6272</v>
      </c>
      <c r="C6573" s="3" t="str">
        <f>IFERROR(__xludf.DUMMYFUNCTION("GOOGLETRANSLATE(B6573,""id"",""en"")"),"['check', 'he knows', 'repeated', 'priode', 'please', 'fixed', ""]")</f>
        <v>['check', 'he knows', 'repeated', 'priode', 'please', 'fixed', "]</v>
      </c>
      <c r="D6573" s="3">
        <v>1.0</v>
      </c>
    </row>
    <row r="6574" ht="15.75" customHeight="1">
      <c r="A6574" s="1">
        <v>7009.0</v>
      </c>
      <c r="B6574" s="3" t="s">
        <v>6273</v>
      </c>
      <c r="C6574" s="3" t="str">
        <f>IFERROR(__xludf.DUMMYFUNCTION("GOOGLETRANSLATE(B6574,""id"",""en"")"),"['service', 'slow', 'convoluted', 'heart', 'buy', 'pulse', 'application', 'Telkomsel', 'buy', 'minimarket', 'shop', 'charging', ' pulses', 'purchase', 'credit', 'failed', 'can', 'response']")</f>
        <v>['service', 'slow', 'convoluted', 'heart', 'buy', 'pulse', 'application', 'Telkomsel', 'buy', 'minimarket', 'shop', 'charging', ' pulses', 'purchase', 'credit', 'failed', 'can', 'response']</v>
      </c>
      <c r="D6574" s="3">
        <v>1.0</v>
      </c>
    </row>
    <row r="6575" ht="15.75" customHeight="1">
      <c r="A6575" s="1">
        <v>7010.0</v>
      </c>
      <c r="B6575" s="3" t="s">
        <v>6274</v>
      </c>
      <c r="C6575" s="3" t="str">
        <f>IFERROR(__xludf.DUMMYFUNCTION("GOOGLETRANSLATE(B6575,""id"",""en"")"),"['MyTelkomsel', 'aflication', 'idiot', 'strange', 'cave', 'already', 'chekin', 'quota', 'free', 'right', 'cave', 'take', ' Quota ',' GB ',' Free ',' Not bad ',' Chekin ',' Cave ',' Already ',' Bela ',' In ',' Chekin ',' Basic ',' Affication ',' Fool ' , '"&amp;"Telkomsel', 'price', 'quota', 'expensive', 'signal', 'network', 'disorder', 'sanagat', 'suggest', 'good', 'strange', 'disappointed']")</f>
        <v>['MyTelkomsel', 'aflication', 'idiot', 'strange', 'cave', 'already', 'chekin', 'quota', 'free', 'right', 'cave', 'take', ' Quota ',' GB ',' Free ',' Not bad ',' Chekin ',' Cave ',' Already ',' Bela ',' In ',' Chekin ',' Basic ',' Affication ',' Fool ' , 'Telkomsel', 'price', 'quota', 'expensive', 'signal', 'network', 'disorder', 'sanagat', 'suggest', 'good', 'strange', 'disappointed']</v>
      </c>
      <c r="D6575" s="3">
        <v>1.0</v>
      </c>
    </row>
    <row r="6576" ht="15.75" customHeight="1">
      <c r="A6576" s="1">
        <v>7011.0</v>
      </c>
      <c r="B6576" s="3" t="s">
        <v>6275</v>
      </c>
      <c r="C6576" s="3" t="str">
        <f>IFERROR(__xludf.DUMMYFUNCTION("GOOGLETRANSLATE(B6576,""id"",""en"")"),"['Knp', 'network', 'internet', 'as good', 'price', 'package', 'internet', 'expensive', '']")</f>
        <v>['Knp', 'network', 'internet', 'as good', 'price', 'package', 'internet', 'expensive', '']</v>
      </c>
      <c r="D6576" s="3">
        <v>1.0</v>
      </c>
    </row>
    <row r="6577" ht="15.75" customHeight="1">
      <c r="A6577" s="1">
        <v>7012.0</v>
      </c>
      <c r="B6577" s="3" t="s">
        <v>6276</v>
      </c>
      <c r="C6577" s="3" t="str">
        <f>IFERROR(__xludf.DUMMYFUNCTION("GOOGLETRANSLATE(B6577,""id"",""en"")"),"['Success', 'Update', 'Success', 'Blank', 'Daily', 'Check', 'Collected', 'Claim', 'Thank you', 'MyTelkomsel', 'APS']")</f>
        <v>['Success', 'Update', 'Success', 'Blank', 'Daily', 'Check', 'Collected', 'Claim', 'Thank you', 'MyTelkomsel', 'APS']</v>
      </c>
      <c r="D6577" s="3">
        <v>1.0</v>
      </c>
    </row>
    <row r="6578" ht="15.75" customHeight="1">
      <c r="A6578" s="1">
        <v>7013.0</v>
      </c>
      <c r="B6578" s="3" t="s">
        <v>6277</v>
      </c>
      <c r="C6578" s="3" t="str">
        <f>IFERROR(__xludf.DUMMYFUNCTION("GOOGLETRANSLATE(B6578,""id"",""en"")"),"['program', 'dayli', 'check', 'bad', 'check', 'repeated', 'harmed']")</f>
        <v>['program', 'dayli', 'check', 'bad', 'check', 'repeated', 'harmed']</v>
      </c>
      <c r="D6578" s="3">
        <v>1.0</v>
      </c>
    </row>
    <row r="6579" ht="15.75" customHeight="1">
      <c r="A6579" s="1">
        <v>7014.0</v>
      </c>
      <c r="B6579" s="3" t="s">
        <v>6278</v>
      </c>
      <c r="C6579" s="3" t="str">
        <f>IFERROR(__xludf.DUMMYFUNCTION("GOOGLETRANSLATE(B6579,""id"",""en"")"),"['Daily', 'check', '']")</f>
        <v>['Daily', 'check', '']</v>
      </c>
      <c r="D6579" s="3">
        <v>4.0</v>
      </c>
    </row>
    <row r="6580" ht="15.75" customHeight="1">
      <c r="A6580" s="1">
        <v>7015.0</v>
      </c>
      <c r="B6580" s="3" t="s">
        <v>6279</v>
      </c>
      <c r="C6580" s="3" t="str">
        <f>IFERROR(__xludf.DUMMYFUNCTION("GOOGLETRANSLATE(B6580,""id"",""en"")"),"['already', 'check', 'daily', 'check', 'disappear', 'limit', 'cheat', '']")</f>
        <v>['already', 'check', 'daily', 'check', 'disappear', 'limit', 'cheat', '']</v>
      </c>
      <c r="D6580" s="3">
        <v>1.0</v>
      </c>
    </row>
    <row r="6581" ht="15.75" customHeight="1">
      <c r="A6581" s="1">
        <v>7016.0</v>
      </c>
      <c r="B6581" s="3" t="s">
        <v>6280</v>
      </c>
      <c r="C6581" s="3" t="str">
        <f>IFERROR(__xludf.DUMMYFUNCTION("GOOGLETRANSLATE(B6581,""id"",""en"")"),"['Telkomsel', 'Price', 'Package', 'Changed', 'Drastic', 'Expensive', 'Network', 'Like', 'Leet', 'Hadeh', ""]")</f>
        <v>['Telkomsel', 'Price', 'Package', 'Changed', 'Drastic', 'Expensive', 'Network', 'Like', 'Leet', 'Hadeh', "]</v>
      </c>
      <c r="D6581" s="3">
        <v>1.0</v>
      </c>
    </row>
    <row r="6582" ht="15.75" customHeight="1">
      <c r="A6582" s="1">
        <v>7017.0</v>
      </c>
      <c r="B6582" s="3" t="s">
        <v>6281</v>
      </c>
      <c r="C6582" s="3" t="str">
        <f>IFERROR(__xludf.DUMMYFUNCTION("GOOGLETRANSLATE(B6582,""id"",""en"")"),"['Telkomsel', 'slow', 'connection', 'network', 'internet', 'comparable', 'price', 'quality', 'card', 'price', 'cheap', 'connection', ' internet ',' good ',' stable ',' please ',' jngn ',' nyesek ',' kek ',' gini ']")</f>
        <v>['Telkomsel', 'slow', 'connection', 'network', 'internet', 'comparable', 'price', 'quality', 'card', 'price', 'cheap', 'connection', ' internet ',' good ',' stable ',' please ',' jngn ',' nyesek ',' kek ',' gini ']</v>
      </c>
      <c r="D6582" s="3">
        <v>1.0</v>
      </c>
    </row>
    <row r="6583" ht="15.75" customHeight="1">
      <c r="A6583" s="1">
        <v>7018.0</v>
      </c>
      <c r="B6583" s="3" t="s">
        <v>1664</v>
      </c>
      <c r="C6583" s="3" t="str">
        <f>IFERROR(__xludf.DUMMYFUNCTION("GOOGLETRANSLATE(B6583,""id"",""en"")"),"['Network', 'stable']")</f>
        <v>['Network', 'stable']</v>
      </c>
      <c r="D6583" s="3">
        <v>3.0</v>
      </c>
    </row>
    <row r="6584" ht="15.75" customHeight="1">
      <c r="A6584" s="1">
        <v>7019.0</v>
      </c>
      <c r="B6584" s="3" t="s">
        <v>6282</v>
      </c>
      <c r="C6584" s="3" t="str">
        <f>IFERROR(__xludf.DUMMYFUNCTION("GOOGLETRANSLATE(B6584,""id"",""en"")"),"['updet', 'it sounds', 'right', 'entered', 'hadeeeeh', 'sometimes', 'shocked', 'headset']")</f>
        <v>['updet', 'it sounds', 'right', 'entered', 'hadeeeeh', 'sometimes', 'shocked', 'headset']</v>
      </c>
      <c r="D6584" s="3">
        <v>4.0</v>
      </c>
    </row>
    <row r="6585" ht="15.75" customHeight="1">
      <c r="A6585" s="1">
        <v>7020.0</v>
      </c>
      <c r="B6585" s="3" t="s">
        <v>6283</v>
      </c>
      <c r="C6585" s="3" t="str">
        <f>IFERROR(__xludf.DUMMYFUNCTION("GOOGLETRANSLATE(B6585,""id"",""en"")"),"['Telkomsel', 'Tenatu', 'really', 'application', 'fun', 'benefits',' users', 'Telkomsel', 'Chief', 'hope', 'depanya', 'promo', ' ']")</f>
        <v>['Telkomsel', 'Tenatu', 'really', 'application', 'fun', 'benefits',' users', 'Telkomsel', 'Chief', 'hope', 'depanya', 'promo', ' ']</v>
      </c>
      <c r="D6585" s="3">
        <v>5.0</v>
      </c>
    </row>
    <row r="6586" ht="15.75" customHeight="1">
      <c r="A6586" s="1">
        <v>7021.0</v>
      </c>
      <c r="B6586" s="3" t="s">
        <v>6284</v>
      </c>
      <c r="C6586" s="3" t="str">
        <f>IFERROR(__xludf.DUMMYFUNCTION("GOOGLETRANSLATE(B6586,""id"",""en"")"),"['Plis',' MUCH ',' KPD ',' Application ',' Telkomsel ',' Please ',' Update ',' Latest ',' Hope ',' Update ',' Disstinity ',' Use ',' Data ',' quota ',' run out ',' plis', 'really', 'UDH', 'subscribe', 'application', 'Telkomsel', 'buy', 'quota', 'pulse', '"&amp;"delicious' , 'really', 'easy', 'like', 'quota', 'run out', 'pulse', 'sumps',' plis', 'bngt', 'please', 'discharge', 'use', ' Data ',' automatic ',' anything ',' pulse ',' sucked ',' quota ',' run out ']")</f>
        <v>['Plis',' MUCH ',' KPD ',' Application ',' Telkomsel ',' Please ',' Update ',' Latest ',' Hope ',' Update ',' Disstinity ',' Use ',' Data ',' quota ',' run out ',' plis', 'really', 'UDH', 'subscribe', 'application', 'Telkomsel', 'buy', 'quota', 'pulse', 'delicious' , 'really', 'easy', 'like', 'quota', 'run out', 'pulse', 'sumps',' plis', 'bngt', 'please', 'discharge', 'use', ' Data ',' automatic ',' anything ',' pulse ',' sucked ',' quota ',' run out ']</v>
      </c>
      <c r="D6586" s="3">
        <v>1.0</v>
      </c>
    </row>
    <row r="6587" ht="15.75" customHeight="1">
      <c r="A6587" s="1">
        <v>7022.0</v>
      </c>
      <c r="B6587" s="3" t="s">
        <v>6285</v>
      </c>
      <c r="C6587" s="3" t="str">
        <f>IFERROR(__xludf.DUMMYFUNCTION("GOOGLETRANSLATE(B6587,""id"",""en"")"),"['Telkomsel', 'disappointing', 'buy', 'package', 'expensive', 'slow', 'mercy', 'mending', 'card', 'cheap', 'good', 'the network', ' LOSE ',' Customer ',' Best ',' Please ',' Repaired ',' Like ',' People ',' Blood ',' Maen ',' Car ',' Legend ',' lag ']")</f>
        <v>['Telkomsel', 'disappointing', 'buy', 'package', 'expensive', 'slow', 'mercy', 'mending', 'card', 'cheap', 'good', 'the network', ' LOSE ',' Customer ',' Best ',' Please ',' Repaired ',' Like ',' People ',' Blood ',' Maen ',' Car ',' Legend ',' lag ']</v>
      </c>
      <c r="D6587" s="3">
        <v>1.0</v>
      </c>
    </row>
    <row r="6588" ht="15.75" customHeight="1">
      <c r="A6588" s="1">
        <v>7023.0</v>
      </c>
      <c r="B6588" s="3" t="s">
        <v>6286</v>
      </c>
      <c r="C6588" s="3" t="str">
        <f>IFERROR(__xludf.DUMMYFUNCTION("GOOGLETRANSLATE(B6588,""id"",""en"")"),"['Severe', 'Telkomsel', 'Combo', 'Sakti', 'Killed', 'Week', 'Main', 'Game', 'Open', 'Open', 'YouTube', 'Package', ' Combo ',' Detailed ',' Starts', 'A Month', 'Severe', 'Mending', 'Move', 'Card', 'Klaw', ""]")</f>
        <v>['Severe', 'Telkomsel', 'Combo', 'Sakti', 'Killed', 'Week', 'Main', 'Game', 'Open', 'Open', 'YouTube', 'Package', ' Combo ',' Detailed ',' Starts', 'A Month', 'Severe', 'Mending', 'Move', 'Card', 'Klaw', "]</v>
      </c>
      <c r="D6588" s="3">
        <v>1.0</v>
      </c>
    </row>
    <row r="6589" ht="15.75" customHeight="1">
      <c r="A6589" s="1">
        <v>7024.0</v>
      </c>
      <c r="B6589" s="3" t="s">
        <v>6287</v>
      </c>
      <c r="C6589" s="3" t="str">
        <f>IFERROR(__xludf.DUMMYFUNCTION("GOOGLETRANSLATE(B6589,""id"",""en"")"),"['Biayakin', 'Pakek', 'Cekim', 'Kek', 'Please', 'Work', ""]")</f>
        <v>['Biayakin', 'Pakek', 'Cekim', 'Kek', 'Please', 'Work', "]</v>
      </c>
      <c r="D6589" s="3">
        <v>5.0</v>
      </c>
    </row>
    <row r="6590" ht="15.75" customHeight="1">
      <c r="A6590" s="1">
        <v>7025.0</v>
      </c>
      <c r="B6590" s="3" t="s">
        <v>154</v>
      </c>
      <c r="C6590" s="3" t="str">
        <f>IFERROR(__xludf.DUMMYFUNCTION("GOOGLETRANSLATE(B6590,""id"",""en"")"),"['satisfying']")</f>
        <v>['satisfying']</v>
      </c>
      <c r="D6590" s="3">
        <v>1.0</v>
      </c>
    </row>
    <row r="6591" ht="15.75" customHeight="1">
      <c r="A6591" s="1">
        <v>7026.0</v>
      </c>
      <c r="B6591" s="3" t="s">
        <v>6288</v>
      </c>
      <c r="C6591" s="3" t="str">
        <f>IFERROR(__xludf.DUMMYFUNCTION("GOOGLETRANSLATE(B6591,""id"",""en"")"),"['Chat', 'Chat', 'Veronica', 'Email', 'Solution', 'Chat', 'With', 'Veronica', 'Chat', 'System', 'BKN', 'Personal', ' admin ',' chat ',' solution ',' skrg ',' daily ',' checkin ',' reset ',' repeat ',' checkin ',' ']")</f>
        <v>['Chat', 'Chat', 'Veronica', 'Email', 'Solution', 'Chat', 'With', 'Veronica', 'Chat', 'System', 'BKN', 'Personal', ' admin ',' chat ',' solution ',' skrg ',' daily ',' checkin ',' reset ',' repeat ',' checkin ',' ']</v>
      </c>
      <c r="D6591" s="3">
        <v>1.0</v>
      </c>
    </row>
    <row r="6592" ht="15.75" customHeight="1">
      <c r="A6592" s="1">
        <v>7027.0</v>
      </c>
      <c r="B6592" s="3" t="s">
        <v>6289</v>
      </c>
      <c r="C6592" s="3" t="str">
        <f>IFERROR(__xludf.DUMMYFUNCTION("GOOGLETRANSLATE(B6592,""id"",""en"")"),"['Yesterday', 'already', 'check', 'check', 'already', 'check', 'yesterday', 'Sia', 'Sadh', 'really', 'bangsattt', ""]")</f>
        <v>['Yesterday', 'already', 'check', 'check', 'already', 'check', 'yesterday', 'Sia', 'Sadh', 'really', 'bangsattt', "]</v>
      </c>
      <c r="D6592" s="3">
        <v>1.0</v>
      </c>
    </row>
    <row r="6593" ht="15.75" customHeight="1">
      <c r="A6593" s="1">
        <v>7028.0</v>
      </c>
      <c r="B6593" s="3" t="s">
        <v>6290</v>
      </c>
      <c r="C6593" s="3" t="str">
        <f>IFERROR(__xludf.DUMMYFUNCTION("GOOGLETRANSLATE(B6593,""id"",""en"")"),"['Sorry', 'compulsory', 'complain', 'already', 'routine', 'chek', 'already', 'update', 'application', 'gift', 'lost', 'claim', ' Event ',' already ',' leftover ',' post ',' name ',' damaging ']")</f>
        <v>['Sorry', 'compulsory', 'complain', 'already', 'routine', 'chek', 'already', 'update', 'application', 'gift', 'lost', 'claim', ' Event ',' already ',' leftover ',' post ',' name ',' damaging ']</v>
      </c>
      <c r="D6593" s="3">
        <v>1.0</v>
      </c>
    </row>
    <row r="6594" ht="15.75" customHeight="1">
      <c r="A6594" s="1">
        <v>7029.0</v>
      </c>
      <c r="B6594" s="3" t="s">
        <v>6291</v>
      </c>
      <c r="C6594" s="3" t="str">
        <f>IFERROR(__xludf.DUMMYFUNCTION("GOOGLETRANSLATE(B6594,""id"",""en"")"),"['Napa', 'Telkom', 'Leg', 'Muluuuuu', 'I', 'buy', 'quota', 'me', 'loss', 'Ngen']")</f>
        <v>['Napa', 'Telkom', 'Leg', 'Muluuuuu', 'I', 'buy', 'quota', 'me', 'loss', 'Ngen']</v>
      </c>
      <c r="D6594" s="3">
        <v>3.0</v>
      </c>
    </row>
    <row r="6595" ht="15.75" customHeight="1">
      <c r="A6595" s="1">
        <v>7030.0</v>
      </c>
      <c r="B6595" s="3" t="s">
        <v>6292</v>
      </c>
      <c r="C6595" s="3" t="str">
        <f>IFERROR(__xludf.DUMMYFUNCTION("GOOGLETRANSLATE(B6595,""id"",""en"")"),"['umpteenth', 'time', 'contents',' pulse ',' rb ',' use ',' already ',' zero ',' yesterday ',' contents', 'rb', 'use', ' run out ',' use ',' Apasih ',' subscription ',' ']")</f>
        <v>['umpteenth', 'time', 'contents',' pulse ',' rb ',' use ',' already ',' zero ',' yesterday ',' contents', 'rb', 'use', ' run out ',' use ',' Apasih ',' subscription ',' ']</v>
      </c>
      <c r="D6595" s="3">
        <v>1.0</v>
      </c>
    </row>
    <row r="6596" ht="15.75" customHeight="1">
      <c r="A6596" s="1">
        <v>7031.0</v>
      </c>
      <c r="B6596" s="3" t="s">
        <v>6293</v>
      </c>
      <c r="C6596" s="3" t="str">
        <f>IFERROR(__xludf.DUMMYFUNCTION("GOOGLETRANSLATE(B6596,""id"",""en"")"),"['Please', 'Sorry', 'Signal', 'Blangkejeren', 'Lamban', 'Bad', 'Already', 'Good', 'Untung', 'Signal', 'Change', 'Card', ' Please, 'Fix', 'Please', 'Sorry', 'Report', 'Where']")</f>
        <v>['Please', 'Sorry', 'Signal', 'Blangkejeren', 'Lamban', 'Bad', 'Already', 'Good', 'Untung', 'Signal', 'Change', 'Card', ' Please, 'Fix', 'Please', 'Sorry', 'Report', 'Where']</v>
      </c>
      <c r="D6596" s="3">
        <v>1.0</v>
      </c>
    </row>
    <row r="6597" ht="15.75" customHeight="1">
      <c r="A6597" s="1">
        <v>7032.0</v>
      </c>
      <c r="B6597" s="3" t="s">
        <v>6294</v>
      </c>
      <c r="C6597" s="3" t="str">
        <f>IFERROR(__xludf.DUMMYFUNCTION("GOOGLETRANSLATE(B6597,""id"",""en"")"),"['Practical', 'stay', 'click', 'application', 'Telkomsel', 'already', 'looks',' all ',' kouta ',' phone ',' internet ',' pulse ',' complicated', '']")</f>
        <v>['Practical', 'stay', 'click', 'application', 'Telkomsel', 'already', 'looks',' all ',' kouta ',' phone ',' internet ',' pulse ',' complicated', '']</v>
      </c>
      <c r="D6597" s="3">
        <v>5.0</v>
      </c>
    </row>
    <row r="6598" ht="15.75" customHeight="1">
      <c r="A6598" s="1">
        <v>7033.0</v>
      </c>
      <c r="B6598" s="3" t="s">
        <v>6295</v>
      </c>
      <c r="C6598" s="3" t="str">
        <f>IFERROR(__xludf.DUMMYFUNCTION("GOOGLETRANSLATE(B6598,""id"",""en"")"),"['Disappointed', 'really', 'APK', 'check', 'reset', 'claim', 'gift', 'please', 'fix', 'apk', 'Sumua', 'person', ' disappointed ',' network ',' super ',' slow ',' dizziness', 'apk', 'telkomsel', 'good', 'apk', 'update', '']")</f>
        <v>['Disappointed', 'really', 'APK', 'check', 'reset', 'claim', 'gift', 'please', 'fix', 'apk', 'Sumua', 'person', ' disappointed ',' network ',' super ',' slow ',' dizziness', 'apk', 'telkomsel', 'good', 'apk', 'update', '']</v>
      </c>
      <c r="D6598" s="3">
        <v>1.0</v>
      </c>
    </row>
    <row r="6599" ht="15.75" customHeight="1">
      <c r="A6599" s="1">
        <v>7034.0</v>
      </c>
      <c r="B6599" s="3" t="s">
        <v>6296</v>
      </c>
      <c r="C6599" s="3" t="str">
        <f>IFERROR(__xludf.DUMMYFUNCTION("GOOGLETRANSLATE(B6599,""id"",""en"")"),"['steady', 'steady', 'mantaaap', '']")</f>
        <v>['steady', 'steady', 'mantaaap', '']</v>
      </c>
      <c r="D6599" s="3">
        <v>5.0</v>
      </c>
    </row>
    <row r="6600" ht="15.75" customHeight="1">
      <c r="A6600" s="1">
        <v>7035.0</v>
      </c>
      <c r="B6600" s="3" t="s">
        <v>6297</v>
      </c>
      <c r="C6600" s="3" t="str">
        <f>IFERROR(__xludf.DUMMYFUNCTION("GOOGLETRANSLATE(B6600,""id"",""en"")"),"['regret', 'update', 'update', 'daily', 'check out', 'terrest', 'diuang', 'exchange', 'gift', 'quota', 'really', 'frustration']")</f>
        <v>['regret', 'update', 'update', 'daily', 'check out', 'terrest', 'diuang', 'exchange', 'gift', 'quota', 'really', 'frustration']</v>
      </c>
      <c r="D6600" s="3">
        <v>1.0</v>
      </c>
    </row>
    <row r="6601" ht="15.75" customHeight="1">
      <c r="A6601" s="1">
        <v>7036.0</v>
      </c>
      <c r="B6601" s="3" t="s">
        <v>6298</v>
      </c>
      <c r="C6601" s="3" t="str">
        <f>IFERROR(__xludf.DUMMYFUNCTION("GOOGLETRANSLATE(B6601,""id"",""en"")"),"['Package', 'expensive', 'signal', 'BURIK']")</f>
        <v>['Package', 'expensive', 'signal', 'BURIK']</v>
      </c>
      <c r="D6601" s="3">
        <v>2.0</v>
      </c>
    </row>
    <row r="6602" ht="15.75" customHeight="1">
      <c r="A6602" s="1">
        <v>7037.0</v>
      </c>
      <c r="B6602" s="3" t="s">
        <v>6299</v>
      </c>
      <c r="C6602" s="3" t="str">
        <f>IFERROR(__xludf.DUMMYFUNCTION("GOOGLETRANSLATE(B6602,""id"",""en"")"),"['Chek', 'repeated', 'Package', 'Klau', 'Please', 'Fix']")</f>
        <v>['Chek', 'repeated', 'Package', 'Klau', 'Please', 'Fix']</v>
      </c>
      <c r="D6602" s="3">
        <v>2.0</v>
      </c>
    </row>
    <row r="6603" ht="15.75" customHeight="1">
      <c r="A6603" s="1">
        <v>7038.0</v>
      </c>
      <c r="B6603" s="3" t="s">
        <v>6300</v>
      </c>
      <c r="C6603" s="3" t="str">
        <f>IFERROR(__xludf.DUMMYFUNCTION("GOOGLETRANSLATE(B6603,""id"",""en"")"),"['application', 'improvement', 'progress', 'setbacks', 'ugly', 'daily', 'check', 'full', 'claim', 'empty', ""]")</f>
        <v>['application', 'improvement', 'progress', 'setbacks', 'ugly', 'daily', 'check', 'full', 'claim', 'empty', "]</v>
      </c>
      <c r="D6603" s="3">
        <v>1.0</v>
      </c>
    </row>
    <row r="6604" ht="15.75" customHeight="1">
      <c r="A6604" s="1">
        <v>7039.0</v>
      </c>
      <c r="B6604" s="3" t="s">
        <v>6301</v>
      </c>
      <c r="C6604" s="3" t="str">
        <f>IFERROR(__xludf.DUMMYFUNCTION("GOOGLETRANSLATE(B6604,""id"",""en"")"),"['Please', 'repaired', 'Price', 'Package', 'Change', 'Change', 'Sometimes', 'Down', ""]")</f>
        <v>['Please', 'repaired', 'Price', 'Package', 'Change', 'Change', 'Sometimes', 'Down', "]</v>
      </c>
      <c r="D6604" s="3">
        <v>1.0</v>
      </c>
    </row>
    <row r="6605" ht="15.75" customHeight="1">
      <c r="A6605" s="1">
        <v>7040.0</v>
      </c>
      <c r="B6605" s="3" t="s">
        <v>6302</v>
      </c>
      <c r="C6605" s="3" t="str">
        <f>IFERROR(__xludf.DUMMYFUNCTION("GOOGLETRANSLATE(B6605,""id"",""en"")"),"['user', 'Telkomsel', 'TPI', 'rare', 'package', 'internet', 'cheap', '']")</f>
        <v>['user', 'Telkomsel', 'TPI', 'rare', 'package', 'internet', 'cheap', '']</v>
      </c>
      <c r="D6605" s="3">
        <v>3.0</v>
      </c>
    </row>
    <row r="6606" ht="15.75" customHeight="1">
      <c r="A6606" s="1">
        <v>7041.0</v>
      </c>
      <c r="B6606" s="3" t="s">
        <v>6303</v>
      </c>
      <c r="C6606" s="3" t="str">
        <f>IFERROR(__xludf.DUMMYFUNCTION("GOOGLETRANSLATE(B6606,""id"",""en"")"),"['KNPA', 'Daily', 'Check', 'TDI', 'UDH', 'Reset', 'Gmau', 'Adin', 'Daily', 'Check', 'Rich', 'Gini', ' Honestly ',' Disappointed ', ""]")</f>
        <v>['KNPA', 'Daily', 'Check', 'TDI', 'UDH', 'Reset', 'Gmau', 'Adin', 'Daily', 'Check', 'Rich', 'Gini', ' Honestly ',' Disappointed ', "]</v>
      </c>
      <c r="D6606" s="3">
        <v>1.0</v>
      </c>
    </row>
    <row r="6607" ht="15.75" customHeight="1">
      <c r="A6607" s="1">
        <v>7042.0</v>
      </c>
      <c r="B6607" s="3" t="s">
        <v>6304</v>
      </c>
      <c r="C6607" s="3" t="str">
        <f>IFERROR(__xludf.DUMMYFUNCTION("GOOGLETRANSLATE(B6607,""id"",""en"")"),"['Malesin', 'update', 'update', 'Daily', 'checkin', 'dpet', 'ilang', 'Bela', 'IN', 'number', 'cakep', 'Telkomsel', ' right ',' Jogja ',' signal ',' slow ',' really ']")</f>
        <v>['Malesin', 'update', 'update', 'Daily', 'checkin', 'dpet', 'ilang', 'Bela', 'IN', 'number', 'cakep', 'Telkomsel', ' right ',' Jogja ',' signal ',' slow ',' really ']</v>
      </c>
      <c r="D6607" s="3">
        <v>1.0</v>
      </c>
    </row>
    <row r="6608" ht="15.75" customHeight="1">
      <c r="A6608" s="1">
        <v>7043.0</v>
      </c>
      <c r="B6608" s="3" t="s">
        <v>6305</v>
      </c>
      <c r="C6608" s="3" t="str">
        <f>IFERROR(__xludf.DUMMYFUNCTION("GOOGLETRANSLATE(B6608,""id"",""en"")"),"['Watch', 'YouTube', 'Mozilla', 'Chrome', 'Good', 'Eyes',' Focus', 'Screen', 'Kayak', 'Told', 'Doang', 'Try', ' Gunain ',' YouTube ',' Mozilla ',' work ',' Nugas', 'YouTuban']")</f>
        <v>['Watch', 'YouTube', 'Mozilla', 'Chrome', 'Good', 'Eyes',' Focus', 'Screen', 'Kayak', 'Told', 'Doang', 'Try', ' Gunain ',' YouTube ',' Mozilla ',' work ',' Nugas', 'YouTuban']</v>
      </c>
      <c r="D6608" s="3">
        <v>1.0</v>
      </c>
    </row>
    <row r="6609" ht="15.75" customHeight="1">
      <c r="A6609" s="1">
        <v>7044.0</v>
      </c>
      <c r="B6609" s="3" t="s">
        <v>6306</v>
      </c>
      <c r="C6609" s="3" t="str">
        <f>IFERROR(__xludf.DUMMYFUNCTION("GOOGLETRANSLATE(B6609,""id"",""en"")"),"['Application', 'Easy', 'Error', 'Easy', 'Trouble', 'Application', 'Please', 'Fix', 'User', 'Like', 'Application', 'Superr', ' crazy ',' Trouble ',' Terosss']")</f>
        <v>['Application', 'Easy', 'Error', 'Easy', 'Trouble', 'Application', 'Please', 'Fix', 'User', 'Like', 'Application', 'Superr', ' crazy ',' Trouble ',' Terosss']</v>
      </c>
      <c r="D6609" s="3">
        <v>1.0</v>
      </c>
    </row>
    <row r="6610" ht="15.75" customHeight="1">
      <c r="A6610" s="1">
        <v>7046.0</v>
      </c>
      <c r="B6610" s="3" t="s">
        <v>6307</v>
      </c>
      <c r="C6610" s="3" t="str">
        <f>IFERROR(__xludf.DUMMYFUNCTION("GOOGLETRANSLATE(B6610,""id"",""en"")"),"['Signal', 'smooth', 'quota', 'promo', 'emang', 'Telkomsel', 'The', 'Best', ""]")</f>
        <v>['Signal', 'smooth', 'quota', 'promo', 'emang', 'Telkomsel', 'The', 'Best', "]</v>
      </c>
      <c r="D6610" s="3">
        <v>5.0</v>
      </c>
    </row>
    <row r="6611" ht="15.75" customHeight="1">
      <c r="A6611" s="1">
        <v>7047.0</v>
      </c>
      <c r="B6611" s="3" t="s">
        <v>6308</v>
      </c>
      <c r="C6611" s="3" t="str">
        <f>IFERROR(__xludf.DUMMYFUNCTION("GOOGLETRANSLATE(B6611,""id"",""en"")"),"['already', 'expensive', 'signal', 'disorder', 'I think', 'moved', 'simcard']")</f>
        <v>['already', 'expensive', 'signal', 'disorder', 'I think', 'moved', 'simcard']</v>
      </c>
      <c r="D6611" s="3">
        <v>1.0</v>
      </c>
    </row>
    <row r="6612" ht="15.75" customHeight="1">
      <c r="A6612" s="1">
        <v>7048.0</v>
      </c>
      <c r="B6612" s="3" t="s">
        <v>6309</v>
      </c>
      <c r="C6612" s="3" t="str">
        <f>IFERROR(__xludf.DUMMYFUNCTION("GOOGLETRANSLATE(B6612,""id"",""en"")"),"['package', 'games', 'quota', 'main', 'run out', 'kepakai', 'mobile', 'legend', 'as a result', 'credit', 'score', 'ilang']")</f>
        <v>['package', 'games', 'quota', 'main', 'run out', 'kepakai', 'mobile', 'legend', 'as a result', 'credit', 'score', 'ilang']</v>
      </c>
      <c r="D6612" s="3">
        <v>1.0</v>
      </c>
    </row>
    <row r="6613" ht="15.75" customHeight="1">
      <c r="A6613" s="1">
        <v>7049.0</v>
      </c>
      <c r="B6613" s="3" t="s">
        <v>6310</v>
      </c>
      <c r="C6613" s="3" t="str">
        <f>IFERROR(__xludf.DUMMYFUNCTION("GOOGLETRANSLATE(B6613,""id"",""en"")"),"['regret', 'buy', 'package', 'combo', 'Sakti', 'network', 'sequence', 'slow', 'play', 'game', 'difficult', 'please' Developer ',' fix ',' The network ',' signal ',' ']")</f>
        <v>['regret', 'buy', 'package', 'combo', 'Sakti', 'network', 'sequence', 'slow', 'play', 'game', 'difficult', 'please' Developer ',' fix ',' The network ',' signal ',' ']</v>
      </c>
      <c r="D6613" s="3">
        <v>1.0</v>
      </c>
    </row>
    <row r="6614" ht="15.75" customHeight="1">
      <c r="A6614" s="1">
        <v>7050.0</v>
      </c>
      <c r="B6614" s="3" t="s">
        <v>6311</v>
      </c>
      <c r="C6614" s="3" t="str">
        <f>IFERROR(__xludf.DUMMYFUNCTION("GOOGLETRANSLATE(B6614,""id"",""en"")"),"['Walah', 'finished', 'check', 'dri', 'mission', 'reset', 'dri', 'severe', 'stay', 'times',' check ',' cunning ',' right']")</f>
        <v>['Walah', 'finished', 'check', 'dri', 'mission', 'reset', 'dri', 'severe', 'stay', 'times',' check ',' cunning ',' right']</v>
      </c>
      <c r="D6614" s="3">
        <v>2.0</v>
      </c>
    </row>
    <row r="6615" ht="15.75" customHeight="1">
      <c r="A6615" s="1">
        <v>7051.0</v>
      </c>
      <c r="B6615" s="3" t="s">
        <v>6312</v>
      </c>
      <c r="C6615" s="3" t="str">
        <f>IFERROR(__xludf.DUMMYFUNCTION("GOOGLETRANSLATE(B6615,""id"",""en"")"),"['Network', 'ugly', 'development']")</f>
        <v>['Network', 'ugly', 'development']</v>
      </c>
      <c r="D6615" s="3">
        <v>1.0</v>
      </c>
    </row>
    <row r="6616" ht="15.75" customHeight="1">
      <c r="A6616" s="1">
        <v>7052.0</v>
      </c>
      <c r="B6616" s="3" t="s">
        <v>6313</v>
      </c>
      <c r="C6616" s="3" t="str">
        <f>IFERROR(__xludf.DUMMYFUNCTION("GOOGLETRANSLATE(B6616,""id"",""en"")"),"['strange', 'migration', 'card', 'Telkomsel', 'prepaid', 'card', 'Hello', 'no', 'logical']")</f>
        <v>['strange', 'migration', 'card', 'Telkomsel', 'prepaid', 'card', 'Hello', 'no', 'logical']</v>
      </c>
      <c r="D6616" s="3">
        <v>1.0</v>
      </c>
    </row>
    <row r="6617" ht="15.75" customHeight="1">
      <c r="A6617" s="1">
        <v>7053.0</v>
      </c>
      <c r="B6617" s="3" t="s">
        <v>6314</v>
      </c>
      <c r="C6617" s="3" t="str">
        <f>IFERROR(__xludf.DUMMYFUNCTION("GOOGLETRANSLATE(B6617,""id"",""en"")"),"['Service', 'Enhanced']")</f>
        <v>['Service', 'Enhanced']</v>
      </c>
      <c r="D6617" s="3">
        <v>4.0</v>
      </c>
    </row>
    <row r="6618" ht="15.75" customHeight="1">
      <c r="A6618" s="1">
        <v>7054.0</v>
      </c>
      <c r="B6618" s="3" t="s">
        <v>6315</v>
      </c>
      <c r="C6618" s="3" t="str">
        <f>IFERROR(__xludf.DUMMYFUNCTION("GOOGLETRANSLATE(B6618,""id"",""en"")"),"['check', 'daily', 'already', 'full', 'restart', 'reset', 'intention', 'event']")</f>
        <v>['check', 'daily', 'already', 'full', 'restart', 'reset', 'intention', 'event']</v>
      </c>
      <c r="D6618" s="3">
        <v>1.0</v>
      </c>
    </row>
    <row r="6619" ht="15.75" customHeight="1">
      <c r="A6619" s="1">
        <v>7055.0</v>
      </c>
      <c r="B6619" s="3" t="s">
        <v>6316</v>
      </c>
      <c r="C6619" s="3" t="str">
        <f>IFERROR(__xludf.DUMMYFUNCTION("GOOGLETRANSLATE(B6619,""id"",""en"")"),"['UDH', 'check', 'repeat', 'active', 'check']")</f>
        <v>['UDH', 'check', 'repeat', 'active', 'check']</v>
      </c>
      <c r="D6619" s="3">
        <v>1.0</v>
      </c>
    </row>
    <row r="6620" ht="15.75" customHeight="1">
      <c r="A6620" s="1">
        <v>7056.0</v>
      </c>
      <c r="B6620" s="3" t="s">
        <v>6317</v>
      </c>
      <c r="C6620" s="3" t="str">
        <f>IFERROR(__xludf.DUMMYFUNCTION("GOOGLETRANSLATE(B6620,""id"",""en"")"),"['Quality', 'Network', 'Not bad', 'Good', 'Enhanced', 'Strength', 'The Network', 'Dida', 'Region']")</f>
        <v>['Quality', 'Network', 'Not bad', 'Good', 'Enhanced', 'Strength', 'The Network', 'Dida', 'Region']</v>
      </c>
      <c r="D6620" s="3">
        <v>5.0</v>
      </c>
    </row>
    <row r="6621" ht="15.75" customHeight="1">
      <c r="A6621" s="1">
        <v>7057.0</v>
      </c>
      <c r="B6621" s="3" t="s">
        <v>6318</v>
      </c>
      <c r="C6621" s="3" t="str">
        <f>IFERROR(__xludf.DUMMYFUNCTION("GOOGLETRANSLATE(B6621,""id"",""en"")"),"['Yesterday', 'improved', 'check', 'daily', 'reset', 'times', 'finished', 'claim', 'please', 'repair']")</f>
        <v>['Yesterday', 'improved', 'check', 'daily', 'reset', 'times', 'finished', 'claim', 'please', 'repair']</v>
      </c>
      <c r="D6621" s="3">
        <v>3.0</v>
      </c>
    </row>
    <row r="6622" ht="15.75" customHeight="1">
      <c r="A6622" s="1">
        <v>7059.0</v>
      </c>
      <c r="B6622" s="3" t="s">
        <v>6319</v>
      </c>
      <c r="C6622" s="3" t="str">
        <f>IFERROR(__xludf.DUMMYFUNCTION("GOOGLETRANSLATE(B6622,""id"",""en"")"),"['What', 'I', 'already', 'check', 'told', 'check', 'reset', 'gift', 'already', 'pass',' claims', 'then', ' Ask ',' Application ',' Robot ',' Disappointed ']")</f>
        <v>['What', 'I', 'already', 'check', 'told', 'check', 'reset', 'gift', 'already', 'pass',' claims', 'then', ' Ask ',' Application ',' Robot ',' Disappointed ']</v>
      </c>
      <c r="D6622" s="3">
        <v>1.0</v>
      </c>
    </row>
    <row r="6623" ht="15.75" customHeight="1">
      <c r="A6623" s="1">
        <v>7060.0</v>
      </c>
      <c r="B6623" s="3" t="s">
        <v>6320</v>
      </c>
      <c r="C6623" s="3" t="str">
        <f>IFERROR(__xludf.DUMMYFUNCTION("GOOGLETRANSLATE(B6623,""id"",""en"")"),"['Daily', 'check', 'repeat', 'check', '']")</f>
        <v>['Daily', 'check', 'repeat', 'check', '']</v>
      </c>
      <c r="D6623" s="3">
        <v>1.0</v>
      </c>
    </row>
    <row r="6624" ht="15.75" customHeight="1">
      <c r="A6624" s="1">
        <v>7061.0</v>
      </c>
      <c r="B6624" s="3" t="s">
        <v>6321</v>
      </c>
      <c r="C6624" s="3" t="str">
        <f>IFERROR(__xludf.DUMMYFUNCTION("GOOGLETRANSLATE(B6624,""id"",""en"")"),"['bug', 'take', 'gift', 'daily', 'check', 'restart', 'right', 'already', 'already', 'restart', 'automatic', 'gift', ' quota ',' take ',' wait ',' annoyed ',' please ',' fix ',' bug ', ""]")</f>
        <v>['bug', 'take', 'gift', 'daily', 'check', 'restart', 'right', 'already', 'already', 'restart', 'automatic', 'gift', ' quota ',' take ',' wait ',' annoyed ',' please ',' fix ',' bug ', "]</v>
      </c>
      <c r="D6624" s="3">
        <v>1.0</v>
      </c>
    </row>
    <row r="6625" ht="15.75" customHeight="1">
      <c r="A6625" s="1">
        <v>7062.0</v>
      </c>
      <c r="B6625" s="3" t="s">
        <v>6322</v>
      </c>
      <c r="C6625" s="3" t="str">
        <f>IFERROR(__xludf.DUMMYFUNCTION("GOOGLETRANSLATE(B6625,""id"",""en"")"),"['application', 'block', 'chekin', 'reset', 'application', 'good', 'oath', ""]")</f>
        <v>['application', 'block', 'chekin', 'reset', 'application', 'good', 'oath', "]</v>
      </c>
      <c r="D6625" s="3">
        <v>1.0</v>
      </c>
    </row>
    <row r="6626" ht="15.75" customHeight="1">
      <c r="A6626" s="1">
        <v>7063.0</v>
      </c>
      <c r="B6626" s="3" t="s">
        <v>6323</v>
      </c>
      <c r="C6626" s="3" t="str">
        <f>IFERROR(__xludf.DUMMYFUNCTION("GOOGLETRANSLATE(B6626,""id"",""en"")"),"['Useful', 'Alhamdulillah', 'Application', 'Telkomsel', 'Maintain', 'System', 'Satisfaction', 'Customer', 'Gift', 'Lottery', 'Please', 'Donk', ' Given ',' opportunity ',' gift ',' lottery ',' ']")</f>
        <v>['Useful', 'Alhamdulillah', 'Application', 'Telkomsel', 'Maintain', 'System', 'Satisfaction', 'Customer', 'Gift', 'Lottery', 'Please', 'Donk', ' Given ',' opportunity ',' gift ',' lottery ',' ']</v>
      </c>
      <c r="D6626" s="3">
        <v>5.0</v>
      </c>
    </row>
    <row r="6627" ht="15.75" customHeight="1">
      <c r="A6627" s="1">
        <v>7064.0</v>
      </c>
      <c r="B6627" s="3" t="s">
        <v>6324</v>
      </c>
      <c r="C6627" s="3" t="str">
        <f>IFERROR(__xludf.DUMMYFUNCTION("GOOGLETRANSLATE(B6627,""id"",""en"")"),"['Daily', 'Chek', 'reset', 'already', 'number', 'yesterday', 'tired', 'collect', 'please', 'fix', 'replace', 'operator']")</f>
        <v>['Daily', 'Chek', 'reset', 'already', 'number', 'yesterday', 'tired', 'collect', 'please', 'fix', 'replace', 'operator']</v>
      </c>
      <c r="D6627" s="3">
        <v>2.0</v>
      </c>
    </row>
    <row r="6628" ht="15.75" customHeight="1">
      <c r="A6628" s="1">
        <v>7065.0</v>
      </c>
      <c r="B6628" s="3" t="s">
        <v>6325</v>
      </c>
      <c r="C6628" s="3" t="str">
        <f>IFERROR(__xludf.DUMMYFUNCTION("GOOGLETRANSLATE(B6628,""id"",""en"")"),"['Enter', 'Points', 'Trakir', 'DPT', 'Free', 'GB', 'Features', 'Lost', 'Kayak', 'Stealth', 'Haahahahha', ""]")</f>
        <v>['Enter', 'Points', 'Trakir', 'DPT', 'Free', 'GB', 'Features', 'Lost', 'Kayak', 'Stealth', 'Haahahahha', "]</v>
      </c>
      <c r="D6628" s="3">
        <v>1.0</v>
      </c>
    </row>
    <row r="6629" ht="15.75" customHeight="1">
      <c r="A6629" s="1">
        <v>7066.0</v>
      </c>
      <c r="B6629" s="3" t="s">
        <v>6326</v>
      </c>
      <c r="C6629" s="3" t="str">
        <f>IFERROR(__xludf.DUMMYFUNCTION("GOOGLETRANSLATE(B6629,""id"",""en"")"),"['min', 'knp', 'reset', 'check', 'mytlkomsel', 'please', 'min', 'network', 'feel', 'edge', 'special', 'region', ' Palembang ']")</f>
        <v>['min', 'knp', 'reset', 'check', 'mytlkomsel', 'please', 'min', 'network', 'feel', 'edge', 'special', 'region', ' Palembang ']</v>
      </c>
      <c r="D6629" s="3">
        <v>1.0</v>
      </c>
    </row>
    <row r="6630" ht="15.75" customHeight="1">
      <c r="A6630" s="1">
        <v>7067.0</v>
      </c>
      <c r="B6630" s="3" t="s">
        <v>81</v>
      </c>
      <c r="C6630" s="3" t="str">
        <f>IFERROR(__xludf.DUMMYFUNCTION("GOOGLETRANSLATE(B6630,""id"",""en"")"),"['application', 'good']")</f>
        <v>['application', 'good']</v>
      </c>
      <c r="D6630" s="3">
        <v>5.0</v>
      </c>
    </row>
    <row r="6631" ht="15.75" customHeight="1">
      <c r="A6631" s="1">
        <v>7068.0</v>
      </c>
      <c r="B6631" s="3" t="s">
        <v>6327</v>
      </c>
      <c r="C6631" s="3" t="str">
        <f>IFERROR(__xludf.DUMMYFUNCTION("GOOGLETRANSLATE(B6631,""id"",""en"")"),"['Telkomsel', 'change', 'already', 'bln', 'severe', 'bat', 'love', 'rough', 'point', 'uda', 'patient', 'ttp', ' Change ',' Mending ',' Change ',' card ',' then ',' card ',' mashed ',' until ',' smooth ',' base ',' card ',' mines', 'star' , 'Kasih', 'Mines"&amp;"', 'Star', 'Thousand', 'Telkomsel']")</f>
        <v>['Telkomsel', 'change', 'already', 'bln', 'severe', 'bat', 'love', 'rough', 'point', 'uda', 'patient', 'ttp', ' Change ',' Mending ',' Change ',' card ',' then ',' card ',' mashed ',' until ',' smooth ',' base ',' card ',' mines', 'star' , 'Kasih', 'Mines', 'Star', 'Thousand', 'Telkomsel']</v>
      </c>
      <c r="D6631" s="3">
        <v>1.0</v>
      </c>
    </row>
    <row r="6632" ht="15.75" customHeight="1">
      <c r="A6632" s="1">
        <v>7069.0</v>
      </c>
      <c r="B6632" s="3" t="s">
        <v>122</v>
      </c>
      <c r="C6632" s="3" t="str">
        <f>IFERROR(__xludf.DUMMYFUNCTION("GOOGLETRANSLATE(B6632,""id"",""en"")"),"['easy']")</f>
        <v>['easy']</v>
      </c>
      <c r="D6632" s="3">
        <v>5.0</v>
      </c>
    </row>
    <row r="6633" ht="15.75" customHeight="1">
      <c r="A6633" s="1">
        <v>7070.0</v>
      </c>
      <c r="B6633" s="3" t="s">
        <v>6328</v>
      </c>
      <c r="C6633" s="3" t="str">
        <f>IFERROR(__xludf.DUMMYFUNCTION("GOOGLETRANSLATE(B6633,""id"",""en"")"),"['signal', 'internet', 'ugly', 'price', 'package', 'expensive', 'mending', 'card', 'laen', 'signal', 'kenceng', 'price', ' package ',' no ',' expensive ']")</f>
        <v>['signal', 'internet', 'ugly', 'price', 'package', 'expensive', 'mending', 'card', 'laen', 'signal', 'kenceng', 'price', ' package ',' no ',' expensive ']</v>
      </c>
      <c r="D6633" s="3">
        <v>1.0</v>
      </c>
    </row>
    <row r="6634" ht="15.75" customHeight="1">
      <c r="A6634" s="1">
        <v>7071.0</v>
      </c>
      <c r="B6634" s="3" t="s">
        <v>6329</v>
      </c>
      <c r="C6634" s="3" t="str">
        <f>IFERROR(__xludf.DUMMYFUNCTION("GOOGLETRANSLATE(B6634,""id"",""en"")"),"['What', 'Telkom', 'Fill', 'Credit', 'Minutes', 'Credit', 'Lost', 'Data', 'Dead']")</f>
        <v>['What', 'Telkom', 'Fill', 'Credit', 'Minutes', 'Credit', 'Lost', 'Data', 'Dead']</v>
      </c>
      <c r="D6634" s="3">
        <v>1.0</v>
      </c>
    </row>
    <row r="6635" ht="15.75" customHeight="1">
      <c r="A6635" s="1">
        <v>7072.0</v>
      </c>
      <c r="B6635" s="3" t="s">
        <v>6330</v>
      </c>
      <c r="C6635" s="3" t="str">
        <f>IFERROR(__xludf.DUMMYFUNCTION("GOOGLETRANSLATE(B6635,""id"",""en"")"),"['', 'Kasi', 'star', 'signal', 'Telkomsel', 'Sekar', 'threat']")</f>
        <v>['', 'Kasi', 'star', 'signal', 'Telkomsel', 'Sekar', 'threat']</v>
      </c>
      <c r="D6635" s="3">
        <v>1.0</v>
      </c>
    </row>
    <row r="6636" ht="15.75" customHeight="1">
      <c r="A6636" s="1">
        <v>7073.0</v>
      </c>
      <c r="B6636" s="3" t="s">
        <v>6331</v>
      </c>
      <c r="C6636" s="3" t="str">
        <f>IFERROR(__xludf.DUMMYFUNCTION("GOOGLETRANSLATE(B6636,""id"",""en"")"),"['Logout', 'Malesin', 'Bngt']")</f>
        <v>['Logout', 'Malesin', 'Bngt']</v>
      </c>
      <c r="D6636" s="3">
        <v>2.0</v>
      </c>
    </row>
    <row r="6637" ht="15.75" customHeight="1">
      <c r="A6637" s="1">
        <v>7075.0</v>
      </c>
      <c r="B6637" s="3" t="s">
        <v>6332</v>
      </c>
      <c r="C6637" s="3" t="str">
        <f>IFERROR(__xludf.DUMMYFUNCTION("GOOGLETRANSLATE(B6637,""id"",""en"")"),"['Hopefully', 'Listen', 'Package', 'Data', 'Together', 'Example', 'Package', 'Data', 'Government', 'School', 'Package', 'Data', ' private ',' play ',' game ',' naah ',' class', 'online', 'package', 'used', 'package', 'personal', 'package', 'government', '"&amp;"used' , 'Paketan', 'Fast', 'Out', 'Please', 'Add', 'Feature', 'Off', 'On', 'Package', 'Mixed', 'Use', 'Accept', ' love']")</f>
        <v>['Hopefully', 'Listen', 'Package', 'Data', 'Together', 'Example', 'Package', 'Data', 'Government', 'School', 'Package', 'Data', ' private ',' play ',' game ',' naah ',' class', 'online', 'package', 'used', 'package', 'personal', 'package', 'government', 'used' , 'Paketan', 'Fast', 'Out', 'Please', 'Add', 'Feature', 'Off', 'On', 'Package', 'Mixed', 'Use', 'Accept', ' love']</v>
      </c>
      <c r="D6637" s="3">
        <v>3.0</v>
      </c>
    </row>
    <row r="6638" ht="15.75" customHeight="1">
      <c r="A6638" s="1">
        <v>7076.0</v>
      </c>
      <c r="B6638" s="3" t="s">
        <v>6333</v>
      </c>
      <c r="C6638" s="3" t="str">
        <f>IFERROR(__xludf.DUMMYFUNCTION("GOOGLETRANSLATE(B6638,""id"",""en"")"),"['gamemax', 'unlimited', 'game', 'pub', 'mobile', 'poor']")</f>
        <v>['gamemax', 'unlimited', 'game', 'pub', 'mobile', 'poor']</v>
      </c>
      <c r="D6638" s="3">
        <v>1.0</v>
      </c>
    </row>
    <row r="6639" ht="15.75" customHeight="1">
      <c r="A6639" s="1">
        <v>7077.0</v>
      </c>
      <c r="B6639" s="3" t="s">
        <v>6334</v>
      </c>
      <c r="C6639" s="3" t="str">
        <f>IFERROR(__xludf.DUMMYFUNCTION("GOOGLETRANSLATE(B6639,""id"",""en"")"),"['fill', 'pulse', 'read', 'webtoon', 'right', 'buy', 'pulse', 'knp', 'back', 'change', 'loss',' kek ',' money ',' stay ',' metik ']")</f>
        <v>['fill', 'pulse', 'read', 'webtoon', 'right', 'buy', 'pulse', 'knp', 'back', 'change', 'loss',' kek ',' money ',' stay ',' metik ']</v>
      </c>
      <c r="D6639" s="3">
        <v>1.0</v>
      </c>
    </row>
    <row r="6640" ht="15.75" customHeight="1">
      <c r="A6640" s="1">
        <v>7078.0</v>
      </c>
      <c r="B6640" s="3" t="s">
        <v>6335</v>
      </c>
      <c r="C6640" s="3" t="str">
        <f>IFERROR(__xludf.DUMMYFUNCTION("GOOGLETRANSLATE(B6640,""id"",""en"")"),"['Citizens', 'Indonesia', 'buy', 'card', 'Telkomsel', 'network', 'difficult', 'buy', 'Telkomsel', 'anjg']")</f>
        <v>['Citizens', 'Indonesia', 'buy', 'card', 'Telkomsel', 'network', 'difficult', 'buy', 'Telkomsel', 'anjg']</v>
      </c>
      <c r="D6640" s="3">
        <v>1.0</v>
      </c>
    </row>
    <row r="6641" ht="15.75" customHeight="1">
      <c r="A6641" s="1">
        <v>7079.0</v>
      </c>
      <c r="B6641" s="3" t="s">
        <v>6336</v>
      </c>
      <c r="C6641" s="3" t="str">
        <f>IFERROR(__xludf.DUMMYFUNCTION("GOOGLETRANSLATE(B6641,""id"",""en"")"),"['Swear', 'anything', 'quota', 'signal', 'sympathy', 'fury', 'gabisa', 'maen', 'game', 'base', 'pigii', 'annnjinnng', ' Hampasss', 'rubbish', '']")</f>
        <v>['Swear', 'anything', 'quota', 'signal', 'sympathy', 'fury', 'gabisa', 'maen', 'game', 'base', 'pigii', 'annnjinnng', ' Hampasss', 'rubbish', '']</v>
      </c>
      <c r="D6641" s="3">
        <v>1.0</v>
      </c>
    </row>
    <row r="6642" ht="15.75" customHeight="1">
      <c r="A6642" s="1">
        <v>7080.0</v>
      </c>
      <c r="B6642" s="3" t="s">
        <v>6337</v>
      </c>
      <c r="C6642" s="3" t="str">
        <f>IFERROR(__xludf.DUMMYFUNCTION("GOOGLETRANSLATE(B6642,""id"",""en"")"),"['Honest', 'yaa', 'diversi', 'sms', 'Telkomsel', 'a day', '']")</f>
        <v>['Honest', 'yaa', 'diversi', 'sms', 'Telkomsel', 'a day', '']</v>
      </c>
      <c r="D6642" s="3">
        <v>3.0</v>
      </c>
    </row>
    <row r="6643" ht="15.75" customHeight="1">
      <c r="A6643" s="1">
        <v>7081.0</v>
      </c>
      <c r="B6643" s="3" t="s">
        <v>6338</v>
      </c>
      <c r="C6643" s="3" t="str">
        <f>IFERROR(__xludf.DUMMYFUNCTION("GOOGLETRANSLATE(B6643,""id"",""en"")"),"['servant', 'satisfying']")</f>
        <v>['servant', 'satisfying']</v>
      </c>
      <c r="D6643" s="3">
        <v>5.0</v>
      </c>
    </row>
    <row r="6644" ht="15.75" customHeight="1">
      <c r="A6644" s="1">
        <v>7082.0</v>
      </c>
      <c r="B6644" s="3" t="s">
        <v>6339</v>
      </c>
      <c r="C6644" s="3" t="str">
        <f>IFERROR(__xludf.DUMMYFUNCTION("GOOGLETRANSLATE(B6644,""id"",""en"")"),"['knp', 'like', 'plz', 'emergency', 'times',' contents', 'plz', 'plz', 'cut', 'pdhl', 'blm', 'take', ' plz ',' emergency ',' Season ',' please ',' Matiin ',' plz ',' emergency ',' thank ',' love ']")</f>
        <v>['knp', 'like', 'plz', 'emergency', 'times',' contents', 'plz', 'plz', 'cut', 'pdhl', 'blm', 'take', ' plz ',' emergency ',' Season ',' please ',' Matiin ',' plz ',' emergency ',' thank ',' love ']</v>
      </c>
      <c r="D6644" s="3">
        <v>5.0</v>
      </c>
    </row>
    <row r="6645" ht="15.75" customHeight="1">
      <c r="A6645" s="1">
        <v>7083.0</v>
      </c>
      <c r="B6645" s="3" t="s">
        <v>6340</v>
      </c>
      <c r="C6645" s="3" t="str">
        <f>IFERROR(__xludf.DUMMYFUNCTION("GOOGLETRANSLATE(B6645,""id"",""en"")"),"['price', 'promo', 'price', 'normal', 'entry', 'sense', 'cheap', 'price', 'normal', 'kirain', 'change', ""]")</f>
        <v>['price', 'promo', 'price', 'normal', 'entry', 'sense', 'cheap', 'price', 'normal', 'kirain', 'change', "]</v>
      </c>
      <c r="D6645" s="3">
        <v>1.0</v>
      </c>
    </row>
    <row r="6646" ht="15.75" customHeight="1">
      <c r="A6646" s="1">
        <v>7084.0</v>
      </c>
      <c r="B6646" s="3" t="s">
        <v>6341</v>
      </c>
      <c r="C6646" s="3" t="str">
        <f>IFERROR(__xludf.DUMMYFUNCTION("GOOGLETRANSLATE(B6646,""id"",""en"")"),"['Woy', 'Telkom', 'Plis',' people ',' angry ',' ugly ',' really ',' signal ',' changed ',' change ',' how ',' person ',' Deuteronomy ',' online ',' school ',' online ',' network ',' missing ',' think ',' delicious', 'missing', 'network', 'brief', 'really'"&amp;", 'forging' , 'hours', 'think', 'go bankrupt', 'deh']")</f>
        <v>['Woy', 'Telkom', 'Plis',' people ',' angry ',' ugly ',' really ',' signal ',' changed ',' change ',' how ',' person ',' Deuteronomy ',' online ',' school ',' online ',' network ',' missing ',' think ',' delicious', 'missing', 'network', 'brief', 'really', 'forging' , 'hours', 'think', 'go bankrupt', 'deh']</v>
      </c>
      <c r="D6646" s="3">
        <v>1.0</v>
      </c>
    </row>
    <row r="6647" ht="15.75" customHeight="1">
      <c r="A6647" s="1">
        <v>7085.0</v>
      </c>
      <c r="B6647" s="3" t="s">
        <v>6342</v>
      </c>
      <c r="C6647" s="3" t="str">
        <f>IFERROR(__xludf.DUMMYFUNCTION("GOOGLETRANSLATE(B6647,""id"",""en"")"),"['activate', 'package', 'cheerful', 'pulse', 'promo', 'activate', 'Please', 'help', 'kak', ""]")</f>
        <v>['activate', 'package', 'cheerful', 'pulse', 'promo', 'activate', 'Please', 'help', 'kak', "]</v>
      </c>
      <c r="D6647" s="3">
        <v>1.0</v>
      </c>
    </row>
    <row r="6648" ht="15.75" customHeight="1">
      <c r="A6648" s="1">
        <v>7086.0</v>
      </c>
      <c r="B6648" s="3" t="s">
        <v>6343</v>
      </c>
      <c r="C6648" s="3" t="str">
        <f>IFERROR(__xludf.DUMMYFUNCTION("GOOGLETRANSLATE(B6648,""id"",""en"")"),"['disappointing', 'poor', 'expensive', 'yes', 'signal', 'slow', 'poor', ""]")</f>
        <v>['disappointing', 'poor', 'expensive', 'yes', 'signal', 'slow', 'poor', "]</v>
      </c>
      <c r="D6648" s="3">
        <v>1.0</v>
      </c>
    </row>
    <row r="6649" ht="15.75" customHeight="1">
      <c r="A6649" s="1">
        <v>7087.0</v>
      </c>
      <c r="B6649" s="3" t="s">
        <v>6344</v>
      </c>
      <c r="C6649" s="3" t="str">
        <f>IFERROR(__xludf.DUMMYFUNCTION("GOOGLETRANSLATE(B6649,""id"",""en"")"),"['fill', 'pulses', 'run out', 'stay', 'silver', 'hmm', 'chaotic', 'really', 'telkomsel']")</f>
        <v>['fill', 'pulses', 'run out', 'stay', 'silver', 'hmm', 'chaotic', 'really', 'telkomsel']</v>
      </c>
      <c r="D6649" s="3">
        <v>1.0</v>
      </c>
    </row>
    <row r="6650" ht="15.75" customHeight="1">
      <c r="A6650" s="1">
        <v>7088.0</v>
      </c>
      <c r="B6650" s="3" t="s">
        <v>6345</v>
      </c>
      <c r="C6650" s="3" t="str">
        <f>IFERROR(__xludf.DUMMYFUNCTION("GOOGLETRANSLATE(B6650,""id"",""en"")"),"['knp', 'no', 'open', 'application', 'download', 'repeated', 'reset', 'ndak', 'access',' cetho ',' disappointing ',' WES ',' Kabeh ',' Bukak ',' Abot ',' Application ',' weird ']")</f>
        <v>['knp', 'no', 'open', 'application', 'download', 'repeated', 'reset', 'ndak', 'access',' cetho ',' disappointing ',' WES ',' Kabeh ',' Bukak ',' Abot ',' Application ',' weird ']</v>
      </c>
      <c r="D6650" s="3">
        <v>1.0</v>
      </c>
    </row>
    <row r="6651" ht="15.75" customHeight="1">
      <c r="A6651" s="1">
        <v>7089.0</v>
      </c>
      <c r="B6651" s="3" t="s">
        <v>6346</v>
      </c>
      <c r="C6651" s="3" t="str">
        <f>IFERROR(__xludf.DUMMYFUNCTION("GOOGLETRANSLATE(B6651,""id"",""en"")"),"['customer', 'loyal', 'Telkomsel', 'signal', 'Telkomsel', 'disappointing', 'kebakkramat', 'karanganyar', '']")</f>
        <v>['customer', 'loyal', 'Telkomsel', 'signal', 'Telkomsel', 'disappointing', 'kebakkramat', 'karanganyar', '']</v>
      </c>
      <c r="D6651" s="3">
        <v>4.0</v>
      </c>
    </row>
    <row r="6652" ht="15.75" customHeight="1">
      <c r="A6652" s="1">
        <v>7090.0</v>
      </c>
      <c r="B6652" s="3" t="s">
        <v>6347</v>
      </c>
      <c r="C6652" s="3" t="str">
        <f>IFERROR(__xludf.DUMMYFUNCTION("GOOGLETRANSLATE(B6652,""id"",""en"")"),"['Kasi', 'star', 'Karna', 'beginner']")</f>
        <v>['Kasi', 'star', 'Karna', 'beginner']</v>
      </c>
      <c r="D6652" s="3">
        <v>5.0</v>
      </c>
    </row>
    <row r="6653" ht="15.75" customHeight="1">
      <c r="A6653" s="1">
        <v>7091.0</v>
      </c>
      <c r="B6653" s="3" t="s">
        <v>6348</v>
      </c>
      <c r="C6653" s="3" t="str">
        <f>IFERROR(__xludf.DUMMYFUNCTION("GOOGLETRANSLATE(B6653,""id"",""en"")"),"['Thank you', 'Increase']")</f>
        <v>['Thank you', 'Increase']</v>
      </c>
      <c r="D6653" s="3">
        <v>5.0</v>
      </c>
    </row>
    <row r="6654" ht="15.75" customHeight="1">
      <c r="A6654" s="1">
        <v>7092.0</v>
      </c>
      <c r="B6654" s="3" t="s">
        <v>6349</v>
      </c>
      <c r="C6654" s="3" t="str">
        <f>IFERROR(__xludf.DUMMYFUNCTION("GOOGLETRANSLATE(B6654,""id"",""en"")"),"['Application', 'Help', 'Trouble', 'opened', 'ugly', 'provider', ""]")</f>
        <v>['Application', 'Help', 'Trouble', 'opened', 'ugly', 'provider', "]</v>
      </c>
      <c r="D6654" s="3">
        <v>1.0</v>
      </c>
    </row>
    <row r="6655" ht="15.75" customHeight="1">
      <c r="A6655" s="1">
        <v>7093.0</v>
      </c>
      <c r="B6655" s="3" t="s">
        <v>6350</v>
      </c>
      <c r="C6655" s="3" t="str">
        <f>IFERROR(__xludf.DUMMYFUNCTION("GOOGLETRANSLATE(B6655,""id"",""en"")"),"['', 'supports',' signal ',' Full ',' bar ',' nailing ',' slow ',' request ',' tigcriking ',' quality ',' signal ',' special ',' village ',' SUGLEL ',' Kelurahan ',' Kelurahan ',' Source ',' Bandung ',' District ',' Pagelaran ',' North ',' Regency ',' Pri"&amp;"ngsewu ',' Province ',' Lampung ']")</f>
        <v>['', 'supports',' signal ',' Full ',' bar ',' nailing ',' slow ',' request ',' tigcriking ',' quality ',' signal ',' special ',' village ',' SUGLEL ',' Kelurahan ',' Kelurahan ',' Source ',' Bandung ',' District ',' Pagelaran ',' North ',' Regency ',' Pringsewu ',' Province ',' Lampung ']</v>
      </c>
      <c r="D6655" s="3">
        <v>2.0</v>
      </c>
    </row>
    <row r="6656" ht="15.75" customHeight="1">
      <c r="A6656" s="1">
        <v>7094.0</v>
      </c>
      <c r="B6656" s="3" t="s">
        <v>6351</v>
      </c>
      <c r="C6656" s="3" t="str">
        <f>IFERROR(__xludf.DUMMYFUNCTION("GOOGLETRANSLATE(B6656,""id"",""en"")"),"['Application', 'Open']")</f>
        <v>['Application', 'Open']</v>
      </c>
      <c r="D6656" s="3">
        <v>3.0</v>
      </c>
    </row>
    <row r="6657" ht="15.75" customHeight="1">
      <c r="A6657" s="1">
        <v>7095.0</v>
      </c>
      <c r="B6657" s="3" t="s">
        <v>6352</v>
      </c>
      <c r="C6657" s="3" t="str">
        <f>IFERROR(__xludf.DUMMYFUNCTION("GOOGLETRANSLATE(B6657,""id"",""en"")"),"['according to', 'promo', 'Hold', 'Hope', 'In the future']")</f>
        <v>['according to', 'promo', 'Hold', 'Hope', 'In the future']</v>
      </c>
      <c r="D6657" s="3">
        <v>3.0</v>
      </c>
    </row>
    <row r="6658" ht="15.75" customHeight="1">
      <c r="A6658" s="1">
        <v>7096.0</v>
      </c>
      <c r="B6658" s="3" t="s">
        <v>6353</v>
      </c>
      <c r="C6658" s="3" t="str">
        <f>IFERROR(__xludf.DUMMYFUNCTION("GOOGLETRANSLATE(B6658,""id"",""en"")"),"['Help', 'buy', 'pulse', 'mytelkomsel']")</f>
        <v>['Help', 'buy', 'pulse', 'mytelkomsel']</v>
      </c>
      <c r="D6658" s="3">
        <v>5.0</v>
      </c>
    </row>
    <row r="6659" ht="15.75" customHeight="1">
      <c r="A6659" s="1">
        <v>7097.0</v>
      </c>
      <c r="B6659" s="3" t="s">
        <v>6354</v>
      </c>
      <c r="C6659" s="3" t="str">
        <f>IFERROR(__xludf.DUMMYFUNCTION("GOOGLETRANSLATE(B6659,""id"",""en"")"),"['Help', 'busy', 'contents', 'plsa', 'then', 'rain', 'buset']")</f>
        <v>['Help', 'busy', 'contents', 'plsa', 'then', 'rain', 'buset']</v>
      </c>
      <c r="D6659" s="3">
        <v>5.0</v>
      </c>
    </row>
    <row r="6660" ht="15.75" customHeight="1">
      <c r="A6660" s="1">
        <v>7098.0</v>
      </c>
      <c r="B6660" s="3" t="s">
        <v>6355</v>
      </c>
      <c r="C6660" s="3" t="str">
        <f>IFERROR(__xludf.DUMMYFUNCTION("GOOGLETRANSLATE(B6660,""id"",""en"")"),"['price', 'quota', 'expensive', 'rare', 'promo', 'network', 'slow', 'according to', 'remove', ""]")</f>
        <v>['price', 'quota', 'expensive', 'rare', 'promo', 'network', 'slow', 'according to', 'remove', "]</v>
      </c>
      <c r="D6660" s="3">
        <v>1.0</v>
      </c>
    </row>
    <row r="6661" ht="15.75" customHeight="1">
      <c r="A6661" s="1">
        <v>7099.0</v>
      </c>
      <c r="B6661" s="3" t="s">
        <v>6356</v>
      </c>
      <c r="C6661" s="3" t="str">
        <f>IFERROR(__xludf.DUMMYFUNCTION("GOOGLETRANSLATE(B6661,""id"",""en"")"),"['application', 'poor', 'open']")</f>
        <v>['application', 'poor', 'open']</v>
      </c>
      <c r="D6661" s="3">
        <v>1.0</v>
      </c>
    </row>
    <row r="6662" ht="15.75" customHeight="1">
      <c r="A6662" s="1">
        <v>7100.0</v>
      </c>
      <c r="B6662" s="3" t="s">
        <v>4576</v>
      </c>
      <c r="C6662" s="3" t="str">
        <f>IFERROR(__xludf.DUMMYFUNCTION("GOOGLETRANSLATE(B6662,""id"",""en"")"),"['service']")</f>
        <v>['service']</v>
      </c>
      <c r="D6662" s="3">
        <v>4.0</v>
      </c>
    </row>
    <row r="6663" ht="15.75" customHeight="1">
      <c r="A6663" s="1">
        <v>7101.0</v>
      </c>
      <c r="B6663" s="3" t="s">
        <v>6357</v>
      </c>
      <c r="C6663" s="3" t="str">
        <f>IFERROR(__xludf.DUMMYFUNCTION("GOOGLETRANSLATE(B6663,""id"",""en"")"),"['Telkomsel', 'signal', 'slow', 'slow', 'really', 'buy', 'already', 'expensive', 'signal', 'rich', 'gini', ""]")</f>
        <v>['Telkomsel', 'signal', 'slow', 'slow', 'really', 'buy', 'already', 'expensive', 'signal', 'rich', 'gini', "]</v>
      </c>
      <c r="D6663" s="3">
        <v>1.0</v>
      </c>
    </row>
    <row r="6664" ht="15.75" customHeight="1">
      <c r="A6664" s="1">
        <v>7102.0</v>
      </c>
      <c r="B6664" s="3" t="s">
        <v>6358</v>
      </c>
      <c r="C6664" s="3" t="str">
        <f>IFERROR(__xludf.DUMMYFUNCTION("GOOGLETRANSLATE(B6664,""id"",""en"")"),"['Price', 'Drastic', 'Features', 'Good', '']")</f>
        <v>['Price', 'Drastic', 'Features', 'Good', '']</v>
      </c>
      <c r="D6664" s="3">
        <v>1.0</v>
      </c>
    </row>
    <row r="6665" ht="15.75" customHeight="1">
      <c r="A6665" s="1">
        <v>7103.0</v>
      </c>
      <c r="B6665" s="3" t="s">
        <v>6359</v>
      </c>
      <c r="C6665" s="3" t="str">
        <f>IFERROR(__xludf.DUMMYFUNCTION("GOOGLETRANSLATE(B6665,""id"",""en"")"),"['Notification', 'Package', 'TPI', 'Glooms', 'Package', 'Internet', '']")</f>
        <v>['Notification', 'Package', 'TPI', 'Glooms', 'Package', 'Internet', '']</v>
      </c>
      <c r="D6665" s="3">
        <v>3.0</v>
      </c>
    </row>
    <row r="6666" ht="15.75" customHeight="1">
      <c r="A6666" s="1">
        <v>7104.0</v>
      </c>
      <c r="B6666" s="3" t="s">
        <v>6360</v>
      </c>
      <c r="C6666" s="3" t="str">
        <f>IFERROR(__xludf.DUMMYFUNCTION("GOOGLETRANSLATE(B6666,""id"",""en"")"),"['Good', 'Enhanced', 'Success', '']")</f>
        <v>['Good', 'Enhanced', 'Success', '']</v>
      </c>
      <c r="D6666" s="3">
        <v>5.0</v>
      </c>
    </row>
    <row r="6667" ht="15.75" customHeight="1">
      <c r="A6667" s="1">
        <v>7105.0</v>
      </c>
      <c r="B6667" s="3" t="s">
        <v>6361</v>
      </c>
      <c r="C6667" s="3" t="str">
        <f>IFERROR(__xludf.DUMMYFUNCTION("GOOGLETRANSLATE(B6667,""id"",""en"")"),"['Leet', 'The application']")</f>
        <v>['Leet', 'The application']</v>
      </c>
      <c r="D6667" s="3">
        <v>3.0</v>
      </c>
    </row>
    <row r="6668" ht="15.75" customHeight="1">
      <c r="A6668" s="1">
        <v>7106.0</v>
      </c>
      <c r="B6668" s="3" t="s">
        <v>6362</v>
      </c>
      <c r="C6668" s="3" t="str">
        <f>IFERROR(__xludf.DUMMYFUNCTION("GOOGLETRANSLATE(B6668,""id"",""en"")"),"['Help', 'dizziness',' nucerba ',' point ',' keteter ',' quota ',' hope ',' point ',' get ',' car ',' appropriate ',' application ',' Get ',' Goal ',' ']")</f>
        <v>['Help', 'dizziness',' nucerba ',' point ',' keteter ',' quota ',' hope ',' point ',' get ',' car ',' appropriate ',' application ',' Get ',' Goal ',' ']</v>
      </c>
      <c r="D6668" s="3">
        <v>5.0</v>
      </c>
    </row>
    <row r="6669" ht="15.75" customHeight="1">
      <c r="A6669" s="1">
        <v>7107.0</v>
      </c>
      <c r="B6669" s="3" t="s">
        <v>6363</v>
      </c>
      <c r="C6669" s="3" t="str">
        <f>IFERROR(__xludf.DUMMYFUNCTION("GOOGLETRANSLATE(B6669,""id"",""en"")"),"['', 'Event', 'Free', 'Balance', 'Link']")</f>
        <v>['', 'Event', 'Free', 'Balance', 'Link']</v>
      </c>
      <c r="D6669" s="3">
        <v>1.0</v>
      </c>
    </row>
    <row r="6670" ht="15.75" customHeight="1">
      <c r="A6670" s="1">
        <v>7108.0</v>
      </c>
      <c r="B6670" s="3" t="s">
        <v>6364</v>
      </c>
      <c r="C6670" s="3" t="str">
        <f>IFERROR(__xludf.DUMMYFUNCTION("GOOGLETRANSLATE(B6670,""id"",""en"")"),"['Network', 'Kntol', 'KEK', 'Pig', 'Cook', 'Ngeleg', 'People', 'Waar', 'Network', 'ilang', 'Cave', 'Cave', ' Telkom ',' Kntol ',' You ',' Anjj ',' Bye ',' One ',' People ',' Kntol ']")</f>
        <v>['Network', 'Kntol', 'KEK', 'Pig', 'Cook', 'Ngeleg', 'People', 'Waar', 'Network', 'ilang', 'Cave', 'Cave', ' Telkom ',' Kntol ',' You ',' Anjj ',' Bye ',' One ',' People ',' Kntol ']</v>
      </c>
      <c r="D6670" s="3">
        <v>1.0</v>
      </c>
    </row>
    <row r="6671" ht="15.75" customHeight="1">
      <c r="A6671" s="1">
        <v>7109.0</v>
      </c>
      <c r="B6671" s="3" t="s">
        <v>6365</v>
      </c>
      <c r="C6671" s="3" t="str">
        <f>IFERROR(__xludf.DUMMYFUNCTION("GOOGLETRANSLATE(B6671,""id"",""en"")"),"['helped', 'Telkomsel', 'try', 'convenience', 'area', 'difficult', 'tuk', 'network']")</f>
        <v>['helped', 'Telkomsel', 'try', 'convenience', 'area', 'difficult', 'tuk', 'network']</v>
      </c>
      <c r="D6671" s="3">
        <v>5.0</v>
      </c>
    </row>
    <row r="6672" ht="15.75" customHeight="1">
      <c r="A6672" s="1">
        <v>7110.0</v>
      </c>
      <c r="B6672" s="3" t="s">
        <v>6366</v>
      </c>
      <c r="C6672" s="3" t="str">
        <f>IFERROR(__xludf.DUMMYFUNCTION("GOOGLETRANSLATE(B6672,""id"",""en"")"),"['Performance', 'Network', 'Telkomsel', 'Sangan', 'decreases',' village ',' rural ',' use ',' disrupted ',' student ',' regret ',' network ',' Telkomsel ',' visits', 'stable']")</f>
        <v>['Performance', 'Network', 'Telkomsel', 'Sangan', 'decreases',' village ',' rural ',' use ',' disrupted ',' student ',' regret ',' network ',' Telkomsel ',' visits', 'stable']</v>
      </c>
      <c r="D6672" s="3">
        <v>1.0</v>
      </c>
    </row>
    <row r="6673" ht="15.75" customHeight="1">
      <c r="A6673" s="1">
        <v>7111.0</v>
      </c>
      <c r="B6673" s="3" t="s">
        <v>6367</v>
      </c>
      <c r="C6673" s="3" t="str">
        <f>IFERROR(__xludf.DUMMYFUNCTION("GOOGLETRANSLATE(B6673,""id"",""en"")"),"['Good', 'operation', 'easy']")</f>
        <v>['Good', 'operation', 'easy']</v>
      </c>
      <c r="D6673" s="3">
        <v>5.0</v>
      </c>
    </row>
    <row r="6674" ht="15.75" customHeight="1">
      <c r="A6674" s="1">
        <v>7112.0</v>
      </c>
      <c r="B6674" s="3" t="s">
        <v>6368</v>
      </c>
      <c r="C6674" s="3" t="str">
        <f>IFERROR(__xludf.DUMMYFUNCTION("GOOGLETRANSLATE(B6674,""id"",""en"")"),"['Assessment', 'star', 'minus',' already ',' cave ',' love ',' signal ',' ugly ',' quota ',' fill ',' regret ',' oath ',' Mending ',' Move ']")</f>
        <v>['Assessment', 'star', 'minus',' already ',' cave ',' love ',' signal ',' ugly ',' quota ',' fill ',' regret ',' oath ',' Mending ',' Move ']</v>
      </c>
      <c r="D6674" s="3">
        <v>1.0</v>
      </c>
    </row>
    <row r="6675" ht="15.75" customHeight="1">
      <c r="A6675" s="1">
        <v>7113.0</v>
      </c>
      <c r="B6675" s="3" t="s">
        <v>6369</v>
      </c>
      <c r="C6675" s="3" t="str">
        <f>IFERROR(__xludf.DUMMYFUNCTION("GOOGLETRANSLATE(B6675,""id"",""en"")"),"['application', 'Telkomsel', 'quota', 'run out', 'open', 'application', 'already', 'doserot', 'quota', 'mb', 'second', 'please', ' EMG ',' trick ',' quota ',' run out ',' then ',' buy ',' or ',' gmn ',' blm ',' understand ',' method ',' ginian ',' yes' , "&amp;"'buy', 'quota', 'check', 'pulse', 'quota', 'serot', 'udh', 'taste', 'watch', 'yoven', 'wkwkwk', 'really', ' Cuteness', 'World', 'Entertaining', '']")</f>
        <v>['application', 'Telkomsel', 'quota', 'run out', 'open', 'application', 'already', 'doserot', 'quota', 'mb', 'second', 'please', ' EMG ',' trick ',' quota ',' run out ',' then ',' buy ',' or ',' gmn ',' blm ',' understand ',' method ',' ginian ',' yes' , 'buy', 'quota', 'check', 'pulse', 'quota', 'serot', 'udh', 'taste', 'watch', 'yoven', 'wkwkwk', 'really', ' Cuteness', 'World', 'Entertaining', '']</v>
      </c>
      <c r="D6675" s="3">
        <v>1.0</v>
      </c>
    </row>
    <row r="6676" ht="15.75" customHeight="1">
      <c r="A6676" s="1">
        <v>7114.0</v>
      </c>
      <c r="B6676" s="3" t="s">
        <v>6370</v>
      </c>
      <c r="C6676" s="3" t="str">
        <f>IFERROR(__xludf.DUMMYFUNCTION("GOOGLETRANSLATE(B6676,""id"",""en"")"),"['Good', 'satisfied', 'service', 'please', 'multiply', 'promo', 'card', '']")</f>
        <v>['Good', 'satisfied', 'service', 'please', 'multiply', 'promo', 'card', '']</v>
      </c>
      <c r="D6676" s="3">
        <v>5.0</v>
      </c>
    </row>
    <row r="6677" ht="15.75" customHeight="1">
      <c r="A6677" s="1">
        <v>7115.0</v>
      </c>
      <c r="B6677" s="3" t="s">
        <v>6371</v>
      </c>
      <c r="C6677" s="3" t="str">
        <f>IFERROR(__xludf.DUMMYFUNCTION("GOOGLETRANSLATE(B6677,""id"",""en"")"),"['package', 'expensive', 'cheap', 'fair']")</f>
        <v>['package', 'expensive', 'cheap', 'fair']</v>
      </c>
      <c r="D6677" s="3">
        <v>3.0</v>
      </c>
    </row>
    <row r="6678" ht="15.75" customHeight="1">
      <c r="A6678" s="1">
        <v>7116.0</v>
      </c>
      <c r="B6678" s="3" t="s">
        <v>6372</v>
      </c>
      <c r="C6678" s="3" t="str">
        <f>IFERROR(__xludf.DUMMYFUNCTION("GOOGLETRANSLATE(B6678,""id"",""en"")"),"['Application', 'Recommended']")</f>
        <v>['Application', 'Recommended']</v>
      </c>
      <c r="D6678" s="3">
        <v>5.0</v>
      </c>
    </row>
    <row r="6679" ht="15.75" customHeight="1">
      <c r="A6679" s="1">
        <v>7118.0</v>
      </c>
      <c r="B6679" s="3" t="s">
        <v>6373</v>
      </c>
      <c r="C6679" s="3" t="str">
        <f>IFERROR(__xludf.DUMMYFUNCTION("GOOGLETRANSLATE(B6679,""id"",""en"")"),"['application', 'easy', 'transaction', 'awaited', 'bonus']")</f>
        <v>['application', 'easy', 'transaction', 'awaited', 'bonus']</v>
      </c>
      <c r="D6679" s="3">
        <v>5.0</v>
      </c>
    </row>
    <row r="6680" ht="15.75" customHeight="1">
      <c r="A6680" s="1">
        <v>7119.0</v>
      </c>
      <c r="B6680" s="3" t="s">
        <v>6374</v>
      </c>
      <c r="C6680" s="3" t="str">
        <f>IFERROR(__xludf.DUMMYFUNCTION("GOOGLETRANSLATE(B6680,""id"",""en"")"),"['expensive', 'pulp', 'signal', 'ilang', 'wind', 'Ujan', 'rich']")</f>
        <v>['expensive', 'pulp', 'signal', 'ilang', 'wind', 'Ujan', 'rich']</v>
      </c>
      <c r="D6680" s="3">
        <v>1.0</v>
      </c>
    </row>
    <row r="6681" ht="15.75" customHeight="1">
      <c r="A6681" s="1">
        <v>7120.0</v>
      </c>
      <c r="B6681" s="3" t="s">
        <v>6375</v>
      </c>
      <c r="C6681" s="3" t="str">
        <f>IFERROR(__xludf.DUMMYFUNCTION("GOOGLETRANSLATE(B6681,""id"",""en"")"),"['slow', 'really', 'sakarang']")</f>
        <v>['slow', 'really', 'sakarang']</v>
      </c>
      <c r="D6681" s="3">
        <v>1.0</v>
      </c>
    </row>
    <row r="6682" ht="15.75" customHeight="1">
      <c r="A6682" s="1">
        <v>7121.0</v>
      </c>
      <c r="B6682" s="3" t="s">
        <v>6376</v>
      </c>
      <c r="C6682" s="3" t="str">
        <f>IFERROR(__xludf.DUMMYFUNCTION("GOOGLETRANSLATE(B6682,""id"",""en"")"),"['Please', 'sorry', 'how', 'admin', 'buy', 'pulse', 'data', '']")</f>
        <v>['Please', 'sorry', 'how', 'admin', 'buy', 'pulse', 'data', '']</v>
      </c>
      <c r="D6682" s="3">
        <v>4.0</v>
      </c>
    </row>
    <row r="6683" ht="15.75" customHeight="1">
      <c r="A6683" s="1">
        <v>7122.0</v>
      </c>
      <c r="B6683" s="3" t="s">
        <v>4191</v>
      </c>
      <c r="C6683" s="3" t="str">
        <f>IFERROR(__xludf.DUMMYFUNCTION("GOOGLETRANSLATE(B6683,""id"",""en"")"),"['slow network']")</f>
        <v>['slow network']</v>
      </c>
      <c r="D6683" s="3">
        <v>5.0</v>
      </c>
    </row>
    <row r="6684" ht="15.75" customHeight="1">
      <c r="A6684" s="1">
        <v>7125.0</v>
      </c>
      <c r="B6684" s="3" t="s">
        <v>6377</v>
      </c>
      <c r="C6684" s="3" t="str">
        <f>IFERROR(__xludf.DUMMYFUNCTION("GOOGLETRANSLATE(B6684,""id"",""en"")"),"['Satisfied', 'Use', 'Telkomsel', 'Thinking', 'Price', 'Package', 'Expensive', 'Sinyal', 'Sometimes',' Bad ',' Provider ',' Area ',' Limited ',' sosmed ',' sometimes', 'slow', 'quota', 'signal', 'good', 'hopefully', 'first', 'repaired', 'disadvalued', 'pr"&amp;"ovider' ]")</f>
        <v>['Satisfied', 'Use', 'Telkomsel', 'Thinking', 'Price', 'Package', 'Expensive', 'Sinyal', 'Sometimes',' Bad ',' Provider ',' Area ',' Limited ',' sosmed ',' sometimes', 'slow', 'quota', 'signal', 'good', 'hopefully', 'first', 'repaired', 'disadvalued', 'provider' ]</v>
      </c>
      <c r="D6684" s="3">
        <v>2.0</v>
      </c>
    </row>
    <row r="6685" ht="15.75" customHeight="1">
      <c r="A6685" s="1">
        <v>7126.0</v>
      </c>
      <c r="B6685" s="3" t="s">
        <v>6378</v>
      </c>
      <c r="C6685" s="3" t="str">
        <f>IFERROR(__xludf.DUMMYFUNCTION("GOOGLETRANSLATE(B6685,""id"",""en"")"),"['Disappointed', 'Telkom', 'Already', 'Make', 'Tetep', 'Pulse', 'Sumpot', 'Thousands',' Rupiah ',' Ngk ',' Notification ',' Please ',' Telkomsel ',' Kasih ',' Sumpot ',' Pulses', 'School', 'Confused', 'Buy', 'Package', 'NGK', 'Open', 'Material', ""]")</f>
        <v>['Disappointed', 'Telkom', 'Already', 'Make', 'Tetep', 'Pulse', 'Sumpot', 'Thousands',' Rupiah ',' Ngk ',' Notification ',' Please ',' Telkomsel ',' Kasih ',' Sumpot ',' Pulses', 'School', 'Confused', 'Buy', 'Package', 'NGK', 'Open', 'Material', "]</v>
      </c>
      <c r="D6685" s="3">
        <v>2.0</v>
      </c>
    </row>
    <row r="6686" ht="15.75" customHeight="1">
      <c r="A6686" s="1">
        <v>7127.0</v>
      </c>
      <c r="B6686" s="3" t="s">
        <v>2018</v>
      </c>
      <c r="C6686" s="3" t="str">
        <f>IFERROR(__xludf.DUMMYFUNCTION("GOOGLETRANSLATE(B6686,""id"",""en"")"),"['Service', 'Good']")</f>
        <v>['Service', 'Good']</v>
      </c>
      <c r="D6686" s="3">
        <v>5.0</v>
      </c>
    </row>
    <row r="6687" ht="15.75" customHeight="1">
      <c r="A6687" s="1">
        <v>7128.0</v>
      </c>
      <c r="B6687" s="3" t="s">
        <v>6379</v>
      </c>
      <c r="C6687" s="3" t="str">
        <f>IFERROR(__xludf.DUMMYFUNCTION("GOOGLETRANSLATE(B6687,""id"",""en"")"),"['package', 'already', 'expensive', 'signal', 'slow', 'ngadu', 'ama', 'twitter', 'told', 'fill', 'form', 'tip', ' The tip ',' told ',' Wait ',' Clock ',' Litu ',' No ',' Change ',' ']")</f>
        <v>['package', 'already', 'expensive', 'signal', 'slow', 'ngadu', 'ama', 'twitter', 'told', 'fill', 'form', 'tip', ' The tip ',' told ',' Wait ',' Clock ',' Litu ',' No ',' Change ',' ']</v>
      </c>
      <c r="D6687" s="3">
        <v>1.0</v>
      </c>
    </row>
    <row r="6688" ht="15.75" customHeight="1">
      <c r="A6688" s="1">
        <v>7129.0</v>
      </c>
      <c r="B6688" s="3" t="s">
        <v>6380</v>
      </c>
      <c r="C6688" s="3" t="str">
        <f>IFERROR(__xludf.DUMMYFUNCTION("GOOGLETRANSLATE(B6688,""id"",""en"")"),"['Good', 'Reconstruction', 'People']")</f>
        <v>['Good', 'Reconstruction', 'People']</v>
      </c>
      <c r="D6688" s="3">
        <v>5.0</v>
      </c>
    </row>
    <row r="6689" ht="15.75" customHeight="1">
      <c r="A6689" s="1">
        <v>7130.0</v>
      </c>
      <c r="B6689" s="3" t="s">
        <v>1465</v>
      </c>
      <c r="C6689" s="3" t="str">
        <f>IFERROR(__xludf.DUMMYFUNCTION("GOOGLETRANSLATE(B6689,""id"",""en"")"),"['APK', 'Good']")</f>
        <v>['APK', 'Good']</v>
      </c>
      <c r="D6689" s="3">
        <v>5.0</v>
      </c>
    </row>
    <row r="6690" ht="15.75" customHeight="1">
      <c r="A6690" s="1">
        <v>7131.0</v>
      </c>
      <c r="B6690" s="3" t="s">
        <v>6381</v>
      </c>
      <c r="C6690" s="3" t="str">
        <f>IFERROR(__xludf.DUMMYFUNCTION("GOOGLETRANSLATE(B6690,""id"",""en"")"),"['Network', 'Telkomsel', 'ugly', 'Hopefully', 'Impediated', 'Network', 'Thank you', 'Hopefully', 'Telkomsel', 'Jaya', ""]")</f>
        <v>['Network', 'Telkomsel', 'ugly', 'Hopefully', 'Impediated', 'Network', 'Thank you', 'Hopefully', 'Telkomsel', 'Jaya', "]</v>
      </c>
      <c r="D6690" s="3">
        <v>2.0</v>
      </c>
    </row>
    <row r="6691" ht="15.75" customHeight="1">
      <c r="A6691" s="1">
        <v>7132.0</v>
      </c>
      <c r="B6691" s="3" t="s">
        <v>6382</v>
      </c>
      <c r="C6691" s="3" t="str">
        <f>IFERROR(__xludf.DUMMYFUNCTION("GOOGLETRANSLATE(B6691,""id"",""en"")"),"['Hopefully', 'Safe', 'Safe', 'Telkomsel']")</f>
        <v>['Hopefully', 'Safe', 'Safe', 'Telkomsel']</v>
      </c>
      <c r="D6691" s="3">
        <v>3.0</v>
      </c>
    </row>
    <row r="6692" ht="15.75" customHeight="1">
      <c r="A6692" s="1">
        <v>7133.0</v>
      </c>
      <c r="B6692" s="3" t="s">
        <v>6383</v>
      </c>
      <c r="C6692" s="3" t="str">
        <f>IFERROR(__xludf.DUMMYFUNCTION("GOOGLETRANSLATE(B6692,""id"",""en"")"),"['application', 'slow', 'annoying', 'times',' open ',' already ',' times', 'open', 'deleted', 'data', 'lost', 'saved', ' Telkomsel ',' ']")</f>
        <v>['application', 'slow', 'annoying', 'times',' open ',' already ',' times', 'open', 'deleted', 'data', 'lost', 'saved', ' Telkomsel ',' ']</v>
      </c>
      <c r="D6692" s="3">
        <v>1.0</v>
      </c>
    </row>
    <row r="6693" ht="15.75" customHeight="1">
      <c r="A6693" s="1">
        <v>7134.0</v>
      </c>
      <c r="B6693" s="3" t="s">
        <v>6384</v>
      </c>
      <c r="C6693" s="3" t="str">
        <f>IFERROR(__xludf.DUMMYFUNCTION("GOOGLETRANSLATE(B6693,""id"",""en"")"),"['More', 'Bukuk']")</f>
        <v>['More', 'Bukuk']</v>
      </c>
      <c r="D6693" s="3">
        <v>5.0</v>
      </c>
    </row>
    <row r="6694" ht="15.75" customHeight="1">
      <c r="A6694" s="1">
        <v>7135.0</v>
      </c>
      <c r="B6694" s="3" t="s">
        <v>6385</v>
      </c>
      <c r="C6694" s="3" t="str">
        <f>IFERROR(__xludf.DUMMYFUNCTION("GOOGLETRANSLATE(B6694,""id"",""en"")"),"['It's easy', 'choose', 'package', 'internet', 'cheap', 'banyal', 'promo', 'interesting']")</f>
        <v>['It's easy', 'choose', 'package', 'internet', 'cheap', 'banyal', 'promo', 'interesting']</v>
      </c>
      <c r="D6694" s="3">
        <v>5.0</v>
      </c>
    </row>
    <row r="6695" ht="15.75" customHeight="1">
      <c r="A6695" s="1">
        <v>7136.0</v>
      </c>
      <c r="B6695" s="3" t="s">
        <v>6386</v>
      </c>
      <c r="C6695" s="3" t="str">
        <f>IFERROR(__xludf.DUMMYFUNCTION("GOOGLETRANSLATE(B6695,""id"",""en"")"),"['Star', 'DaNFAT', 'Lottery', 'Credit', 'JT', 'Bintang', ""]")</f>
        <v>['Star', 'DaNFAT', 'Lottery', 'Credit', 'JT', 'Bintang', "]</v>
      </c>
      <c r="D6695" s="3">
        <v>3.0</v>
      </c>
    </row>
    <row r="6696" ht="15.75" customHeight="1">
      <c r="A6696" s="1">
        <v>7137.0</v>
      </c>
      <c r="B6696" s="3" t="s">
        <v>6387</v>
      </c>
      <c r="C6696" s="3" t="str">
        <f>IFERROR(__xludf.DUMMYFUNCTION("GOOGLETRANSLATE(B6696,""id"",""en"")"),"['Care', 'Mantab']")</f>
        <v>['Care', 'Mantab']</v>
      </c>
      <c r="D6696" s="3">
        <v>5.0</v>
      </c>
    </row>
    <row r="6697" ht="15.75" customHeight="1">
      <c r="A6697" s="1">
        <v>7138.0</v>
      </c>
      <c r="B6697" s="3" t="s">
        <v>6388</v>
      </c>
      <c r="C6697" s="3" t="str">
        <f>IFERROR(__xludf.DUMMYFUNCTION("GOOGLETRANSLATE(B6697,""id"",""en"")"),"['', 'Telkomsel', 'Not bad', 'good', 'promo', 'mntep', 'signal', 'sometimes',' like ',' slow ',' sya ',' use ',' paketan ',' use ',' provider ',' next door ',' Los', 'next door', 'please', 'fix', '']")</f>
        <v>['', 'Telkomsel', 'Not bad', 'good', 'promo', 'mntep', 'signal', 'sometimes',' like ',' slow ',' sya ',' use ',' paketan ',' use ',' provider ',' next door ',' Los', 'next door', 'please', 'fix', '']</v>
      </c>
      <c r="D6697" s="3">
        <v>5.0</v>
      </c>
    </row>
    <row r="6698" ht="15.75" customHeight="1">
      <c r="A6698" s="1">
        <v>7139.0</v>
      </c>
      <c r="B6698" s="3" t="s">
        <v>6389</v>
      </c>
      <c r="C6698" s="3" t="str">
        <f>IFERROR(__xludf.DUMMYFUNCTION("GOOGLETRANSLATE(B6698,""id"",""en"")"),"['difficult', 'buy', 'package', 'pulses', 'NGK', 'just', 'pulse', 'truncated']")</f>
        <v>['difficult', 'buy', 'package', 'pulses', 'NGK', 'just', 'pulse', 'truncated']</v>
      </c>
      <c r="D6698" s="3">
        <v>2.0</v>
      </c>
    </row>
    <row r="6699" ht="15.75" customHeight="1">
      <c r="A6699" s="1">
        <v>7140.0</v>
      </c>
      <c r="B6699" s="3" t="s">
        <v>6390</v>
      </c>
      <c r="C6699" s="3" t="str">
        <f>IFERROR(__xludf.DUMMYFUNCTION("GOOGLETRANSLATE(B6699,""id"",""en"")"),"['Neveny', 'card', 'bad', 'required', 'fill', 'pulse', 'card', 'normal']")</f>
        <v>['Neveny', 'card', 'bad', 'required', 'fill', 'pulse', 'card', 'normal']</v>
      </c>
      <c r="D6699" s="3">
        <v>1.0</v>
      </c>
    </row>
    <row r="6700" ht="15.75" customHeight="1">
      <c r="A6700" s="1">
        <v>7141.0</v>
      </c>
      <c r="B6700" s="3" t="s">
        <v>6391</v>
      </c>
      <c r="C6700" s="3" t="str">
        <f>IFERROR(__xludf.DUMMYFUNCTION("GOOGLETRANSLATE(B6700,""id"",""en"")"),"['package', 'expensive', 'network', 'red', 'please', 'repair', ""]")</f>
        <v>['package', 'expensive', 'network', 'red', 'please', 'repair', "]</v>
      </c>
      <c r="D6700" s="3">
        <v>1.0</v>
      </c>
    </row>
    <row r="6701" ht="15.75" customHeight="1">
      <c r="A6701" s="1">
        <v>7142.0</v>
      </c>
      <c r="B6701" s="3" t="s">
        <v>6392</v>
      </c>
      <c r="C6701" s="3" t="str">
        <f>IFERROR(__xludf.DUMMYFUNCTION("GOOGLETRANSLATE(B6701,""id"",""en"")"),"['Wonder', 'SMA', 'Telkomsel', 'Package', 'Data', 'person', 'TPI', 'Credit', 'org', 'JGK', 'Embat', 'Severe', ' usage ',' data ',' KB ',' pulse ',' take ',' padahaal ',' package ',' internet ',' banyaaak ',' healthy ',' ']")</f>
        <v>['Wonder', 'SMA', 'Telkomsel', 'Package', 'Data', 'person', 'TPI', 'Credit', 'org', 'JGK', 'Embat', 'Severe', ' usage ',' data ',' KB ',' pulse ',' take ',' padahaal ',' package ',' internet ',' banyaaak ',' healthy ',' ']</v>
      </c>
      <c r="D6701" s="3">
        <v>1.0</v>
      </c>
    </row>
    <row r="6702" ht="15.75" customHeight="1">
      <c r="A6702" s="1">
        <v>7143.0</v>
      </c>
      <c r="B6702" s="3" t="s">
        <v>6393</v>
      </c>
      <c r="C6702" s="3" t="str">
        <f>IFERROR(__xludf.DUMMYFUNCTION("GOOGLETRANSLATE(B6702,""id"",""en"")"),"['price', 'pakek', 'according to', 'signal', 'search', 'profit', 'according to', 'color', 'card', 'red', 'signal', 'red', ' pig']")</f>
        <v>['price', 'pakek', 'according to', 'signal', 'search', 'profit', 'according to', 'color', 'card', 'red', 'signal', 'red', ' pig']</v>
      </c>
      <c r="D6702" s="3">
        <v>1.0</v>
      </c>
    </row>
    <row r="6703" ht="15.75" customHeight="1">
      <c r="A6703" s="1">
        <v>7144.0</v>
      </c>
      <c r="B6703" s="3" t="s">
        <v>6394</v>
      </c>
      <c r="C6703" s="3" t="str">
        <f>IFERROR(__xludf.DUMMYFUNCTION("GOOGLETRANSLATE(B6703,""id"",""en"")"),"['quota', 'Ministry of Education and Culture', 'Dateng', 'No.', 'Used', 'Quota', 'Astagaa', 'already', 'laaah', 'tired', 'really', 'complain', ' Telkomsel ',' Ngga ',' Changeaaa ',' ']")</f>
        <v>['quota', 'Ministry of Education and Culture', 'Dateng', 'No.', 'Used', 'Quota', 'Astagaa', 'already', 'laaah', 'tired', 'really', 'complain', ' Telkomsel ',' Ngga ',' Changeaaa ',' ']</v>
      </c>
      <c r="D6703" s="3">
        <v>1.0</v>
      </c>
    </row>
    <row r="6704" ht="15.75" customHeight="1">
      <c r="A6704" s="1">
        <v>7145.0</v>
      </c>
      <c r="B6704" s="3" t="s">
        <v>6395</v>
      </c>
      <c r="C6704" s="3" t="str">
        <f>IFERROR(__xludf.DUMMYFUNCTION("GOOGLETRANSLATE(B6704,""id"",""en"")"),"['Thank you', 'Telkomsel', 'Best', 'Customer', 'Change', 'Card', 'Telkomsel', 'Signal', 'Application', 'Telkomsel', 'Help', 'Centemaking', ' Quota ',' Data ',' Promo ',' Interesting ',' ']")</f>
        <v>['Thank you', 'Telkomsel', 'Best', 'Customer', 'Change', 'Card', 'Telkomsel', 'Signal', 'Application', 'Telkomsel', 'Help', 'Centemaking', ' Quota ',' Data ',' Promo ',' Interesting ',' ']</v>
      </c>
      <c r="D6704" s="3">
        <v>5.0</v>
      </c>
    </row>
    <row r="6705" ht="15.75" customHeight="1">
      <c r="A6705" s="1">
        <v>7146.0</v>
      </c>
      <c r="B6705" s="3" t="s">
        <v>6396</v>
      </c>
      <c r="C6705" s="3" t="str">
        <f>IFERROR(__xludf.DUMMYFUNCTION("GOOGLETRANSLATE(B6705,""id"",""en"")"),"['pulse', 'reduced', 'quota', 'main', 'nelfon', 'active', 'causes', 'pulse', 'reduced', '']")</f>
        <v>['pulse', 'reduced', 'quota', 'main', 'nelfon', 'active', 'causes', 'pulse', 'reduced', '']</v>
      </c>
      <c r="D6705" s="3">
        <v>1.0</v>
      </c>
    </row>
    <row r="6706" ht="15.75" customHeight="1">
      <c r="A6706" s="1">
        <v>7147.0</v>
      </c>
      <c r="B6706" s="3" t="s">
        <v>6397</v>
      </c>
      <c r="C6706" s="3" t="str">
        <f>IFERROR(__xludf.DUMMYFUNCTION("GOOGLETRANSLATE(B6706,""id"",""en"")"),"['Open', 'application', 'intention', 'buy', 'package', 'internet', 'ehh', 'pulse', 'I', 'direct', 'run out', 'sumps']")</f>
        <v>['Open', 'application', 'intention', 'buy', 'package', 'internet', 'ehh', 'pulse', 'I', 'direct', 'run out', 'sumps']</v>
      </c>
      <c r="D6706" s="3">
        <v>1.0</v>
      </c>
    </row>
    <row r="6707" ht="15.75" customHeight="1">
      <c r="A6707" s="1">
        <v>7148.0</v>
      </c>
      <c r="B6707" s="3" t="s">
        <v>6398</v>
      </c>
      <c r="C6707" s="3" t="str">
        <f>IFERROR(__xludf.DUMMYFUNCTION("GOOGLETRANSLATE(B6707,""id"",""en"")"),"['Amburdul', 'Vouch', 'Internet', 'On', '']")</f>
        <v>['Amburdul', 'Vouch', 'Internet', 'On', '']</v>
      </c>
      <c r="D6707" s="3">
        <v>2.0</v>
      </c>
    </row>
    <row r="6708" ht="15.75" customHeight="1">
      <c r="A6708" s="1">
        <v>7149.0</v>
      </c>
      <c r="B6708" s="3" t="s">
        <v>6399</v>
      </c>
      <c r="C6708" s="3" t="str">
        <f>IFERROR(__xludf.DUMMYFUNCTION("GOOGLETRANSLATE(B6708,""id"",""en"")"),"['Telkomsel', 'experience', 'setbacks']")</f>
        <v>['Telkomsel', 'experience', 'setbacks']</v>
      </c>
      <c r="D6708" s="3">
        <v>1.0</v>
      </c>
    </row>
    <row r="6709" ht="15.75" customHeight="1">
      <c r="A6709" s="1">
        <v>7150.0</v>
      </c>
      <c r="B6709" s="3" t="s">
        <v>6400</v>
      </c>
      <c r="C6709" s="3" t="str">
        <f>IFERROR(__xludf.DUMMYFUNCTION("GOOGLETRANSLATE(B6709,""id"",""en"")"),"['easy', 'activated', 'package', 'easy', 'promo', 'internet', 'pkok', 'sngat', 'help', 'mode', 'dark', 'lbih', ' Bgus']")</f>
        <v>['easy', 'activated', 'package', 'easy', 'promo', 'internet', 'pkok', 'sngat', 'help', 'mode', 'dark', 'lbih', ' Bgus']</v>
      </c>
      <c r="D6709" s="3">
        <v>5.0</v>
      </c>
    </row>
    <row r="6710" ht="15.75" customHeight="1">
      <c r="A6710" s="1">
        <v>7151.0</v>
      </c>
      <c r="B6710" s="3" t="s">
        <v>3529</v>
      </c>
      <c r="C6710" s="3" t="str">
        <f>IFERROR(__xludf.DUMMYFUNCTION("GOOGLETRANSLATE(B6710,""id"",""en"")"),"['easy', '']")</f>
        <v>['easy', '']</v>
      </c>
      <c r="D6710" s="3">
        <v>5.0</v>
      </c>
    </row>
    <row r="6711" ht="15.75" customHeight="1">
      <c r="A6711" s="1">
        <v>7152.0</v>
      </c>
      <c r="B6711" s="3" t="s">
        <v>6401</v>
      </c>
      <c r="C6711" s="3" t="str">
        <f>IFERROR(__xludf.DUMMYFUNCTION("GOOGLETRANSLATE(B6711,""id"",""en"")"),"['smga', 'sllu', 'mnjdi', 'trbaik', ""]")</f>
        <v>['smga', 'sllu', 'mnjdi', 'trbaik', "]</v>
      </c>
      <c r="D6711" s="3">
        <v>5.0</v>
      </c>
    </row>
    <row r="6712" ht="15.75" customHeight="1">
      <c r="A6712" s="1">
        <v>7153.0</v>
      </c>
      <c r="B6712" s="3" t="s">
        <v>6402</v>
      </c>
      <c r="C6712" s="3" t="str">
        <f>IFERROR(__xludf.DUMMYFUNCTION("GOOGLETRANSLATE(B6712,""id"",""en"")"),"['please', 'Telkomsel', 'login', 'application', 'complicated', 'try', 'made easier', 'enter', 'application', 'login', 'link', 'direct', ' Enter ',' Little ',' Link ',' Link ',' Stable ',' Thank ',' Love ',' ']")</f>
        <v>['please', 'Telkomsel', 'login', 'application', 'complicated', 'try', 'made easier', 'enter', 'application', 'login', 'link', 'direct', ' Enter ',' Little ',' Link ',' Link ',' Stable ',' Thank ',' Love ',' ']</v>
      </c>
      <c r="D6712" s="3">
        <v>1.0</v>
      </c>
    </row>
    <row r="6713" ht="15.75" customHeight="1">
      <c r="A6713" s="1">
        <v>7154.0</v>
      </c>
      <c r="B6713" s="3" t="s">
        <v>6403</v>
      </c>
      <c r="C6713" s="3" t="str">
        <f>IFERROR(__xludf.DUMMYFUNCTION("GOOGLETRANSLATE(B6713,""id"",""en"")"),"['Telkomsel', 'sip', ""]")</f>
        <v>['Telkomsel', 'sip', "]</v>
      </c>
      <c r="D6713" s="3">
        <v>4.0</v>
      </c>
    </row>
    <row r="6714" ht="15.75" customHeight="1">
      <c r="A6714" s="1">
        <v>7155.0</v>
      </c>
      <c r="B6714" s="3" t="s">
        <v>6404</v>
      </c>
      <c r="C6714" s="3" t="str">
        <f>IFERROR(__xludf.DUMMYFUNCTION("GOOGLETRANSLATE(B6714,""id"",""en"")"),"['App', 'check', 'pulse']")</f>
        <v>['App', 'check', 'pulse']</v>
      </c>
      <c r="D6714" s="3">
        <v>5.0</v>
      </c>
    </row>
    <row r="6715" ht="15.75" customHeight="1">
      <c r="A6715" s="1">
        <v>7156.0</v>
      </c>
      <c r="B6715" s="3" t="s">
        <v>6405</v>
      </c>
      <c r="C6715" s="3" t="str">
        <f>IFERROR(__xludf.DUMMYFUNCTION("GOOGLETRANSLATE(B6715,""id"",""en"")"),"['buy', 'package', 'pulse', 'rb', 'buy', 'combo', 'sakti', 'unlimited', 'rb', 'notification', 'pulse', 'tone', ' brp ',' pulses', '']")</f>
        <v>['buy', 'package', 'pulse', 'rb', 'buy', 'combo', 'sakti', 'unlimited', 'rb', 'notification', 'pulse', 'tone', ' brp ',' pulses', '']</v>
      </c>
      <c r="D6715" s="3">
        <v>1.0</v>
      </c>
    </row>
    <row r="6716" ht="15.75" customHeight="1">
      <c r="A6716" s="1">
        <v>7158.0</v>
      </c>
      <c r="B6716" s="3" t="s">
        <v>6406</v>
      </c>
      <c r="C6716" s="3" t="str">
        <f>IFERROR(__xludf.DUMMYFUNCTION("GOOGLETRANSLATE(B6716,""id"",""en"")"),"['Please', 'Donk', 'Give', 'Package', 'Tell', 'Promo', 'UDH', 'Dilemma', 'Org', 'Waiting', 'Package', 'Cheap', ' skrg ',' Sya ',' package ',' card ',' Telkomsel ',' UDH ',' fill ',' package ',' appeared ',' package ',' cheap ',' concentrated ',' sya ' , '"&amp;"already', 'survive', 'Ditelkomsel', 'please', 'gave', 'package', 'according to', 'economy', 'now', 'thank', 'love', ' Love ',' Bintang ',' ']")</f>
        <v>['Please', 'Donk', 'Give', 'Package', 'Tell', 'Promo', 'UDH', 'Dilemma', 'Org', 'Waiting', 'Package', 'Cheap', ' skrg ',' Sya ',' package ',' card ',' Telkomsel ',' UDH ',' fill ',' package ',' appeared ',' package ',' cheap ',' concentrated ',' sya ' , 'already', 'survive', 'Ditelkomsel', 'please', 'gave', 'package', 'according to', 'economy', 'now', 'thank', 'love', ' Love ',' Bintang ',' ']</v>
      </c>
      <c r="D6716" s="3">
        <v>1.0</v>
      </c>
    </row>
    <row r="6717" ht="15.75" customHeight="1">
      <c r="A6717" s="1">
        <v>7159.0</v>
      </c>
      <c r="B6717" s="3" t="s">
        <v>6407</v>
      </c>
      <c r="C6717" s="3" t="str">
        <f>IFERROR(__xludf.DUMMYFUNCTION("GOOGLETRANSLATE(B6717,""id"",""en"")"),"['sinyaaal', 'area', 'busuuk', 'everyiii', 'use', 'card', 'telkomsel', 'hello', 'network', 'remote', 'smooth', 'traveling', ' Open ',' application ',' difficult ',' please ',' fix ',' network ',' according to ',' symbol ',' dressed ',' touted ']")</f>
        <v>['sinyaaal', 'area', 'busuuk', 'everyiii', 'use', 'card', 'telkomsel', 'hello', 'network', 'remote', 'smooth', 'traveling', ' Open ',' application ',' difficult ',' please ',' fix ',' network ',' according to ',' symbol ',' dressed ',' touted ']</v>
      </c>
      <c r="D6717" s="3">
        <v>1.0</v>
      </c>
    </row>
    <row r="6718" ht="15.75" customHeight="1">
      <c r="A6718" s="1">
        <v>7160.0</v>
      </c>
      <c r="B6718" s="3" t="s">
        <v>6408</v>
      </c>
      <c r="C6718" s="3" t="str">
        <f>IFERROR(__xludf.DUMMYFUNCTION("GOOGLETRANSLATE(B6718,""id"",""en"")"),"['Like', 'program', 'can', 'claim', 'quota', 'claim', 'quota', 'quota', 'already', 'Claim', 'entry', 'buy', ' Quota ',' After "", 'Okay', 'Ajah', 'goes', 'Normal', 'BLM', 'Get', 'Gift', 'Redeem', 'Point', 'Bismillah', 'Ntar' , 'Get', 'Min', 'Aamiin', 'Yaa"&amp;"', 'Robb', 'Moving', 'Lots',' Content ',' Free ',' Free ',' Telkomsel ',' Jaya ',' Forward ',' Telkomsel ',' ']")</f>
        <v>['Like', 'program', 'can', 'claim', 'quota', 'claim', 'quota', 'quota', 'already', 'Claim', 'entry', 'buy', ' Quota ',' After ", 'Okay', 'Ajah', 'goes', 'Normal', 'BLM', 'Get', 'Gift', 'Redeem', 'Point', 'Bismillah', 'Ntar' , 'Get', 'Min', 'Aamiin', 'Yaa', 'Robb', 'Moving', 'Lots',' Content ',' Free ',' Free ',' Telkomsel ',' Jaya ',' Forward ',' Telkomsel ',' ']</v>
      </c>
      <c r="D6718" s="3">
        <v>4.0</v>
      </c>
    </row>
    <row r="6719" ht="15.75" customHeight="1">
      <c r="A6719" s="1">
        <v>7161.0</v>
      </c>
      <c r="B6719" s="3" t="s">
        <v>6409</v>
      </c>
      <c r="C6719" s="3" t="str">
        <f>IFERROR(__xludf.DUMMYFUNCTION("GOOGLETRANSLATE(B6719,""id"",""en"")"),"['Sya', 'Get', 'Notif', 'Package', 'Promo', 'TPI', 'Buy']")</f>
        <v>['Sya', 'Get', 'Notif', 'Package', 'Promo', 'TPI', 'Buy']</v>
      </c>
      <c r="D6719" s="3">
        <v>3.0</v>
      </c>
    </row>
    <row r="6720" ht="15.75" customHeight="1">
      <c r="A6720" s="1">
        <v>7162.0</v>
      </c>
      <c r="B6720" s="3" t="s">
        <v>6410</v>
      </c>
      <c r="C6720" s="3" t="str">
        <f>IFERROR(__xludf.DUMMYFUNCTION("GOOGLETRANSLATE(B6720,""id"",""en"")"),"['Not bad', 'use', 'application', 'MyTelkomsel', 'help', 'field', 'sometimes',' sometimes', 'assigned', 'city', 'center', 'shopping', ' Counter ',' Request ',' Telkomsel ',' Application ',' MyTelkomsel ',' Use ',' Simcard ',' Telkomsel ',' Not bad ',' Use"&amp;" ',' Application ',' Times', 'Gift' , 'Telkomsel', 'Application', 'Telkomsel', '']")</f>
        <v>['Not bad', 'use', 'application', 'MyTelkomsel', 'help', 'field', 'sometimes',' sometimes', 'assigned', 'city', 'center', 'shopping', ' Counter ',' Request ',' Telkomsel ',' Application ',' MyTelkomsel ',' Use ',' Simcard ',' Telkomsel ',' Not bad ',' Use ',' Application ',' Times', 'Gift' , 'Telkomsel', 'Application', 'Telkomsel', '']</v>
      </c>
      <c r="D6720" s="3">
        <v>5.0</v>
      </c>
    </row>
    <row r="6721" ht="15.75" customHeight="1">
      <c r="A6721" s="1">
        <v>7163.0</v>
      </c>
      <c r="B6721" s="3" t="s">
        <v>6411</v>
      </c>
      <c r="C6721" s="3" t="str">
        <f>IFERROR(__xludf.DUMMYFUNCTION("GOOGLETRANSLATE(B6721,""id"",""en"")"),"['Choose', 'Telkomsel', 'fei']")</f>
        <v>['Choose', 'Telkomsel', 'fei']</v>
      </c>
      <c r="D6721" s="3">
        <v>1.0</v>
      </c>
    </row>
    <row r="6722" ht="15.75" customHeight="1">
      <c r="A6722" s="1">
        <v>7165.0</v>
      </c>
      <c r="B6722" s="3" t="s">
        <v>6412</v>
      </c>
      <c r="C6722" s="3" t="str">
        <f>IFERROR(__xludf.DUMMYFUNCTION("GOOGLETRANSLATE(B6722,""id"",""en"")"),"['Severe', 'Telkomsel', 'quota', 'lapse', 'unlimited', 'youtube', 'watch', 'youtube', 'quota', 'main', 'used', 'I tried', ' off ',' data ',' as a result ',' run out ',' quota ',' main ',' what ',' systemmya ',' ngelair ',' salty ',' lazy ',' gini ',' subs"&amp;"cription ' , 'unlimited', 'youtube', 'a week', 'service', 'system', 'rich', 'gini', 'disappointed', ""]")</f>
        <v>['Severe', 'Telkomsel', 'quota', 'lapse', 'unlimited', 'youtube', 'watch', 'youtube', 'quota', 'main', 'used', 'I tried', ' off ',' data ',' as a result ',' run out ',' quota ',' main ',' what ',' systemmya ',' ngelair ',' salty ',' lazy ',' gini ',' subscription ' , 'unlimited', 'youtube', 'a week', 'service', 'system', 'rich', 'gini', 'disappointed', "]</v>
      </c>
      <c r="D6722" s="3">
        <v>1.0</v>
      </c>
    </row>
    <row r="6723" ht="15.75" customHeight="1">
      <c r="A6723" s="1">
        <v>7166.0</v>
      </c>
      <c r="B6723" s="3" t="s">
        <v>6413</v>
      </c>
      <c r="C6723" s="3" t="str">
        <f>IFERROR(__xludf.DUMMYFUNCTION("GOOGLETRANSLATE(B6723,""id"",""en"")"),"['Telkomsel', 'gift', 'user', 'card', 'Telkomsel', 'difficult', 'gtu', 'gave', 'requirements',' gift ',' user ',' min ',' Belom ',' gift ',' hiks']")</f>
        <v>['Telkomsel', 'gift', 'user', 'card', 'Telkomsel', 'difficult', 'gtu', 'gave', 'requirements',' gift ',' user ',' min ',' Belom ',' gift ',' hiks']</v>
      </c>
      <c r="D6723" s="3">
        <v>5.0</v>
      </c>
    </row>
    <row r="6724" ht="15.75" customHeight="1">
      <c r="A6724" s="1">
        <v>7167.0</v>
      </c>
      <c r="B6724" s="3" t="s">
        <v>6414</v>
      </c>
      <c r="C6724" s="3" t="str">
        <f>IFERROR(__xludf.DUMMYFUNCTION("GOOGLETRANSLATE(B6724,""id"",""en"")"),"['Severe', 'signal', 'Telkomsel', 'deliberate', 'use', 'Telkomsel', 'network', 'stable', 'signal', 'lost', 'mlm', 'urboul', ' TGL ',' Chat ',' Chat ',' APK ',' Telkomsel ',' he replied ',' name ',' chat ',' area ',' I am ',' active ',' comfort ',' signal "&amp;"' , 'Available', 'regret', 'PKE', 'card', 'Hallo', 'pke', 'yrs']")</f>
        <v>['Severe', 'signal', 'Telkomsel', 'deliberate', 'use', 'Telkomsel', 'network', 'stable', 'signal', 'lost', 'mlm', 'urboul', ' TGL ',' Chat ',' Chat ',' APK ',' Telkomsel ',' he replied ',' name ',' chat ',' area ',' I am ',' active ',' comfort ',' signal ' , 'Available', 'regret', 'PKE', 'card', 'Hallo', 'pke', 'yrs']</v>
      </c>
      <c r="D6724" s="3">
        <v>1.0</v>
      </c>
    </row>
    <row r="6725" ht="15.75" customHeight="1">
      <c r="A6725" s="1">
        <v>7168.0</v>
      </c>
      <c r="B6725" s="3" t="s">
        <v>6415</v>
      </c>
      <c r="C6725" s="3" t="str">
        <f>IFERROR(__xludf.DUMMYFUNCTION("GOOGLETRANSLATE(B6725,""id"",""en"")"),"['Wear', 'number', 'Telkomsel', 'Change', 'school', 'SMA', 'Sampe', 'Network', 'Internet', 'Current', 'along with', 'promo', ' Thanks', 'Love', 'Telkomsel', 'Best', 'Communication', 'Friends',' Family ',' ']")</f>
        <v>['Wear', 'number', 'Telkomsel', 'Change', 'school', 'SMA', 'Sampe', 'Network', 'Internet', 'Current', 'along with', 'promo', ' Thanks', 'Love', 'Telkomsel', 'Best', 'Communication', 'Friends',' Family ',' ']</v>
      </c>
      <c r="D6725" s="3">
        <v>3.0</v>
      </c>
    </row>
    <row r="6726" ht="15.75" customHeight="1">
      <c r="A6726" s="1">
        <v>7169.0</v>
      </c>
      <c r="B6726" s="3" t="s">
        <v>6416</v>
      </c>
      <c r="C6726" s="3" t="str">
        <f>IFERROR(__xludf.DUMMYFUNCTION("GOOGLETRANSLATE(B6726,""id"",""en"")"),"['Please', 'Increase', 'Speed', 'Mbps',' Telkomsel ',' Region ',' Rain ',' night ',' BNYK ',' user ',' near ',' like ',' Ngellag ']")</f>
        <v>['Please', 'Increase', 'Speed', 'Mbps',' Telkomsel ',' Region ',' Rain ',' night ',' BNYK ',' user ',' near ',' like ',' Ngellag ']</v>
      </c>
      <c r="D6726" s="3">
        <v>3.0</v>
      </c>
    </row>
    <row r="6727" ht="15.75" customHeight="1">
      <c r="A6727" s="1">
        <v>7170.0</v>
      </c>
      <c r="B6727" s="3" t="s">
        <v>6417</v>
      </c>
      <c r="C6727" s="3" t="str">
        <f>IFERROR(__xludf.DUMMYFUNCTION("GOOGLETRANSLATE(B6727,""id"",""en"")"),"['min', 'kenpa', 'right', 'buy', 'package', 'pulse', 'notification', 'sorry', 'disorder', 'system', 'mulu', 'please', ' Improve ',' Min ',' ']")</f>
        <v>['min', 'kenpa', 'right', 'buy', 'package', 'pulse', 'notification', 'sorry', 'disorder', 'system', 'mulu', 'please', ' Improve ',' Min ',' ']</v>
      </c>
      <c r="D6727" s="3">
        <v>2.0</v>
      </c>
    </row>
    <row r="6728" ht="15.75" customHeight="1">
      <c r="A6728" s="1">
        <v>7171.0</v>
      </c>
      <c r="B6728" s="3" t="s">
        <v>6418</v>
      </c>
      <c r="C6728" s="3" t="str">
        <f>IFERROR(__xludf.DUMMYFUNCTION("GOOGLETRANSLATE(B6728,""id"",""en"")"),"['buy', 'package', 'quota', 'local', 'gabisa', 'coakes',' location ',' charging ',' in place ',' replace ',' min ',' disappointed ',' ']")</f>
        <v>['buy', 'package', 'quota', 'local', 'gabisa', 'coakes',' location ',' charging ',' in place ',' replace ',' min ',' disappointed ',' ']</v>
      </c>
      <c r="D6728" s="3">
        <v>2.0</v>
      </c>
    </row>
    <row r="6729" ht="15.75" customHeight="1">
      <c r="A6729" s="1">
        <v>7172.0</v>
      </c>
      <c r="B6729" s="3" t="s">
        <v>6419</v>
      </c>
      <c r="C6729" s="3" t="str">
        <f>IFERROR(__xludf.DUMMYFUNCTION("GOOGLETRANSLATE(B6729,""id"",""en"")"),"['Trimakasih', 'responds', 'reviews', 'regarding', 'package', 'night', 'as soon as', 'salute', 'Telkomsel']")</f>
        <v>['Trimakasih', 'responds', 'reviews', 'regarding', 'package', 'night', 'as soon as', 'salute', 'Telkomsel']</v>
      </c>
      <c r="D6729" s="3">
        <v>5.0</v>
      </c>
    </row>
    <row r="6730" ht="15.75" customHeight="1">
      <c r="A6730" s="1">
        <v>7173.0</v>
      </c>
      <c r="B6730" s="3" t="s">
        <v>6420</v>
      </c>
      <c r="C6730" s="3" t="str">
        <f>IFERROR(__xludf.DUMMYFUNCTION("GOOGLETRANSLATE(B6730,""id"",""en"")"),"['Get', 'SMS', 'Telkomsel', 'promo', 'quota', 'open', 'promo', 'accessed', 'strange']")</f>
        <v>['Get', 'SMS', 'Telkomsel', 'promo', 'quota', 'open', 'promo', 'accessed', 'strange']</v>
      </c>
      <c r="D6730" s="3">
        <v>1.0</v>
      </c>
    </row>
    <row r="6731" ht="15.75" customHeight="1">
      <c r="A6731" s="1">
        <v>7174.0</v>
      </c>
      <c r="B6731" s="3" t="s">
        <v>6421</v>
      </c>
      <c r="C6731" s="3" t="str">
        <f>IFERROR(__xludf.DUMMYFUNCTION("GOOGLETRANSLATE(B6731,""id"",""en"")"),"['Disappointed', 'Telkomsel', 'subscribe', 'promo', 'credit', 'emergency', 'get', 'promo', 'package', 'omg', 'used', 'whatsapp', ' Recommend ',' Telfon ',' SMS ',' Free ',' Promo ',' Package ',' Affordable ',' Sorry ',' Congratulations', 'Live', 'Telkomny"&amp;"et']")</f>
        <v>['Disappointed', 'Telkomsel', 'subscribe', 'promo', 'credit', 'emergency', 'get', 'promo', 'package', 'omg', 'used', 'whatsapp', ' Recommend ',' Telfon ',' SMS ',' Free ',' Promo ',' Package ',' Affordable ',' Sorry ',' Congratulations', 'Live', 'Telkomnyet']</v>
      </c>
      <c r="D6731" s="3">
        <v>1.0</v>
      </c>
    </row>
    <row r="6732" ht="15.75" customHeight="1">
      <c r="A6732" s="1">
        <v>7175.0</v>
      </c>
      <c r="B6732" s="3" t="s">
        <v>6422</v>
      </c>
      <c r="C6732" s="3" t="str">
        <f>IFERROR(__xludf.DUMMYFUNCTION("GOOGLETRANSLATE(B6732,""id"",""en"")"),"['Debt', 'pulses', '']")</f>
        <v>['Debt', 'pulses', '']</v>
      </c>
      <c r="D6732" s="3">
        <v>1.0</v>
      </c>
    </row>
    <row r="6733" ht="15.75" customHeight="1">
      <c r="A6733" s="1">
        <v>7177.0</v>
      </c>
      <c r="B6733" s="3" t="s">
        <v>6423</v>
      </c>
      <c r="C6733" s="3" t="str">
        <f>IFERROR(__xludf.DUMMYFUNCTION("GOOGLETRANSLATE(B6733,""id"",""en"")"),"['Network', 'rural', 'ugly', 'experience', 'disorder', 'play', 'game', 'annoying']")</f>
        <v>['Network', 'rural', 'ugly', 'experience', 'disorder', 'play', 'game', 'annoying']</v>
      </c>
      <c r="D6733" s="3">
        <v>1.0</v>
      </c>
    </row>
    <row r="6734" ht="15.75" customHeight="1">
      <c r="A6734" s="1">
        <v>7178.0</v>
      </c>
      <c r="B6734" s="3" t="s">
        <v>5886</v>
      </c>
      <c r="C6734" s="3" t="str">
        <f>IFERROR(__xludf.DUMMYFUNCTION("GOOGLETRANSLATE(B6734,""id"",""en"")"),"['try']")</f>
        <v>['try']</v>
      </c>
      <c r="D6734" s="3">
        <v>3.0</v>
      </c>
    </row>
    <row r="6735" ht="15.75" customHeight="1">
      <c r="A6735" s="1">
        <v>7179.0</v>
      </c>
      <c r="B6735" s="3" t="s">
        <v>6424</v>
      </c>
      <c r="C6735" s="3" t="str">
        <f>IFERROR(__xludf.DUMMYFUNCTION("GOOGLETRANSLATE(B6735,""id"",""en"")"),"['network', 'AJG', 'missing', 'box', 'directly', 'lag', 'imitate', 'just', 'stable', 'package', 'run out', 'sicken', ' Credit ',' love ',' star ', ""]")</f>
        <v>['network', 'AJG', 'missing', 'box', 'directly', 'lag', 'imitate', 'just', 'stable', 'package', 'run out', 'sicken', ' Credit ',' love ',' star ', "]</v>
      </c>
      <c r="D6735" s="3">
        <v>1.0</v>
      </c>
    </row>
    <row r="6736" ht="15.75" customHeight="1">
      <c r="A6736" s="1">
        <v>7180.0</v>
      </c>
      <c r="B6736" s="3" t="s">
        <v>6425</v>
      </c>
      <c r="C6736" s="3" t="str">
        <f>IFERROR(__xludf.DUMMYFUNCTION("GOOGLETRANSLATE(B6736,""id"",""en"")"),"['update', 'times',' error ',' display ',' quota ',' quota ',' used ',' quota ',' app ',' reduced ',' check ',' dial ',' Pad ',' Changed ',' Quota ',' App ',' Check ',' Please ',' Fix ',' Not bad ',' Disturbs', ""]")</f>
        <v>['update', 'times',' error ',' display ',' quota ',' quota ',' used ',' quota ',' app ',' reduced ',' check ',' dial ',' Pad ',' Changed ',' Quota ',' App ',' Check ',' Please ',' Fix ',' Not bad ',' Disturbs', "]</v>
      </c>
      <c r="D6736" s="3">
        <v>4.0</v>
      </c>
    </row>
    <row r="6737" ht="15.75" customHeight="1">
      <c r="A6737" s="1">
        <v>7181.0</v>
      </c>
      <c r="B6737" s="3" t="s">
        <v>6426</v>
      </c>
      <c r="C6737" s="3" t="str">
        <f>IFERROR(__xludf.DUMMYFUNCTION("GOOGLETRANSLATE(B6737,""id"",""en"")"),"['signal', 'stable', 'easy', 'bonus', 'package']")</f>
        <v>['signal', 'stable', 'easy', 'bonus', 'package']</v>
      </c>
      <c r="D6737" s="3">
        <v>5.0</v>
      </c>
    </row>
    <row r="6738" ht="15.75" customHeight="1">
      <c r="A6738" s="1">
        <v>7182.0</v>
      </c>
      <c r="B6738" s="3" t="s">
        <v>6427</v>
      </c>
      <c r="C6738" s="3" t="str">
        <f>IFERROR(__xludf.DUMMYFUNCTION("GOOGLETRANSLATE(B6738,""id"",""en"")"),"['application', 'response', 'slow', 'heavy', 'really', 'cellphone', 'Samsung', 'Galaxy', 'Edge', '']")</f>
        <v>['application', 'response', 'slow', 'heavy', 'really', 'cellphone', 'Samsung', 'Galaxy', 'Edge', '']</v>
      </c>
      <c r="D6738" s="3">
        <v>2.0</v>
      </c>
    </row>
    <row r="6739" ht="15.75" customHeight="1">
      <c r="A6739" s="1">
        <v>7183.0</v>
      </c>
      <c r="B6739" s="3" t="s">
        <v>6428</v>
      </c>
      <c r="C6739" s="3" t="str">
        <f>IFERROR(__xludf.DUMMYFUNCTION("GOOGLETRANSLATE(B6739,""id"",""en"")"),"['Gajelaass',' Telkomsel ',' Fill ',' Quota ',' Disorders', 'Strange', 'Severe', 'Application', 'Good', 'Application', 'Customer', 'Disappointed', ' Rattting ',' wanted ',' application ',' ugly ',' severe ',' wkwkwkwkw ',' network ',' broad ',' signal ','"&amp;" good ',' trick ',' turn ',' tired ' , 'Severe', 'Network', 'narrow', 'name', 'wkwkkwkwk', 'haahahaha']")</f>
        <v>['Gajelaass',' Telkomsel ',' Fill ',' Quota ',' Disorders', 'Strange', 'Severe', 'Application', 'Good', 'Application', 'Customer', 'Disappointed', ' Rattting ',' wanted ',' application ',' ugly ',' severe ',' wkwkwkwkw ',' network ',' broad ',' signal ',' good ',' trick ',' turn ',' tired ' , 'Severe', 'Network', 'narrow', 'name', 'wkwkkwkwk', 'haahahaha']</v>
      </c>
      <c r="D6739" s="3">
        <v>1.0</v>
      </c>
    </row>
    <row r="6740" ht="15.75" customHeight="1">
      <c r="A6740" s="1">
        <v>7184.0</v>
      </c>
      <c r="B6740" s="3" t="s">
        <v>6429</v>
      </c>
      <c r="C6740" s="3" t="str">
        <f>IFERROR(__xludf.DUMMYFUNCTION("GOOGLETRANSLATE(B6740,""id"",""en"")"),"['sympathy', 'UDH', 'expensive', 'package', 'slow', 'pisan', 'euyy', 'kya', 'prioritizing', 'satisfaction', 'customer', 'expensive', ' Papa ',' signal ',' strong ',' disappointing ',' here ',' lose ',' competitiveness']")</f>
        <v>['sympathy', 'UDH', 'expensive', 'package', 'slow', 'pisan', 'euyy', 'kya', 'prioritizing', 'satisfaction', 'customer', 'expensive', ' Papa ',' signal ',' strong ',' disappointing ',' here ',' lose ',' competitiveness']</v>
      </c>
      <c r="D6740" s="3">
        <v>1.0</v>
      </c>
    </row>
    <row r="6741" ht="15.75" customHeight="1">
      <c r="A6741" s="1">
        <v>7185.0</v>
      </c>
      <c r="B6741" s="3" t="s">
        <v>6430</v>
      </c>
      <c r="C6741" s="3" t="str">
        <f>IFERROR(__xludf.DUMMYFUNCTION("GOOGLETRANSLATE(B6741,""id"",""en"")"),"['Buy', 'Vocer', 'Telkomsel', 'Dipake', 'Network', 'Busy', 'Sampe', 'Already', 'Check', 'Sampe', 'Buy', 'Data', ' fill in ',' pulse ',' please ',' fix ',' admin ']")</f>
        <v>['Buy', 'Vocer', 'Telkomsel', 'Dipake', 'Network', 'Busy', 'Sampe', 'Already', 'Check', 'Sampe', 'Buy', 'Data', ' fill in ',' pulse ',' please ',' fix ',' admin ']</v>
      </c>
      <c r="D6741" s="3">
        <v>2.0</v>
      </c>
    </row>
    <row r="6742" ht="15.75" customHeight="1">
      <c r="A6742" s="1">
        <v>7186.0</v>
      </c>
      <c r="B6742" s="3" t="s">
        <v>6431</v>
      </c>
      <c r="C6742" s="3" t="str">
        <f>IFERROR(__xludf.DUMMYFUNCTION("GOOGLETRANSLATE(B6742,""id"",""en"")"),"['Lala', 'ugly', 'package', 'changed', 'according to', 'location', 'location', 'move', 'comfortable']")</f>
        <v>['Lala', 'ugly', 'package', 'changed', 'according to', 'location', 'location', 'move', 'comfortable']</v>
      </c>
      <c r="D6742" s="3">
        <v>3.0</v>
      </c>
    </row>
    <row r="6743" ht="15.75" customHeight="1">
      <c r="A6743" s="1">
        <v>7187.0</v>
      </c>
      <c r="B6743" s="3" t="s">
        <v>6432</v>
      </c>
      <c r="C6743" s="3" t="str">
        <f>IFERROR(__xludf.DUMMYFUNCTION("GOOGLETRANSLATE(B6743,""id"",""en"")"),"['Please', 'Network', 'Strengthen', 'Open']")</f>
        <v>['Please', 'Network', 'Strengthen', 'Open']</v>
      </c>
      <c r="D6743" s="3">
        <v>3.0</v>
      </c>
    </row>
    <row r="6744" ht="15.75" customHeight="1">
      <c r="A6744" s="1">
        <v>7188.0</v>
      </c>
      <c r="B6744" s="3" t="s">
        <v>6433</v>
      </c>
      <c r="C6744" s="3" t="str">
        <f>IFERROR(__xludf.DUMMYFUNCTION("GOOGLETRANSLATE(B6744,""id"",""en"")"),"['lie']")</f>
        <v>['lie']</v>
      </c>
      <c r="D6744" s="3">
        <v>2.0</v>
      </c>
    </row>
    <row r="6745" ht="15.75" customHeight="1">
      <c r="A6745" s="1">
        <v>7189.0</v>
      </c>
      <c r="B6745" s="3" t="s">
        <v>6434</v>
      </c>
      <c r="C6745" s="3" t="str">
        <f>IFERROR(__xludf.DUMMYFUNCTION("GOOGLETRANSLATE(B6745,""id"",""en"")"),"['Telkomsel', 'right', 'work', 'signal', 'smooth', 'right', 'rented', 'signal', 'please', 'fix', ""]")</f>
        <v>['Telkomsel', 'right', 'work', 'signal', 'smooth', 'right', 'rented', 'signal', 'please', 'fix', "]</v>
      </c>
      <c r="D6745" s="3">
        <v>1.0</v>
      </c>
    </row>
    <row r="6746" ht="15.75" customHeight="1">
      <c r="A6746" s="1">
        <v>7190.0</v>
      </c>
      <c r="B6746" s="3" t="s">
        <v>6435</v>
      </c>
      <c r="C6746" s="3" t="str">
        <f>IFERROR(__xludf.DUMMYFUNCTION("GOOGLETRANSLATE(B6746,""id"",""en"")"),"['', 'really', 'easy', 'Telkomsel', 'wisdom', 'blessing', 'Rezki', 'Aamiin', ""]")</f>
        <v>['', 'really', 'easy', 'Telkomsel', 'wisdom', 'blessing', 'Rezki', 'Aamiin', "]</v>
      </c>
      <c r="D6746" s="3">
        <v>5.0</v>
      </c>
    </row>
    <row r="6747" ht="15.75" customHeight="1">
      <c r="A6747" s="1">
        <v>7191.0</v>
      </c>
      <c r="B6747" s="3" t="s">
        <v>6436</v>
      </c>
      <c r="C6747" s="3" t="str">
        <f>IFERROR(__xludf.DUMMYFUNCTION("GOOGLETRANSLATE(B6747,""id"",""en"")"),"['Card', 'Telkomsel', 'promo', 'price', 'package', 'Different', 'promo', '']")</f>
        <v>['Card', 'Telkomsel', 'promo', 'price', 'package', 'Different', 'promo', '']</v>
      </c>
      <c r="D6747" s="3">
        <v>1.0</v>
      </c>
    </row>
    <row r="6748" ht="15.75" customHeight="1">
      <c r="A6748" s="1">
        <v>7192.0</v>
      </c>
      <c r="B6748" s="3" t="s">
        <v>6437</v>
      </c>
      <c r="C6748" s="3" t="str">
        <f>IFERROR(__xludf.DUMMYFUNCTION("GOOGLETRANSLATE(B6748,""id"",""en"")"),"['sympathy', 'Please', 'price', 'quota', 'expensive', 'jakarta', 'signal', 'severe', 'really', 'improvement', 'lose', 'ama', ' Cheap ',' area ',' good ']")</f>
        <v>['sympathy', 'Please', 'price', 'quota', 'expensive', 'jakarta', 'signal', 'severe', 'really', 'improvement', 'lose', 'ama', ' Cheap ',' area ',' good ']</v>
      </c>
      <c r="D6748" s="3">
        <v>1.0</v>
      </c>
    </row>
    <row r="6749" ht="15.75" customHeight="1">
      <c r="A6749" s="1">
        <v>7193.0</v>
      </c>
      <c r="B6749" s="3" t="s">
        <v>6438</v>
      </c>
      <c r="C6749" s="3" t="str">
        <f>IFERROR(__xludf.DUMMYFUNCTION("GOOGLETRANSLATE(B6749,""id"",""en"")"),"['network', 'slow', 'really', 'quota', 'city', 'bekasi', 'should', 'internet', 'stable', 'here', 'network', 'error', ' Mulu ',' Hadeh ']")</f>
        <v>['network', 'slow', 'really', 'quota', 'city', 'bekasi', 'should', 'internet', 'stable', 'here', 'network', 'error', ' Mulu ',' Hadeh ']</v>
      </c>
      <c r="D6749" s="3">
        <v>1.0</v>
      </c>
    </row>
    <row r="6750" ht="15.75" customHeight="1">
      <c r="A6750" s="1">
        <v>7194.0</v>
      </c>
      <c r="B6750" s="3" t="s">
        <v>6439</v>
      </c>
      <c r="C6750" s="3" t="str">
        <f>IFERROR(__xludf.DUMMYFUNCTION("GOOGLETRANSLATE(B6750,""id"",""en"")"),"['Good', 'love', 'star', 'match', 'kmi', 'area', 'interior', 'help', 'promo', 'gift', 'other', 'Telkomsel', ' Via ',' SMS ',' Claims', 'Citaku', 'Menggas',' Name ',' Telkomsel ']")</f>
        <v>['Good', 'love', 'star', 'match', 'kmi', 'area', 'interior', 'help', 'promo', 'gift', 'other', 'Telkomsel', ' Via ',' SMS ',' Claims', 'Citaku', 'Menggas',' Name ',' Telkomsel ']</v>
      </c>
      <c r="D6750" s="3">
        <v>5.0</v>
      </c>
    </row>
    <row r="6751" ht="15.75" customHeight="1">
      <c r="A6751" s="1">
        <v>7195.0</v>
      </c>
      <c r="B6751" s="3" t="s">
        <v>6440</v>
      </c>
      <c r="C6751" s="3" t="str">
        <f>IFERROR(__xludf.DUMMYFUNCTION("GOOGLETRANSLATE(B6751,""id"",""en"")"),"['Most', 'quota', 'local', 'victim', 'org', 'border', 'corporate', 'complain', 'gada', 'yield', 'watch', 'trap', ' quota ',' local ',' provider ']")</f>
        <v>['Most', 'quota', 'local', 'victim', 'org', 'border', 'corporate', 'complain', 'gada', 'yield', 'watch', 'trap', ' quota ',' local ',' provider ']</v>
      </c>
      <c r="D6751" s="3">
        <v>1.0</v>
      </c>
    </row>
    <row r="6752" ht="15.75" customHeight="1">
      <c r="A6752" s="1">
        <v>7196.0</v>
      </c>
      <c r="B6752" s="3" t="s">
        <v>6441</v>
      </c>
      <c r="C6752" s="3" t="str">
        <f>IFERROR(__xludf.DUMMYFUNCTION("GOOGLETRANSLATE(B6752,""id"",""en"")"),"['Help', 'Open', 'Application', 'Tiktok', 'Ngelag', 'Open', 'Application', 'YouTube', 'Current', 'Please', 'Fix', 'Network', ' Internet']")</f>
        <v>['Help', 'Open', 'Application', 'Tiktok', 'Ngelag', 'Open', 'Application', 'YouTube', 'Current', 'Please', 'Fix', 'Network', ' Internet']</v>
      </c>
      <c r="D6752" s="3">
        <v>1.0</v>
      </c>
    </row>
    <row r="6753" ht="15.75" customHeight="1">
      <c r="A6753" s="1">
        <v>7197.0</v>
      </c>
      <c r="B6753" s="3" t="s">
        <v>6442</v>
      </c>
      <c r="C6753" s="3" t="str">
        <f>IFERROR(__xludf.DUMMYFUNCTION("GOOGLETRANSLATE(B6753,""id"",""en"")"),"['Good', 'signal', 'access', 'internet', 'increase', 'promo', 'internet']")</f>
        <v>['Good', 'signal', 'access', 'internet', 'increase', 'promo', 'internet']</v>
      </c>
      <c r="D6753" s="3">
        <v>5.0</v>
      </c>
    </row>
    <row r="6754" ht="15.75" customHeight="1">
      <c r="A6754" s="1">
        <v>7198.0</v>
      </c>
      <c r="B6754" s="3" t="s">
        <v>6443</v>
      </c>
      <c r="C6754" s="3" t="str">
        <f>IFERROR(__xludf.DUMMYFUNCTION("GOOGLETRANSLATE(B6754,""id"",""en"")"),"['network', 'chaotic', 'open', 'sometimes',' likes', 'delay', 'JLS', 'Game', 'Moba', 'Hadehh', 'signal', 'Severe', ' ping ',' ms', 'kdang', 'ms',' comfortable ',' play ',' please ',' repaired ',' sometimes', 'at the time', 'signal', 'like', 'ngedown' , 'J"&amp;"LS', 'Since', 'Change', 'Use', 'Card', 'Yellow', 'The Network', 'Stable']")</f>
        <v>['network', 'chaotic', 'open', 'sometimes',' likes', 'delay', 'JLS', 'Game', 'Moba', 'Hadehh', 'signal', 'Severe', ' ping ',' ms', 'kdang', 'ms',' comfortable ',' play ',' please ',' repaired ',' sometimes', 'at the time', 'signal', 'like', 'ngedown' , 'JLS', 'Since', 'Change', 'Use', 'Card', 'Yellow', 'The Network', 'Stable']</v>
      </c>
      <c r="D6754" s="3">
        <v>1.0</v>
      </c>
    </row>
    <row r="6755" ht="15.75" customHeight="1">
      <c r="A6755" s="1">
        <v>7199.0</v>
      </c>
      <c r="B6755" s="3" t="s">
        <v>6444</v>
      </c>
      <c r="C6755" s="3" t="str">
        <f>IFERROR(__xludf.DUMMYFUNCTION("GOOGLETRANSLATE(B6755,""id"",""en"")"),"['Package', 'combo', 'bonus']")</f>
        <v>['Package', 'combo', 'bonus']</v>
      </c>
      <c r="D6755" s="3">
        <v>4.0</v>
      </c>
    </row>
    <row r="6756" ht="15.75" customHeight="1">
      <c r="A6756" s="1">
        <v>7200.0</v>
      </c>
      <c r="B6756" s="3" t="s">
        <v>6445</v>
      </c>
      <c r="C6756" s="3" t="str">
        <f>IFERROR(__xludf.DUMMYFUNCTION("GOOGLETRANSLATE(B6756,""id"",""en"")"),"['thank', 'APK', 'pulse', 'TDI', 'thousand', 'right', 'download', 'APK', 'pulse', 'stay', 'thousand', 'staple', ' Dowload ',' APK ',' THIS CUSHE ']")</f>
        <v>['thank', 'APK', 'pulse', 'TDI', 'thousand', 'right', 'download', 'APK', 'pulse', 'stay', 'thousand', 'staple', ' Dowload ',' APK ',' THIS CUSHE ']</v>
      </c>
      <c r="D6756" s="3">
        <v>1.0</v>
      </c>
    </row>
    <row r="6757" ht="15.75" customHeight="1">
      <c r="A6757" s="1">
        <v>7201.0</v>
      </c>
      <c r="B6757" s="3" t="s">
        <v>6446</v>
      </c>
      <c r="C6757" s="3" t="str">
        <f>IFERROR(__xludf.DUMMYFUNCTION("GOOGLETRANSLATE(B6757,""id"",""en"")"),"['Classy', 'The network']")</f>
        <v>['Classy', 'The network']</v>
      </c>
      <c r="D6757" s="3">
        <v>5.0</v>
      </c>
    </row>
    <row r="6758" ht="15.75" customHeight="1">
      <c r="A6758" s="1">
        <v>7202.0</v>
      </c>
      <c r="B6758" s="3" t="s">
        <v>6447</v>
      </c>
      <c r="C6758" s="3" t="str">
        <f>IFERROR(__xludf.DUMMYFUNCTION("GOOGLETRANSLATE(B6758,""id"",""en"")"),"['times', 'buy', 'package', 'game', 'voucher', 'games', 'regret', 'really', 'cave', 'buy']")</f>
        <v>['times', 'buy', 'package', 'game', 'voucher', 'games', 'regret', 'really', 'cave', 'buy']</v>
      </c>
      <c r="D6758" s="3">
        <v>1.0</v>
      </c>
    </row>
    <row r="6759" ht="15.75" customHeight="1">
      <c r="A6759" s="1">
        <v>7203.0</v>
      </c>
      <c r="B6759" s="3" t="s">
        <v>6448</v>
      </c>
      <c r="C6759" s="3" t="str">
        <f>IFERROR(__xludf.DUMMYFUNCTION("GOOGLETRANSLATE(B6759,""id"",""en"")"),"['kenapelkomsel', 'expensive', 'cheap', 'smartfren']")</f>
        <v>['kenapelkomsel', 'expensive', 'cheap', 'smartfren']</v>
      </c>
      <c r="D6759" s="3">
        <v>5.0</v>
      </c>
    </row>
    <row r="6760" ht="15.75" customHeight="1">
      <c r="A6760" s="1">
        <v>7204.0</v>
      </c>
      <c r="B6760" s="3" t="s">
        <v>6449</v>
      </c>
      <c r="C6760" s="3" t="str">
        <f>IFERROR(__xludf.DUMMYFUNCTION("GOOGLETRANSLATE(B6760,""id"",""en"")"),"['Transfer', 'pulse', 'number', 'failed', 'Sorry', 'System', 'Busy', '']")</f>
        <v>['Transfer', 'pulse', 'number', 'failed', 'Sorry', 'System', 'Busy', '']</v>
      </c>
      <c r="D6760" s="3">
        <v>5.0</v>
      </c>
    </row>
    <row r="6761" ht="15.75" customHeight="1">
      <c r="A6761" s="1">
        <v>7205.0</v>
      </c>
      <c r="B6761" s="3" t="s">
        <v>6450</v>
      </c>
      <c r="C6761" s="3" t="str">
        <f>IFERROR(__xludf.DUMMYFUNCTION("GOOGLETRANSLATE(B6761,""id"",""en"")"),"['sympathy', 'loop', 'package', 'omg', 'GB', 'sympathy', 'feeling', 'discrimination', 'deh', 'please', 'thanks']")</f>
        <v>['sympathy', 'loop', 'package', 'omg', 'GB', 'sympathy', 'feeling', 'discrimination', 'deh', 'please', 'thanks']</v>
      </c>
      <c r="D6761" s="3">
        <v>4.0</v>
      </c>
    </row>
    <row r="6762" ht="15.75" customHeight="1">
      <c r="A6762" s="1">
        <v>7206.0</v>
      </c>
      <c r="B6762" s="3" t="s">
        <v>6451</v>
      </c>
      <c r="C6762" s="3" t="str">
        <f>IFERROR(__xludf.DUMMYFUNCTION("GOOGLETRANSLATE(B6762,""id"",""en"")"),"['hang']")</f>
        <v>['hang']</v>
      </c>
      <c r="D6762" s="3">
        <v>5.0</v>
      </c>
    </row>
    <row r="6763" ht="15.75" customHeight="1">
      <c r="A6763" s="1">
        <v>7207.0</v>
      </c>
      <c r="B6763" s="3" t="s">
        <v>6452</v>
      </c>
      <c r="C6763" s="3" t="str">
        <f>IFERROR(__xludf.DUMMYFUNCTION("GOOGLETRANSLATE(B6763,""id"",""en"")"),"['Good', 'Sometimes', 'Lost', 'Network']")</f>
        <v>['Good', 'Sometimes', 'Lost', 'Network']</v>
      </c>
      <c r="D6763" s="3">
        <v>4.0</v>
      </c>
    </row>
    <row r="6764" ht="15.75" customHeight="1">
      <c r="A6764" s="1">
        <v>7208.0</v>
      </c>
      <c r="B6764" s="3" t="s">
        <v>6453</v>
      </c>
      <c r="C6764" s="3" t="str">
        <f>IFERROR(__xludf.DUMMYFUNCTION("GOOGLETRANSLATE(B6764,""id"",""en"")"),"['application', 'cave', 'abis',' update ',' opened ',' ttp ',' open ',' cave ',' buy ',' package ',' expensive ',' expensive ',' Ngellag ',' convenience ',' prioritized ',' Telkomsel ',' ']")</f>
        <v>['application', 'cave', 'abis',' update ',' opened ',' ttp ',' open ',' cave ',' buy ',' package ',' expensive ',' expensive ',' Ngellag ',' convenience ',' prioritized ',' Telkomsel ',' ']</v>
      </c>
      <c r="D6764" s="3">
        <v>1.0</v>
      </c>
    </row>
    <row r="6765" ht="15.75" customHeight="1">
      <c r="A6765" s="1">
        <v>7209.0</v>
      </c>
      <c r="B6765" s="3" t="s">
        <v>6454</v>
      </c>
      <c r="C6765" s="3" t="str">
        <f>IFERROR(__xludf.DUMMYFUNCTION("GOOGLETRANSLATE(B6765,""id"",""en"")"),"['Telkomsel', 'rich', 'gini', 'signal', 'watch', 'film', 'slow', 'right', 'at home', 'okay', 'wifi', 'TPI', ' right ',' home ',' network ',' disappointed ',' UDH ',' rich ',' gini ',' network ',' ']")</f>
        <v>['Telkomsel', 'rich', 'gini', 'signal', 'watch', 'film', 'slow', 'right', 'at home', 'okay', 'wifi', 'TPI', ' right ',' home ',' network ',' disappointed ',' UDH ',' rich ',' gini ',' network ',' ']</v>
      </c>
      <c r="D6765" s="3">
        <v>1.0</v>
      </c>
    </row>
    <row r="6766" ht="15.75" customHeight="1">
      <c r="A6766" s="1">
        <v>7210.0</v>
      </c>
      <c r="B6766" s="3" t="s">
        <v>6455</v>
      </c>
      <c r="C6766" s="3" t="str">
        <f>IFERROR(__xludf.DUMMYFUNCTION("GOOGLETRANSLATE(B6766,""id"",""en"")"),"['Telkomsel', 'nets', 'rotten', 'city', 'forest', 'network', 'expensive', 'doang', 'suits', 'quality']")</f>
        <v>['Telkomsel', 'nets', 'rotten', 'city', 'forest', 'network', 'expensive', 'doang', 'suits', 'quality']</v>
      </c>
      <c r="D6766" s="3">
        <v>1.0</v>
      </c>
    </row>
    <row r="6767" ht="15.75" customHeight="1">
      <c r="A6767" s="1">
        <v>7211.0</v>
      </c>
      <c r="B6767" s="3" t="s">
        <v>6456</v>
      </c>
      <c r="C6767" s="3" t="str">
        <f>IFERROR(__xludf.DUMMYFUNCTION("GOOGLETRANSLATE(B6767,""id"",""en"")"),"['APL', 'bad', 'cook', 'contents', 'reset', 'point', 'what']]")</f>
        <v>['APL', 'bad', 'cook', 'contents', 'reset', 'point', 'what']]</v>
      </c>
      <c r="D6767" s="3">
        <v>1.0</v>
      </c>
    </row>
    <row r="6768" ht="15.75" customHeight="1">
      <c r="A6768" s="1">
        <v>7212.0</v>
      </c>
      <c r="B6768" s="3" t="s">
        <v>6457</v>
      </c>
      <c r="C6768" s="3" t="str">
        <f>IFERROR(__xludf.DUMMYFUNCTION("GOOGLETRANSLATE(B6768,""id"",""en"")"),"['telkomnyet', 'chapter', 'network', 'kyk', 'cheap', 'ajg', 'regret', 'buy', 'pulse', 'mulu', 'telkomnyet', 'udh', ' Mending ',' go bankrupt ',' mah ',' bagusan ',' smartfren ',' network ',' expensive ',' doank ',' network ',' kyk ',' kampung ']")</f>
        <v>['telkomnyet', 'chapter', 'network', 'kyk', 'cheap', 'ajg', 'regret', 'buy', 'pulse', 'mulu', 'telkomnyet', 'udh', ' Mending ',' go bankrupt ',' mah ',' bagusan ',' smartfren ',' network ',' expensive ',' doank ',' network ',' kyk ',' kampung ']</v>
      </c>
      <c r="D6768" s="3">
        <v>1.0</v>
      </c>
    </row>
    <row r="6769" ht="15.75" customHeight="1">
      <c r="A6769" s="1">
        <v>7213.0</v>
      </c>
      <c r="B6769" s="3" t="s">
        <v>6458</v>
      </c>
      <c r="C6769" s="3" t="str">
        <f>IFERROR(__xludf.DUMMYFUNCTION("GOOGLETRANSLATE(B6769,""id"",""en"")"),"['function', 'quota', 'multimedia', 'already', 'play', 'sosmed', 'chat', 'dsb', 'truncated', 'quota', 'internet', 'quota', ' His Multimedian ',' How ',' Siih ',' Untung ',' Loss', '']")</f>
        <v>['function', 'quota', 'multimedia', 'already', 'play', 'sosmed', 'chat', 'dsb', 'truncated', 'quota', 'internet', 'quota', ' His Multimedian ',' How ',' Siih ',' Untung ',' Loss', '']</v>
      </c>
      <c r="D6769" s="3">
        <v>1.0</v>
      </c>
    </row>
    <row r="6770" ht="15.75" customHeight="1">
      <c r="A6770" s="1">
        <v>7214.0</v>
      </c>
      <c r="B6770" s="3" t="s">
        <v>6459</v>
      </c>
      <c r="C6770" s="3" t="str">
        <f>IFERROR(__xludf.DUMMYFUNCTION("GOOGLETRANSLATE(B6770,""id"",""en"")"),"['', 'Mulu', 'city', 'expensive', 'network', 'change', 'disappointed']")</f>
        <v>['', 'Mulu', 'city', 'expensive', 'network', 'change', 'disappointed']</v>
      </c>
      <c r="D6770" s="3">
        <v>1.0</v>
      </c>
    </row>
    <row r="6771" ht="15.75" customHeight="1">
      <c r="A6771" s="1">
        <v>7215.0</v>
      </c>
      <c r="B6771" s="3" t="s">
        <v>6460</v>
      </c>
      <c r="C6771" s="3" t="str">
        <f>IFERROR(__xludf.DUMMYFUNCTION("GOOGLETRANSLATE(B6771,""id"",""en"")"),"['Good', 'UNTUM', 'Purchase', 'Package', 'Data', 'Most Good', 'Complete', 'Not bad', 'Cashback']")</f>
        <v>['Good', 'UNTUM', 'Purchase', 'Package', 'Data', 'Most Good', 'Complete', 'Not bad', 'Cashback']</v>
      </c>
      <c r="D6771" s="3">
        <v>5.0</v>
      </c>
    </row>
    <row r="6772" ht="15.75" customHeight="1">
      <c r="A6772" s="1">
        <v>7216.0</v>
      </c>
      <c r="B6772" s="3" t="s">
        <v>6461</v>
      </c>
      <c r="C6772" s="3" t="str">
        <f>IFERROR(__xludf.DUMMYFUNCTION("GOOGLETRANSLATE(B6772,""id"",""en"")"),"['application', 'ngak', 'open', 'donlod', 'times', 'entry', '']")</f>
        <v>['application', 'ngak', 'open', 'donlod', 'times', 'entry', '']</v>
      </c>
      <c r="D6772" s="3">
        <v>1.0</v>
      </c>
    </row>
    <row r="6773" ht="15.75" customHeight="1">
      <c r="A6773" s="1">
        <v>7217.0</v>
      </c>
      <c r="B6773" s="3" t="s">
        <v>6462</v>
      </c>
      <c r="C6773" s="3" t="str">
        <f>IFERROR(__xludf.DUMMYFUNCTION("GOOGLETRANSLATE(B6773,""id"",""en"")"),"['quota', 'learn', 'pakek', 'ilangin', 'function', 'really', 'kayak', 'complaints',' cave ',' quota ',' use ',' already ',' Abiss', 'quota', 'weekly', 'Maketin', 'a week', 'TPI', 'Cuman', 'Pakek', 'Becanda', 'Kah', 'Telkomsel']")</f>
        <v>['quota', 'learn', 'pakek', 'ilangin', 'function', 'really', 'kayak', 'complaints',' cave ',' quota ',' use ',' already ',' Abiss', 'quota', 'weekly', 'Maketin', 'a week', 'TPI', 'Cuman', 'Pakek', 'Becanda', 'Kah', 'Telkomsel']</v>
      </c>
      <c r="D6773" s="3">
        <v>2.0</v>
      </c>
    </row>
    <row r="6774" ht="15.75" customHeight="1">
      <c r="A6774" s="1">
        <v>7218.0</v>
      </c>
      <c r="B6774" s="3" t="s">
        <v>6463</v>
      </c>
      <c r="C6774" s="3" t="str">
        <f>IFERROR(__xludf.DUMMYFUNCTION("GOOGLETRANSLATE(B6774,""id"",""en"")"),"['bad', 'network', 'Telkomsel', 'special', 'area', 'sukabumi', 'quota', 'expensive', 'quality', 'network', 'riph', 'please', ' Fix ',' by one ',' Move ',' Operator ',' Fix ',' Mending ',' Change ',' Operator ',' Laen ',' Tower ']")</f>
        <v>['bad', 'network', 'Telkomsel', 'special', 'area', 'sukabumi', 'quota', 'expensive', 'quality', 'network', 'riph', 'please', ' Fix ',' by one ',' Move ',' Operator ',' Fix ',' Mending ',' Change ',' Operator ',' Laen ',' Tower ']</v>
      </c>
      <c r="D6774" s="3">
        <v>1.0</v>
      </c>
    </row>
    <row r="6775" ht="15.75" customHeight="1">
      <c r="A6775" s="1">
        <v>7219.0</v>
      </c>
      <c r="B6775" s="3" t="s">
        <v>6464</v>
      </c>
      <c r="C6775" s="3" t="str">
        <f>IFERROR(__xludf.DUMMYFUNCTION("GOOGLETRANSLATE(B6775,""id"",""en"")"),"['Connection', 'Telkomsel', 'Serin', 'Error', 'Telkomsel', 'Mending', 'Moving', 'Propaidider', 'Connection', 'Current', 'Jaya', ""]")</f>
        <v>['Connection', 'Telkomsel', 'Serin', 'Error', 'Telkomsel', 'Mending', 'Moving', 'Propaidider', 'Connection', 'Current', 'Jaya', "]</v>
      </c>
      <c r="D6775" s="3">
        <v>1.0</v>
      </c>
    </row>
    <row r="6776" ht="15.75" customHeight="1">
      <c r="A6776" s="1">
        <v>7220.0</v>
      </c>
      <c r="B6776" s="3" t="s">
        <v>6465</v>
      </c>
      <c r="C6776" s="3" t="str">
        <f>IFERROR(__xludf.DUMMYFUNCTION("GOOGLETRANSLATE(B6776,""id"",""en"")"),"['Package', 'Cergilanya', 'Rare', '']")</f>
        <v>['Package', 'Cergilanya', 'Rare', '']</v>
      </c>
      <c r="D6776" s="3">
        <v>3.0</v>
      </c>
    </row>
    <row r="6777" ht="15.75" customHeight="1">
      <c r="A6777" s="1">
        <v>7221.0</v>
      </c>
      <c r="B6777" s="3" t="s">
        <v>6466</v>
      </c>
      <c r="C6777" s="3" t="str">
        <f>IFERROR(__xludf.DUMMYFUNCTION("GOOGLETRANSLATE(B6777,""id"",""en"")"),"['Fix', 'Sinyal', 'ugly', 'already', 'Taun', 'Telkomsel', 'Disappointed']")</f>
        <v>['Fix', 'Sinyal', 'ugly', 'already', 'Taun', 'Telkomsel', 'Disappointed']</v>
      </c>
      <c r="D6777" s="3">
        <v>1.0</v>
      </c>
    </row>
    <row r="6778" ht="15.75" customHeight="1">
      <c r="A6778" s="1">
        <v>7222.0</v>
      </c>
      <c r="B6778" s="3" t="s">
        <v>6467</v>
      </c>
      <c r="C6778" s="3" t="str">
        <f>IFERROR(__xludf.DUMMYFUNCTION("GOOGLETRANSLATE(B6778,""id"",""en"")"),"['Ngerti', 'Purchase', 'Package', 'Telkomsel', 'Monthly', 'Unlimited', 'Multimedia', 'Quota', 'Irit', 'wasteful', 'Use']")</f>
        <v>['Ngerti', 'Purchase', 'Package', 'Telkomsel', 'Monthly', 'Unlimited', 'Multimedia', 'Quota', 'Irit', 'wasteful', 'Use']</v>
      </c>
      <c r="D6778" s="3">
        <v>5.0</v>
      </c>
    </row>
    <row r="6779" ht="15.75" customHeight="1">
      <c r="A6779" s="1">
        <v>7223.0</v>
      </c>
      <c r="B6779" s="3" t="s">
        <v>6468</v>
      </c>
      <c r="C6779" s="3" t="str">
        <f>IFERROR(__xludf.DUMMYFUNCTION("GOOGLETRANSLATE(B6779,""id"",""en"")"),"['buy', 'package', 'echo', 'ngeleg', 'ngeleg', 'game', 'Different', 'use', 'quota', 'original']")</f>
        <v>['buy', 'package', 'echo', 'ngeleg', 'ngeleg', 'game', 'Different', 'use', 'quota', 'original']</v>
      </c>
      <c r="D6779" s="3">
        <v>2.0</v>
      </c>
    </row>
    <row r="6780" ht="15.75" customHeight="1">
      <c r="A6780" s="1">
        <v>7224.0</v>
      </c>
      <c r="B6780" s="3" t="s">
        <v>1664</v>
      </c>
      <c r="C6780" s="3" t="str">
        <f>IFERROR(__xludf.DUMMYFUNCTION("GOOGLETRANSLATE(B6780,""id"",""en"")"),"['Network', 'stable']")</f>
        <v>['Network', 'stable']</v>
      </c>
      <c r="D6780" s="3">
        <v>1.0</v>
      </c>
    </row>
    <row r="6781" ht="15.75" customHeight="1">
      <c r="A6781" s="1">
        <v>7225.0</v>
      </c>
      <c r="B6781" s="3" t="s">
        <v>6469</v>
      </c>
      <c r="C6781" s="3" t="str">
        <f>IFERROR(__xludf.DUMMYFUNCTION("GOOGLETRANSLATE(B6781,""id"",""en"")"),"['Love', 'Package', 'Cheap']")</f>
        <v>['Love', 'Package', 'Cheap']</v>
      </c>
      <c r="D6781" s="3">
        <v>5.0</v>
      </c>
    </row>
    <row r="6782" ht="15.75" customHeight="1">
      <c r="A6782" s="1">
        <v>7226.0</v>
      </c>
      <c r="B6782" s="3" t="s">
        <v>6470</v>
      </c>
      <c r="C6782" s="3" t="str">
        <f>IFERROR(__xludf.DUMMYFUNCTION("GOOGLETRANSLATE(B6782,""id"",""en"")"),"['Credit', 'Reduced', 'Package', 'Data', 'Please', 'Repaired', 'Credit', 'User', 'Telkomsel', 'Reduced', 'Out', 'User', ' ']")</f>
        <v>['Credit', 'Reduced', 'Package', 'Data', 'Please', 'Repaired', 'Credit', 'User', 'Telkomsel', 'Reduced', 'Out', 'User', ' ']</v>
      </c>
      <c r="D6782" s="3">
        <v>2.0</v>
      </c>
    </row>
    <row r="6783" ht="15.75" customHeight="1">
      <c r="A6783" s="1">
        <v>7227.0</v>
      </c>
      <c r="B6783" s="3" t="s">
        <v>6471</v>
      </c>
      <c r="C6783" s="3" t="str">
        <f>IFERROR(__xludf.DUMMYFUNCTION("GOOGLETRANSLATE(B6783,""id"",""en"")"),"['Sometimes', 'Network', 'Lemot', 'Region', 'Mango']")</f>
        <v>['Sometimes', 'Network', 'Lemot', 'Region', 'Mango']</v>
      </c>
      <c r="D6783" s="3">
        <v>5.0</v>
      </c>
    </row>
    <row r="6784" ht="15.75" customHeight="1">
      <c r="A6784" s="1">
        <v>7228.0</v>
      </c>
      <c r="B6784" s="3" t="s">
        <v>6472</v>
      </c>
      <c r="C6784" s="3" t="str">
        <f>IFERROR(__xludf.DUMMYFUNCTION("GOOGLETRANSLATE(B6784,""id"",""en"")"),"['Sok', 'sinya', 'elek']")</f>
        <v>['Sok', 'sinya', 'elek']</v>
      </c>
      <c r="D6784" s="3">
        <v>1.0</v>
      </c>
    </row>
    <row r="6785" ht="15.75" customHeight="1">
      <c r="A6785" s="1">
        <v>7229.0</v>
      </c>
      <c r="B6785" s="3" t="s">
        <v>6473</v>
      </c>
      <c r="C6785" s="3" t="str">
        <f>IFERROR(__xludf.DUMMYFUNCTION("GOOGLETRANSLATE(B6785,""id"",""en"")"),"['', 'Bakka', 'Inu', 'knp', 'times',' buy ',' package ',' APK ',' kgk ',' mulu ',' udh ',' try ',' brp ',' Even though ',' TTP ',' KGK ',' Ribet ',' typing ',' Please ',' Overcome ',' Constraints', 'Hentai', ""]")</f>
        <v>['', 'Bakka', 'Inu', 'knp', 'times',' buy ',' package ',' APK ',' kgk ',' mulu ',' udh ',' try ',' brp ',' Even though ',' TTP ',' KGK ',' Ribet ',' typing ',' Please ',' Overcome ',' Constraints', 'Hentai', "]</v>
      </c>
      <c r="D6785" s="3">
        <v>1.0</v>
      </c>
    </row>
    <row r="6786" ht="15.75" customHeight="1">
      <c r="A6786" s="1">
        <v>7230.0</v>
      </c>
      <c r="B6786" s="3" t="s">
        <v>6474</v>
      </c>
      <c r="C6786" s="3" t="str">
        <f>IFERROR(__xludf.DUMMYFUNCTION("GOOGLETRANSLATE(B6786,""id"",""en"")"),"['app', 'purchase', 'send', 'gift', 'pulse', 'difficult', 'payment', 'app', 'Linkaja', 'Telkomsel', 'version', 'smooth', ' Veronika ',' via ',' email ',' Solution ',' Select ',' Pay ',' Method ',' Linkaja ',' Select ',' Continue ',' Then ',' Enter ',' Aut"&amp;"omatic ' , 'Linkaja', 'Live', 'Enter', 'PIN', 'Transaction', 'Processed', 'SERES']")</f>
        <v>['app', 'purchase', 'send', 'gift', 'pulse', 'difficult', 'payment', 'app', 'Linkaja', 'Telkomsel', 'version', 'smooth', ' Veronika ',' via ',' email ',' Solution ',' Select ',' Pay ',' Method ',' Linkaja ',' Select ',' Continue ',' Then ',' Enter ',' Automatic ' , 'Linkaja', 'Live', 'Enter', 'PIN', 'Transaction', 'Processed', 'SERES']</v>
      </c>
      <c r="D6786" s="3">
        <v>3.0</v>
      </c>
    </row>
    <row r="6787" ht="15.75" customHeight="1">
      <c r="A6787" s="1">
        <v>7231.0</v>
      </c>
      <c r="B6787" s="3" t="s">
        <v>6475</v>
      </c>
      <c r="C6787" s="3" t="str">
        <f>IFERROR(__xludf.DUMMYFUNCTION("GOOGLETRANSLATE(B6787,""id"",""en"")"),"['Network', 'Burik', 'bad', 'according to', 'price', 'quota', 'moved', 'card', 'already', 'many years', 'Telkomsel', 'here' bad', '']")</f>
        <v>['Network', 'Burik', 'bad', 'according to', 'price', 'quota', 'moved', 'card', 'already', 'many years', 'Telkomsel', 'here' bad', '']</v>
      </c>
      <c r="D6787" s="3">
        <v>1.0</v>
      </c>
    </row>
    <row r="6788" ht="15.75" customHeight="1">
      <c r="A6788" s="1">
        <v>7232.0</v>
      </c>
      <c r="B6788" s="3" t="s">
        <v>6476</v>
      </c>
      <c r="C6788" s="3" t="str">
        <f>IFERROR(__xludf.DUMMYFUNCTION("GOOGLETRANSLATE(B6788,""id"",""en"")"),"['Min', 'Points',' Telkomsel ',' Exchange ',' Balance ',' Fund ',' Gopay ',' That's', 'Points',' Telkomsel ',' Points', 'Numpuk', ' No ',' Apain ',' Points', 'already', 'thousand', 'Points']")</f>
        <v>['Min', 'Points',' Telkomsel ',' Exchange ',' Balance ',' Fund ',' Gopay ',' That's', 'Points',' Telkomsel ',' Points', 'Numpuk', ' No ',' Apain ',' Points', 'already', 'thousand', 'Points']</v>
      </c>
      <c r="D6788" s="3">
        <v>5.0</v>
      </c>
    </row>
    <row r="6789" ht="15.75" customHeight="1">
      <c r="A6789" s="1">
        <v>7233.0</v>
      </c>
      <c r="B6789" s="3" t="s">
        <v>6477</v>
      </c>
      <c r="C6789" s="3" t="str">
        <f>IFERROR(__xludf.DUMMYFUNCTION("GOOGLETRANSLATE(B6789,""id"",""en"")"),"['Network', 'ugly', 'watch', 'youtobe', 'buffering', 'slow', 'really', 'collapse', 'resolution', 'ngelag', 'what', 'play', ' Game ',' ']")</f>
        <v>['Network', 'ugly', 'watch', 'youtobe', 'buffering', 'slow', 'really', 'collapse', 'resolution', 'ngelag', 'what', 'play', ' Game ',' ']</v>
      </c>
      <c r="D6789" s="3">
        <v>1.0</v>
      </c>
    </row>
    <row r="6790" ht="15.75" customHeight="1">
      <c r="A6790" s="1">
        <v>7234.0</v>
      </c>
      <c r="B6790" s="3" t="s">
        <v>6478</v>
      </c>
      <c r="C6790" s="3" t="str">
        <f>IFERROR(__xludf.DUMMYFUNCTION("GOOGLETRANSLATE(B6790,""id"",""en"")"),"['easy', 'easy', 'steady', '']")</f>
        <v>['easy', 'easy', 'steady', '']</v>
      </c>
      <c r="D6790" s="3">
        <v>4.0</v>
      </c>
    </row>
    <row r="6791" ht="15.75" customHeight="1">
      <c r="A6791" s="1">
        <v>7235.0</v>
      </c>
      <c r="B6791" s="3" t="s">
        <v>6479</v>
      </c>
      <c r="C6791" s="3" t="str">
        <f>IFERROR(__xludf.DUMMYFUNCTION("GOOGLETRANSLATE(B6791,""id"",""en"")"),"['Help', 'Min', 'The net', 'speed', 'Light', 'Paketan', 'Slow', 'Maen', 'Game', 'Bettiig', 'Customer', 'Disappointed', ' Min ']")</f>
        <v>['Help', 'Min', 'The net', 'speed', 'Light', 'Paketan', 'Slow', 'Maen', 'Game', 'Bettiig', 'Customer', 'Disappointed', ' Min ']</v>
      </c>
      <c r="D6791" s="3">
        <v>1.0</v>
      </c>
    </row>
    <row r="6792" ht="15.75" customHeight="1">
      <c r="A6792" s="1">
        <v>7236.0</v>
      </c>
      <c r="B6792" s="3" t="s">
        <v>6480</v>
      </c>
      <c r="C6792" s="3" t="str">
        <f>IFERROR(__xludf.DUMMYFUNCTION("GOOGLETRANSLATE(B6792,""id"",""en"")"),"['Package', 'Data', 'Credit', 'Cut', 'Contents',' Ludes', 'Tricks',' Reasons', 'Internet', 'Signal', 'Down', 'Credit', ' Cut ',' UDH ',' Package ',' Already ',' Ngepain ',' Cut ',' Credit ',' People ',' Basic ',' Deceiving ',' Clin ', ""]")</f>
        <v>['Package', 'Data', 'Credit', 'Cut', 'Contents',' Ludes', 'Tricks',' Reasons', 'Internet', 'Signal', 'Down', 'Credit', ' Cut ',' UDH ',' Package ',' Already ',' Ngepain ',' Cut ',' Credit ',' People ',' Basic ',' Deceiving ',' Clin ', "]</v>
      </c>
      <c r="D6792" s="3">
        <v>1.0</v>
      </c>
    </row>
    <row r="6793" ht="15.75" customHeight="1">
      <c r="A6793" s="1">
        <v>7237.0</v>
      </c>
      <c r="B6793" s="3" t="s">
        <v>6481</v>
      </c>
      <c r="C6793" s="3" t="str">
        <f>IFERROR(__xludf.DUMMYFUNCTION("GOOGLETRANSLATE(B6793,""id"",""en"")"),"['Telkomsel', 'responsibility', 'replied', 'where', 'signal', 'missing', 'quota', 'drained', 'finished', 'internet', 'satisfying', 'please', ' Conduced ',' cheap ',' price ',' package ',' Telkomsel ']")</f>
        <v>['Telkomsel', 'responsibility', 'replied', 'where', 'signal', 'missing', 'quota', 'drained', 'finished', 'internet', 'satisfying', 'please', ' Conduced ',' cheap ',' price ',' package ',' Telkomsel ']</v>
      </c>
      <c r="D6793" s="3">
        <v>1.0</v>
      </c>
    </row>
    <row r="6794" ht="15.75" customHeight="1">
      <c r="A6794" s="1">
        <v>7238.0</v>
      </c>
      <c r="B6794" s="3" t="s">
        <v>6482</v>
      </c>
      <c r="C6794" s="3" t="str">
        <f>IFERROR(__xludf.DUMMYFUNCTION("GOOGLETRANSLATE(B6794,""id"",""en"")"),"['Telkomsel', 'no', 'contents', 'quota', '']")</f>
        <v>['Telkomsel', 'no', 'contents', 'quota', '']</v>
      </c>
      <c r="D6794" s="3">
        <v>1.0</v>
      </c>
    </row>
    <row r="6795" ht="15.75" customHeight="1">
      <c r="A6795" s="1">
        <v>7239.0</v>
      </c>
      <c r="B6795" s="3" t="s">
        <v>6483</v>
      </c>
      <c r="C6795" s="3" t="str">
        <f>IFERROR(__xludf.DUMMYFUNCTION("GOOGLETRANSLATE(B6795,""id"",""en"")"),"['BUMN', 'Funded', 'Results',' Tax ',' People ',' Quota ',' Expensive ',' JaringTeruas', 'What', 'Signal', 'Already', 'Kayak', ' snot ',' sendlap ',' sendlup ',' briefly ',' move ',' probider ',' disappointed ',' heavy ',' clock ',' signal ',' ilang ', """&amp;"]")</f>
        <v>['BUMN', 'Funded', 'Results',' Tax ',' People ',' Quota ',' Expensive ',' JaringTeruas', 'What', 'Signal', 'Already', 'Kayak', ' snot ',' sendlap ',' sendlup ',' briefly ',' move ',' probider ',' disappointed ',' heavy ',' clock ',' signal ',' ilang ', "]</v>
      </c>
      <c r="D6795" s="3">
        <v>1.0</v>
      </c>
    </row>
    <row r="6796" ht="15.75" customHeight="1">
      <c r="A6796" s="1">
        <v>7240.0</v>
      </c>
      <c r="B6796" s="3" t="s">
        <v>6484</v>
      </c>
      <c r="C6796" s="3" t="str">
        <f>IFERROR(__xludf.DUMMYFUNCTION("GOOGLETRANSLATE(B6796,""id"",""en"")"),"['Telkomsel', 'block', 'knp', 'pulse', 'sucked', 'love', 'rating', '']")</f>
        <v>['Telkomsel', 'block', 'knp', 'pulse', 'sucked', 'love', 'rating', '']</v>
      </c>
      <c r="D6796" s="3">
        <v>1.0</v>
      </c>
    </row>
    <row r="6797" ht="15.75" customHeight="1">
      <c r="A6797" s="1">
        <v>7241.0</v>
      </c>
      <c r="B6797" s="3" t="s">
        <v>6485</v>
      </c>
      <c r="C6797" s="3" t="str">
        <f>IFERROR(__xludf.DUMMYFUNCTION("GOOGLETRANSLATE(B6797,""id"",""en"")"),"['Enhanced', 'Quality', 'Network', 'As', 'Motto', 'Slogan', 'Telkomsel']")</f>
        <v>['Enhanced', 'Quality', 'Network', 'As', 'Motto', 'Slogan', 'Telkomsel']</v>
      </c>
      <c r="D6797" s="3">
        <v>5.0</v>
      </c>
    </row>
    <row r="6798" ht="15.75" customHeight="1">
      <c r="A6798" s="1">
        <v>7242.0</v>
      </c>
      <c r="B6798" s="3" t="s">
        <v>4913</v>
      </c>
      <c r="C6798" s="3" t="str">
        <f>IFERROR(__xludf.DUMMYFUNCTION("GOOGLETRANSLATE(B6798,""id"",""en"")"),"['join']")</f>
        <v>['join']</v>
      </c>
      <c r="D6798" s="3">
        <v>5.0</v>
      </c>
    </row>
    <row r="6799" ht="15.75" customHeight="1">
      <c r="A6799" s="1">
        <v>7243.0</v>
      </c>
      <c r="B6799" s="3" t="s">
        <v>6486</v>
      </c>
      <c r="C6799" s="3" t="str">
        <f>IFERROR(__xludf.DUMMYFUNCTION("GOOGLETRANSLATE(B6799,""id"",""en"")"),"['Cool', 'promo']")</f>
        <v>['Cool', 'promo']</v>
      </c>
      <c r="D6799" s="3">
        <v>5.0</v>
      </c>
    </row>
    <row r="6800" ht="15.75" customHeight="1">
      <c r="A6800" s="1">
        <v>7244.0</v>
      </c>
      <c r="B6800" s="3" t="s">
        <v>6487</v>
      </c>
      <c r="C6800" s="3" t="str">
        <f>IFERROR(__xludf.DUMMYFUNCTION("GOOGLETRANSLATE(B6800,""id"",""en"")"),"['Signal', 'acting']")</f>
        <v>['Signal', 'acting']</v>
      </c>
      <c r="D6800" s="3">
        <v>1.0</v>
      </c>
    </row>
    <row r="6801" ht="15.75" customHeight="1">
      <c r="A6801" s="1">
        <v>7245.0</v>
      </c>
      <c r="B6801" s="3" t="s">
        <v>6488</v>
      </c>
      <c r="C6801" s="3" t="str">
        <f>IFERROR(__xludf.DUMMYFUNCTION("GOOGLETRANSLATE(B6801,""id"",""en"")"),"['Package', 'emergency', 'kpan', 'activated', 'package', 'emergency', 'so,' quota ',' msh ',' right ',' Telkomsel ',' bother ',' People ',' signal ',' ugly ',' ']")</f>
        <v>['Package', 'emergency', 'kpan', 'activated', 'package', 'emergency', 'so,' quota ',' msh ',' right ',' Telkomsel ',' bother ',' People ',' signal ',' ugly ',' ']</v>
      </c>
      <c r="D6801" s="3">
        <v>2.0</v>
      </c>
    </row>
    <row r="6802" ht="15.75" customHeight="1">
      <c r="A6802" s="1">
        <v>7247.0</v>
      </c>
      <c r="B6802" s="3" t="s">
        <v>6489</v>
      </c>
      <c r="C6802" s="3" t="str">
        <f>IFERROR(__xludf.DUMMYFUNCTION("GOOGLETRANSLATE(B6802,""id"",""en"")"),"['Region', 'Kab', 'Tangerang', 'Rajeg', 'Network', 'Inet', 'Access']")</f>
        <v>['Region', 'Kab', 'Tangerang', 'Rajeg', 'Network', 'Inet', 'Access']</v>
      </c>
      <c r="D6802" s="3">
        <v>3.0</v>
      </c>
    </row>
    <row r="6803" ht="15.75" customHeight="1">
      <c r="A6803" s="1">
        <v>7248.0</v>
      </c>
      <c r="B6803" s="3" t="s">
        <v>6490</v>
      </c>
      <c r="C6803" s="3" t="str">
        <f>IFERROR(__xludf.DUMMYFUNCTION("GOOGLETRANSLATE(B6803,""id"",""en"")"),"['Telkomsel', 'deteriorating', 'strange', 'system', 'pulse', 'loss',' list ',' package ',' Telkomsel ',' take ',' pulse ',' notification ',' Registration ',' Package ',' Success', 'Take', 'Costs',' Package ',' Error ',' System ',' Solution ',' Cruel ']")</f>
        <v>['Telkomsel', 'deteriorating', 'strange', 'system', 'pulse', 'loss',' list ',' package ',' Telkomsel ',' take ',' pulse ',' notification ',' Registration ',' Package ',' Success', 'Take', 'Costs',' Package ',' Error ',' System ',' Solution ',' Cruel ']</v>
      </c>
      <c r="D6803" s="3">
        <v>1.0</v>
      </c>
    </row>
    <row r="6804" ht="15.75" customHeight="1">
      <c r="A6804" s="1">
        <v>7249.0</v>
      </c>
      <c r="B6804" s="3" t="s">
        <v>6491</v>
      </c>
      <c r="C6804" s="3" t="str">
        <f>IFERROR(__xludf.DUMMYFUNCTION("GOOGLETRANSLATE(B6804,""id"",""en"")"),"['Telkomsel', 'City', 'Bandung', 'Kecamatan', 'Kiaracondong', 'Kelurahan', 'Kambujayanti', 'connection', 'ugly', 'really']")</f>
        <v>['Telkomsel', 'City', 'Bandung', 'Kecamatan', 'Kiaracondong', 'Kelurahan', 'Kambujayanti', 'connection', 'ugly', 'really']</v>
      </c>
      <c r="D6804" s="3">
        <v>1.0</v>
      </c>
    </row>
    <row r="6805" ht="15.75" customHeight="1">
      <c r="A6805" s="1">
        <v>7250.0</v>
      </c>
      <c r="B6805" s="3" t="s">
        <v>6492</v>
      </c>
      <c r="C6805" s="3" t="str">
        <f>IFERROR(__xludf.DUMMYFUNCTION("GOOGLETRANSLATE(B6805,""id"",""en"")"),"['signal', 'rich', 'kontolll', 'ngeapain', 'see', 'emang', 'tlkm', 'bankrupt', 'buy', 'loss', 'kayak']")</f>
        <v>['signal', 'rich', 'kontolll', 'ngeapain', 'see', 'emang', 'tlkm', 'bankrupt', 'buy', 'loss', 'kayak']</v>
      </c>
      <c r="D6805" s="3">
        <v>1.0</v>
      </c>
    </row>
    <row r="6806" ht="15.75" customHeight="1">
      <c r="A6806" s="1">
        <v>7251.0</v>
      </c>
      <c r="B6806" s="3" t="s">
        <v>6493</v>
      </c>
      <c r="C6806" s="3" t="str">
        <f>IFERROR(__xludf.DUMMYFUNCTION("GOOGLETRANSLATE(B6806,""id"",""en"")"),"['', 'ksh', 'star', 'dlu', 'knpa', 'pulse', 'sllu', 'take', 'rbb', 'list', 'ap', 'telkomsel', 'jjur ',' Kcewa ',' Telkomsel ',' buy ',' kouta ',' bsar ',' mhal ',' cpat ',' bnggat ',' hbis']")</f>
        <v>['', 'ksh', 'star', 'dlu', 'knpa', 'pulse', 'sllu', 'take', 'rbb', 'list', 'ap', 'telkomsel', 'jjur ',' Kcewa ',' Telkomsel ',' buy ',' kouta ',' bsar ',' mhal ',' cpat ',' bnggat ',' hbis']</v>
      </c>
      <c r="D6806" s="3">
        <v>1.0</v>
      </c>
    </row>
    <row r="6807" ht="15.75" customHeight="1">
      <c r="A6807" s="1">
        <v>7252.0</v>
      </c>
      <c r="B6807" s="3" t="s">
        <v>6494</v>
      </c>
      <c r="C6807" s="3" t="str">
        <f>IFERROR(__xludf.DUMMYFUNCTION("GOOGLETRANSLATE(B6807,""id"",""en"")"),"['application', 'Season', 'Telkomsel', 'network', 'ugly', 'task', 'school', 'delayed', 'etc.', 'please', 'Benerin', ""]")</f>
        <v>['application', 'Season', 'Telkomsel', 'network', 'ugly', 'task', 'school', 'delayed', 'etc.', 'please', 'Benerin', "]</v>
      </c>
      <c r="D6807" s="3">
        <v>1.0</v>
      </c>
    </row>
    <row r="6808" ht="15.75" customHeight="1">
      <c r="A6808" s="1">
        <v>7253.0</v>
      </c>
      <c r="B6808" s="3" t="s">
        <v>6495</v>
      </c>
      <c r="C6808" s="3" t="str">
        <f>IFERROR(__xludf.DUMMYFUNCTION("GOOGLETRANSLATE(B6808,""id"",""en"")"),"['', 'Telkomsel', ""]")</f>
        <v>['', 'Telkomsel', "]</v>
      </c>
      <c r="D6808" s="3">
        <v>5.0</v>
      </c>
    </row>
    <row r="6809" ht="15.75" customHeight="1">
      <c r="A6809" s="1">
        <v>7254.0</v>
      </c>
      <c r="B6809" s="3" t="s">
        <v>6496</v>
      </c>
      <c r="C6809" s="3" t="str">
        <f>IFERROR(__xludf.DUMMYFUNCTION("GOOGLETRANSLATE(B6809,""id"",""en"")"),"['Is there', 'employees', 'Women', 'Telkomsel', 'Singles', ""]")</f>
        <v>['Is there', 'employees', 'Women', 'Telkomsel', 'Singles', "]</v>
      </c>
      <c r="D6809" s="3">
        <v>5.0</v>
      </c>
    </row>
    <row r="6810" ht="15.75" customHeight="1">
      <c r="A6810" s="1">
        <v>7255.0</v>
      </c>
      <c r="B6810" s="3" t="s">
        <v>6497</v>
      </c>
      <c r="C6810" s="3" t="str">
        <f>IFERROR(__xludf.DUMMYFUNCTION("GOOGLETRANSLATE(B6810,""id"",""en"")"),"['Severe', 'network', 'mulu', 'kek', 'price', 'package', 'expensive', 'network', 'no', 'repair', 'halah', 'card', ' rotten']")</f>
        <v>['Severe', 'network', 'mulu', 'kek', 'price', 'package', 'expensive', 'network', 'no', 'repair', 'halah', 'card', ' rotten']</v>
      </c>
      <c r="D6810" s="3">
        <v>1.0</v>
      </c>
    </row>
    <row r="6811" ht="15.75" customHeight="1">
      <c r="A6811" s="1">
        <v>7256.0</v>
      </c>
      <c r="B6811" s="3" t="s">
        <v>6498</v>
      </c>
      <c r="C6811" s="3" t="str">
        <f>IFERROR(__xludf.DUMMYFUNCTION("GOOGLETRANSLATE(B6811,""id"",""en"")"),"['Hurry', 'Download', 'MyTelkomsel', 'Play', 'Store', 'Win', 'Millions',' Hadia ',' Ayoo ',' Hurry ',' Wait ',' Apalgi ',' Opportunity ',' Times', 'Win', 'Hadia', 'Car', 'Rightrow', 'Motor', 'Hadia', 'Interesting', 'Hima']")</f>
        <v>['Hurry', 'Download', 'MyTelkomsel', 'Play', 'Store', 'Win', 'Millions',' Hadia ',' Ayoo ',' Hurry ',' Wait ',' Apalgi ',' Opportunity ',' Times', 'Win', 'Hadia', 'Car', 'Rightrow', 'Motor', 'Hadia', 'Interesting', 'Hima']</v>
      </c>
      <c r="D6811" s="3">
        <v>5.0</v>
      </c>
    </row>
    <row r="6812" ht="15.75" customHeight="1">
      <c r="A6812" s="1">
        <v>7257.0</v>
      </c>
      <c r="B6812" s="3" t="s">
        <v>6499</v>
      </c>
      <c r="C6812" s="3" t="str">
        <f>IFERROR(__xludf.DUMMYFUNCTION("GOOGLETRANSLATE(B6812,""id"",""en"")"),"['Help', 'Thank you', 'Team', 'Telkomsel', ""]")</f>
        <v>['Help', 'Thank you', 'Team', 'Telkomsel', "]</v>
      </c>
      <c r="D6812" s="3">
        <v>5.0</v>
      </c>
    </row>
    <row r="6813" ht="15.75" customHeight="1">
      <c r="A6813" s="1">
        <v>7258.0</v>
      </c>
      <c r="B6813" s="3" t="s">
        <v>6500</v>
      </c>
      <c r="C6813" s="3" t="str">
        <f>IFERROR(__xludf.DUMMYFUNCTION("GOOGLETRANSLATE(B6813,""id"",""en"")"),"['application', 'idiot', 'ngefreeze', 'network', 'difficult', 'signal', 'full', 'regret', 'I', 'Telkomsel', 'buy', 'package', ' mah ',' expensive ',' ngelag ']")</f>
        <v>['application', 'idiot', 'ngefreeze', 'network', 'difficult', 'signal', 'full', 'regret', 'I', 'Telkomsel', 'buy', 'package', ' mah ',' expensive ',' ngelag ']</v>
      </c>
      <c r="D6813" s="3">
        <v>1.0</v>
      </c>
    </row>
    <row r="6814" ht="15.75" customHeight="1">
      <c r="A6814" s="1">
        <v>7259.0</v>
      </c>
      <c r="B6814" s="3" t="s">
        <v>6501</v>
      </c>
      <c r="C6814" s="3" t="str">
        <f>IFERROR(__xludf.DUMMYFUNCTION("GOOGLETRANSLATE(B6814,""id"",""en"")"),"['Price', 'Package', 'Quota', 'NOT', 'DOWN', 'Price', 'Service', 'Decreases', 'Heague', ""]")</f>
        <v>['Price', 'Package', 'Quota', 'NOT', 'DOWN', 'Price', 'Service', 'Decreases', 'Heague', "]</v>
      </c>
      <c r="D6814" s="3">
        <v>2.0</v>
      </c>
    </row>
    <row r="6815" ht="15.75" customHeight="1">
      <c r="A6815" s="1">
        <v>7260.0</v>
      </c>
      <c r="B6815" s="3" t="s">
        <v>6502</v>
      </c>
      <c r="C6815" s="3" t="str">
        <f>IFERROR(__xludf.DUMMYFUNCTION("GOOGLETRANSLATE(B6815,""id"",""en"")"),"['application', 'MyTelkomsel', 'makes it easy', 'check', 'peulsa', 'kouta', 'buy', 'package', 'internet', 'has', 'features', 'interesting' Confused ',' use ',' pulse ',' multimedia ',' ']")</f>
        <v>['application', 'MyTelkomsel', 'makes it easy', 'check', 'peulsa', 'kouta', 'buy', 'package', 'internet', 'has', 'features', 'interesting' Confused ',' use ',' pulse ',' multimedia ',' ']</v>
      </c>
      <c r="D6815" s="3">
        <v>4.0</v>
      </c>
    </row>
    <row r="6816" ht="15.75" customHeight="1">
      <c r="A6816" s="1">
        <v>7261.0</v>
      </c>
      <c r="B6816" s="3" t="s">
        <v>6503</v>
      </c>
      <c r="C6816" s="3" t="str">
        <f>IFERROR(__xludf.DUMMYFUNCTION("GOOGLETRANSLATE(B6816,""id"",""en"")"),"['Sorry', 'signal', '']")</f>
        <v>['Sorry', 'signal', '']</v>
      </c>
      <c r="D6816" s="3">
        <v>4.0</v>
      </c>
    </row>
    <row r="6817" ht="15.75" customHeight="1">
      <c r="A6817" s="1">
        <v>7262.0</v>
      </c>
      <c r="B6817" s="3" t="s">
        <v>6504</v>
      </c>
      <c r="C6817" s="3" t="str">
        <f>IFERROR(__xludf.DUMMYFUNCTION("GOOGLETRANSLATE(B6817,""id"",""en"")"),"['buy', 'pulse', 'pressure', 'buy', 'many', 'times', 'problematic']")</f>
        <v>['buy', 'pulse', 'pressure', 'buy', 'many', 'times', 'problematic']</v>
      </c>
      <c r="D6817" s="3">
        <v>1.0</v>
      </c>
    </row>
    <row r="6818" ht="15.75" customHeight="1">
      <c r="A6818" s="1">
        <v>7263.0</v>
      </c>
      <c r="B6818" s="3" t="s">
        <v>6505</v>
      </c>
      <c r="C6818" s="3" t="str">
        <f>IFERROR(__xludf.DUMMYFUNCTION("GOOGLETRANSLATE(B6818,""id"",""en"")"),"['Bonus', 'pulse']")</f>
        <v>['Bonus', 'pulse']</v>
      </c>
      <c r="D6818" s="3">
        <v>5.0</v>
      </c>
    </row>
    <row r="6819" ht="15.75" customHeight="1">
      <c r="A6819" s="1">
        <v>7264.0</v>
      </c>
      <c r="B6819" s="3" t="s">
        <v>6506</v>
      </c>
      <c r="C6819" s="3" t="str">
        <f>IFERROR(__xludf.DUMMYFUNCTION("GOOGLETRANSLATE(B6819,""id"",""en"")"),"['Telkomsel', 'card', 'expensive', 'quota', 'expensive', 'signal', 'slow', 'emotion', 'Telkomsel', '']")</f>
        <v>['Telkomsel', 'card', 'expensive', 'quota', 'expensive', 'signal', 'slow', 'emotion', 'Telkomsel', '']</v>
      </c>
      <c r="D6819" s="3">
        <v>1.0</v>
      </c>
    </row>
    <row r="6820" ht="15.75" customHeight="1">
      <c r="A6820" s="1">
        <v>7265.0</v>
      </c>
      <c r="B6820" s="3" t="s">
        <v>6507</v>
      </c>
      <c r="C6820" s="3" t="str">
        <f>IFERROR(__xludf.DUMMYFUNCTION("GOOGLETRANSLATE(B6820,""id"",""en"")"),"['already', 'many years',' Telkomsel ',' get ',' discount ',' package ',' strange ',' unlimited ',' klu ',' already ',' out ',' quota ',' Open ',' pdhal ',' diligently ',' bngt ',' check ',' now move ',' card ',' pdhal ',' uda ',' loyal ',' bngt ',' card "&amp;"' , 'until', 'number', 'cave', 'all', 'account', 'media', 'social', 'krna', 'uda', 'think', 'replace', 'card', ' klu ',' like ',' gini ',' then ',' mending ',' replace ',' card ',' pdhal ',' tongkrongan ',' puja ',' so good ',' skrg ' , 'already', 'good',"&amp;" 'ugly', 'asix', 'tsel', '']")</f>
        <v>['already', 'many years',' Telkomsel ',' get ',' discount ',' package ',' strange ',' unlimited ',' klu ',' already ',' out ',' quota ',' Open ',' pdhal ',' diligently ',' bngt ',' check ',' now move ',' card ',' pdhal ',' uda ',' loyal ',' bngt ',' card ' , 'until', 'number', 'cave', 'all', 'account', 'media', 'social', 'krna', 'uda', 'think', 'replace', 'card', ' klu ',' like ',' gini ',' then ',' mending ',' replace ',' card ',' pdhal ',' tongkrongan ',' puja ',' so good ',' skrg ' , 'already', 'good', 'ugly', 'asix', 'tsel', '']</v>
      </c>
      <c r="D6820" s="3">
        <v>1.0</v>
      </c>
    </row>
    <row r="6821" ht="15.75" customHeight="1">
      <c r="A6821" s="1">
        <v>7266.0</v>
      </c>
      <c r="B6821" s="3" t="s">
        <v>6508</v>
      </c>
      <c r="C6821" s="3" t="str">
        <f>IFERROR(__xludf.DUMMYFUNCTION("GOOGLETRANSLATE(B6821,""id"",""en"")"),"['Network', 'down', 'slow', 'bad', 'service', 'signal', 'wait', 'disappointing', 'network', 'Indonesia']")</f>
        <v>['Network', 'down', 'slow', 'bad', 'service', 'signal', 'wait', 'disappointing', 'network', 'Indonesia']</v>
      </c>
      <c r="D6821" s="3">
        <v>1.0</v>
      </c>
    </row>
    <row r="6822" ht="15.75" customHeight="1">
      <c r="A6822" s="1">
        <v>7267.0</v>
      </c>
      <c r="B6822" s="3" t="s">
        <v>6509</v>
      </c>
      <c r="C6822" s="3" t="str">
        <f>IFERROR(__xludf.DUMMYFUNCTION("GOOGLETRANSLATE(B6822,""id"",""en"")"),"['th', 'help', 'task', 'colleague', 'in the field', 'handling', 'emergency', 'disaster', 'bnpb', 'land', 'water']")</f>
        <v>['th', 'help', 'task', 'colleague', 'in the field', 'handling', 'emergency', 'disaster', 'bnpb', 'land', 'water']</v>
      </c>
      <c r="D6822" s="3">
        <v>5.0</v>
      </c>
    </row>
    <row r="6823" ht="15.75" customHeight="1">
      <c r="A6823" s="1">
        <v>7268.0</v>
      </c>
      <c r="B6823" s="3" t="s">
        <v>6510</v>
      </c>
      <c r="C6823" s="3" t="str">
        <f>IFERROR(__xludf.DUMMYFUNCTION("GOOGLETRANSLATE(B6823,""id"",""en"")"),"['Telkomsel', 'Severe', 'card', 'Hallo', 'priority', 'now', 'price', 'expensive', 'migration', 'kekartu', 'Hallo', 'prepaid', ' PEPECCA ',' Pay ',' offers', 'migration', 'at power', 'Hallo', 'price', 'package', 'expensive', 'bonus',' at all ',' paraah ','"&amp;" turned off ' , 'Honey', 'card', 'BNYK', 'Contact', 'friendship', 'missing', 'replace', 'card', ""]")</f>
        <v>['Telkomsel', 'Severe', 'card', 'Hallo', 'priority', 'now', 'price', 'expensive', 'migration', 'kekartu', 'Hallo', 'prepaid', ' PEPECCA ',' Pay ',' offers', 'migration', 'at power', 'Hallo', 'price', 'package', 'expensive', 'bonus',' at all ',' paraah ',' turned off ' , 'Honey', 'card', 'BNYK', 'Contact', 'friendship', 'missing', 'replace', 'card', "]</v>
      </c>
      <c r="D6823" s="3">
        <v>1.0</v>
      </c>
    </row>
    <row r="6824" ht="15.75" customHeight="1">
      <c r="A6824" s="1">
        <v>7269.0</v>
      </c>
      <c r="B6824" s="3" t="s">
        <v>6511</v>
      </c>
      <c r="C6824" s="3" t="str">
        <f>IFERROR(__xludf.DUMMYFUNCTION("GOOGLETRANSLATE(B6824,""id"",""en"")"),"['Kasi', 'star', 'because', 'Satisfied', 'promo']")</f>
        <v>['Kasi', 'star', 'because', 'Satisfied', 'promo']</v>
      </c>
      <c r="D6824" s="3">
        <v>5.0</v>
      </c>
    </row>
    <row r="6825" ht="15.75" customHeight="1">
      <c r="A6825" s="1">
        <v>7270.0</v>
      </c>
      <c r="B6825" s="3" t="s">
        <v>6512</v>
      </c>
      <c r="C6825" s="3" t="str">
        <f>IFERROR(__xludf.DUMMYFUNCTION("GOOGLETRANSLATE(B6825,""id"",""en"")"),"['signal', 'your internet', 'in the future', 'broken', 'sell', 'quota', 'you', 'expensive', 'worth', 'your network']")</f>
        <v>['signal', 'your internet', 'in the future', 'broken', 'sell', 'quota', 'you', 'expensive', 'worth', 'your network']</v>
      </c>
      <c r="D6825" s="3">
        <v>1.0</v>
      </c>
    </row>
    <row r="6826" ht="15.75" customHeight="1">
      <c r="A6826" s="1">
        <v>7273.0</v>
      </c>
      <c r="B6826" s="3" t="s">
        <v>6513</v>
      </c>
      <c r="C6826" s="3" t="str">
        <f>IFERROR(__xludf.DUMMYFUNCTION("GOOGLETRANSLATE(B6826,""id"",""en"")"),"['Telkomsel', 'signal', 'area', 'smooth', 'really', 'pay', 'expensive', 'network', 'kek', 'snail', ""]")</f>
        <v>['Telkomsel', 'signal', 'area', 'smooth', 'really', 'pay', 'expensive', 'network', 'kek', 'snail', "]</v>
      </c>
      <c r="D6826" s="3">
        <v>1.0</v>
      </c>
    </row>
    <row r="6827" ht="15.75" customHeight="1">
      <c r="A6827" s="1">
        <v>7274.0</v>
      </c>
      <c r="B6827" s="3" t="s">
        <v>6514</v>
      </c>
      <c r="C6827" s="3" t="str">
        <f>IFERROR(__xludf.DUMMYFUNCTION("GOOGLETRANSLATE(B6827,""id"",""en"")"),"['network', 'down', 'crazy', 'I think', 'go bankrupt', 'you', 'hah', ""]")</f>
        <v>['network', 'down', 'crazy', 'I think', 'go bankrupt', 'you', 'hah', "]</v>
      </c>
      <c r="D6827" s="3">
        <v>1.0</v>
      </c>
    </row>
    <row r="6828" ht="15.75" customHeight="1">
      <c r="A6828" s="1">
        <v>7275.0</v>
      </c>
      <c r="B6828" s="3" t="s">
        <v>6515</v>
      </c>
      <c r="C6828" s="3" t="str">
        <f>IFERROR(__xludf.DUMMYFUNCTION("GOOGLETRANSLATE(B6828,""id"",""en"")"),"['', 'cell', 'KNPA', 'SIM', 'SIM', 'Activate', 'quota', 'card', 'SIM', 'Tsel', 'quota', 'pulse', 'browsing ',' quota ',' SIM ',' Tsel ',' SMS ',' Description ',' already ',' RB ',' access', 'internet', 'non', 'quota', 'already', 'really', 'Males',' conten"&amp;"ts', 'credit', 'harm', 'tsel', 'for', 'TLP', 'family', 'Doang', 'because', 'Severe', 'card ',' suck up ',' ']")</f>
        <v>['', 'cell', 'KNPA', 'SIM', 'SIM', 'Activate', 'quota', 'card', 'SIM', 'Tsel', 'quota', 'pulse', 'browsing ',' quota ',' SIM ',' Tsel ',' SMS ',' Description ',' already ',' RB ',' access', 'internet', 'non', 'quota', 'already', 'really', 'Males',' contents', 'credit', 'harm', 'tsel', 'for', 'TLP', 'family', 'Doang', 'because', 'Severe', 'card ',' suck up ',' ']</v>
      </c>
      <c r="D6828" s="3">
        <v>1.0</v>
      </c>
    </row>
    <row r="6829" ht="15.75" customHeight="1">
      <c r="A6829" s="1">
        <v>7276.0</v>
      </c>
      <c r="B6829" s="3" t="s">
        <v>6516</v>
      </c>
      <c r="C6829" s="3" t="str">
        <f>IFERROR(__xludf.DUMMYFUNCTION("GOOGLETRANSLATE(B6829,""id"",""en"")"),"['bacot', 'pig', 'quota', 'GB', 'contents',' pulse ',' RB ',' claim ',' quota ',' GB ',' pulse ',' ilang ',' Quota ',' GB ',' HADUH ',' Daily ',' Enter ',' Pig ']")</f>
        <v>['bacot', 'pig', 'quota', 'GB', 'contents',' pulse ',' RB ',' claim ',' quota ',' GB ',' pulse ',' ilang ',' Quota ',' GB ',' HADUH ',' Daily ',' Enter ',' Pig ']</v>
      </c>
      <c r="D6829" s="3">
        <v>1.0</v>
      </c>
    </row>
    <row r="6830" ht="15.75" customHeight="1">
      <c r="A6830" s="1">
        <v>7277.0</v>
      </c>
      <c r="B6830" s="3" t="s">
        <v>6517</v>
      </c>
      <c r="C6830" s="3" t="str">
        <f>IFERROR(__xludf.DUMMYFUNCTION("GOOGLETRANSLATE(B6830,""id"",""en"")"),"['Satisfied', 'network', 'sudden', 'missing', 'play', 'game', 'noon', 'night', 'reduce', 'dlu', 'star']")</f>
        <v>['Satisfied', 'network', 'sudden', 'missing', 'play', 'game', 'noon', 'night', 'reduce', 'dlu', 'star']</v>
      </c>
      <c r="D6830" s="3">
        <v>1.0</v>
      </c>
    </row>
    <row r="6831" ht="15.75" customHeight="1">
      <c r="A6831" s="1">
        <v>7278.0</v>
      </c>
      <c r="B6831" s="3" t="s">
        <v>6518</v>
      </c>
      <c r="C6831" s="3" t="str">
        <f>IFERROR(__xludf.DUMMYFUNCTION("GOOGLETRANSLATE(B6831,""id"",""en"")"),"['open', 'free', 'cut', 'pulse', 'buy', 'package', 'data', 'pulses', 'access', 'menu', 'slow']")</f>
        <v>['open', 'free', 'cut', 'pulse', 'buy', 'package', 'data', 'pulses', 'access', 'menu', 'slow']</v>
      </c>
      <c r="D6831" s="3">
        <v>3.0</v>
      </c>
    </row>
    <row r="6832" ht="15.75" customHeight="1">
      <c r="A6832" s="1">
        <v>7279.0</v>
      </c>
      <c r="B6832" s="3" t="s">
        <v>6519</v>
      </c>
      <c r="C6832" s="3" t="str">
        <f>IFERROR(__xludf.DUMMYFUNCTION("GOOGLETRANSLATE(B6832,""id"",""en"")"),"['', 'Look', 'comment', 'I', 'Please', 'Move', 'Card', 'Telkomsel', 'Mendelek', 'Already', 'Corruption', 'Please', 'Move ',' As soon as possible, 'reported', 'Corruption', 'Money', 'Telkomsel', 'Network', 'Mengelek', 'Repaired', 'Money', 'Taken', 'Repair'"&amp;", 'Take', 'Money', 'Haram']")</f>
        <v>['', 'Look', 'comment', 'I', 'Please', 'Move', 'Card', 'Telkomsel', 'Mendelek', 'Already', 'Corruption', 'Please', 'Move ',' As soon as possible, 'reported', 'Corruption', 'Money', 'Telkomsel', 'Network', 'Mengelek', 'Repaired', 'Money', 'Taken', 'Repair', 'Take', 'Money', 'Haram']</v>
      </c>
      <c r="D6832" s="3">
        <v>1.0</v>
      </c>
    </row>
    <row r="6833" ht="15.75" customHeight="1">
      <c r="A6833" s="1">
        <v>7280.0</v>
      </c>
      <c r="B6833" s="3" t="s">
        <v>6520</v>
      </c>
      <c r="C6833" s="3" t="str">
        <f>IFERROR(__xludf.DUMMYFUNCTION("GOOGLETRANSLATE(B6833,""id"",""en"")"),"['network', 'ugly', 'how', 'stop', 'package', 'emergency', 'because', 'need it', 'program', 'package', 'good', ""]")</f>
        <v>['network', 'ugly', 'how', 'stop', 'package', 'emergency', 'because', 'need it', 'program', 'package', 'good', "]</v>
      </c>
      <c r="D6833" s="3">
        <v>2.0</v>
      </c>
    </row>
    <row r="6834" ht="15.75" customHeight="1">
      <c r="A6834" s="1">
        <v>7281.0</v>
      </c>
      <c r="B6834" s="3" t="s">
        <v>6521</v>
      </c>
      <c r="C6834" s="3" t="str">
        <f>IFERROR(__xludf.DUMMYFUNCTION("GOOGLETRANSLATE(B6834,""id"",""en"")"),"['SUCCESS', 'Open', 'App', 'Update', 'Application', 'Open', 'Clear', 'Cache', 'Mulu']")</f>
        <v>['SUCCESS', 'Open', 'App', 'Update', 'Application', 'Open', 'Clear', 'Cache', 'Mulu']</v>
      </c>
      <c r="D6834" s="3">
        <v>1.0</v>
      </c>
    </row>
    <row r="6835" ht="15.75" customHeight="1">
      <c r="A6835" s="1">
        <v>7282.0</v>
      </c>
      <c r="B6835" s="3" t="s">
        <v>6522</v>
      </c>
      <c r="C6835" s="3" t="str">
        <f>IFERROR(__xludf.DUMMYFUNCTION("GOOGLETRANSLATE(B6835,""id"",""en"")"),"['', 'Uninstall', 'Inet', 'Telkomsel', 'istighfar', 'internet', 'GPRS', 'expensive', 'doang', 'speed', 'Kyak', 'Keong', "" ]")</f>
        <v>['', 'Uninstall', 'Inet', 'Telkomsel', 'istighfar', 'internet', 'GPRS', 'expensive', 'doang', 'speed', 'Kyak', 'Keong', " ]</v>
      </c>
      <c r="D6835" s="3">
        <v>1.0</v>
      </c>
    </row>
    <row r="6836" ht="15.75" customHeight="1">
      <c r="A6836" s="1">
        <v>7283.0</v>
      </c>
      <c r="B6836" s="3" t="s">
        <v>6523</v>
      </c>
      <c r="C6836" s="3" t="str">
        <f>IFERROR(__xludf.DUMMYFUNCTION("GOOGLETRANSLATE(B6836,""id"",""en"")"),"['Love', 'Bintang', 'Must', 'Progression', 'In the first', 'Please', 'Fix', 'Application', 'Lemot', ""]")</f>
        <v>['Love', 'Bintang', 'Must', 'Progression', 'In the first', 'Please', 'Fix', 'Application', 'Lemot', "]</v>
      </c>
      <c r="D6836" s="3">
        <v>3.0</v>
      </c>
    </row>
    <row r="6837" ht="15.75" customHeight="1">
      <c r="A6837" s="1">
        <v>7284.0</v>
      </c>
      <c r="B6837" s="3" t="s">
        <v>6524</v>
      </c>
      <c r="C6837" s="3" t="str">
        <f>IFERROR(__xludf.DUMMYFUNCTION("GOOGLETRANSLATE(B6837,""id"",""en"")"),"['response', 'fast', 'baguuuuuusssssss', 'application', '']")</f>
        <v>['response', 'fast', 'baguuuuuusssssss', 'application', '']</v>
      </c>
      <c r="D6837" s="3">
        <v>5.0</v>
      </c>
    </row>
    <row r="6838" ht="15.75" customHeight="1">
      <c r="A6838" s="1">
        <v>7285.0</v>
      </c>
      <c r="B6838" s="3" t="s">
        <v>6525</v>
      </c>
      <c r="C6838" s="3" t="str">
        <f>IFERROR(__xludf.DUMMYFUNCTION("GOOGLETRANSLATE(B6838,""id"",""en"")"),"['Wow', 'APK', 'Package', 'Cheap']")</f>
        <v>['Wow', 'APK', 'Package', 'Cheap']</v>
      </c>
      <c r="D6838" s="3">
        <v>5.0</v>
      </c>
    </row>
    <row r="6839" ht="15.75" customHeight="1">
      <c r="A6839" s="1">
        <v>7286.0</v>
      </c>
      <c r="B6839" s="3" t="s">
        <v>6526</v>
      </c>
      <c r="C6839" s="3" t="str">
        <f>IFERROR(__xludf.DUMMYFUNCTION("GOOGLETRANSLATE(B6839,""id"",""en"")"),"['Mantep', 'promo', 'min']")</f>
        <v>['Mantep', 'promo', 'min']</v>
      </c>
      <c r="D6839" s="3">
        <v>5.0</v>
      </c>
    </row>
    <row r="6840" ht="15.75" customHeight="1">
      <c r="A6840" s="1">
        <v>7287.0</v>
      </c>
      <c r="B6840" s="3" t="s">
        <v>6527</v>
      </c>
      <c r="C6840" s="3" t="str">
        <f>IFERROR(__xludf.DUMMYFUNCTION("GOOGLETRANSLATE(B6840,""id"",""en"")"),"['Please', 'Please', 'Note', 'Network', 'Telkomsel', 'Pay', 'Expensive', 'Enjoy', 'Network', 'Current', 'Nambah', 'Sin', ' network ',' slow ',' forgiveness', 'love', 'star', 'ugly', 'the network', 'fix', '']")</f>
        <v>['Please', 'Please', 'Note', 'Network', 'Telkomsel', 'Pay', 'Expensive', 'Enjoy', 'Network', 'Current', 'Nambah', 'Sin', ' network ',' slow ',' forgiveness', 'love', 'star', 'ugly', 'the network', 'fix', '']</v>
      </c>
      <c r="D6840" s="3">
        <v>1.0</v>
      </c>
    </row>
    <row r="6841" ht="15.75" customHeight="1">
      <c r="A6841" s="1">
        <v>7288.0</v>
      </c>
      <c r="B6841" s="3" t="s">
        <v>6528</v>
      </c>
      <c r="C6841" s="3" t="str">
        <f>IFERROR(__xludf.DUMMYFUNCTION("GOOGLETRANSLATE(B6841,""id"",""en"")"),"['Update', 'buy', 'description', 'ganguan']")</f>
        <v>['Update', 'buy', 'description', 'ganguan']</v>
      </c>
      <c r="D6841" s="3">
        <v>5.0</v>
      </c>
    </row>
    <row r="6842" ht="15.75" customHeight="1">
      <c r="A6842" s="1">
        <v>7289.0</v>
      </c>
      <c r="B6842" s="3" t="s">
        <v>6529</v>
      </c>
      <c r="C6842" s="3" t="str">
        <f>IFERROR(__xludf.DUMMYFUNCTION("GOOGLETRANSLATE(B6842,""id"",""en"")"),"['Hello', 'Sis',' GMN ',' APK ',' MyTelkomsel ',' UDH ',' Download ',' Pas', 'Mao', 'Caskek', 'quota', 'pulses',' Posts', 'Load', 'Page']")</f>
        <v>['Hello', 'Sis',' GMN ',' APK ',' MyTelkomsel ',' UDH ',' Download ',' Pas', 'Mao', 'Caskek', 'quota', 'pulses',' Posts', 'Load', 'Page']</v>
      </c>
      <c r="D6842" s="3">
        <v>2.0</v>
      </c>
    </row>
    <row r="6843" ht="15.75" customHeight="1">
      <c r="A6843" s="1">
        <v>7290.0</v>
      </c>
      <c r="B6843" s="3" t="s">
        <v>6530</v>
      </c>
      <c r="C6843" s="3" t="str">
        <f>IFERROR(__xludf.DUMMYFUNCTION("GOOGLETRANSLATE(B6843,""id"",""en"")"),"['Telkomsel', 'The', 'Best', 'kindness', 'customer', 'waits', 'kindness', 'Telkomsel', 'gift', 'lottery', 'car']")</f>
        <v>['Telkomsel', 'The', 'Best', 'kindness', 'customer', 'waits', 'kindness', 'Telkomsel', 'gift', 'lottery', 'car']</v>
      </c>
      <c r="D6843" s="3">
        <v>5.0</v>
      </c>
    </row>
    <row r="6844" ht="15.75" customHeight="1">
      <c r="A6844" s="1">
        <v>7291.0</v>
      </c>
      <c r="B6844" s="3" t="s">
        <v>6531</v>
      </c>
      <c r="C6844" s="3" t="str">
        <f>IFERROR(__xludf.DUMMYFUNCTION("GOOGLETRANSLATE(B6844,""id"",""en"")"),"['pulse', 'brushed', 'activated', 'quota', 'nonpacket', 'pulse', 'use', 'buy', 'package', 'quota', 'pulse', 'buy', ' package ',' signal ',' sometimes', 'likes',' ugly ',' play ',' game ',' buy ',' expensive ',' expensive ',' signal ',' malab ',' ugly ' , "&amp;"'worth']")</f>
        <v>['pulse', 'brushed', 'activated', 'quota', 'nonpacket', 'pulse', 'use', 'buy', 'package', 'quota', 'pulse', 'buy', ' package ',' signal ',' sometimes', 'likes',' ugly ',' play ',' game ',' buy ',' expensive ',' expensive ',' signal ',' malab ',' ugly ' , 'worth']</v>
      </c>
      <c r="D6844" s="3">
        <v>1.0</v>
      </c>
    </row>
    <row r="6845" ht="15.75" customHeight="1">
      <c r="A6845" s="1">
        <v>7292.0</v>
      </c>
      <c r="B6845" s="3" t="s">
        <v>6532</v>
      </c>
      <c r="C6845" s="3" t="str">
        <f>IFERROR(__xludf.DUMMYFUNCTION("GOOGLETRANSLATE(B6845,""id"",""en"")"),"['network', 'Telkomsel', 'difficult', 'down', 'macem', 'ape', 'unlimited', 'hard', 'mercy', 'min', 'solution', 'donk']")</f>
        <v>['network', 'Telkomsel', 'difficult', 'down', 'macem', 'ape', 'unlimited', 'hard', 'mercy', 'min', 'solution', 'donk']</v>
      </c>
      <c r="D6845" s="3">
        <v>1.0</v>
      </c>
    </row>
    <row r="6846" ht="15.75" customHeight="1">
      <c r="A6846" s="1">
        <v>7293.0</v>
      </c>
      <c r="B6846" s="3" t="s">
        <v>6533</v>
      </c>
      <c r="C6846" s="3" t="str">
        <f>IFERROR(__xludf.DUMMYFUNCTION("GOOGLETRANSLATE(B6846,""id"",""en"")"),"['The app', 'good', 'makes it easier', 'use', 'card', 'Telkomsel', 'system', 'check', 'prize', 'Not bad', 'Recommend', 'download', ' ']")</f>
        <v>['The app', 'good', 'makes it easier', 'use', 'card', 'Telkomsel', 'system', 'check', 'prize', 'Not bad', 'Recommend', 'download', ' ']</v>
      </c>
      <c r="D6846" s="3">
        <v>5.0</v>
      </c>
    </row>
    <row r="6847" ht="15.75" customHeight="1">
      <c r="A6847" s="1">
        <v>7294.0</v>
      </c>
      <c r="B6847" s="3" t="s">
        <v>6534</v>
      </c>
      <c r="C6847" s="3" t="str">
        <f>IFERROR(__xludf.DUMMYFUNCTION("GOOGLETRANSLATE(B6847,""id"",""en"")"),"['Min', 'promo', 'right', 'bought', 'application', 'via', 'nihil', 'information', 'process',' awaited ',' appears', 'pulses',' network ',' safe ',' gave ',' complaint ',' APK ',' Effective ',' ']")</f>
        <v>['Min', 'promo', 'right', 'bought', 'application', 'via', 'nihil', 'information', 'process',' awaited ',' appears', 'pulses',' network ',' safe ',' gave ',' complaint ',' APK ',' Effective ',' ']</v>
      </c>
      <c r="D6847" s="3">
        <v>2.0</v>
      </c>
    </row>
    <row r="6848" ht="15.75" customHeight="1">
      <c r="A6848" s="1">
        <v>7295.0</v>
      </c>
      <c r="B6848" s="3" t="s">
        <v>6535</v>
      </c>
      <c r="C6848" s="3" t="str">
        <f>IFERROR(__xludf.DUMMYFUNCTION("GOOGLETRANSLATE(B6848,""id"",""en"")"),"['Please', 'network', 'repaired', 'constraints', 'left', 'bad', 'sustainable']")</f>
        <v>['Please', 'network', 'repaired', 'constraints', 'left', 'bad', 'sustainable']</v>
      </c>
      <c r="D6848" s="3">
        <v>3.0</v>
      </c>
    </row>
    <row r="6849" ht="15.75" customHeight="1">
      <c r="A6849" s="1">
        <v>7296.0</v>
      </c>
      <c r="B6849" s="3" t="s">
        <v>6536</v>
      </c>
      <c r="C6849" s="3" t="str">
        <f>IFERROR(__xludf.DUMMYFUNCTION("GOOGLETRANSLATE(B6849,""id"",""en"")"),"['', 'Perumnas', 'Tunjung', 'Naroan', 'Signal', 'Use', 'Loss', 'Subscribe', 'Please', 'Fix']")</f>
        <v>['', 'Perumnas', 'Tunjung', 'Naroan', 'Signal', 'Use', 'Loss', 'Subscribe', 'Please', 'Fix']</v>
      </c>
      <c r="D6849" s="3">
        <v>1.0</v>
      </c>
    </row>
    <row r="6850" ht="15.75" customHeight="1">
      <c r="A6850" s="1">
        <v>7297.0</v>
      </c>
      <c r="B6850" s="3" t="s">
        <v>6537</v>
      </c>
      <c r="C6850" s="3" t="str">
        <f>IFERROR(__xludf.DUMMYFUNCTION("GOOGLETRANSLATE(B6850,""id"",""en"")"),"['network', 'Telkomsel', 'bad', 'according to', 'price', 'rates', '']")</f>
        <v>['network', 'Telkomsel', 'bad', 'according to', 'price', 'rates', '']</v>
      </c>
      <c r="D6850" s="3">
        <v>1.0</v>
      </c>
    </row>
    <row r="6851" ht="15.75" customHeight="1">
      <c r="A6851" s="1">
        <v>7298.0</v>
      </c>
      <c r="B6851" s="3" t="s">
        <v>6538</v>
      </c>
      <c r="C6851" s="3" t="str">
        <f>IFERROR(__xludf.DUMMYFUNCTION("GOOGLETRANSLATE(B6851,""id"",""en"")"),"['Telkomsel', 'signal', 'bapukkkkkk']")</f>
        <v>['Telkomsel', 'signal', 'bapukkkkkk']</v>
      </c>
      <c r="D6851" s="3">
        <v>1.0</v>
      </c>
    </row>
    <row r="6852" ht="15.75" customHeight="1">
      <c r="A6852" s="1">
        <v>7299.0</v>
      </c>
      <c r="B6852" s="3" t="s">
        <v>6539</v>
      </c>
      <c r="C6852" s="3" t="str">
        <f>IFERROR(__xludf.DUMMYFUNCTION("GOOGLETRANSLATE(B6852,""id"",""en"")"),"['Signal', 'Telkomsel', 'ugly', 'right', 'play', 'game', 'mobile', 'Legend', 'JelekParah', 'oath', 'Kayak', 'card', ' inexpensive', '']")</f>
        <v>['Signal', 'Telkomsel', 'ugly', 'right', 'play', 'game', 'mobile', 'Legend', 'JelekParah', 'oath', 'Kayak', 'card', ' inexpensive', '']</v>
      </c>
      <c r="D6852" s="3">
        <v>1.0</v>
      </c>
    </row>
    <row r="6853" ht="15.75" customHeight="1">
      <c r="A6853" s="1">
        <v>7300.0</v>
      </c>
      <c r="B6853" s="3" t="s">
        <v>6540</v>
      </c>
      <c r="C6853" s="3" t="str">
        <f>IFERROR(__xludf.DUMMYFUNCTION("GOOGLETRANSLATE(B6853,""id"",""en"")"),"['The network', 'problematic', 'buy', 'package', 'internet', 'expensive', 'expensive', 'internet', '']")</f>
        <v>['The network', 'problematic', 'buy', 'package', 'internet', 'expensive', 'expensive', 'internet', '']</v>
      </c>
      <c r="D6853" s="3">
        <v>1.0</v>
      </c>
    </row>
    <row r="6854" ht="15.75" customHeight="1">
      <c r="A6854" s="1">
        <v>7301.0</v>
      </c>
      <c r="B6854" s="3" t="s">
        <v>6541</v>
      </c>
      <c r="C6854" s="3" t="str">
        <f>IFERROR(__xludf.DUMMYFUNCTION("GOOGLETRANSLATE(B6854,""id"",""en"")"),"['buy', 'pulse', 'quota', 'price', 'Thank', 'You', 'Very', 'Much', 'Telkomsel', ""]")</f>
        <v>['buy', 'pulse', 'quota', 'price', 'Thank', 'You', 'Very', 'Much', 'Telkomsel', "]</v>
      </c>
      <c r="D6854" s="3">
        <v>5.0</v>
      </c>
    </row>
    <row r="6855" ht="15.75" customHeight="1">
      <c r="A6855" s="1">
        <v>7302.0</v>
      </c>
      <c r="B6855" s="3" t="s">
        <v>6542</v>
      </c>
      <c r="C6855" s="3" t="str">
        <f>IFERROR(__xludf.DUMMYFUNCTION("GOOGLETRANSLATE(B6855,""id"",""en"")"),"['Telkom', 'mah', 'expensive', 'doang', 'according to', 'network', 'network', 'ugly', 'disorder', 'mulu', 'regret', 'cave', ' buy ',' cave ',' suggestion ',' friend ',' friend ',' buy ',' card ',' telkom ',' open ',' internet ',' mending ',' card ',' kaya"&amp;"k ' , 'Application', 'Ancor', '']")</f>
        <v>['Telkom', 'mah', 'expensive', 'doang', 'according to', 'network', 'network', 'ugly', 'disorder', 'mulu', 'regret', 'cave', ' buy ',' cave ',' suggestion ',' friend ',' friend ',' buy ',' card ',' telkom ',' open ',' internet ',' mending ',' card ',' kayak ' , 'Application', 'Ancor', '']</v>
      </c>
      <c r="D6855" s="3">
        <v>1.0</v>
      </c>
    </row>
    <row r="6856" ht="15.75" customHeight="1">
      <c r="A6856" s="1">
        <v>7303.0</v>
      </c>
      <c r="B6856" s="3" t="s">
        <v>6543</v>
      </c>
      <c r="C6856" s="3" t="str">
        <f>IFERROR(__xludf.DUMMYFUNCTION("GOOGLETRANSLATE(B6856,""id"",""en"")"),"['Please', 'fix', 'application', 'eat', 'quota', 'internet', 'continuous',' application ',' closed ',' quota ',' drained ',' pulse ',' truncated ',' pulse ',' run out ',' thousands', 'please', 'attention', 'use', 'application', 'thank you']")</f>
        <v>['Please', 'fix', 'application', 'eat', 'quota', 'internet', 'continuous',' application ',' closed ',' quota ',' drained ',' pulse ',' truncated ',' pulse ',' run out ',' thousands', 'please', 'attention', 'use', 'application', 'thank you']</v>
      </c>
      <c r="D6856" s="3">
        <v>4.0</v>
      </c>
    </row>
    <row r="6857" ht="15.75" customHeight="1">
      <c r="A6857" s="1">
        <v>7304.0</v>
      </c>
      <c r="B6857" s="3" t="s">
        <v>6544</v>
      </c>
      <c r="C6857" s="3" t="str">
        <f>IFERROR(__xludf.DUMMYFUNCTION("GOOGLETRANSLATE(B6857,""id"",""en"")"),"['love', 'star', 'yaa', 'slow', 'cpet', 'TPI', 'pertima', 'open', 'the application', 'changan', 'slow']")</f>
        <v>['love', 'star', 'yaa', 'slow', 'cpet', 'TPI', 'pertima', 'open', 'the application', 'changan', 'slow']</v>
      </c>
      <c r="D6857" s="3">
        <v>3.0</v>
      </c>
    </row>
    <row r="6858" ht="15.75" customHeight="1">
      <c r="A6858" s="1">
        <v>7305.0</v>
      </c>
      <c r="B6858" s="3" t="s">
        <v>6545</v>
      </c>
      <c r="C6858" s="3" t="str">
        <f>IFERROR(__xludf.DUMMYFUNCTION("GOOGLETRANSLATE(B6858,""id"",""en"")"),"['promote', 'send', 'sms',' stlh ',' byr ',' sms', 'tetep', 'thousands',' pulse ',' disappear ',' pdhal ',' sms', ' Not ',' use ',' Call ',' ']")</f>
        <v>['promote', 'send', 'sms',' stlh ',' byr ',' sms', 'tetep', 'thousands',' pulse ',' disappear ',' pdhal ',' sms', ' Not ',' use ',' Call ',' ']</v>
      </c>
      <c r="D6858" s="3">
        <v>1.0</v>
      </c>
    </row>
    <row r="6859" ht="15.75" customHeight="1">
      <c r="A6859" s="1">
        <v>7306.0</v>
      </c>
      <c r="B6859" s="3" t="s">
        <v>6546</v>
      </c>
      <c r="C6859" s="3" t="str">
        <f>IFERROR(__xludf.DUMMYFUNCTION("GOOGLETRANSLATE(B6859,""id"",""en"")"),"['Speed', 'Internet']")</f>
        <v>['Speed', 'Internet']</v>
      </c>
      <c r="D6859" s="3">
        <v>5.0</v>
      </c>
    </row>
    <row r="6860" ht="15.75" customHeight="1">
      <c r="A6860" s="1">
        <v>7308.0</v>
      </c>
      <c r="B6860" s="3" t="s">
        <v>6547</v>
      </c>
      <c r="C6860" s="3" t="str">
        <f>IFERROR(__xludf.DUMMYFUNCTION("GOOGLETRANSLATE(B6860,""id"",""en"")"),"['oath', 'min', 'buy', 'pulses',' sumps', 'mulu', 'pdahal', 'me', 'udh', 'package', 'gausah', 'suck', ' Credit ',' RB ',' RB ',' Times', 'sucked', 'tired', 'I', 'buy', 'pulse', 'money', 'I', 'Sndiri', 'school' , 'Nge', 'reply', 'Mimin', 'Follow', 'Sad', '"&amp;"Blablablaa', 'I', 'Sad', 'Ngerep', 'That's',' Happy ',' Dipedin ',' ']")</f>
        <v>['oath', 'min', 'buy', 'pulses',' sumps', 'mulu', 'pdahal', 'me', 'udh', 'package', 'gausah', 'suck', ' Credit ',' RB ',' RB ',' Times', 'sucked', 'tired', 'I', 'buy', 'pulse', 'money', 'I', 'Sndiri', 'school' , 'Nge', 'reply', 'Mimin', 'Follow', 'Sad', 'Blablablaa', 'I', 'Sad', 'Ngerep', 'That's',' Happy ',' Dipedin ',' ']</v>
      </c>
      <c r="D6860" s="3">
        <v>1.0</v>
      </c>
    </row>
    <row r="6861" ht="15.75" customHeight="1">
      <c r="A6861" s="1">
        <v>7309.0</v>
      </c>
      <c r="B6861" s="3" t="s">
        <v>6548</v>
      </c>
      <c r="C6861" s="3" t="str">
        <f>IFERROR(__xludf.DUMMYFUNCTION("GOOGLETRANSLATE(B6861,""id"",""en"")"),"['Severe', 'signal', 'good', 'direct', 'down', 'gmn', 'solution', 'boro', 'ngekame', 'install', 'forgiveness',' speed ',' ']")</f>
        <v>['Severe', 'signal', 'good', 'direct', 'down', 'gmn', 'solution', 'boro', 'ngekame', 'install', 'forgiveness',' speed ',' ']</v>
      </c>
      <c r="D6861" s="3">
        <v>1.0</v>
      </c>
    </row>
    <row r="6862" ht="15.75" customHeight="1">
      <c r="A6862" s="1">
        <v>7310.0</v>
      </c>
      <c r="B6862" s="3" t="s">
        <v>6549</v>
      </c>
      <c r="C6862" s="3" t="str">
        <f>IFERROR(__xludf.DUMMYFUNCTION("GOOGLETRANSLATE(B6862,""id"",""en"")"),"['pls',' Addin ',' Features', 'Non', 'On', 'Quota', 'Ministry of Education and Culture', 'Morning', 'Morning', 'Quota', 'Ministry of Education', 'Gabisa', ' play ',' ama ',' pub ',' ngelag ',' bet ',' star ',' sorry ']")</f>
        <v>['pls',' Addin ',' Features', 'Non', 'On', 'Quota', 'Ministry of Education and Culture', 'Morning', 'Morning', 'Quota', 'Ministry of Education', 'Gabisa', ' play ',' ama ',' pub ',' ngelag ',' bet ',' star ',' sorry ']</v>
      </c>
      <c r="D6862" s="3">
        <v>1.0</v>
      </c>
    </row>
    <row r="6863" ht="15.75" customHeight="1">
      <c r="A6863" s="1">
        <v>7311.0</v>
      </c>
      <c r="B6863" s="3" t="s">
        <v>6550</v>
      </c>
      <c r="C6863" s="3" t="str">
        <f>IFERROR(__xludf.DUMMYFUNCTION("GOOGLETRANSLATE(B6863,""id"",""en"")"),"['Paketan', 'expensive', 'signal', 'stable', 'work', 'right', 'boss']")</f>
        <v>['Paketan', 'expensive', 'signal', 'stable', 'work', 'right', 'boss']</v>
      </c>
      <c r="D6863" s="3">
        <v>2.0</v>
      </c>
    </row>
    <row r="6864" ht="15.75" customHeight="1">
      <c r="A6864" s="1">
        <v>7312.0</v>
      </c>
      <c r="B6864" s="3" t="s">
        <v>6551</v>
      </c>
      <c r="C6864" s="3" t="str">
        <f>IFERROR(__xludf.DUMMYFUNCTION("GOOGLETRANSLATE(B6864,""id"",""en"")"),"['Dear', 'Mimin', 'Situkang', 'Sad', 'Dead', 'Direct', 'Solution', 'Direct', 'People', 'Open', 'Application', 'Basic', ' greedy', '']")</f>
        <v>['Dear', 'Mimin', 'Situkang', 'Sad', 'Dead', 'Direct', 'Solution', 'Direct', 'People', 'Open', 'Application', 'Basic', ' greedy', '']</v>
      </c>
      <c r="D6864" s="3">
        <v>1.0</v>
      </c>
    </row>
    <row r="6865" ht="15.75" customHeight="1">
      <c r="A6865" s="1">
        <v>7313.0</v>
      </c>
      <c r="B6865" s="3" t="s">
        <v>4415</v>
      </c>
      <c r="C6865" s="3" t="str">
        <f>IFERROR(__xludf.DUMMYFUNCTION("GOOGLETRANSLATE(B6865,""id"",""en"")"),"['Application', 'help', ""]")</f>
        <v>['Application', 'help', "]</v>
      </c>
      <c r="D6865" s="3">
        <v>4.0</v>
      </c>
    </row>
    <row r="6866" ht="15.75" customHeight="1">
      <c r="A6866" s="1">
        <v>7314.0</v>
      </c>
      <c r="B6866" s="3" t="s">
        <v>6552</v>
      </c>
      <c r="C6866" s="3" t="str">
        <f>IFERROR(__xludf.DUMMYFUNCTION("GOOGLETRANSLATE(B6866,""id"",""en"")"),"['Good', 'easy', 'use', 'promo', 'guys', 'Telkomsel', 'best', '']")</f>
        <v>['Good', 'easy', 'use', 'promo', 'guys', 'Telkomsel', 'best', '']</v>
      </c>
      <c r="D6866" s="3">
        <v>3.0</v>
      </c>
    </row>
    <row r="6867" ht="15.75" customHeight="1">
      <c r="A6867" s="1">
        <v>7315.0</v>
      </c>
      <c r="B6867" s="3" t="s">
        <v>6553</v>
      </c>
      <c r="C6867" s="3" t="str">
        <f>IFERROR(__xludf.DUMMYFUNCTION("GOOGLETRANSLATE(B6867,""id"",""en"")"),"['Signal', 'Bad', 'pketan', 'pling', 'mhal', 'fix', 'replace', 'indosat', 'right', 'rotten', 'provider', 'belibpack', ' Mahalbtp ',' Leet ',' cuihhh ']")</f>
        <v>['Signal', 'Bad', 'pketan', 'pling', 'mhal', 'fix', 'replace', 'indosat', 'right', 'rotten', 'provider', 'belibpack', ' Mahalbtp ',' Leet ',' cuihhh ']</v>
      </c>
      <c r="D6867" s="3">
        <v>1.0</v>
      </c>
    </row>
    <row r="6868" ht="15.75" customHeight="1">
      <c r="A6868" s="1">
        <v>7316.0</v>
      </c>
      <c r="B6868" s="3" t="s">
        <v>6554</v>
      </c>
      <c r="C6868" s="3" t="str">
        <f>IFERROR(__xludf.DUMMYFUNCTION("GOOGLETRANSLATE(B6868,""id"",""en"")"),"['signal', 'bad', 'lose', 'Three', 'moved', 'Three', '']")</f>
        <v>['signal', 'bad', 'lose', 'Three', 'moved', 'Three', '']</v>
      </c>
      <c r="D6868" s="3">
        <v>1.0</v>
      </c>
    </row>
    <row r="6869" ht="15.75" customHeight="1">
      <c r="A6869" s="1">
        <v>7317.0</v>
      </c>
      <c r="B6869" s="3" t="s">
        <v>6555</v>
      </c>
      <c r="C6869" s="3" t="str">
        <f>IFERROR(__xludf.DUMMYFUNCTION("GOOGLETRANSLATE(B6869,""id"",""en"")"),"['bad', 'network', 'down', 'network', 'lost', 'use', 'Telkomsel', 'loss',' UDH ',' expensive ',' service ',' bad ',' "", 'tutorial']")</f>
        <v>['bad', 'network', 'down', 'network', 'lost', 'use', 'Telkomsel', 'loss',' UDH ',' expensive ',' service ',' bad ',' ", 'tutorial']</v>
      </c>
      <c r="D6869" s="3">
        <v>1.0</v>
      </c>
    </row>
    <row r="6870" ht="15.75" customHeight="1">
      <c r="A6870" s="1">
        <v>7318.0</v>
      </c>
      <c r="B6870" s="3" t="s">
        <v>6556</v>
      </c>
      <c r="C6870" s="3" t="str">
        <f>IFERROR(__xludf.DUMMYFUNCTION("GOOGLETRANSLATE(B6870,""id"",""en"")"),"['Telkomsel', 'bnggsat', 'cave', 'buy', 'quota', 'game', 'ngellag', 'ngellag', 'anjj school', 'please', 'uabg', 'useful', ' Eating ',' Anjjing ',' Cave ',' Maen ',' Game ',' Jring ',' Sometimes', 'Ijo', 'Sometimes',' Red ',' Bnggst ',' Cave ',' AFK ' , 't"&amp;"russs', 'knntol', 'emotion', 'telkomseee', 'bnggsat']")</f>
        <v>['Telkomsel', 'bnggsat', 'cave', 'buy', 'quota', 'game', 'ngellag', 'ngellag', 'anjj school', 'please', 'uabg', 'useful', ' Eating ',' Anjjing ',' Cave ',' Maen ',' Game ',' Jring ',' Sometimes', 'Ijo', 'Sometimes',' Red ',' Bnggst ',' Cave ',' AFK ' , 'trusss', 'knntol', 'emotion', 'telkomseee', 'bnggsat']</v>
      </c>
      <c r="D6870" s="3">
        <v>1.0</v>
      </c>
    </row>
    <row r="6871" ht="15.75" customHeight="1">
      <c r="A6871" s="1">
        <v>7319.0</v>
      </c>
      <c r="B6871" s="3" t="s">
        <v>6557</v>
      </c>
      <c r="C6871" s="3" t="str">
        <f>IFERROR(__xludf.DUMMYFUNCTION("GOOGLETRANSLATE(B6871,""id"",""en"")"),"['payment', 'via', 'Shopeepay', 'Fund', 'Difficult', 'Loading', 'Sometimes', 'System', 'Troubled']")</f>
        <v>['payment', 'via', 'Shopeepay', 'Fund', 'Difficult', 'Loading', 'Sometimes', 'System', 'Troubled']</v>
      </c>
      <c r="D6871" s="3">
        <v>2.0</v>
      </c>
    </row>
    <row r="6872" ht="15.75" customHeight="1">
      <c r="A6872" s="1">
        <v>7321.0</v>
      </c>
      <c r="B6872" s="3" t="s">
        <v>6558</v>
      </c>
      <c r="C6872" s="3" t="str">
        <f>IFERROR(__xludf.DUMMYFUNCTION("GOOGLETRANSLATE(B6872,""id"",""en"")"),"['Contents', 'Credit', 'enter', 'enter', 'yaa', 'operator', 'enter', 'enter']")</f>
        <v>['Contents', 'Credit', 'enter', 'enter', 'yaa', 'operator', 'enter', 'enter']</v>
      </c>
      <c r="D6872" s="3">
        <v>2.0</v>
      </c>
    </row>
    <row r="6873" ht="15.75" customHeight="1">
      <c r="A6873" s="1">
        <v>7322.0</v>
      </c>
      <c r="B6873" s="3" t="s">
        <v>6559</v>
      </c>
      <c r="C6873" s="3" t="str">
        <f>IFERROR(__xludf.DUMMYFUNCTION("GOOGLETRANSLATE(B6873,""id"",""en"")"),"['right', 'play', 'games',' mobile ',' legend ',' network ',' slow ',' really ',' severe ',' quota ',' smooth ',' add ',' slow']")</f>
        <v>['right', 'play', 'games',' mobile ',' legend ',' network ',' slow ',' really ',' severe ',' quota ',' smooth ',' add ',' slow']</v>
      </c>
      <c r="D6873" s="3">
        <v>1.0</v>
      </c>
    </row>
    <row r="6874" ht="15.75" customHeight="1">
      <c r="A6874" s="1">
        <v>7323.0</v>
      </c>
      <c r="B6874" s="3" t="s">
        <v>6560</v>
      </c>
      <c r="C6874" s="3" t="str">
        <f>IFERROR(__xludf.DUMMYFUNCTION("GOOGLETRANSLATE(B6874,""id"",""en"")"),"['The application', 'good', 'just', 'network', 'ugly', 'slow', 'buy', 'package', 'expensive', 'buy', 'week', 'disappointed', ' Bangat ',' because ',' is 'ugly', 'slow', '']")</f>
        <v>['The application', 'good', 'just', 'network', 'ugly', 'slow', 'buy', 'package', 'expensive', 'buy', 'week', 'disappointed', ' Bangat ',' because ',' is 'ugly', 'slow', '']</v>
      </c>
      <c r="D6874" s="3">
        <v>1.0</v>
      </c>
    </row>
    <row r="6875" ht="15.75" customHeight="1">
      <c r="A6875" s="1">
        <v>7324.0</v>
      </c>
      <c r="B6875" s="3" t="s">
        <v>6561</v>
      </c>
      <c r="C6875" s="3" t="str">
        <f>IFERROR(__xludf.DUMMYFUNCTION("GOOGLETRANSLATE(B6875,""id"",""en"")"),"['Features', 'Stay', 'Features', 'Copy', 'Phone', 'Number', 'Features', 'Star', 'Raise', ""]")</f>
        <v>['Features', 'Stay', 'Features', 'Copy', 'Phone', 'Number', 'Features', 'Star', 'Raise', "]</v>
      </c>
      <c r="D6875" s="3">
        <v>1.0</v>
      </c>
    </row>
    <row r="6876" ht="15.75" customHeight="1">
      <c r="A6876" s="1">
        <v>7325.0</v>
      </c>
      <c r="B6876" s="3" t="s">
        <v>6562</v>
      </c>
      <c r="C6876" s="3" t="str">
        <f>IFERROR(__xludf.DUMMYFUNCTION("GOOGLETRANSLATE(B6876,""id"",""en"")"),"['Here', 'Maling', 'Credit', 'Pulsaku', 'Piningin', 'Sampek', 'PDHL', 'Kouta', 'PERRH', 'TLP', 'Kenda', 'Maling', ' Credit ',' stupid ',' represent ',' people ',' DLUAR ',' SENATIP ',' Bener ',' Harm ',' ']")</f>
        <v>['Here', 'Maling', 'Credit', 'Pulsaku', 'Piningin', 'Sampek', 'PDHL', 'Kouta', 'PERRH', 'TLP', 'Kenda', 'Maling', ' Credit ',' stupid ',' represent ',' people ',' DLUAR ',' SENATIP ',' Bener ',' Harm ',' ']</v>
      </c>
      <c r="D6876" s="3">
        <v>1.0</v>
      </c>
    </row>
    <row r="6877" ht="15.75" customHeight="1">
      <c r="A6877" s="1">
        <v>7326.0</v>
      </c>
      <c r="B6877" s="3" t="s">
        <v>6563</v>
      </c>
      <c r="C6877" s="3" t="str">
        <f>IFERROR(__xludf.DUMMYFUNCTION("GOOGLETRANSLATE(B6877,""id"",""en"")"),"['useful', 'feature', 'buy', 'package', 'application', 'number', 'suggestion', 'little', 'feature', 'data', 'rollever', 'safety', ' pulses', 'donk', 'plagiarism', 'features',' operator ',' ']")</f>
        <v>['useful', 'feature', 'buy', 'package', 'application', 'number', 'suggestion', 'little', 'feature', 'data', 'rollever', 'safety', ' pulses', 'donk', 'plagiarism', 'features',' operator ',' ']</v>
      </c>
      <c r="D6877" s="3">
        <v>4.0</v>
      </c>
    </row>
    <row r="6878" ht="15.75" customHeight="1">
      <c r="A6878" s="1">
        <v>7327.0</v>
      </c>
      <c r="B6878" s="3" t="s">
        <v>6564</v>
      </c>
      <c r="C6878" s="3" t="str">
        <f>IFERROR(__xludf.DUMMYFUNCTION("GOOGLETRANSLATE(B6878,""id"",""en"")"),"['Disappointed', 'Telkomsel', 'already', 'network', 'tsel', 'break up', 'broke', 'play', 'game', 'ngelag', 'times',' please ',' fast ',' fix ']")</f>
        <v>['Disappointed', 'Telkomsel', 'already', 'network', 'tsel', 'break up', 'broke', 'play', 'game', 'ngelag', 'times',' please ',' fast ',' fix ']</v>
      </c>
      <c r="D6878" s="3">
        <v>3.0</v>
      </c>
    </row>
    <row r="6879" ht="15.75" customHeight="1">
      <c r="A6879" s="1">
        <v>7328.0</v>
      </c>
      <c r="B6879" s="3" t="s">
        <v>6565</v>
      </c>
      <c r="C6879" s="3" t="str">
        <f>IFERROR(__xludf.DUMMYFUNCTION("GOOGLETRANSLATE(B6879,""id"",""en"")"),"['likes', 'internet', 'Telkomsel', 'ugly', 'please', 'fix', '']")</f>
        <v>['likes', 'internet', 'Telkomsel', 'ugly', 'please', 'fix', '']</v>
      </c>
      <c r="D6879" s="3">
        <v>1.0</v>
      </c>
    </row>
    <row r="6880" ht="15.75" customHeight="1">
      <c r="A6880" s="1">
        <v>7329.0</v>
      </c>
      <c r="B6880" s="3" t="s">
        <v>6566</v>
      </c>
      <c r="C6880" s="3" t="str">
        <f>IFERROR(__xludf.DUMMYFUNCTION("GOOGLETRANSLATE(B6880,""id"",""en"")"),"['play', 'game', 'lag', 'signal', 'please', 'repaired', 'Telkomsel', 'fix', 'love', 'star', ""]")</f>
        <v>['play', 'game', 'lag', 'signal', 'please', 'repaired', 'Telkomsel', 'fix', 'love', 'star', "]</v>
      </c>
      <c r="D6880" s="3">
        <v>1.0</v>
      </c>
    </row>
    <row r="6881" ht="15.75" customHeight="1">
      <c r="A6881" s="1">
        <v>7330.0</v>
      </c>
      <c r="B6881" s="3" t="s">
        <v>6567</v>
      </c>
      <c r="C6881" s="3" t="str">
        <f>IFERROR(__xludf.DUMMYFUNCTION("GOOGLETRANSLATE(B6881,""id"",""en"")"),"['opened', 'the application', 'slow', 'the application', 'closed', 'fix']")</f>
        <v>['opened', 'the application', 'slow', 'the application', 'closed', 'fix']</v>
      </c>
      <c r="D6881" s="3">
        <v>2.0</v>
      </c>
    </row>
    <row r="6882" ht="15.75" customHeight="1">
      <c r="A6882" s="1">
        <v>7331.0</v>
      </c>
      <c r="B6882" s="3" t="s">
        <v>6568</v>
      </c>
      <c r="C6882" s="3" t="str">
        <f>IFERROR(__xludf.DUMMYFUNCTION("GOOGLETRANSLATE(B6882,""id"",""en"")"),"['kah', 'network', 'Telkomsel', 'ugly', 'price', 'no', 'blame', 'quality', 'network', 'according to', 'Telkomsel', 'Please', ' Improvements', 'Thank you', '']")</f>
        <v>['kah', 'network', 'Telkomsel', 'ugly', 'price', 'no', 'blame', 'quality', 'network', 'according to', 'Telkomsel', 'Please', ' Improvements', 'Thank you', '']</v>
      </c>
      <c r="D6882" s="3">
        <v>1.0</v>
      </c>
    </row>
    <row r="6883" ht="15.75" customHeight="1">
      <c r="A6883" s="1">
        <v>7332.0</v>
      </c>
      <c r="B6883" s="3" t="s">
        <v>6569</v>
      </c>
      <c r="C6883" s="3" t="str">
        <f>IFERROR(__xludf.DUMMYFUNCTION("GOOGLETRANSLATE(B6883,""id"",""en"")"),"['Telkomsel', 'abandoned', 'customer', 'signal', 'difficult', 'price', 'compete']")</f>
        <v>['Telkomsel', 'abandoned', 'customer', 'signal', 'difficult', 'price', 'compete']</v>
      </c>
      <c r="D6883" s="3">
        <v>1.0</v>
      </c>
    </row>
    <row r="6884" ht="15.75" customHeight="1">
      <c r="A6884" s="1">
        <v>7333.0</v>
      </c>
      <c r="B6884" s="3" t="s">
        <v>6570</v>
      </c>
      <c r="C6884" s="3" t="str">
        <f>IFERROR(__xludf.DUMMYFUNCTION("GOOGLETRANSLATE(B6884,""id"",""en"")"),"['Accept', 'Love', 'Telkomsel', 'Debt', 'Telkomsel', 'Maap', 'Sis',' Telkomsel ',' Best ',' Anyway ',' Signal ',' Optimal ',' Sometimes', 'good', 'sometimes',' ugly ',' please ',' repaired ',' kak ']")</f>
        <v>['Accept', 'Love', 'Telkomsel', 'Debt', 'Telkomsel', 'Maap', 'Sis',' Telkomsel ',' Best ',' Anyway ',' Signal ',' Optimal ',' Sometimes', 'good', 'sometimes',' ugly ',' please ',' repaired ',' kak ']</v>
      </c>
      <c r="D6884" s="3">
        <v>4.0</v>
      </c>
    </row>
    <row r="6885" ht="15.75" customHeight="1">
      <c r="A6885" s="1">
        <v>7334.0</v>
      </c>
      <c r="B6885" s="3" t="s">
        <v>6571</v>
      </c>
      <c r="C6885" s="3" t="str">
        <f>IFERROR(__xludf.DUMMYFUNCTION("GOOGLETRANSLATE(B6885,""id"",""en"")"),"['network', 'internet', 'area', 'nature', 'silk', 'tangerang', 'south', 'bca', 'nature', 'silk', '']")</f>
        <v>['network', 'internet', 'area', 'nature', 'silk', 'tangerang', 'south', 'bca', 'nature', 'silk', '']</v>
      </c>
      <c r="D6885" s="3">
        <v>4.0</v>
      </c>
    </row>
    <row r="6886" ht="15.75" customHeight="1">
      <c r="A6886" s="1">
        <v>7335.0</v>
      </c>
      <c r="B6886" s="3" t="s">
        <v>6572</v>
      </c>
      <c r="C6886" s="3" t="str">
        <f>IFERROR(__xludf.DUMMYFUNCTION("GOOGLETRANSLATE(B6886,""id"",""en"")"),"['crazy', 'cave', 'buy', 'package', 'expensive', 'signal', 'shy', 'in', 'cloudy', 'ujan', 'make', 'Telkomsel', ' already ',' good ',' complement ',' chat ',' personal ',' told ',' contact ',' via ',' twitter ',' line ',' apalah ',' answer ',' told ' , 're"&amp;"start', 'settings', 'VPN', 'action', 'satisfying', 'cave', 'stay', 'amid "",' city ',' area ',' Ancurr ',' signal ',' Suggestion ',' Provider ',' Good ',' ']")</f>
        <v>['crazy', 'cave', 'buy', 'package', 'expensive', 'signal', 'shy', 'in', 'cloudy', 'ujan', 'make', 'Telkomsel', ' already ',' good ',' complement ',' chat ',' personal ',' told ',' contact ',' via ',' twitter ',' line ',' apalah ',' answer ',' told ' , 'restart', 'settings', 'VPN', 'action', 'satisfying', 'cave', 'stay', 'amid ",' city ',' area ',' Ancurr ',' signal ',' Suggestion ',' Provider ',' Good ',' ']</v>
      </c>
      <c r="D6886" s="3">
        <v>1.0</v>
      </c>
    </row>
    <row r="6887" ht="15.75" customHeight="1">
      <c r="A6887" s="1">
        <v>7336.0</v>
      </c>
      <c r="B6887" s="3" t="s">
        <v>6573</v>
      </c>
      <c r="C6887" s="3" t="str">
        <f>IFERROR(__xludf.DUMMYFUNCTION("GOOGLETRANSLATE(B6887,""id"",""en"")"),"['Telkomsel', 'dilapidated', 'siknyal', 'missing', '']")</f>
        <v>['Telkomsel', 'dilapidated', 'siknyal', 'missing', '']</v>
      </c>
      <c r="D6887" s="3">
        <v>2.0</v>
      </c>
    </row>
    <row r="6888" ht="15.75" customHeight="1">
      <c r="A6888" s="1">
        <v>7337.0</v>
      </c>
      <c r="B6888" s="3" t="s">
        <v>6574</v>
      </c>
      <c r="C6888" s="3" t="str">
        <f>IFERROR(__xludf.DUMMYFUNCTION("GOOGLETRANSLATE(B6888,""id"",""en"")"),"['APK', 'bsa', 'help', 'contents', 'pulse']")</f>
        <v>['APK', 'bsa', 'help', 'contents', 'pulse']</v>
      </c>
      <c r="D6888" s="3">
        <v>5.0</v>
      </c>
    </row>
    <row r="6889" ht="15.75" customHeight="1">
      <c r="A6889" s="1">
        <v>7338.0</v>
      </c>
      <c r="B6889" s="3" t="s">
        <v>6575</v>
      </c>
      <c r="C6889" s="3" t="str">
        <f>IFERROR(__xludf.DUMMYFUNCTION("GOOGLETRANSLATE(B6889,""id"",""en"")"),"['', 'Telkomsel', 'staple', 'application', 'recommended', 'bnget', 'application', 'all-round', 'flexible', 'promo', 'interesting', 'chance', 'program ',' Lottery ']")</f>
        <v>['', 'Telkomsel', 'staple', 'application', 'recommended', 'bnget', 'application', 'all-round', 'flexible', 'promo', 'interesting', 'chance', 'program ',' Lottery ']</v>
      </c>
      <c r="D6889" s="3">
        <v>5.0</v>
      </c>
    </row>
    <row r="6890" ht="15.75" customHeight="1">
      <c r="A6890" s="1">
        <v>7339.0</v>
      </c>
      <c r="B6890" s="3" t="s">
        <v>6576</v>
      </c>
      <c r="C6890" s="3" t="str">
        <f>IFERROR(__xludf.DUMMYFUNCTION("GOOGLETRANSLATE(B6890,""id"",""en"")"),"['What', 'Telkomsel', 'lag', 'buy', 'combo', 'Sakti', 'quota', 'main', 'pay', 'expensive', 'quality', 'bad', ' Telkomsel ',' UDH ',' Rich ',' DLU ',' Disappointed ',' Telkomsel ', ""]")</f>
        <v>['What', 'Telkomsel', 'lag', 'buy', 'combo', 'Sakti', 'quota', 'main', 'pay', 'expensive', 'quality', 'bad', ' Telkomsel ',' UDH ',' Rich ',' DLU ',' Disappointed ',' Telkomsel ', "]</v>
      </c>
      <c r="D6890" s="3">
        <v>1.0</v>
      </c>
    </row>
    <row r="6891" ht="15.75" customHeight="1">
      <c r="A6891" s="1">
        <v>7340.0</v>
      </c>
      <c r="B6891" s="3" t="s">
        <v>6577</v>
      </c>
      <c r="C6891" s="3" t="str">
        <f>IFERROR(__xludf.DUMMYFUNCTION("GOOGLETRANSLATE(B6891,""id"",""en"")"),"['APL', 'good', 'supports', 'dlm', 'promo']")</f>
        <v>['APL', 'good', 'supports', 'dlm', 'promo']</v>
      </c>
      <c r="D6891" s="3">
        <v>3.0</v>
      </c>
    </row>
    <row r="6892" ht="15.75" customHeight="1">
      <c r="A6892" s="1">
        <v>7341.0</v>
      </c>
      <c r="B6892" s="3" t="s">
        <v>6578</v>
      </c>
      <c r="C6892" s="3" t="str">
        <f>IFERROR(__xludf.DUMMYFUNCTION("GOOGLETRANSLATE(B6892,""id"",""en"")"),"['Buy', 'Package', 'Combo', 'Sakti', 'Pay', 'Gopay', 'Quota', 'Enter']")</f>
        <v>['Buy', 'Package', 'Combo', 'Sakti', 'Pay', 'Gopay', 'Quota', 'Enter']</v>
      </c>
      <c r="D6892" s="3">
        <v>1.0</v>
      </c>
    </row>
    <row r="6893" ht="15.75" customHeight="1">
      <c r="A6893" s="1">
        <v>7342.0</v>
      </c>
      <c r="B6893" s="3" t="s">
        <v>6579</v>
      </c>
      <c r="C6893" s="3" t="str">
        <f>IFERROR(__xludf.DUMMYFUNCTION("GOOGLETRANSLATE(B6893,""id"",""en"")"),"['pulse', 'eaten', 'provider', 'package', 'active', 'remaining', 'package', 'GB', 'pulse', 'sealed', 'signal', 'slow', ' Mending ',' Move ',' Provider ',' ']")</f>
        <v>['pulse', 'eaten', 'provider', 'package', 'active', 'remaining', 'package', 'GB', 'pulse', 'sealed', 'signal', 'slow', ' Mending ',' Move ',' Provider ',' ']</v>
      </c>
      <c r="D6893" s="3">
        <v>1.0</v>
      </c>
    </row>
    <row r="6894" ht="15.75" customHeight="1">
      <c r="A6894" s="1">
        <v>7343.0</v>
      </c>
      <c r="B6894" s="3" t="s">
        <v>6580</v>
      </c>
      <c r="C6894" s="3" t="str">
        <f>IFERROR(__xludf.DUMMYFUNCTION("GOOGLETRANSLATE(B6894,""id"",""en"")"),"['ugly', 'really', 'signal', 'Telkomsel', 'disappointed', 'deh', 'already', 'tlpn', 'ngak', 'repair', 'hedehhh', ""]")</f>
        <v>['ugly', 'really', 'signal', 'Telkomsel', 'disappointed', 'deh', 'already', 'tlpn', 'ngak', 'repair', 'hedehhh', "]</v>
      </c>
      <c r="D6894" s="3">
        <v>1.0</v>
      </c>
    </row>
    <row r="6895" ht="15.75" customHeight="1">
      <c r="A6895" s="1">
        <v>7344.0</v>
      </c>
      <c r="B6895" s="3" t="s">
        <v>6581</v>
      </c>
      <c r="C6895" s="3" t="str">
        <f>IFERROR(__xludf.DUMMYFUNCTION("GOOGLETRANSLATE(B6895,""id"",""en"")"),"['semalem', 'Jaringn', 'Gini', 'smooth', 'Ngegame', 'Kntol', 'Lost', 'Ama', 'Indosat', 'Ngegame', 'Current', ' Bet ',' Hadehh ',' gini ',' expensive ',' ajaa ',' quality ',' bad ',' ']")</f>
        <v>['semalem', 'Jaringn', 'Gini', 'smooth', 'Ngegame', 'Kntol', 'Lost', 'Ama', 'Indosat', 'Ngegame', 'Current', ' Bet ',' Hadehh ',' gini ',' expensive ',' ajaa ',' quality ',' bad ',' ']</v>
      </c>
      <c r="D6895" s="3">
        <v>1.0</v>
      </c>
    </row>
    <row r="6896" ht="15.75" customHeight="1">
      <c r="A6896" s="1">
        <v>7345.0</v>
      </c>
      <c r="B6896" s="3" t="s">
        <v>6582</v>
      </c>
      <c r="C6896" s="3" t="str">
        <f>IFERROR(__xludf.DUMMYFUNCTION("GOOGLETRANSLATE(B6896,""id"",""en"")"),"['suggestion', 'ideas',' gmn ',' klw ',' telkomsel ',' idea ',' klw ',' customer ',' pulses', 'make', 'money', 'Linkaja', ' because ',' pulse ',' package ',' make ',' money ',' pull ',' Linkaja ',' Please ',' donk ',' klw ',' pulse ',' make ',' money ' , "&amp;"'Linkaja', 'materialized', 'minimal', 'pulse', 'money', 'hehehe', 'just', 'suggestion', 'mantab', 'klw']")</f>
        <v>['suggestion', 'ideas',' gmn ',' klw ',' telkomsel ',' idea ',' klw ',' customer ',' pulses', 'make', 'money', 'Linkaja', ' because ',' pulse ',' package ',' make ',' money ',' pull ',' Linkaja ',' Please ',' donk ',' klw ',' pulse ',' make ',' money ' , 'Linkaja', 'materialized', 'minimal', 'pulse', 'money', 'hehehe', 'just', 'suggestion', 'mantab', 'klw']</v>
      </c>
      <c r="D6896" s="3">
        <v>5.0</v>
      </c>
    </row>
    <row r="6897" ht="15.75" customHeight="1">
      <c r="A6897" s="1">
        <v>7346.0</v>
      </c>
      <c r="B6897" s="3" t="s">
        <v>6583</v>
      </c>
      <c r="C6897" s="3" t="str">
        <f>IFERROR(__xludf.DUMMYFUNCTION("GOOGLETRANSLATE(B6897,""id"",""en"")"),"['Please', 'fix', 'network', 'annoying', 'activity', 'play', 'game', 'online', 'user', 'loyal', 'tsel', 'feel', ' disappointed ',' package ',' data ',' expensive ',' network ',' according to ',' price ',' quality ',' thank you ', ""]")</f>
        <v>['Please', 'fix', 'network', 'annoying', 'activity', 'play', 'game', 'online', 'user', 'loyal', 'tsel', 'feel', ' disappointed ',' package ',' data ',' expensive ',' network ',' according to ',' price ',' quality ',' thank you ', "]</v>
      </c>
      <c r="D6897" s="3">
        <v>1.0</v>
      </c>
    </row>
    <row r="6898" ht="15.75" customHeight="1">
      <c r="A6898" s="1">
        <v>7347.0</v>
      </c>
      <c r="B6898" s="3" t="s">
        <v>6584</v>
      </c>
      <c r="C6898" s="3" t="str">
        <f>IFERROR(__xludf.DUMMYFUNCTION("GOOGLETRANSLATE(B6898,""id"",""en"")"),"['like', 'fast', 'easy', 'people', 'happy']")</f>
        <v>['like', 'fast', 'easy', 'people', 'happy']</v>
      </c>
      <c r="D6898" s="3">
        <v>5.0</v>
      </c>
    </row>
    <row r="6899" ht="15.75" customHeight="1">
      <c r="A6899" s="1">
        <v>7348.0</v>
      </c>
      <c r="B6899" s="3" t="s">
        <v>6585</v>
      </c>
      <c r="C6899" s="3" t="str">
        <f>IFERROR(__xludf.DUMMYFUNCTION("GOOGLETRANSLATE(B6899,""id"",""en"")"),"['Keapasih', 'in', 'SMS', 'Nawarin', 'Loan', 'SMS', 'Fraud', 'Data', 'Customer', 'Bocorr', 'Please', 'Noted', ' Customers', 'enegg', 'ketall', '']")</f>
        <v>['Keapasih', 'in', 'SMS', 'Nawarin', 'Loan', 'SMS', 'Fraud', 'Data', 'Customer', 'Bocorr', 'Please', 'Noted', ' Customers', 'enegg', 'ketall', '']</v>
      </c>
      <c r="D6899" s="3">
        <v>1.0</v>
      </c>
    </row>
    <row r="6900" ht="15.75" customHeight="1">
      <c r="A6900" s="1">
        <v>7349.0</v>
      </c>
      <c r="B6900" s="3" t="s">
        <v>6586</v>
      </c>
      <c r="C6900" s="3" t="str">
        <f>IFERROR(__xludf.DUMMYFUNCTION("GOOGLETRANSLATE(B6900,""id"",""en"")"),"['Pakek', 'Telkomsel', 'no', 'profit', 'loss',' quota ',' cheap ',' strength ',' signal ',' limited ',' strategy ',' marketing ',' ']")</f>
        <v>['Pakek', 'Telkomsel', 'no', 'profit', 'loss',' quota ',' cheap ',' strength ',' signal ',' limited ',' strategy ',' marketing ',' ']</v>
      </c>
      <c r="D6900" s="3">
        <v>1.0</v>
      </c>
    </row>
    <row r="6901" ht="15.75" customHeight="1">
      <c r="A6901" s="1">
        <v>7350.0</v>
      </c>
      <c r="B6901" s="3" t="s">
        <v>6587</v>
      </c>
      <c r="C6901" s="3" t="str">
        <f>IFERROR(__xludf.DUMMYFUNCTION("GOOGLETRANSLATE(B6901,""id"",""en"")"),"['', 'Telkom', 'Update', 'Mulu', 'Risi', 'France', 'Open', 'Application', 'Update', ""]")</f>
        <v>['', 'Telkom', 'Update', 'Mulu', 'Risi', 'France', 'Open', 'Application', 'Update', "]</v>
      </c>
      <c r="D6901" s="3">
        <v>3.0</v>
      </c>
    </row>
    <row r="6902" ht="15.75" customHeight="1">
      <c r="A6902" s="1">
        <v>7351.0</v>
      </c>
      <c r="B6902" s="3" t="s">
        <v>6588</v>
      </c>
      <c r="C6902" s="3" t="str">
        <f>IFERROR(__xludf.DUMMYFUNCTION("GOOGLETRANSLATE(B6902,""id"",""en"")"),"['Telkomsel', 'Severe', 'credit', 'reduced', 'little', 'a little', 'signal', 'down', 'lngsg', 'eat', 'pulse', 'run out', ' all ',' pulses', 'left', 'please', 'package', 'quota', 'quota', 'take', 'balance', 'pulse', 'signal', 'down', 'severe' ]")</f>
        <v>['Telkomsel', 'Severe', 'credit', 'reduced', 'little', 'a little', 'signal', 'down', 'lngsg', 'eat', 'pulse', 'run out', ' all ',' pulses', 'left', 'please', 'package', 'quota', 'quota', 'take', 'balance', 'pulse', 'signal', 'down', 'severe' ]</v>
      </c>
      <c r="D6902" s="3">
        <v>1.0</v>
      </c>
    </row>
    <row r="6903" ht="15.75" customHeight="1">
      <c r="A6903" s="1">
        <v>7352.0</v>
      </c>
      <c r="B6903" s="3" t="s">
        <v>6589</v>
      </c>
      <c r="C6903" s="3" t="str">
        <f>IFERROR(__xludf.DUMMYFUNCTION("GOOGLETRANSLATE(B6903,""id"",""en"")"),"['Application', 'petrified', 'process', 'easy']")</f>
        <v>['Application', 'petrified', 'process', 'easy']</v>
      </c>
      <c r="D6903" s="3">
        <v>5.0</v>
      </c>
    </row>
    <row r="6904" ht="15.75" customHeight="1">
      <c r="A6904" s="1">
        <v>7353.0</v>
      </c>
      <c r="B6904" s="3" t="s">
        <v>6590</v>
      </c>
      <c r="C6904" s="3" t="str">
        <f>IFERROR(__xludf.DUMMYFUNCTION("GOOGLETRANSLATE(B6904,""id"",""en"")"),"['already', 'Bener', 'combo', 'Sakti', 'Rb', 'number', 'my friend', 'combo', 'saktinya', 'cheap']")</f>
        <v>['already', 'Bener', 'combo', 'Sakti', 'Rb', 'number', 'my friend', 'combo', 'saktinya', 'cheap']</v>
      </c>
      <c r="D6904" s="3">
        <v>1.0</v>
      </c>
    </row>
    <row r="6905" ht="15.75" customHeight="1">
      <c r="A6905" s="1">
        <v>7354.0</v>
      </c>
      <c r="B6905" s="3" t="s">
        <v>6591</v>
      </c>
      <c r="C6905" s="3" t="str">
        <f>IFERROR(__xludf.DUMMYFUNCTION("GOOGLETRANSLATE(B6905,""id"",""en"")"),"['comment']")</f>
        <v>['comment']</v>
      </c>
      <c r="D6905" s="3">
        <v>5.0</v>
      </c>
    </row>
    <row r="6906" ht="15.75" customHeight="1">
      <c r="A6906" s="1">
        <v>7355.0</v>
      </c>
      <c r="B6906" s="3" t="s">
        <v>6592</v>
      </c>
      <c r="C6906" s="3" t="str">
        <f>IFERROR(__xludf.DUMMYFUNCTION("GOOGLETRANSLATE(B6906,""id"",""en"")"),"['Please', 'Telkomsel', 'Ngelag', 'Hari', 'Play', 'Game', 'Zoom', 'right', 'Learning', 'Watch', 'YouTube', 'noon', ' afternoon ',' signal ',' severe ',' really ',' network ',' already ',' hadeuh ']")</f>
        <v>['Please', 'Telkomsel', 'Ngelag', 'Hari', 'Play', 'Game', 'Zoom', 'right', 'Learning', 'Watch', 'YouTube', 'noon', ' afternoon ',' signal ',' severe ',' really ',' network ',' already ',' hadeuh ']</v>
      </c>
      <c r="D6906" s="3">
        <v>1.0</v>
      </c>
    </row>
    <row r="6907" ht="15.75" customHeight="1">
      <c r="A6907" s="1">
        <v>7356.0</v>
      </c>
      <c r="B6907" s="3" t="s">
        <v>6593</v>
      </c>
      <c r="C6907" s="3" t="str">
        <f>IFERROR(__xludf.DUMMYFUNCTION("GOOGLETRANSLATE(B6907,""id"",""en"")"),"['card', 'card', 'card', 'package', 'internet', 'Offer', 'Telkomsel', 'cheap', 'festive', 'update', 'package', 'available', ' expensive ',' forgiveness', '']")</f>
        <v>['card', 'card', 'card', 'package', 'internet', 'Offer', 'Telkomsel', 'cheap', 'festive', 'update', 'package', 'available', ' expensive ',' forgiveness', '']</v>
      </c>
      <c r="D6907" s="3">
        <v>1.0</v>
      </c>
    </row>
    <row r="6908" ht="15.75" customHeight="1">
      <c r="A6908" s="1">
        <v>7357.0</v>
      </c>
      <c r="B6908" s="3" t="s">
        <v>6594</v>
      </c>
      <c r="C6908" s="3" t="str">
        <f>IFERROR(__xludf.DUMMYFUNCTION("GOOGLETRANSLATE(B6908,""id"",""en"")"),"['Telkomsel', 'silent', 'hypocritical', 'buy', 'package', 'gigagames',' network ',' really ',' lalot ',' try ',' buy ',' package ',' Internet ',' hundreds', 'smooth', 'COI', 'Aisss',' Tahiklah ']")</f>
        <v>['Telkomsel', 'silent', 'hypocritical', 'buy', 'package', 'gigagames',' network ',' really ',' lalot ',' try ',' buy ',' package ',' Internet ',' hundreds', 'smooth', 'COI', 'Aisss',' Tahiklah ']</v>
      </c>
      <c r="D6908" s="3">
        <v>1.0</v>
      </c>
    </row>
    <row r="6909" ht="15.75" customHeight="1">
      <c r="A6909" s="1">
        <v>7358.0</v>
      </c>
      <c r="B6909" s="3" t="s">
        <v>6595</v>
      </c>
      <c r="C6909" s="3" t="str">
        <f>IFERROR(__xludf.DUMMYFUNCTION("GOOGLETRANSLATE(B6909,""id"",""en"")"),"['', 'Give', 'Packet', 'unlimited', 'but', 'limited', 'quota', 'according to', 'unlimited', 'restrictions',' quota ',' kasi ',' rating ',' repaired ',' quota ',' unlimited ',' ']")</f>
        <v>['', 'Give', 'Packet', 'unlimited', 'but', 'limited', 'quota', 'according to', 'unlimited', 'restrictions',' quota ',' kasi ',' rating ',' repaired ',' quota ',' unlimited ',' ']</v>
      </c>
      <c r="D6909" s="3">
        <v>3.0</v>
      </c>
    </row>
    <row r="6910" ht="15.75" customHeight="1">
      <c r="A6910" s="1">
        <v>7359.0</v>
      </c>
      <c r="B6910" s="3" t="s">
        <v>6596</v>
      </c>
      <c r="C6910" s="3" t="str">
        <f>IFERROR(__xludf.DUMMYFUNCTION("GOOGLETRANSLATE(B6910,""id"",""en"")"),"['signal', 'internet', 'slow', 'package', 'monthly', 'Disney', 'Hostar', 'move', 'package', 'internet', 'Owners',' or ',' Indosat ',' fast ',' promises', '']")</f>
        <v>['signal', 'internet', 'slow', 'package', 'monthly', 'Disney', 'Hostar', 'move', 'package', 'internet', 'Owners',' or ',' Indosat ',' fast ',' promises', '']</v>
      </c>
      <c r="D6910" s="3">
        <v>1.0</v>
      </c>
    </row>
    <row r="6911" ht="15.75" customHeight="1">
      <c r="A6911" s="1">
        <v>7360.0</v>
      </c>
      <c r="B6911" s="3" t="s">
        <v>6597</v>
      </c>
      <c r="C6911" s="3" t="str">
        <f>IFERROR(__xludf.DUMMYFUNCTION("GOOGLETRANSLATE(B6911,""id"",""en"")"),"['Price', 'stable', 'provider', 'born', 'Yesterday']")</f>
        <v>['Price', 'stable', 'provider', 'born', 'Yesterday']</v>
      </c>
      <c r="D6911" s="3">
        <v>2.0</v>
      </c>
    </row>
    <row r="6912" ht="15.75" customHeight="1">
      <c r="A6912" s="1">
        <v>7361.0</v>
      </c>
      <c r="B6912" s="3" t="s">
        <v>6598</v>
      </c>
      <c r="C6912" s="3" t="str">
        <f>IFERROR(__xludf.DUMMYFUNCTION("GOOGLETRANSLATE(B6912,""id"",""en"")"),"['Thank you', 'Telkomsel', 'hope', 'advanced', ""]")</f>
        <v>['Thank you', 'Telkomsel', 'hope', 'advanced', "]</v>
      </c>
      <c r="D6912" s="3">
        <v>2.0</v>
      </c>
    </row>
    <row r="6913" ht="15.75" customHeight="1">
      <c r="A6913" s="1">
        <v>7362.0</v>
      </c>
      <c r="B6913" s="3" t="s">
        <v>6599</v>
      </c>
      <c r="C6913" s="3" t="str">
        <f>IFERROR(__xludf.DUMMYFUNCTION("GOOGLETRANSLATE(B6913,""id"",""en"")"),"['Application', 'Slow', 'Must', 'Network', 'Good', 'Telkomsel', 'Repair', 'Light', 'Lemottt', ""]")</f>
        <v>['Application', 'Slow', 'Must', 'Network', 'Good', 'Telkomsel', 'Repair', 'Light', 'Lemottt', "]</v>
      </c>
      <c r="D6913" s="3">
        <v>3.0</v>
      </c>
    </row>
    <row r="6914" ht="15.75" customHeight="1">
      <c r="A6914" s="1">
        <v>7363.0</v>
      </c>
      <c r="B6914" s="3" t="s">
        <v>6600</v>
      </c>
      <c r="C6914" s="3" t="str">
        <f>IFERROR(__xludf.DUMMYFUNCTION("GOOGLETRANSLATE(B6914,""id"",""en"")"),"['Telkomsel', 'pig', 'slow', 'then', 'trading', 'loss', 'feasible', 'used']")</f>
        <v>['Telkomsel', 'pig', 'slow', 'then', 'trading', 'loss', 'feasible', 'used']</v>
      </c>
      <c r="D6914" s="3">
        <v>1.0</v>
      </c>
    </row>
    <row r="6915" ht="15.75" customHeight="1">
      <c r="A6915" s="1">
        <v>7364.0</v>
      </c>
      <c r="B6915" s="3" t="s">
        <v>6601</v>
      </c>
      <c r="C6915" s="3" t="str">
        <f>IFERROR(__xludf.DUMMYFUNCTION("GOOGLETRANSLATE(B6915,""id"",""en"")"),"['Hopefully', 'Org', 'Lucky', 'Gift', 'Telkomsel', 'Application', 'Good', '']")</f>
        <v>['Hopefully', 'Org', 'Lucky', 'Gift', 'Telkomsel', 'Application', 'Good', '']</v>
      </c>
      <c r="D6915" s="3">
        <v>5.0</v>
      </c>
    </row>
    <row r="6916" ht="15.75" customHeight="1">
      <c r="A6916" s="1">
        <v>7365.0</v>
      </c>
      <c r="B6916" s="3" t="s">
        <v>6602</v>
      </c>
      <c r="C6916" s="3" t="str">
        <f>IFERROR(__xludf.DUMMYFUNCTION("GOOGLETRANSLATE(B6916,""id"",""en"")"),"['customer', 'loyal', 'Telkomsel', 'card', 'promo', 'combo', 'magic', 'ultimate']")</f>
        <v>['customer', 'loyal', 'Telkomsel', 'card', 'promo', 'combo', 'magic', 'ultimate']</v>
      </c>
      <c r="D6916" s="3">
        <v>2.0</v>
      </c>
    </row>
    <row r="6917" ht="15.75" customHeight="1">
      <c r="A6917" s="1">
        <v>7366.0</v>
      </c>
      <c r="B6917" s="3" t="s">
        <v>6603</v>
      </c>
      <c r="C6917" s="3" t="str">
        <f>IFERROR(__xludf.DUMMYFUNCTION("GOOGLETRANSLATE(B6917,""id"",""en"")"),"['quota', 'pulse', 'sucked', 'disappointed', '']")</f>
        <v>['quota', 'pulse', 'sucked', 'disappointed', '']</v>
      </c>
      <c r="D6917" s="3">
        <v>1.0</v>
      </c>
    </row>
    <row r="6918" ht="15.75" customHeight="1">
      <c r="A6918" s="1">
        <v>7367.0</v>
      </c>
      <c r="B6918" s="3" t="s">
        <v>6604</v>
      </c>
      <c r="C6918" s="3" t="str">
        <f>IFERROR(__xludf.DUMMYFUNCTION("GOOGLETRANSLATE(B6918,""id"",""en"")"),"['', 'telomsel', 'teach', 'Try', 'operate', 'card', 'ngak', 'Perna', 'contents',' pulse ',' pulse ',' directly ',' take it ',' Perny ',' Activate ',' package ',' emergency ',' detrimental ',' Jiji ',' cave ',' see ']")</f>
        <v>['', 'telomsel', 'teach', 'Try', 'operate', 'card', 'ngak', 'Perna', 'contents',' pulse ',' pulse ',' directly ',' take it ',' Perny ',' Activate ',' package ',' emergency ',' detrimental ',' Jiji ',' cave ',' see ']</v>
      </c>
      <c r="D6918" s="3">
        <v>1.0</v>
      </c>
    </row>
    <row r="6919" ht="15.75" customHeight="1">
      <c r="A6919" s="1">
        <v>7368.0</v>
      </c>
      <c r="B6919" s="3" t="s">
        <v>6605</v>
      </c>
      <c r="C6919" s="3" t="str">
        <f>IFERROR(__xludf.DUMMYFUNCTION("GOOGLETRANSLATE(B6919,""id"",""en"")"),"['Kuotaultimedia', 'YouTube', 'quota', 'main', 'dried', 'strange', 'it's better', 'no', 'quota', 'no']")</f>
        <v>['Kuotaultimedia', 'YouTube', 'quota', 'main', 'dried', 'strange', 'it's better', 'no', 'quota', 'no']</v>
      </c>
      <c r="D6919" s="3">
        <v>1.0</v>
      </c>
    </row>
    <row r="6920" ht="15.75" customHeight="1">
      <c r="A6920" s="1">
        <v>7370.0</v>
      </c>
      <c r="B6920" s="3" t="s">
        <v>6606</v>
      </c>
      <c r="C6920" s="3" t="str">
        <f>IFERROR(__xludf.DUMMYFUNCTION("GOOGLETRANSLATE(B6920,""id"",""en"")"),"['Hello', 'Telkomsel', 'Hopefully', 'Help', 'Report', 'Credit', 'Sucked', 'Package', 'Kouta', 'Masi', 'GB', 'Package', ' Cheerful ',' bought ',' Total ',' GB ',' nominal ',' pulse ',' leftover ',' now ',' want ',' buy ',' kouta ',' internet ',' sms' , 'Te"&amp;"lfon', 'Masi', 'Rich', 'Gini', 'User', 'Telkomsel', 'Disappointed']")</f>
        <v>['Hello', 'Telkomsel', 'Hopefully', 'Help', 'Report', 'Credit', 'Sucked', 'Package', 'Kouta', 'Masi', 'GB', 'Package', ' Cheerful ',' bought ',' Total ',' GB ',' nominal ',' pulse ',' leftover ',' now ',' want ',' buy ',' kouta ',' internet ',' sms' , 'Telfon', 'Masi', 'Rich', 'Gini', 'User', 'Telkomsel', 'Disappointed']</v>
      </c>
      <c r="D6920" s="3">
        <v>1.0</v>
      </c>
    </row>
    <row r="6921" ht="15.75" customHeight="1">
      <c r="A6921" s="1">
        <v>7372.0</v>
      </c>
      <c r="B6921" s="3" t="s">
        <v>6607</v>
      </c>
      <c r="C6921" s="3" t="str">
        <f>IFERROR(__xludf.DUMMYFUNCTION("GOOGLETRANSLATE(B6921,""id"",""en"")"),"['Telkomsel', 'Bener', 'disappointed', 'number', 'person', 'then', 'data', 'registration', 'card', 'eager', 'person', ""]")</f>
        <v>['Telkomsel', 'Bener', 'disappointed', 'number', 'person', 'then', 'data', 'registration', 'card', 'eager', 'person', "]</v>
      </c>
      <c r="D6921" s="3">
        <v>1.0</v>
      </c>
    </row>
    <row r="6922" ht="15.75" customHeight="1">
      <c r="A6922" s="1">
        <v>7373.0</v>
      </c>
      <c r="B6922" s="3" t="s">
        <v>6608</v>
      </c>
      <c r="C6922" s="3" t="str">
        <f>IFERROR(__xludf.DUMMYFUNCTION("GOOGLETRANSLATE(B6922,""id"",""en"")"),"['Thank you', 'hope', 'kindness', 'convenience', 'consumer', 'Satisfied']")</f>
        <v>['Thank you', 'hope', 'kindness', 'convenience', 'consumer', 'Satisfied']</v>
      </c>
      <c r="D6922" s="3">
        <v>5.0</v>
      </c>
    </row>
    <row r="6923" ht="15.75" customHeight="1">
      <c r="A6923" s="1">
        <v>7374.0</v>
      </c>
      <c r="B6923" s="3" t="s">
        <v>6609</v>
      </c>
      <c r="C6923" s="3" t="str">
        <f>IFERROR(__xludf.DUMMYFUNCTION("GOOGLETRANSLATE(B6923,""id"",""en"")"),"['Mahalll', 'hnya', 'buy', 'car', 'collection', 'show off', 'item', 'luxury', 'employees',' supervisior ',' leave ',' cell ',' Title ',' Indosat ', ""]")</f>
        <v>['Mahalll', 'hnya', 'buy', 'car', 'collection', 'show off', 'item', 'luxury', 'employees',' supervisior ',' leave ',' cell ',' Title ',' Indosat ', "]</v>
      </c>
      <c r="D6923" s="3">
        <v>1.0</v>
      </c>
    </row>
    <row r="6924" ht="15.75" customHeight="1">
      <c r="A6924" s="1">
        <v>7375.0</v>
      </c>
      <c r="B6924" s="3" t="s">
        <v>6610</v>
      </c>
      <c r="C6924" s="3" t="str">
        <f>IFERROR(__xludf.DUMMYFUNCTION("GOOGLETRANSLATE(B6924,""id"",""en"")"),"['Hopefully', 'smooth', 'signal']")</f>
        <v>['Hopefully', 'smooth', 'signal']</v>
      </c>
      <c r="D6924" s="3">
        <v>4.0</v>
      </c>
    </row>
    <row r="6925" ht="15.75" customHeight="1">
      <c r="A6925" s="1">
        <v>7376.0</v>
      </c>
      <c r="B6925" s="3" t="s">
        <v>6611</v>
      </c>
      <c r="C6925" s="3" t="str">
        <f>IFERROR(__xludf.DUMMYFUNCTION("GOOGLETRANSLATE(B6925,""id"",""en"")"),"['Please', 'repaired', 'network', 'like', 'disorder']")</f>
        <v>['Please', 'repaired', 'network', 'like', 'disorder']</v>
      </c>
      <c r="D6925" s="3">
        <v>5.0</v>
      </c>
    </row>
    <row r="6926" ht="15.75" customHeight="1">
      <c r="A6926" s="1">
        <v>7377.0</v>
      </c>
      <c r="B6926" s="3" t="s">
        <v>2076</v>
      </c>
      <c r="C6926" s="3" t="str">
        <f>IFERROR(__xludf.DUMMYFUNCTION("GOOGLETRANSLATE(B6926,""id"",""en"")"),"['Satisfied', 'Application', 'Telkomsel']")</f>
        <v>['Satisfied', 'Application', 'Telkomsel']</v>
      </c>
      <c r="D6926" s="3">
        <v>5.0</v>
      </c>
    </row>
    <row r="6927" ht="15.75" customHeight="1">
      <c r="A6927" s="1">
        <v>7378.0</v>
      </c>
      <c r="B6927" s="3" t="s">
        <v>6612</v>
      </c>
      <c r="C6927" s="3" t="str">
        <f>IFERROR(__xludf.DUMMYFUNCTION("GOOGLETRANSLATE(B6927,""id"",""en"")"),"['The application', 'good', 'service', 'easy', 'bangettt', '']")</f>
        <v>['The application', 'good', 'service', 'easy', 'bangettt', '']</v>
      </c>
      <c r="D6927" s="3">
        <v>4.0</v>
      </c>
    </row>
    <row r="6928" ht="15.75" customHeight="1">
      <c r="A6928" s="1">
        <v>7379.0</v>
      </c>
      <c r="B6928" s="3" t="s">
        <v>6613</v>
      </c>
      <c r="C6928" s="3" t="str">
        <f>IFERROR(__xludf.DUMMYFUNCTION("GOOGLETRANSLATE(B6928,""id"",""en"")"),"['Cepet', 'mantappp']")</f>
        <v>['Cepet', 'mantappp']</v>
      </c>
      <c r="D6928" s="3">
        <v>5.0</v>
      </c>
    </row>
    <row r="6929" ht="15.75" customHeight="1">
      <c r="A6929" s="1">
        <v>7380.0</v>
      </c>
      <c r="B6929" s="3" t="s">
        <v>6614</v>
      </c>
      <c r="C6929" s="3" t="str">
        <f>IFERROR(__xludf.DUMMYFUNCTION("GOOGLETRANSLATE(B6929,""id"",""en"")"),"['buy', 'quota', 'appears', 'writing', 'please', 'check', 'connection', 'signal', 'gimna', ""]")</f>
        <v>['buy', 'quota', 'appears', 'writing', 'please', 'check', 'connection', 'signal', 'gimna', "]</v>
      </c>
      <c r="D6929" s="3">
        <v>1.0</v>
      </c>
    </row>
    <row r="6930" ht="15.75" customHeight="1">
      <c r="A6930" s="1">
        <v>7381.0</v>
      </c>
      <c r="B6930" s="3" t="s">
        <v>6615</v>
      </c>
      <c r="C6930" s="3" t="str">
        <f>IFERROR(__xludf.DUMMYFUNCTION("GOOGLETRANSLATE(B6930,""id"",""en"")"),"['minus',' update ',' scrap ',' swollen ',' ppa ',' deh ',' btw ',' telkomsel ',' repaired ',' the network ',' error ',' galet ',' Forgiveness']")</f>
        <v>['minus',' update ',' scrap ',' swollen ',' ppa ',' deh ',' btw ',' telkomsel ',' repaired ',' the network ',' error ',' galet ',' Forgiveness']</v>
      </c>
      <c r="D6930" s="3">
        <v>5.0</v>
      </c>
    </row>
    <row r="6931" ht="15.75" customHeight="1">
      <c r="A6931" s="1">
        <v>7382.0</v>
      </c>
      <c r="B6931" s="3" t="s">
        <v>6616</v>
      </c>
      <c r="C6931" s="3" t="str">
        <f>IFERROR(__xludf.DUMMYFUNCTION("GOOGLETRANSLATE(B6931,""id"",""en"")"),"['users', 'Telkomsel', 'network', 'data', 'slow', 'since', 'upgrade', 'hello', ""]")</f>
        <v>['users', 'Telkomsel', 'network', 'data', 'slow', 'since', 'upgrade', 'hello', "]</v>
      </c>
      <c r="D6931" s="3">
        <v>2.0</v>
      </c>
    </row>
    <row r="6932" ht="15.75" customHeight="1">
      <c r="A6932" s="1">
        <v>7383.0</v>
      </c>
      <c r="B6932" s="3" t="s">
        <v>6617</v>
      </c>
      <c r="C6932" s="3" t="str">
        <f>IFERROR(__xludf.DUMMYFUNCTION("GOOGLETRANSLATE(B6932,""id"",""en"")"),"['Severe', 'Application', 'Force', 'Close', 'then']")</f>
        <v>['Severe', 'Application', 'Force', 'Close', 'then']</v>
      </c>
      <c r="D6932" s="3">
        <v>1.0</v>
      </c>
    </row>
    <row r="6933" ht="15.75" customHeight="1">
      <c r="A6933" s="1">
        <v>7384.0</v>
      </c>
      <c r="B6933" s="3" t="s">
        <v>6618</v>
      </c>
      <c r="C6933" s="3" t="str">
        <f>IFERROR(__xludf.DUMMYFUNCTION("GOOGLETRANSLATE(B6933,""id"",""en"")"),"['Telkomsel', 'Worth', 'Use', 'Bad', 'Network', 'Make it']")</f>
        <v>['Telkomsel', 'Worth', 'Use', 'Bad', 'Network', 'Make it']</v>
      </c>
      <c r="D6933" s="3">
        <v>5.0</v>
      </c>
    </row>
    <row r="6934" ht="15.75" customHeight="1">
      <c r="A6934" s="1">
        <v>7385.0</v>
      </c>
      <c r="B6934" s="3" t="s">
        <v>6619</v>
      </c>
      <c r="C6934" s="3" t="str">
        <f>IFERROR(__xludf.DUMMYFUNCTION("GOOGLETRANSLATE(B6934,""id"",""en"")"),"['apply']")</f>
        <v>['apply']</v>
      </c>
      <c r="D6934" s="3">
        <v>3.0</v>
      </c>
    </row>
    <row r="6935" ht="15.75" customHeight="1">
      <c r="A6935" s="1">
        <v>7386.0</v>
      </c>
      <c r="B6935" s="3" t="s">
        <v>6620</v>
      </c>
      <c r="C6935" s="3" t="str">
        <f>IFERROR(__xludf.DUMMYFUNCTION("GOOGLETRANSLATE(B6935,""id"",""en"")"),"['The application', 'opened', 'Open', 'Install']")</f>
        <v>['The application', 'opened', 'Open', 'Install']</v>
      </c>
      <c r="D6935" s="3">
        <v>3.0</v>
      </c>
    </row>
    <row r="6936" ht="15.75" customHeight="1">
      <c r="A6936" s="1">
        <v>7387.0</v>
      </c>
      <c r="B6936" s="3" t="s">
        <v>6621</v>
      </c>
      <c r="C6936" s="3" t="str">
        <f>IFERROR(__xludf.DUMMYFUNCTION("GOOGLETRANSLATE(B6936,""id"",""en"")"),"['Useful', 'Consumers',' Choose ',' Package ',' Opportunity ',' Following ',' Lottery ',' Prize ',' Held ',' Telkomsel ',' Most important ',' makes it easier ',' Users', 'check', 'payment', 'apply', 'package', 'msh', 'active', 'useful', 'user', 'avoid', '"&amp;"fraud', 'responsible', ""]")</f>
        <v>['Useful', 'Consumers',' Choose ',' Package ',' Opportunity ',' Following ',' Lottery ',' Prize ',' Held ',' Telkomsel ',' Most important ',' makes it easier ',' Users', 'check', 'payment', 'apply', 'package', 'msh', 'active', 'useful', 'user', 'avoid', 'fraud', 'responsible', "]</v>
      </c>
      <c r="D6936" s="3">
        <v>5.0</v>
      </c>
    </row>
    <row r="6937" ht="15.75" customHeight="1">
      <c r="A6937" s="1">
        <v>7388.0</v>
      </c>
      <c r="B6937" s="3" t="s">
        <v>6622</v>
      </c>
      <c r="C6937" s="3" t="str">
        <f>IFERROR(__xludf.DUMMYFUNCTION("GOOGLETRANSLATE(B6937,""id"",""en"")"),"['pulseku', 'cut', 'notification', '']")</f>
        <v>['pulseku', 'cut', 'notification', '']</v>
      </c>
      <c r="D6937" s="3">
        <v>3.0</v>
      </c>
    </row>
    <row r="6938" ht="15.75" customHeight="1">
      <c r="A6938" s="1">
        <v>7390.0</v>
      </c>
      <c r="B6938" s="3" t="s">
        <v>6623</v>
      </c>
      <c r="C6938" s="3" t="str">
        <f>IFERROR(__xludf.DUMMYFUNCTION("GOOGLETRANSLATE(B6938,""id"",""en"")"),"['Disappointed', 'Very', 'Telkomsel', 'Network', 'Ngeleg', 'Pass',' Download ',' Quota ',' Buy ',' Litu ',' Network ',' Pliss', ' help', '']")</f>
        <v>['Disappointed', 'Very', 'Telkomsel', 'Network', 'Ngeleg', 'Pass',' Download ',' Quota ',' Buy ',' Litu ',' Network ',' Pliss', ' help', '']</v>
      </c>
      <c r="D6938" s="3">
        <v>1.0</v>
      </c>
    </row>
    <row r="6939" ht="15.75" customHeight="1">
      <c r="A6939" s="1">
        <v>7391.0</v>
      </c>
      <c r="B6939" s="3" t="s">
        <v>6624</v>
      </c>
      <c r="C6939" s="3" t="str">
        <f>IFERROR(__xludf.DUMMYFUNCTION("GOOGLETRANSLATE(B6939,""id"",""en"")"),"['surveillance', 'surveillance', 'data', 'personal', 'Install', 'direct', 'upload', 'data', 'MB', 'Display', 'uninstall', ' Stop ',' Data ',' Upload ',' Purpose ',' Ngacactivity ',' Package ',' Thinking ',' Automatic ',' Pointed ',' Fraud ',' Theft ',' Hi"&amp;"s name ',' Unfortunately ' , 'menu', 'Off', 'package', 'automatic', 'uninstall', 'search', 'package', 'automatic', 'active', 'automatic', 'package', 'approval', ' Customers', 'Allah', 'already', 'rich', 'msh', 'steal']")</f>
        <v>['surveillance', 'surveillance', 'data', 'personal', 'Install', 'direct', 'upload', 'data', 'MB', 'Display', 'uninstall', ' Stop ',' Data ',' Upload ',' Purpose ',' Ngacactivity ',' Package ',' Thinking ',' Automatic ',' Pointed ',' Fraud ',' Theft ',' His name ',' Unfortunately ' , 'menu', 'Off', 'package', 'automatic', 'uninstall', 'search', 'package', 'automatic', 'active', 'automatic', 'package', 'approval', ' Customers', 'Allah', 'already', 'rich', 'msh', 'steal']</v>
      </c>
      <c r="D6939" s="3">
        <v>1.0</v>
      </c>
    </row>
    <row r="6940" ht="15.75" customHeight="1">
      <c r="A6940" s="1">
        <v>7392.0</v>
      </c>
      <c r="B6940" s="3" t="s">
        <v>6625</v>
      </c>
      <c r="C6940" s="3" t="str">
        <f>IFERROR(__xludf.DUMMYFUNCTION("GOOGLETRANSLATE(B6940,""id"",""en"")"),"['Difficult', 'Loading', 'Content', 'Menu', 'Application', 'Device', 'Use']")</f>
        <v>['Difficult', 'Loading', 'Content', 'Menu', 'Application', 'Device', 'Use']</v>
      </c>
      <c r="D6940" s="3">
        <v>2.0</v>
      </c>
    </row>
    <row r="6941" ht="15.75" customHeight="1">
      <c r="A6941" s="1">
        <v>7393.0</v>
      </c>
      <c r="B6941" s="3" t="s">
        <v>6626</v>
      </c>
      <c r="C6941" s="3" t="str">
        <f>IFERROR(__xludf.DUMMYFUNCTION("GOOGLETRANSLATE(B6941,""id"",""en"")"),"['Gembus', 'login', 'difficult', 'really', ""]")</f>
        <v>['Gembus', 'login', 'difficult', 'really', "]</v>
      </c>
      <c r="D6941" s="3">
        <v>1.0</v>
      </c>
    </row>
    <row r="6942" ht="15.75" customHeight="1">
      <c r="A6942" s="1">
        <v>7394.0</v>
      </c>
      <c r="B6942" s="3" t="s">
        <v>6627</v>
      </c>
      <c r="C6942" s="3" t="str">
        <f>IFERROR(__xludf.DUMMYFUNCTION("GOOGLETRANSLATE(B6942,""id"",""en"")"),"['Paketan', 'Data', 'Cheap']")</f>
        <v>['Paketan', 'Data', 'Cheap']</v>
      </c>
      <c r="D6942" s="3">
        <v>5.0</v>
      </c>
    </row>
    <row r="6943" ht="15.75" customHeight="1">
      <c r="A6943" s="1">
        <v>7395.0</v>
      </c>
      <c r="B6943" s="3" t="s">
        <v>6628</v>
      </c>
      <c r="C6943" s="3" t="str">
        <f>IFERROR(__xludf.DUMMYFUNCTION("GOOGLETRANSLATE(B6943,""id"",""en"")"),"['enter', 'number', 'already', 'thorough', 'sms', 'enter']")</f>
        <v>['enter', 'number', 'already', 'thorough', 'sms', 'enter']</v>
      </c>
      <c r="D6943" s="3">
        <v>1.0</v>
      </c>
    </row>
    <row r="6944" ht="15.75" customHeight="1">
      <c r="A6944" s="1">
        <v>7396.0</v>
      </c>
      <c r="B6944" s="3" t="s">
        <v>6629</v>
      </c>
      <c r="C6944" s="3" t="str">
        <f>IFERROR(__xludf.DUMMYFUNCTION("GOOGLETRANSLATE(B6944,""id"",""en"")"),"['Help', 'Connection', 'Internet', 'Good']")</f>
        <v>['Help', 'Connection', 'Internet', 'Good']</v>
      </c>
      <c r="D6944" s="3">
        <v>5.0</v>
      </c>
    </row>
    <row r="6945" ht="15.75" customHeight="1">
      <c r="A6945" s="1">
        <v>7397.0</v>
      </c>
      <c r="B6945" s="3" t="s">
        <v>6630</v>
      </c>
      <c r="C6945" s="3" t="str">
        <f>IFERROR(__xludf.DUMMYFUNCTION("GOOGLETRANSLATE(B6945,""id"",""en"")"),"['quality', 'internet', 'level', 'cook', 'lose', 'yellow', ""]")</f>
        <v>['quality', 'internet', 'level', 'cook', 'lose', 'yellow', "]</v>
      </c>
      <c r="D6945" s="3">
        <v>5.0</v>
      </c>
    </row>
    <row r="6946" ht="15.75" customHeight="1">
      <c r="A6946" s="1">
        <v>7398.0</v>
      </c>
      <c r="B6946" s="3" t="s">
        <v>6631</v>
      </c>
      <c r="C6946" s="3" t="str">
        <f>IFERROR(__xludf.DUMMYFUNCTION("GOOGLETRANSLATE(B6946,""id"",""en"")"),"['', 'min', 'forced', 'reduce', 'star', 'skrg', 'telkomsel', 'skrg', 'most', 'kouta', 'must', 'manyin', 'internet ',' org ',' buy ',' package ',' data ',' need ',' internet ',' thank ',' love ',' mimin ', ""]")</f>
        <v>['', 'min', 'forced', 'reduce', 'star', 'skrg', 'telkomsel', 'skrg', 'most', 'kouta', 'must', 'manyin', 'internet ',' org ',' buy ',' package ',' data ',' need ',' internet ',' thank ',' love ',' mimin ', "]</v>
      </c>
      <c r="D6946" s="3">
        <v>4.0</v>
      </c>
    </row>
    <row r="6947" ht="15.75" customHeight="1">
      <c r="A6947" s="1">
        <v>7399.0</v>
      </c>
      <c r="B6947" s="3" t="s">
        <v>6632</v>
      </c>
      <c r="C6947" s="3" t="str">
        <f>IFERROR(__xludf.DUMMYFUNCTION("GOOGLETRANSLATE(B6947,""id"",""en"")"),"['Quality', 'Signal', 'Telkomsel', 'Bad', 'Setabil', 'Column', 'Report', 'Disorders', 'Thank you']")</f>
        <v>['Quality', 'Signal', 'Telkomsel', 'Bad', 'Setabil', 'Column', 'Report', 'Disorders', 'Thank you']</v>
      </c>
      <c r="D6947" s="3">
        <v>5.0</v>
      </c>
    </row>
    <row r="6948" ht="15.75" customHeight="1">
      <c r="A6948" s="1">
        <v>7400.0</v>
      </c>
      <c r="B6948" s="3" t="s">
        <v>6633</v>
      </c>
      <c r="C6948" s="3" t="str">
        <f>IFERROR(__xludf.DUMMYFUNCTION("GOOGLETRANSLATE(B6948,""id"",""en"")"),"['Cool', 'fast', 'choose', 'quota', 'telephone', 'internet', '']")</f>
        <v>['Cool', 'fast', 'choose', 'quota', 'telephone', 'internet', '']</v>
      </c>
      <c r="D6948" s="3">
        <v>5.0</v>
      </c>
    </row>
    <row r="6949" ht="15.75" customHeight="1">
      <c r="A6949" s="1">
        <v>7401.0</v>
      </c>
      <c r="B6949" s="3" t="s">
        <v>6634</v>
      </c>
      <c r="C6949" s="3" t="str">
        <f>IFERROR(__xludf.DUMMYFUNCTION("GOOGLETRANSLATE(B6949,""id"",""en"")"),"['slow', 'slow', 'slow', 'muahal', 'combo', 'sakti', 'rb', 'a month', 'signal', 'bar', 'full', 'open', ' Tiktok ',' buffering ',' Mulu ',' ']")</f>
        <v>['slow', 'slow', 'slow', 'muahal', 'combo', 'sakti', 'rb', 'a month', 'signal', 'bar', 'full', 'open', ' Tiktok ',' buffering ',' Mulu ',' ']</v>
      </c>
      <c r="D6949" s="3">
        <v>1.0</v>
      </c>
    </row>
    <row r="6950" ht="15.75" customHeight="1">
      <c r="A6950" s="1">
        <v>7402.0</v>
      </c>
      <c r="B6950" s="3" t="s">
        <v>6635</v>
      </c>
      <c r="C6950" s="3" t="str">
        <f>IFERROR(__xludf.DUMMYFUNCTION("GOOGLETRANSLATE(B6950,""id"",""en"")"),"['Star', 'Cook', 'enter', 'Telkomsel', 'suck', 'pulse', 'regular', 'system', 'idiot']")</f>
        <v>['Star', 'Cook', 'enter', 'Telkomsel', 'suck', 'pulse', 'regular', 'system', 'idiot']</v>
      </c>
      <c r="D6950" s="3">
        <v>1.0</v>
      </c>
    </row>
    <row r="6951" ht="15.75" customHeight="1">
      <c r="A6951" s="1">
        <v>7403.0</v>
      </c>
      <c r="B6951" s="3" t="s">
        <v>6636</v>
      </c>
      <c r="C6951" s="3" t="str">
        <f>IFERROR(__xludf.DUMMYFUNCTION("GOOGLETRANSLATE(B6951,""id"",""en"")"),"['Uda', 'Extends',' On ',' Quota ',' Credit ',' Reduced ',' TTP ',' Aktof ',' Quota ',' Extended ',' PDAH ',' Udah ',' dpet ',' sms', 'dri', 'active', 'extend', 'right', 'check', 'ttp', 'culuced', 'how', 'money', 'it's easy', 'easy' ]")</f>
        <v>['Uda', 'Extends',' On ',' Quota ',' Credit ',' Reduced ',' TTP ',' Aktof ',' Quota ',' Extended ',' PDAH ',' Udah ',' dpet ',' sms', 'dri', 'active', 'extend', 'right', 'check', 'ttp', 'culuced', 'how', 'money', 'it's easy', 'easy' ]</v>
      </c>
      <c r="D6951" s="3">
        <v>1.0</v>
      </c>
    </row>
    <row r="6952" ht="15.75" customHeight="1">
      <c r="A6952" s="1">
        <v>7404.0</v>
      </c>
      <c r="B6952" s="3" t="s">
        <v>6637</v>
      </c>
      <c r="C6952" s="3" t="str">
        <f>IFERROR(__xludf.DUMMYFUNCTION("GOOGLETRANSLATE(B6952,""id"",""en"")"),"['Sorry', 'love', 'star', 'times',' because ',' confused ',' use ',' application ',' delicious', 'make', 'right', 'transfer', ' thousand ',' Telkomsel ',' Yesterday ',' History ',' Fund ',' Successful ',' Transaction ',' Balance ',' Telkomsel ',' zero ','"&amp;" Affairs', 'urgent', 'The application' , 'acting', 'no', 'entered', 'Telkomsel', 'pulses', 'kirain', 'because', 'network', 'emang', 'ngak', 'msuk']")</f>
        <v>['Sorry', 'love', 'star', 'times',' because ',' confused ',' use ',' application ',' delicious', 'make', 'right', 'transfer', ' thousand ',' Telkomsel ',' Yesterday ',' History ',' Fund ',' Successful ',' Transaction ',' Balance ',' Telkomsel ',' zero ',' Affairs', 'urgent', 'The application' , 'acting', 'no', 'entered', 'Telkomsel', 'pulses', 'kirain', 'because', 'network', 'emang', 'ngak', 'msuk']</v>
      </c>
      <c r="D6952" s="3">
        <v>1.0</v>
      </c>
    </row>
    <row r="6953" ht="15.75" customHeight="1">
      <c r="A6953" s="1">
        <v>7405.0</v>
      </c>
      <c r="B6953" s="3" t="s">
        <v>6638</v>
      </c>
      <c r="C6953" s="3" t="str">
        <f>IFERROR(__xludf.DUMMYFUNCTION("GOOGLETRANSLATE(B6953,""id"",""en"")"),"['Package', 'cheap', 'gift', 'call', 'kwatir', 'step', 'gasssss']")</f>
        <v>['Package', 'cheap', 'gift', 'call', 'kwatir', 'step', 'gasssss']</v>
      </c>
      <c r="D6953" s="3">
        <v>5.0</v>
      </c>
    </row>
    <row r="6954" ht="15.75" customHeight="1">
      <c r="A6954" s="1">
        <v>7406.0</v>
      </c>
      <c r="B6954" s="3" t="s">
        <v>6639</v>
      </c>
      <c r="C6954" s="3" t="str">
        <f>IFERROR(__xludf.DUMMYFUNCTION("GOOGLETRANSLATE(B6954,""id"",""en"")"),"['Telkomsel', 'already', 'detrimental', 'user', 'package', 'pulse', 'take', 'loss',' already ',' palette ',' expensive ',' already ',' Buy ',' Package ',' Credit ',' Take ',' ugly ',' Service ',' Telkomsel ',' Network ',' Internet ',' already ',' Leet ']")</f>
        <v>['Telkomsel', 'already', 'detrimental', 'user', 'package', 'pulse', 'take', 'loss',' already ',' palette ',' expensive ',' already ',' Buy ',' Package ',' Credit ',' Take ',' ugly ',' Service ',' Telkomsel ',' Network ',' Internet ',' already ',' Leet ']</v>
      </c>
      <c r="D6954" s="3">
        <v>1.0</v>
      </c>
    </row>
    <row r="6955" ht="15.75" customHeight="1">
      <c r="A6955" s="1">
        <v>7407.0</v>
      </c>
      <c r="B6955" s="3" t="s">
        <v>6640</v>
      </c>
      <c r="C6955" s="3" t="str">
        <f>IFERROR(__xludf.DUMMYFUNCTION("GOOGLETRANSLATE(B6955,""id"",""en"")"),"['Application', 'Help', 'satisfying']")</f>
        <v>['Application', 'Help', 'satisfying']</v>
      </c>
      <c r="D6955" s="3">
        <v>5.0</v>
      </c>
    </row>
    <row r="6956" ht="15.75" customHeight="1">
      <c r="A6956" s="1">
        <v>7409.0</v>
      </c>
      <c r="B6956" s="3" t="s">
        <v>6641</v>
      </c>
      <c r="C6956" s="3" t="str">
        <f>IFERROR(__xludf.DUMMYFUNCTION("GOOGLETRANSLATE(B6956,""id"",""en"")"),"['', 'Telkomsel', 'Helpful']")</f>
        <v>['', 'Telkomsel', 'Helpful']</v>
      </c>
      <c r="D6956" s="3">
        <v>5.0</v>
      </c>
    </row>
    <row r="6957" ht="15.75" customHeight="1">
      <c r="A6957" s="1">
        <v>7410.0</v>
      </c>
      <c r="B6957" s="3" t="s">
        <v>6642</v>
      </c>
      <c r="C6957" s="3" t="str">
        <f>IFERROR(__xludf.DUMMYFUNCTION("GOOGLETRANSLATE(B6957,""id"",""en"")"),"['Telkomsel', 'My Choice', 'Choice', 'My family', 'Choice', 'People', 'Thank you', 'Telkomsel']")</f>
        <v>['Telkomsel', 'My Choice', 'Choice', 'My family', 'Choice', 'People', 'Thank you', 'Telkomsel']</v>
      </c>
      <c r="D6957" s="3">
        <v>5.0</v>
      </c>
    </row>
    <row r="6958" ht="15.75" customHeight="1">
      <c r="A6958" s="1">
        <v>7411.0</v>
      </c>
      <c r="B6958" s="3" t="s">
        <v>450</v>
      </c>
      <c r="C6958" s="3" t="str">
        <f>IFERROR(__xludf.DUMMYFUNCTION("GOOGLETRANSLATE(B6958,""id"",""en"")"),"['Telkomsel', 'Best', ""]")</f>
        <v>['Telkomsel', 'Best', "]</v>
      </c>
      <c r="D6958" s="3">
        <v>5.0</v>
      </c>
    </row>
    <row r="6959" ht="15.75" customHeight="1">
      <c r="A6959" s="1">
        <v>7412.0</v>
      </c>
      <c r="B6959" s="3" t="s">
        <v>6643</v>
      </c>
      <c r="C6959" s="3" t="str">
        <f>IFERROR(__xludf.DUMMYFUNCTION("GOOGLETRANSLATE(B6959,""id"",""en"")"),"[ 'Good', 'sekaliiiiiiiiiiiiiiiiiiiiiiiiiiiiiiiiiiiiiiiiiiiiiiiiiiiiiiiiiiiiiiiiiiiiiiiiiiii', 'iiiiiiiiiiiiiiiii', 'iiiiiiiiiiiiiiiiiiiiiiiiiiiiii', 'iiiiiiiiiiiiiiiiiiiiiiiiiiiiiiiiiiiiiiiiiiiiiiiiiioiiiiiiiiiiiiiiiiiiiiiiiiiiiiiiiiiiiiiiiiiiiiiiiiiiiii"&amp;"iiiiiiiiiiiiiiiiiiiiiiiiiiiiiiiiiiiiiiiiiiiiiiiiiiiiiiiiiiiiiiiiiiiiiiiiiiiiiiiiiiii', 'iii', 'iiiiiiiiiiiiiiiiiiiiiiiiiiiiiiiiiiiiiiiiiiiiiiioiiiiiiiiiiiiiiiiiiiiiiii', 'iiiiiiiiiiiiiiiiiiiii', 'iiiiiiiiiiiiuuuuuuuiiiiiiiiiiiiiiiiiiiiiiiiiiiiii', 'iiiiiu"&amp;"uiiiiiiiiiiiiiiiii']")</f>
        <v>[ 'Good', 'sekaliiiiiiiiiiiiiiiiiiiiiiiiiiiiiiiiiiiiiiiiiiiiiiiiiiiiiiiiiiiiiiiiiiiiiiiiiiii', 'iiiiiiiiiiiiiiiii', 'iiiiiiiiiiiiiiiiiiiiiiiiiiiiii', 'iiiiiiiiiiiiiiiiiiiiiiiiiiiiiiiiiiiiiiiiiiiiiiiiiioiiiiiiiiiiiiiiiiiiiiiiiiiiiiiiiiiiiiiiiiiiiiiiiiiiiiiiiiiiiiiiiiiiiiiiiiiiiiiiiiiiiiiiiiiiiiiiiiiiiiiiiiiiiiiiiiiiiiiiiiiiiiiiiiiiiiiiiii', 'iii', 'iiiiiiiiiiiiiiiiiiiiiiiiiiiiiiiiiiiiiiiiiiiiiiioiiiiiiiiiiiiiiiiiiiiiiii', 'iiiiiiiiiiiiiiiiiiiii', 'iiiiiiiiiiiiuuuuuuuiiiiiiiiiiiiiiiiiiiiiiiiiiiiii', 'iiiiiuuiiiiiiiiiiiiiiiii']</v>
      </c>
      <c r="D6959" s="3">
        <v>5.0</v>
      </c>
    </row>
    <row r="6960" ht="15.75" customHeight="1">
      <c r="A6960" s="1">
        <v>7413.0</v>
      </c>
      <c r="B6960" s="3" t="s">
        <v>6644</v>
      </c>
      <c r="C6960" s="3" t="str">
        <f>IFERROR(__xludf.DUMMYFUNCTION("GOOGLETRANSLATE(B6960,""id"",""en"")"),"['Reach', 'broad']")</f>
        <v>['Reach', 'broad']</v>
      </c>
      <c r="D6960" s="3">
        <v>5.0</v>
      </c>
    </row>
    <row r="6961" ht="15.75" customHeight="1">
      <c r="A6961" s="1">
        <v>7414.0</v>
      </c>
      <c r="B6961" s="3" t="s">
        <v>6645</v>
      </c>
      <c r="C6961" s="3" t="str">
        <f>IFERROR(__xludf.DUMMYFUNCTION("GOOGLETRANSLATE(B6961,""id"",""en"")"),"['', 'rich', 'signal', 'network', 'internet', 'normal', 'on case', 'signal', 'full', 'connection', 'internet', 'slow', 'please ',' Maen ',' Game ',' Online ',' lag ',' Recommend ',' ']")</f>
        <v>['', 'rich', 'signal', 'network', 'internet', 'normal', 'on case', 'signal', 'full', 'connection', 'internet', 'slow', 'please ',' Maen ',' Game ',' Online ',' lag ',' Recommend ',' ']</v>
      </c>
      <c r="D6961" s="3">
        <v>1.0</v>
      </c>
    </row>
    <row r="6962" ht="15.75" customHeight="1">
      <c r="A6962" s="1">
        <v>7415.0</v>
      </c>
      <c r="B6962" s="3" t="s">
        <v>6646</v>
      </c>
      <c r="C6962" s="3" t="str">
        <f>IFERROR(__xludf.DUMMYFUNCTION("GOOGLETRANSLATE(B6962,""id"",""en"")"),"['application', 'error', 'gabisa', 'buy', 'pulse', 'package']")</f>
        <v>['application', 'error', 'gabisa', 'buy', 'pulse', 'package']</v>
      </c>
      <c r="D6962" s="3">
        <v>1.0</v>
      </c>
    </row>
    <row r="6963" ht="15.75" customHeight="1">
      <c r="A6963" s="1">
        <v>7416.0</v>
      </c>
      <c r="B6963" s="3" t="s">
        <v>6647</v>
      </c>
      <c r="C6963" s="3" t="str">
        <f>IFERROR(__xludf.DUMMYFUNCTION("GOOGLETRANSLATE(B6963,""id"",""en"")"),"['disable', 'sound', 'notification', 'sound', 'open', 'application', 'application', 'Telkomsel', 'enter', 'application', 'his voice', 'appears',' Here ',' application ',' ']")</f>
        <v>['disable', 'sound', 'notification', 'sound', 'open', 'application', 'application', 'Telkomsel', 'enter', 'application', 'his voice', 'appears',' Here ',' application ',' ']</v>
      </c>
      <c r="D6963" s="3">
        <v>1.0</v>
      </c>
    </row>
    <row r="6964" ht="15.75" customHeight="1">
      <c r="A6964" s="1">
        <v>7417.0</v>
      </c>
      <c r="B6964" s="3" t="s">
        <v>8</v>
      </c>
      <c r="C6964" s="3" t="str">
        <f>IFERROR(__xludf.DUMMYFUNCTION("GOOGLETRANSLATE(B6964,""id"",""en"")"),"['application']")</f>
        <v>['application']</v>
      </c>
      <c r="D6964" s="3">
        <v>5.0</v>
      </c>
    </row>
    <row r="6965" ht="15.75" customHeight="1">
      <c r="A6965" s="1">
        <v>7418.0</v>
      </c>
      <c r="B6965" s="3" t="s">
        <v>6648</v>
      </c>
      <c r="C6965" s="3" t="str">
        <f>IFERROR(__xludf.DUMMYFUNCTION("GOOGLETRANSLATE(B6965,""id"",""en"")"),"['signal', 'ilang', 'severe', 'rich', 'gini', 'mending', 'card', 'tri', 'telkomsel', 'kintiiil']")</f>
        <v>['signal', 'ilang', 'severe', 'rich', 'gini', 'mending', 'card', 'tri', 'telkomsel', 'kintiiil']</v>
      </c>
      <c r="D6965" s="3">
        <v>1.0</v>
      </c>
    </row>
    <row r="6966" ht="15.75" customHeight="1">
      <c r="A6966" s="1">
        <v>7419.0</v>
      </c>
      <c r="B6966" s="3" t="s">
        <v>6649</v>
      </c>
      <c r="C6966" s="3" t="str">
        <f>IFERROR(__xludf.DUMMYFUNCTION("GOOGLETRANSLATE(B6966,""id"",""en"")"),"['kenpa', 'Telkomsel', 'stable', 'signal', 'play', 'game', 'down', 'location', 'inland', 'bandung', 'east', ""]")</f>
        <v>['kenpa', 'Telkomsel', 'stable', 'signal', 'play', 'game', 'down', 'location', 'inland', 'bandung', 'east', "]</v>
      </c>
      <c r="D6966" s="3">
        <v>1.0</v>
      </c>
    </row>
    <row r="6967" ht="15.75" customHeight="1">
      <c r="A6967" s="1">
        <v>7420.0</v>
      </c>
      <c r="B6967" s="3" t="s">
        <v>6650</v>
      </c>
      <c r="C6967" s="3" t="str">
        <f>IFERROR(__xludf.DUMMYFUNCTION("GOOGLETRANSLATE(B6967,""id"",""en"")"),"['Woy', 'buy', 'quota', 'expensive', 'hundreds',' thousand ',' just ',' maen ',' game ',' mobile ',' legend ',' ngelag ',' Forgiveness', 'red', 'use', 'package', 'hotspot', 'use', 'use', 'Telkomsel', 'already', 'million', 'pay', 'quota', 'pendar' , 'Mandi"&amp;"r', 'Red', 'tired', 'Potatoes', 'Najis', ""]")</f>
        <v>['Woy', 'buy', 'quota', 'expensive', 'hundreds',' thousand ',' just ',' maen ',' game ',' mobile ',' legend ',' ngelag ',' Forgiveness', 'red', 'use', 'package', 'hotspot', 'use', 'use', 'Telkomsel', 'already', 'million', 'pay', 'quota', 'pendar' , 'Mandir', 'Red', 'tired', 'Potatoes', 'Najis', "]</v>
      </c>
      <c r="D6967" s="3">
        <v>1.0</v>
      </c>
    </row>
    <row r="6968" ht="15.75" customHeight="1">
      <c r="A6968" s="1">
        <v>7421.0</v>
      </c>
      <c r="B6968" s="3" t="s">
        <v>6651</v>
      </c>
      <c r="C6968" s="3" t="str">
        <f>IFERROR(__xludf.DUMMYFUNCTION("GOOGLETRANSLATE(B6968,""id"",""en"")"),"['Meaning', 'Bintang', 'Ditali', '']")</f>
        <v>['Meaning', 'Bintang', 'Ditali', '']</v>
      </c>
      <c r="D6968" s="3">
        <v>5.0</v>
      </c>
    </row>
    <row r="6969" ht="15.75" customHeight="1">
      <c r="A6969" s="1">
        <v>7422.0</v>
      </c>
      <c r="B6969" s="3" t="s">
        <v>6652</v>
      </c>
      <c r="C6969" s="3" t="str">
        <f>IFERROR(__xludf.DUMMYFUNCTION("GOOGLETRANSLATE(B6969,""id"",""en"")"),"['Telkomsel', 'disappointing', 'pulse', 'package', 'expensive', 'quality', 'ugly', 'disorder', 'signal', 'good', 'titawakan']")</f>
        <v>['Telkomsel', 'disappointing', 'pulse', 'package', 'expensive', 'quality', 'ugly', 'disorder', 'signal', 'good', 'titawakan']</v>
      </c>
      <c r="D6969" s="3">
        <v>1.0</v>
      </c>
    </row>
    <row r="6970" ht="15.75" customHeight="1">
      <c r="A6970" s="1">
        <v>7423.0</v>
      </c>
      <c r="B6970" s="3" t="s">
        <v>6653</v>
      </c>
      <c r="C6970" s="3" t="str">
        <f>IFERROR(__xludf.DUMMYFUNCTION("GOOGLETRANSLATE(B6970,""id"",""en"")"),"['Disappointed', 'Service', 'responding', 'complaints', 'Customer', 'Search', 'Reason', 'Blame', 'User']")</f>
        <v>['Disappointed', 'Service', 'responding', 'complaints', 'Customer', 'Search', 'Reason', 'Blame', 'User']</v>
      </c>
      <c r="D6970" s="3">
        <v>5.0</v>
      </c>
    </row>
    <row r="6971" ht="15.75" customHeight="1">
      <c r="A6971" s="1">
        <v>7424.0</v>
      </c>
      <c r="B6971" s="3" t="s">
        <v>6654</v>
      </c>
      <c r="C6971" s="3" t="str">
        <f>IFERROR(__xludf.DUMMYFUNCTION("GOOGLETRANSLATE(B6971,""id"",""en"")"),"['Telkomsel', 'threat', 'network', 'already', 'package', 'expensive', 'signal', 'weak', 'pulse', 'run out', 'quota', 'Telkomsel', ' ']")</f>
        <v>['Telkomsel', 'threat', 'network', 'already', 'package', 'expensive', 'signal', 'weak', 'pulse', 'run out', 'quota', 'Telkomsel', ' ']</v>
      </c>
      <c r="D6971" s="3">
        <v>1.0</v>
      </c>
    </row>
    <row r="6972" ht="15.75" customHeight="1">
      <c r="A6972" s="1">
        <v>7425.0</v>
      </c>
      <c r="B6972" s="3" t="s">
        <v>6655</v>
      </c>
      <c r="C6972" s="3" t="str">
        <f>IFERROR(__xludf.DUMMYFUNCTION("GOOGLETRANSLATE(B6972,""id"",""en"")"),"['signal', 'woii', 'signal', 'fix', 'strange', 'card', 'take care', 'card', 'lost', 'ribetin', 'ktp', 'uda', ' fitting ',' data ',' ttp ',' take care ',' strange ',' cook ',' people ',' call ',' giman ',' people ',' call ',' hid ',' hilanh ' , 'olah']")</f>
        <v>['signal', 'woii', 'signal', 'fix', 'strange', 'card', 'take care', 'card', 'lost', 'ribetin', 'ktp', 'uda', ' fitting ',' data ',' ttp ',' take care ',' strange ',' cook ',' people ',' call ',' giman ',' people ',' call ',' hid ',' hilanh ' , 'olah']</v>
      </c>
      <c r="D6972" s="3">
        <v>1.0</v>
      </c>
    </row>
    <row r="6973" ht="15.75" customHeight="1">
      <c r="A6973" s="1">
        <v>7426.0</v>
      </c>
      <c r="B6973" s="3" t="s">
        <v>6656</v>
      </c>
      <c r="C6973" s="3" t="str">
        <f>IFERROR(__xludf.DUMMYFUNCTION("GOOGLETRANSLATE(B6973,""id"",""en"")"),"['Use', 'APK', 'Simple', 'Features',' Easy ',' Defended ',' Plus', 'Offer', 'Promo', 'Dearikkk', 'Like', 'Big', ' Love ',' MyTelkomsel ',' ']")</f>
        <v>['Use', 'APK', 'Simple', 'Features',' Easy ',' Defended ',' Plus', 'Offer', 'Promo', 'Dearikkk', 'Like', 'Big', ' Love ',' MyTelkomsel ',' ']</v>
      </c>
      <c r="D6973" s="3">
        <v>5.0</v>
      </c>
    </row>
    <row r="6974" ht="15.75" customHeight="1">
      <c r="A6974" s="1">
        <v>7427.0</v>
      </c>
      <c r="B6974" s="3" t="s">
        <v>6657</v>
      </c>
      <c r="C6974" s="3" t="str">
        <f>IFERROR(__xludf.DUMMYFUNCTION("GOOGLETRANSLATE(B6974,""id"",""en"")"),"['Download', 'file', 'size', 'GB', 'no', 'quota', 'GB', 'Where', 'no', 'open', 'open', 'Telkomsel', ' ']")</f>
        <v>['Download', 'file', 'size', 'GB', 'no', 'quota', 'GB', 'Where', 'no', 'open', 'open', 'Telkomsel', ' ']</v>
      </c>
      <c r="D6974" s="3">
        <v>1.0</v>
      </c>
    </row>
    <row r="6975" ht="15.75" customHeight="1">
      <c r="A6975" s="1">
        <v>7428.0</v>
      </c>
      <c r="B6975" s="3" t="s">
        <v>6658</v>
      </c>
      <c r="C6975" s="3" t="str">
        <f>IFERROR(__xludf.DUMMYFUNCTION("GOOGLETRANSLATE(B6975,""id"",""en"")"),"['slow', 'because', 'game', 'signal', 'automatic', 'less', 'stability', 'original', 'rasain']")</f>
        <v>['slow', 'because', 'game', 'signal', 'automatic', 'less', 'stability', 'original', 'rasain']</v>
      </c>
      <c r="D6975" s="3">
        <v>5.0</v>
      </c>
    </row>
    <row r="6976" ht="15.75" customHeight="1">
      <c r="A6976" s="1">
        <v>7429.0</v>
      </c>
      <c r="B6976" s="3" t="s">
        <v>6659</v>
      </c>
      <c r="C6976" s="3" t="str">
        <f>IFERROR(__xludf.DUMMYFUNCTION("GOOGLETRANSLATE(B6976,""id"",""en"")"),"['cave', 'love', 'zero', 'star', 'cave', 'really', 'love', 'already', 'expensive', 'server', 'down', 'service', ' Bad, 'best', 'deh', 'provider', 'spirit', 'hope', 'best', 'expensive', ""]")</f>
        <v>['cave', 'love', 'zero', 'star', 'cave', 'really', 'love', 'already', 'expensive', 'server', 'down', 'service', ' Bad, 'best', 'deh', 'provider', 'spirit', 'hope', 'best', 'expensive', "]</v>
      </c>
      <c r="D6976" s="3">
        <v>1.0</v>
      </c>
    </row>
    <row r="6977" ht="15.75" customHeight="1">
      <c r="A6977" s="1">
        <v>7430.0</v>
      </c>
      <c r="B6977" s="3" t="s">
        <v>6660</v>
      </c>
      <c r="C6977" s="3" t="str">
        <f>IFERROR(__xludf.DUMMYFUNCTION("GOOGLETRANSLATE(B6977,""id"",""en"")"),"['Please', 'Network', 'Telkomsel', 'Error', 'Point', 'Full', 'Network', 'Nge', 'Lag', 'Severe', 'Please', 'Definition']")</f>
        <v>['Please', 'Network', 'Telkomsel', 'Error', 'Point', 'Full', 'Network', 'Nge', 'Lag', 'Severe', 'Please', 'Definition']</v>
      </c>
      <c r="D6977" s="3">
        <v>1.0</v>
      </c>
    </row>
    <row r="6978" ht="15.75" customHeight="1">
      <c r="A6978" s="1">
        <v>7431.0</v>
      </c>
      <c r="B6978" s="3" t="s">
        <v>6661</v>
      </c>
      <c r="C6978" s="3" t="str">
        <f>IFERROR(__xludf.DUMMYFUNCTION("GOOGLETRANSLATE(B6978,""id"",""en"")"),"['', 'Points', 'Exchange', 'Exchange', 'Busy', 'then', 'please', 'help', 'star']")</f>
        <v>['', 'Points', 'Exchange', 'Exchange', 'Busy', 'then', 'please', 'help', 'star']</v>
      </c>
      <c r="D6978" s="3">
        <v>1.0</v>
      </c>
    </row>
    <row r="6979" ht="15.75" customHeight="1">
      <c r="A6979" s="1">
        <v>7432.0</v>
      </c>
      <c r="B6979" s="3" t="s">
        <v>6662</v>
      </c>
      <c r="C6979" s="3" t="str">
        <f>IFERROR(__xludf.DUMMYFUNCTION("GOOGLETRANSLATE(B6979,""id"",""en"")"),"['gmn', 'min', 'pulse', 'right', 'download', 'application', 'have', 'severe', 'mimin', 'application', 'telkom', 'dapa', ' GB ',' real ',' pulse ',' suck ',' quota ',' loss', ""]")</f>
        <v>['gmn', 'min', 'pulse', 'right', 'download', 'application', 'have', 'severe', 'mimin', 'application', 'telkom', 'dapa', ' GB ',' real ',' pulse ',' suck ',' quota ',' loss', "]</v>
      </c>
      <c r="D6979" s="3">
        <v>1.0</v>
      </c>
    </row>
    <row r="6980" ht="15.75" customHeight="1">
      <c r="A6980" s="1">
        <v>7433.0</v>
      </c>
      <c r="B6980" s="3" t="s">
        <v>6663</v>
      </c>
      <c r="C6980" s="3" t="str">
        <f>IFERROR(__xludf.DUMMYFUNCTION("GOOGLETRANSLATE(B6980,""id"",""en"")"),"['Please', 'Fix', 'Network', 'Stable', 'Gausah', 'Try', 'Complous',' Application ',' Liat ',' Exposed ',' complained ',' Males', ' Telkomsel ',' Nyet ']")</f>
        <v>['Please', 'Fix', 'Network', 'Stable', 'Gausah', 'Try', 'Complous',' Application ',' Liat ',' Exposed ',' complained ',' Males', ' Telkomsel ',' Nyet ']</v>
      </c>
      <c r="D6980" s="3">
        <v>1.0</v>
      </c>
    </row>
    <row r="6981" ht="15.75" customHeight="1">
      <c r="A6981" s="1">
        <v>7434.0</v>
      </c>
      <c r="B6981" s="3" t="s">
        <v>6664</v>
      </c>
      <c r="C6981" s="3" t="str">
        <f>IFERROR(__xludf.DUMMYFUNCTION("GOOGLETRANSLATE(B6981,""id"",""en"")"),"['Application', 'Optimal', 'Stay', 'The name', 'Like', 'blur', 'please', 'Telkomsel', 'fix', 'network', 'trimakasih']")</f>
        <v>['Application', 'Optimal', 'Stay', 'The name', 'Like', 'blur', 'please', 'Telkomsel', 'fix', 'network', 'trimakasih']</v>
      </c>
      <c r="D6981" s="3">
        <v>4.0</v>
      </c>
    </row>
    <row r="6982" ht="15.75" customHeight="1">
      <c r="A6982" s="1">
        <v>7435.0</v>
      </c>
      <c r="B6982" s="3" t="s">
        <v>6665</v>
      </c>
      <c r="C6982" s="3" t="str">
        <f>IFERROR(__xludf.DUMMYFUNCTION("GOOGLETRANSLATE(B6982,""id"",""en"")"),"['Slow', 'Fak', 'Tsel', 'Network', 'Package', 'Quota', 'Slow', 'Sinyal', 'Raying', 'Buy', 'Quota', 'GB', ' so many ',' DiDaan ',' Package ',' Multimedia ',' Chat ',' Sosmed ',' Games', 'Sosmed', 'Okay', 'Ujung', 'Lemot', 'Main', 'Game' , 'Ama', 'chat', 'g"&amp;"illllaaaa', 'response', 'anjjing', 'right', 'change', 'network', 'wifi', 'normal', 'apk', 'game', ' ngebug ',' in ',' repairs', 'emg', 'here', 'bad', 'worst', 'ugly', 'network', 'tsel']")</f>
        <v>['Slow', 'Fak', 'Tsel', 'Network', 'Package', 'Quota', 'Slow', 'Sinyal', 'Raying', 'Buy', 'Quota', 'GB', ' so many ',' DiDaan ',' Package ',' Multimedia ',' Chat ',' Sosmed ',' Games', 'Sosmed', 'Okay', 'Ujung', 'Lemot', 'Main', 'Game' , 'Ama', 'chat', 'gillllaaaa', 'response', 'anjjing', 'right', 'change', 'network', 'wifi', 'normal', 'apk', 'game', ' ngebug ',' in ',' repairs', 'emg', 'here', 'bad', 'worst', 'ugly', 'network', 'tsel']</v>
      </c>
      <c r="D6982" s="3">
        <v>1.0</v>
      </c>
    </row>
    <row r="6983" ht="15.75" customHeight="1">
      <c r="A6983" s="1">
        <v>7436.0</v>
      </c>
      <c r="B6983" s="3" t="s">
        <v>6666</v>
      </c>
      <c r="C6983" s="3" t="str">
        <f>IFERROR(__xludf.DUMMYFUNCTION("GOOGLETRANSLATE(B6983,""id"",""en"")"),"['Telkomsel', 'Open', 'Application', 'Notif', 'Try', 'Mode', 'Free', 'Quota', ""]")</f>
        <v>['Telkomsel', 'Open', 'Application', 'Notif', 'Try', 'Mode', 'Free', 'Quota', "]</v>
      </c>
      <c r="D6983" s="3">
        <v>2.0</v>
      </c>
    </row>
    <row r="6984" ht="15.75" customHeight="1">
      <c r="A6984" s="1">
        <v>7437.0</v>
      </c>
      <c r="B6984" s="3" t="s">
        <v>6667</v>
      </c>
      <c r="C6984" s="3" t="str">
        <f>IFERROR(__xludf.DUMMYFUNCTION("GOOGLETRANSLATE(B6984,""id"",""en"")"),"['send', 'email', 'Dibales', 'given', 'balesan', 'reply', 'review', 'person', 'told', 'contact', 'twitter', '']")</f>
        <v>['send', 'email', 'Dibales', 'given', 'balesan', 'reply', 'review', 'person', 'told', 'contact', 'twitter', '']</v>
      </c>
      <c r="D6984" s="3">
        <v>1.0</v>
      </c>
    </row>
    <row r="6985" ht="15.75" customHeight="1">
      <c r="A6985" s="1">
        <v>7438.0</v>
      </c>
      <c r="B6985" s="3" t="s">
        <v>6668</v>
      </c>
      <c r="C6985" s="3" t="str">
        <f>IFERROR(__xludf.DUMMYFUNCTION("GOOGLETRANSLATE(B6985,""id"",""en"")"),"['signal', 'turn', 'Maen', 'Car', 'Legend', 'Leg', 'Signal', 'Yellow', 'Toll', 'jlowkan']")</f>
        <v>['signal', 'turn', 'Maen', 'Car', 'Legend', 'Leg', 'Signal', 'Yellow', 'Toll', 'jlowkan']</v>
      </c>
      <c r="D6985" s="3">
        <v>1.0</v>
      </c>
    </row>
    <row r="6986" ht="15.75" customHeight="1">
      <c r="A6986" s="1">
        <v>7439.0</v>
      </c>
      <c r="B6986" s="3" t="s">
        <v>6669</v>
      </c>
      <c r="C6986" s="3" t="str">
        <f>IFERROR(__xludf.DUMMYFUNCTION("GOOGLETRANSLATE(B6986,""id"",""en"")"),"['disruption', 'network', 'Telkomsel', 'Severe', 'signal', 'visits',' improved ',' bad ',' price ',' quota ',' merchant ',' rich ',' People ',' miserable ',' need ',' network ',' access', 'Bajar', 'online', 'difficult', '']")</f>
        <v>['disruption', 'network', 'Telkomsel', 'Severe', 'signal', 'visits',' improved ',' bad ',' price ',' quota ',' merchant ',' rich ',' People ',' miserable ',' need ',' network ',' access', 'Bajar', 'online', 'difficult', '']</v>
      </c>
      <c r="D6986" s="3">
        <v>1.0</v>
      </c>
    </row>
    <row r="6987" ht="15.75" customHeight="1">
      <c r="A6987" s="1">
        <v>7440.0</v>
      </c>
      <c r="B6987" s="3" t="s">
        <v>6670</v>
      </c>
      <c r="C6987" s="3" t="str">
        <f>IFERROR(__xludf.DUMMYFUNCTION("GOOGLETRANSLATE(B6987,""id"",""en"")"),"['Uda', 'Telkom', 'Lost', 'Gover', 'Telkom', 'Make', 'Number', 'Telkom', 'Disappointed', 'Karna', 'Tellkom', ' disappointing ',' package ',' expensive ',' according to ',' optimal ',' network ',' expensive ',' satisfying ',' optimal ',' price ',' package "&amp;"',' increase ',' think ' , 'Change', 'number', 'cellular', 'cheap', 'fast']")</f>
        <v>['Uda', 'Telkom', 'Lost', 'Gover', 'Telkom', 'Make', 'Number', 'Telkom', 'Disappointed', 'Karna', 'Tellkom', ' disappointing ',' package ',' expensive ',' according to ',' optimal ',' network ',' expensive ',' satisfying ',' optimal ',' price ',' package ',' increase ',' think ' , 'Change', 'number', 'cellular', 'cheap', 'fast']</v>
      </c>
      <c r="D6987" s="3">
        <v>3.0</v>
      </c>
    </row>
    <row r="6988" ht="15.75" customHeight="1">
      <c r="A6988" s="1">
        <v>7441.0</v>
      </c>
      <c r="B6988" s="3" t="s">
        <v>6671</v>
      </c>
      <c r="C6988" s="3" t="str">
        <f>IFERROR(__xludf.DUMMYFUNCTION("GOOGLETRANSLATE(B6988,""id"",""en"")"),"['Longkomsel', 'network', 'best']")</f>
        <v>['Longkomsel', 'network', 'best']</v>
      </c>
      <c r="D6988" s="3">
        <v>5.0</v>
      </c>
    </row>
    <row r="6989" ht="15.75" customHeight="1">
      <c r="A6989" s="1">
        <v>7442.0</v>
      </c>
      <c r="B6989" s="3" t="s">
        <v>6672</v>
      </c>
      <c r="C6989" s="3" t="str">
        <f>IFERROR(__xludf.DUMMYFUNCTION("GOOGLETRANSLATE(B6989,""id"",""en"")"),"['buy', 'contents',' GB ',' smooth ',' right ',' fill ',' reset ',' GB ',' IDR ',' network ',' Severe ',' rich ',' Plosok ',' jakarta ',' card ',' emang ',' network ',' ugly ']")</f>
        <v>['buy', 'contents',' GB ',' smooth ',' right ',' fill ',' reset ',' GB ',' IDR ',' network ',' Severe ',' rich ',' Plosok ',' jakarta ',' card ',' emang ',' network ',' ugly ']</v>
      </c>
      <c r="D6989" s="3">
        <v>1.0</v>
      </c>
    </row>
    <row r="6990" ht="15.75" customHeight="1">
      <c r="A6990" s="1">
        <v>7443.0</v>
      </c>
      <c r="B6990" s="3" t="s">
        <v>6673</v>
      </c>
      <c r="C6990" s="3" t="str">
        <f>IFERROR(__xludf.DUMMYFUNCTION("GOOGLETRANSLATE(B6990,""id"",""en"")"),"['difficult', 'open', 'Telkomsel', 'check', 'package', 'learn', 'ndk', 'data', 'package', 'school', 'ndk', 'enter']")</f>
        <v>['difficult', 'open', 'Telkomsel', 'check', 'package', 'learn', 'ndk', 'data', 'package', 'school', 'ndk', 'enter']</v>
      </c>
      <c r="D6990" s="3">
        <v>1.0</v>
      </c>
    </row>
    <row r="6991" ht="15.75" customHeight="1">
      <c r="A6991" s="1">
        <v>7444.0</v>
      </c>
      <c r="B6991" s="3" t="s">
        <v>6674</v>
      </c>
      <c r="C6991" s="3" t="str">
        <f>IFERROR(__xludf.DUMMYFUNCTION("GOOGLETRANSLATE(B6991,""id"",""en"")"),"['UDH', 'many years',' use ',' Telkomsel ',' times', 'Bener', 'Disappointed', 'yes',' Nge ',' lag ',' play ',' game ',' stop ',' Notif ',' connection ',' disconnected ',' network ',' stable ',' continuous', 'hadehhh', 'severe', 'game', 'problematic', 'pos"&amp;"ition', 'play' , 'friend', 'network', 'in the end', 'times', 'use', 'Telkomsel', 'many years', 'loyal', 'tomorrow', 'trua', 'nge', 'lag']")</f>
        <v>['UDH', 'many years',' use ',' Telkomsel ',' times', 'Bener', 'Disappointed', 'yes',' Nge ',' lag ',' play ',' game ',' stop ',' Notif ',' connection ',' disconnected ',' network ',' stable ',' continuous', 'hadehhh', 'severe', 'game', 'problematic', 'position', 'play' , 'friend', 'network', 'in the end', 'times', 'use', 'Telkomsel', 'many years', 'loyal', 'tomorrow', 'trua', 'nge', 'lag']</v>
      </c>
      <c r="D6991" s="3">
        <v>1.0</v>
      </c>
    </row>
    <row r="6992" ht="15.75" customHeight="1">
      <c r="A6992" s="1">
        <v>7445.0</v>
      </c>
      <c r="B6992" s="3" t="s">
        <v>6675</v>
      </c>
      <c r="C6992" s="3" t="str">
        <f>IFERROR(__xludf.DUMMYFUNCTION("GOOGLETRANSLATE(B6992,""id"",""en"")"),"['Telkomsel', 'Skrang', 'Severe', 'Network', 'Severe', 'LGI', 'PAS', 'LGI', 'MAEN', 'GAME', 'MLH', 'Ngelag', ' Anyway ',' super ',' super ',' severe ',' signal ',' tlong ',' fix ',' original ',' parahh ',' skrang ',' have ']")</f>
        <v>['Telkomsel', 'Skrang', 'Severe', 'Network', 'Severe', 'LGI', 'PAS', 'LGI', 'MAEN', 'GAME', 'MLH', 'Ngelag', ' Anyway ',' super ',' super ',' severe ',' signal ',' tlong ',' fix ',' original ',' parahh ',' skrang ',' have ']</v>
      </c>
      <c r="D6992" s="3">
        <v>1.0</v>
      </c>
    </row>
    <row r="6993" ht="15.75" customHeight="1">
      <c r="A6993" s="1">
        <v>7446.0</v>
      </c>
      <c r="B6993" s="3" t="s">
        <v>6676</v>
      </c>
      <c r="C6993" s="3" t="str">
        <f>IFERROR(__xludf.DUMMYFUNCTION("GOOGLETRANSLATE(B6993,""id"",""en"")"),"['network', 'missing', 'bad', 'provider', 'other', 'bad', 'stay', 'jakarta', 'network', 'full', 'network', 'bad' Game ',' aat ',' bad ',' brave ',' offer ',' package ',' game ',' network ',' stable ',' Please ',' telkom ',' experience ',' user ' , 'Like',"&amp;" 'Data', 'Pay', ""]")</f>
        <v>['network', 'missing', 'bad', 'provider', 'other', 'bad', 'stay', 'jakarta', 'network', 'full', 'network', 'bad' Game ',' aat ',' bad ',' brave ',' offer ',' package ',' game ',' network ',' stable ',' Please ',' telkom ',' experience ',' user ' , 'Like', 'Data', 'Pay', "]</v>
      </c>
      <c r="D6993" s="3">
        <v>1.0</v>
      </c>
    </row>
    <row r="6994" ht="15.75" customHeight="1">
      <c r="A6994" s="1">
        <v>7447.0</v>
      </c>
      <c r="B6994" s="3" t="s">
        <v>6677</v>
      </c>
      <c r="C6994" s="3" t="str">
        <f>IFERROR(__xludf.DUMMYFUNCTION("GOOGLETRANSLATE(B6994,""id"",""en"")"),"['Tomorrow', 'move', 'there', 'NOT', 'BUSINESS', 'Threat', 'signal', 'package', 'signal', 'already', 'paid', 'please', ' Work ',' maximum ',' ']")</f>
        <v>['Tomorrow', 'move', 'there', 'NOT', 'BUSINESS', 'Threat', 'signal', 'package', 'signal', 'already', 'paid', 'please', ' Work ',' maximum ',' ']</v>
      </c>
      <c r="D6994" s="3">
        <v>1.0</v>
      </c>
    </row>
    <row r="6995" ht="15.75" customHeight="1">
      <c r="A6995" s="1">
        <v>7448.0</v>
      </c>
      <c r="B6995" s="3" t="s">
        <v>6678</v>
      </c>
      <c r="C6995" s="3" t="str">
        <f>IFERROR(__xludf.DUMMYFUNCTION("GOOGLETRANSLATE(B6995,""id"",""en"")"),"['Please', 'Features',' Ngidimin ',' Data ',' Credit ',' Sumpot ',' Yesterday ',' Buy ',' Credit ',' Open ',' Data ',' Sucked ',' Ngentod ']")</f>
        <v>['Please', 'Features',' Ngidimin ',' Data ',' Credit ',' Sumpot ',' Yesterday ',' Buy ',' Credit ',' Open ',' Data ',' Sucked ',' Ngentod ']</v>
      </c>
      <c r="D6995" s="3">
        <v>1.0</v>
      </c>
    </row>
    <row r="6996" ht="15.75" customHeight="1">
      <c r="A6996" s="1">
        <v>7449.0</v>
      </c>
      <c r="B6996" s="3" t="s">
        <v>6679</v>
      </c>
      <c r="C6996" s="3" t="str">
        <f>IFERROR(__xludf.DUMMYFUNCTION("GOOGLETRANSLATE(B6996,""id"",""en"")"),"['already', 'expensive', 'ugly', 'signal', 'play', 'game', 'signal', 'red', 'trs', 'nya', 'good', 'ugly']")</f>
        <v>['already', 'expensive', 'ugly', 'signal', 'play', 'game', 'signal', 'red', 'trs', 'nya', 'good', 'ugly']</v>
      </c>
      <c r="D6996" s="3">
        <v>1.0</v>
      </c>
    </row>
    <row r="6997" ht="15.75" customHeight="1">
      <c r="A6997" s="1">
        <v>7450.0</v>
      </c>
      <c r="B6997" s="3" t="s">
        <v>6680</v>
      </c>
      <c r="C6997" s="3" t="str">
        <f>IFERROR(__xludf.DUMMYFUNCTION("GOOGLETRANSLATE(B6997,""id"",""en"")"),"['', 'trusted', 'buy', 'activate', 'quota', 'package', 'active']")</f>
        <v>['', 'trusted', 'buy', 'activate', 'quota', 'package', 'active']</v>
      </c>
      <c r="D6997" s="3">
        <v>1.0</v>
      </c>
    </row>
    <row r="6998" ht="15.75" customHeight="1">
      <c r="A6998" s="1">
        <v>7451.0</v>
      </c>
      <c r="B6998" s="3" t="s">
        <v>6681</v>
      </c>
      <c r="C6998" s="3" t="str">
        <f>IFERROR(__xludf.DUMMYFUNCTION("GOOGLETRANSLATE(B6998,""id"",""en"")"),"['Win', 'Price', 'Doang', 'Expensive', 'Quality', 'Internet', 'satisfying', ""]")</f>
        <v>['Win', 'Price', 'Doang', 'Expensive', 'Quality', 'Internet', 'satisfying', "]</v>
      </c>
      <c r="D6998" s="3">
        <v>1.0</v>
      </c>
    </row>
    <row r="6999" ht="15.75" customHeight="1">
      <c r="A6999" s="1">
        <v>7452.0</v>
      </c>
      <c r="B6999" s="3" t="s">
        <v>6682</v>
      </c>
      <c r="C6999" s="3" t="str">
        <f>IFERROR(__xludf.DUMMYFUNCTION("GOOGLETRANSLATE(B6999,""id"",""en"")"),"['Quality', 'promo', 'combo', 'Sakti', 'ugly', 'quota', 'main', 'run out', 'remaining', 'quota', 'multimedia', 'sebyk', ' Used ',' watch ',' DisneyHotstar ',' buffering ',' buy ',' package ',' quota ',' Disney ',' hotstar ',' hadeuh ', ""]")</f>
        <v>['Quality', 'promo', 'combo', 'Sakti', 'ugly', 'quota', 'main', 'run out', 'remaining', 'quota', 'multimedia', 'sebyk', ' Used ',' watch ',' DisneyHotstar ',' buffering ',' buy ',' package ',' quota ',' Disney ',' hotstar ',' hadeuh ', "]</v>
      </c>
      <c r="D6999" s="3">
        <v>1.0</v>
      </c>
    </row>
    <row r="7000" ht="15.75" customHeight="1">
      <c r="A7000" s="1">
        <v>7453.0</v>
      </c>
      <c r="B7000" s="3" t="s">
        <v>6683</v>
      </c>
      <c r="C7000" s="3" t="str">
        <f>IFERROR(__xludf.DUMMYFUNCTION("GOOGLETRANSLATE(B7000,""id"",""en"")"),"['AppiIII', 'Makkiiin', 'apparatts', 'Signal', 'BERES', 'Internet', 'Sometimes', 'Used', 'Sometimes', 'City', 'Signal', 'wkwkwkwk']")</f>
        <v>['AppiIII', 'Makkiiin', 'apparatts', 'Signal', 'BERES', 'Internet', 'Sometimes', 'Used', 'Sometimes', 'City', 'Signal', 'wkwkwkwk']</v>
      </c>
      <c r="D7000" s="3">
        <v>1.0</v>
      </c>
    </row>
    <row r="7001" ht="15.75" customHeight="1">
      <c r="A7001" s="1">
        <v>7454.0</v>
      </c>
      <c r="B7001" s="3" t="s">
        <v>6684</v>
      </c>
      <c r="C7001" s="3" t="str">
        <f>IFERROR(__xludf.DUMMYFUNCTION("GOOGLETRANSLATE(B7001,""id"",""en"")"),"['TPI', 'TPI', 'Change', 'Mah', 'Severe', 'The Network', 'Best', 'Telkomsel', 'Please', 'Sensitive', 'Consumer', ""]")</f>
        <v>['TPI', 'TPI', 'Change', 'Mah', 'Severe', 'The Network', 'Best', 'Telkomsel', 'Please', 'Sensitive', 'Consumer', "]</v>
      </c>
      <c r="D7001" s="3">
        <v>1.0</v>
      </c>
    </row>
    <row r="7002" ht="15.75" customHeight="1">
      <c r="A7002" s="1">
        <v>7455.0</v>
      </c>
      <c r="B7002" s="3" t="s">
        <v>6685</v>
      </c>
      <c r="C7002" s="3" t="str">
        <f>IFERROR(__xludf.DUMMYFUNCTION("GOOGLETRANSLATE(B7002,""id"",""en"")"),"['Wonder', 'Pay', 'expensive', 'signal', 'like', 'stable', 'Package', 'Telfon', 'Minute', 'Free', 'Manchester', 'Enter', ' bills', 'how', 'disappointed', 'really', 'Telkomsel']")</f>
        <v>['Wonder', 'Pay', 'expensive', 'signal', 'like', 'stable', 'Package', 'Telfon', 'Minute', 'Free', 'Manchester', 'Enter', ' bills', 'how', 'disappointed', 'really', 'Telkomsel']</v>
      </c>
      <c r="D7002" s="3">
        <v>1.0</v>
      </c>
    </row>
    <row r="7003" ht="15.75" customHeight="1">
      <c r="A7003" s="1">
        <v>7456.0</v>
      </c>
      <c r="B7003" s="3" t="s">
        <v>6686</v>
      </c>
      <c r="C7003" s="3" t="str">
        <f>IFERROR(__xludf.DUMMYFUNCTION("GOOGLETRANSLATE(B7003,""id"",""en"")"),"['Disconnect', 'Disconnect', 'Sinyal', 'No.', 'Ngerti', 'Provider', 'Migration', 'Card', 'Hello', 'Jumping', 'Jumping', 'Sinyal', ' confused']")</f>
        <v>['Disconnect', 'Disconnect', 'Sinyal', 'No.', 'Ngerti', 'Provider', 'Migration', 'Card', 'Hello', 'Jumping', 'Jumping', 'Sinyal', ' confused']</v>
      </c>
      <c r="D7003" s="3">
        <v>1.0</v>
      </c>
    </row>
    <row r="7004" ht="15.75" customHeight="1">
      <c r="A7004" s="1">
        <v>7457.0</v>
      </c>
      <c r="B7004" s="3" t="s">
        <v>6687</v>
      </c>
      <c r="C7004" s="3" t="str">
        <f>IFERROR(__xludf.DUMMYFUNCTION("GOOGLETRANSLATE(B7004,""id"",""en"")"),"['Good', 'internet', 'fast', 'disappointed', 'use', 'play', 'game']")</f>
        <v>['Good', 'internet', 'fast', 'disappointed', 'use', 'play', 'game']</v>
      </c>
      <c r="D7004" s="3">
        <v>1.0</v>
      </c>
    </row>
    <row r="7005" ht="15.75" customHeight="1">
      <c r="A7005" s="1">
        <v>7458.0</v>
      </c>
      <c r="B7005" s="3" t="s">
        <v>6688</v>
      </c>
      <c r="C7005" s="3" t="str">
        <f>IFERROR(__xludf.DUMMYFUNCTION("GOOGLETRANSLATE(B7005,""id"",""en"")"),"['signal', 'error', 'mulu', 'play', 'game', 'nge', 'lag', 'mulu', 'signal', 'repair', 'given', 'notification', ' Napa ',' ']")</f>
        <v>['signal', 'error', 'mulu', 'play', 'game', 'nge', 'lag', 'mulu', 'signal', 'repair', 'given', 'notification', ' Napa ',' ']</v>
      </c>
      <c r="D7005" s="3">
        <v>1.0</v>
      </c>
    </row>
    <row r="7006" ht="15.75" customHeight="1">
      <c r="A7006" s="1">
        <v>7459.0</v>
      </c>
      <c r="B7006" s="3" t="s">
        <v>6689</v>
      </c>
      <c r="C7006" s="3" t="str">
        <f>IFERROR(__xludf.DUMMYFUNCTION("GOOGLETRANSLATE(B7006,""id"",""en"")"),"['price', 'package', 'abis', 'pulse', 'contents', 'udh', 'cut', 'gemana', 'buy', 'packetan']")</f>
        <v>['price', 'package', 'abis', 'pulse', 'contents', 'udh', 'cut', 'gemana', 'buy', 'packetan']</v>
      </c>
      <c r="D7006" s="3">
        <v>3.0</v>
      </c>
    </row>
    <row r="7007" ht="15.75" customHeight="1">
      <c r="A7007" s="1">
        <v>7460.0</v>
      </c>
      <c r="B7007" s="3" t="s">
        <v>6690</v>
      </c>
      <c r="C7007" s="3" t="str">
        <f>IFERROR(__xludf.DUMMYFUNCTION("GOOGLETRANSLATE(B7007,""id"",""en"")"),"['Telkomsel', 'damn', 'price', 'package', 'expensive', 'quality', 'bad', '']")</f>
        <v>['Telkomsel', 'damn', 'price', 'package', 'expensive', 'quality', 'bad', '']</v>
      </c>
      <c r="D7007" s="3">
        <v>1.0</v>
      </c>
    </row>
    <row r="7008" ht="15.75" customHeight="1">
      <c r="A7008" s="1">
        <v>7461.0</v>
      </c>
      <c r="B7008" s="3" t="s">
        <v>6691</v>
      </c>
      <c r="C7008" s="3" t="str">
        <f>IFERROR(__xludf.DUMMYFUNCTION("GOOGLETRANSLATE(B7008,""id"",""en"")"),"['how', 'price', 'expensive', 'network', 'good', 'slow', '']")</f>
        <v>['how', 'price', 'expensive', 'network', 'good', 'slow', '']</v>
      </c>
      <c r="D7008" s="3">
        <v>2.0</v>
      </c>
    </row>
    <row r="7009" ht="15.75" customHeight="1">
      <c r="A7009" s="1">
        <v>7462.0</v>
      </c>
      <c r="B7009" s="3" t="s">
        <v>6692</v>
      </c>
      <c r="C7009" s="3" t="str">
        <f>IFERROR(__xludf.DUMMYFUNCTION("GOOGLETRANSLATE(B7009,""id"",""en"")"),"['Telkomsel', 'Recommendations', 'Main', 'Game', 'Login', 'Hard', 'YouTube', 'Good', 'TPI', 'Main', 'Game', 'Good' ']")</f>
        <v>['Telkomsel', 'Recommendations', 'Main', 'Game', 'Login', 'Hard', 'YouTube', 'Good', 'TPI', 'Main', 'Game', 'Good' ']</v>
      </c>
      <c r="D7009" s="3">
        <v>1.0</v>
      </c>
    </row>
    <row r="7010" ht="15.75" customHeight="1">
      <c r="A7010" s="1">
        <v>7463.0</v>
      </c>
      <c r="B7010" s="3" t="s">
        <v>6693</v>
      </c>
      <c r="C7010" s="3" t="str">
        <f>IFERROR(__xludf.DUMMYFUNCTION("GOOGLETRANSLATE(B7010,""id"",""en"")"),"['Network', 'Telkomsel', 'Worse', 'NGK', 'Ketol-', 'Unfortunately', 'Diesa', 'Just', 'Network', 'Help', 'Repaired', 'The Network', ' Upset ',' Bangat ',' Delicious', 'Play', 'Game', 'Network', 'Telkomsel', 'AFK', 'Help', 'Repaired', 'The Network', 'Expens"&amp;"ive', 'TPI' , 'Network', 'Leet', 'Severe', '']")</f>
        <v>['Network', 'Telkomsel', 'Worse', 'NGK', 'Ketol-', 'Unfortunately', 'Diesa', 'Just', 'Network', 'Help', 'Repaired', 'The Network', ' Upset ',' Bangat ',' Delicious', 'Play', 'Game', 'Network', 'Telkomsel', 'AFK', 'Help', 'Repaired', 'The Network', 'Expensive', 'TPI' , 'Network', 'Leet', 'Severe', '']</v>
      </c>
      <c r="D7010" s="3">
        <v>1.0</v>
      </c>
    </row>
    <row r="7011" ht="15.75" customHeight="1">
      <c r="A7011" s="1">
        <v>7464.0</v>
      </c>
      <c r="B7011" s="3" t="s">
        <v>6694</v>
      </c>
      <c r="C7011" s="3" t="str">
        <f>IFERROR(__xludf.DUMMYFUNCTION("GOOGLETRANSLATE(B7011,""id"",""en"")"),"['Info', 'Network', 'Beres', 'Diem', 'Action']")</f>
        <v>['Info', 'Network', 'Beres', 'Diem', 'Action']</v>
      </c>
      <c r="D7011" s="3">
        <v>1.0</v>
      </c>
    </row>
    <row r="7012" ht="15.75" customHeight="1">
      <c r="A7012" s="1">
        <v>7465.0</v>
      </c>
      <c r="B7012" s="3" t="s">
        <v>6695</v>
      </c>
      <c r="C7012" s="3" t="str">
        <f>IFERROR(__xludf.DUMMYFUNCTION("GOOGLETRANSLATE(B7012,""id"",""en"")"),"['network', 'ugly', 'please', 'fix', 'play', 'game', 'network', 'stable', 'sudden', 'funny', 'joke', 'replace', ' Haluan ',' Deh ',' Bintang ',' Gur ',' Love ',' Bad ',' ']")</f>
        <v>['network', 'ugly', 'please', 'fix', 'play', 'game', 'network', 'stable', 'sudden', 'funny', 'joke', 'replace', ' Haluan ',' Deh ',' Bintang ',' Gur ',' Love ',' Bad ',' ']</v>
      </c>
      <c r="D7012" s="3">
        <v>1.0</v>
      </c>
    </row>
    <row r="7013" ht="15.75" customHeight="1">
      <c r="A7013" s="1">
        <v>7466.0</v>
      </c>
      <c r="B7013" s="3" t="s">
        <v>6696</v>
      </c>
      <c r="C7013" s="3" t="str">
        <f>IFERROR(__xludf.DUMMYFUNCTION("GOOGLETRANSLATE(B7013,""id"",""en"")"),"['Clan', 'package', 'expensive', 'package', 'internet', 'mud', 'beihh', ""]")</f>
        <v>['Clan', 'package', 'expensive', 'package', 'internet', 'mud', 'beihh', "]</v>
      </c>
      <c r="D7013" s="3">
        <v>1.0</v>
      </c>
    </row>
    <row r="7014" ht="15.75" customHeight="1">
      <c r="A7014" s="1">
        <v>7467.0</v>
      </c>
      <c r="B7014" s="3" t="s">
        <v>6697</v>
      </c>
      <c r="C7014" s="3" t="str">
        <f>IFERROR(__xludf.DUMMYFUNCTION("GOOGLETRANSLATE(B7014,""id"",""en"")"),"['Severe', 'Telkomsel', 'contents',' pulse ',' RbU ',' BLM ',' buy ',' package ',' is active ',' PKET ',' Daily ',' GB ',' In ',' crazy ',' loss', 'promo', 'service', 'bad']")</f>
        <v>['Severe', 'Telkomsel', 'contents',' pulse ',' RbU ',' BLM ',' buy ',' package ',' is active ',' PKET ',' Daily ',' GB ',' In ',' crazy ',' loss', 'promo', 'service', 'bad']</v>
      </c>
      <c r="D7014" s="3">
        <v>1.0</v>
      </c>
    </row>
    <row r="7015" ht="15.75" customHeight="1">
      <c r="A7015" s="1">
        <v>7468.0</v>
      </c>
      <c r="B7015" s="3" t="s">
        <v>6698</v>
      </c>
      <c r="C7015" s="3" t="str">
        <f>IFERROR(__xludf.DUMMYFUNCTION("GOOGLETRANSLATE(B7015,""id"",""en"")"),"['Disappointed', 'Telkomsel', 'night', 'ngeleg', 'Maen', 'Gems',' Price ',' Doank ',' Expensive ',' Quality ',' Take Care ',' quality ',' bad ']")</f>
        <v>['Disappointed', 'Telkomsel', 'night', 'ngeleg', 'Maen', 'Gems',' Price ',' Doank ',' Expensive ',' Quality ',' Take Care ',' quality ',' bad ']</v>
      </c>
      <c r="D7015" s="3">
        <v>2.0</v>
      </c>
    </row>
    <row r="7016" ht="15.75" customHeight="1">
      <c r="A7016" s="1">
        <v>7469.0</v>
      </c>
      <c r="B7016" s="3" t="s">
        <v>6699</v>
      </c>
      <c r="C7016" s="3" t="str">
        <f>IFERROR(__xludf.DUMMYFUNCTION("GOOGLETRANSLATE(B7016,""id"",""en"")"),"['Telkomsel', 'provider', 'Worst', 'here', 'improving', 'in fact', 'pulse', 'sumps',' quota ',' provider ',' scam ',' thief ',' money ',' Customer ',' Try ',' Adin ',' Features', 'Lock', 'Unlock', 'Credit', 'Customer', 'Was',' Nyimpen ',' Credit ',' Signa"&amp;"l ' , 'here', 'bad', 'price', 'quota', 'expensive', 'comparable', 'service', 'signal', 'bad', 'pig', 'cave', 'suggest', ' Providers', 'Deh', 'Gamau', 'Overcome', '']")</f>
        <v>['Telkomsel', 'provider', 'Worst', 'here', 'improving', 'in fact', 'pulse', 'sumps',' quota ',' provider ',' scam ',' thief ',' money ',' Customer ',' Try ',' Adin ',' Features', 'Lock', 'Unlock', 'Credit', 'Customer', 'Was',' Nyimpen ',' Credit ',' Signal ' , 'here', 'bad', 'price', 'quota', 'expensive', 'comparable', 'service', 'signal', 'bad', 'pig', 'cave', 'suggest', ' Providers', 'Deh', 'Gamau', 'Overcome', '']</v>
      </c>
      <c r="D7016" s="3">
        <v>1.0</v>
      </c>
    </row>
    <row r="7017" ht="15.75" customHeight="1">
      <c r="A7017" s="1">
        <v>7470.0</v>
      </c>
      <c r="B7017" s="3" t="s">
        <v>6700</v>
      </c>
      <c r="C7017" s="3" t="str">
        <f>IFERROR(__xludf.DUMMYFUNCTION("GOOGLETRANSLATE(B7017,""id"",""en"")"),"['Following', 'content', 'anything', 'pulse', 'cut', 'notification', 'anything', 'thief', 'BUMN']")</f>
        <v>['Following', 'content', 'anything', 'pulse', 'cut', 'notification', 'anything', 'thief', 'BUMN']</v>
      </c>
      <c r="D7017" s="3">
        <v>1.0</v>
      </c>
    </row>
    <row r="7018" ht="15.75" customHeight="1">
      <c r="A7018" s="1">
        <v>7471.0</v>
      </c>
      <c r="B7018" s="3" t="s">
        <v>6701</v>
      </c>
      <c r="C7018" s="3" t="str">
        <f>IFERROR(__xludf.DUMMYFUNCTION("GOOGLETRANSLATE(B7018,""id"",""en"")"),"['Majority', 'love', 'star', 'kerena', 'weve', 'hope', 'miris', 'clarification', 'blah', 'blah', ""]")</f>
        <v>['Majority', 'love', 'star', 'kerena', 'weve', 'hope', 'miris', 'clarification', 'blah', 'blah', "]</v>
      </c>
      <c r="D7018" s="3">
        <v>1.0</v>
      </c>
    </row>
    <row r="7019" ht="15.75" customHeight="1">
      <c r="A7019" s="1">
        <v>7472.0</v>
      </c>
      <c r="B7019" s="3" t="s">
        <v>6702</v>
      </c>
      <c r="C7019" s="3" t="str">
        <f>IFERROR(__xludf.DUMMYFUNCTION("GOOGLETRANSLATE(B7019,""id"",""en"")"),"['Lottery', 'Point', 'Lottery', 'Please', 'Fix', 'System', 'Lottery', 'PDHL', 'Slalu', 'Like', 'PKai', 'card', ' Sempati ']")</f>
        <v>['Lottery', 'Point', 'Lottery', 'Please', 'Fix', 'System', 'Lottery', 'PDHL', 'Slalu', 'Like', 'PKai', 'card', ' Sempati ']</v>
      </c>
      <c r="D7019" s="3">
        <v>5.0</v>
      </c>
    </row>
    <row r="7020" ht="15.75" customHeight="1">
      <c r="A7020" s="1">
        <v>7473.0</v>
      </c>
      <c r="B7020" s="3" t="s">
        <v>6703</v>
      </c>
      <c r="C7020" s="3" t="str">
        <f>IFERROR(__xludf.DUMMYFUNCTION("GOOGLETRANSLATE(B7020,""id"",""en"")"),"['Please', 'quality', 'Telkomsel', 'dumped', 'already', 'fast', 'nyedot', 'quota', 'expensive', 'price', 'disorder', 'network', ' Leet ',' ']")</f>
        <v>['Please', 'quality', 'Telkomsel', 'dumped', 'already', 'fast', 'nyedot', 'quota', 'expensive', 'price', 'disorder', 'network', ' Leet ',' ']</v>
      </c>
      <c r="D7020" s="3">
        <v>2.0</v>
      </c>
    </row>
    <row r="7021" ht="15.75" customHeight="1">
      <c r="A7021" s="1">
        <v>7474.0</v>
      </c>
      <c r="B7021" s="3" t="s">
        <v>6704</v>
      </c>
      <c r="C7021" s="3" t="str">
        <f>IFERROR(__xludf.DUMMYFUNCTION("GOOGLETRANSLATE(B7021,""id"",""en"")"),"['Network', 'kyk', 'skrg']")</f>
        <v>['Network', 'kyk', 'skrg']</v>
      </c>
      <c r="D7021" s="3">
        <v>1.0</v>
      </c>
    </row>
    <row r="7022" ht="15.75" customHeight="1">
      <c r="A7022" s="1">
        <v>7475.0</v>
      </c>
      <c r="B7022" s="3" t="s">
        <v>6705</v>
      </c>
      <c r="C7022" s="3" t="str">
        <f>IFERROR(__xludf.DUMMYFUNCTION("GOOGLETRANSLATE(B7022,""id"",""en"")"),"['pig', 'signal', 'ugly', 'just', 'how', 'coeg', 'push', 'rank', 'red', 'mere', 'repair', 'emang', ' improvements', 'yaa', 'love', 'news',' cook ',' writing ',' gsinyal ',' rotten ']")</f>
        <v>['pig', 'signal', 'ugly', 'just', 'how', 'coeg', 'push', 'rank', 'red', 'mere', 'repair', 'emang', ' improvements', 'yaa', 'love', 'news',' cook ',' writing ',' gsinyal ',' rotten ']</v>
      </c>
      <c r="D7022" s="3">
        <v>1.0</v>
      </c>
    </row>
    <row r="7023" ht="15.75" customHeight="1">
      <c r="A7023" s="1">
        <v>7476.0</v>
      </c>
      <c r="B7023" s="3" t="s">
        <v>6706</v>
      </c>
      <c r="C7023" s="3" t="str">
        <f>IFERROR(__xludf.DUMMYFUNCTION("GOOGLETRANSLATE(B7023,""id"",""en"")"),"['Telkomsel', 'skerang', 'satisfying', 'network', 'slow', 'Telkomsel', 'use', 'suggestion', 'use', 'card', 'Telkomsel', 'because', ' slow ',' network ',' missing ',' thank ',' love ']")</f>
        <v>['Telkomsel', 'skerang', 'satisfying', 'network', 'slow', 'Telkomsel', 'use', 'suggestion', 'use', 'card', 'Telkomsel', 'because', ' slow ',' network ',' missing ',' thank ',' love ']</v>
      </c>
      <c r="D7023" s="3">
        <v>1.0</v>
      </c>
    </row>
    <row r="7024" ht="15.75" customHeight="1">
      <c r="A7024" s="1">
        <v>7477.0</v>
      </c>
      <c r="B7024" s="3" t="s">
        <v>6707</v>
      </c>
      <c r="C7024" s="3" t="str">
        <f>IFERROR(__xludf.DUMMYFUNCTION("GOOGLETRANSLATE(B7024,""id"",""en"")"),"['', 'service', 'satisfying', '']")</f>
        <v>['', 'service', 'satisfying', '']</v>
      </c>
      <c r="D7024" s="3">
        <v>2.0</v>
      </c>
    </row>
    <row r="7025" ht="15.75" customHeight="1">
      <c r="A7025" s="1">
        <v>7478.0</v>
      </c>
      <c r="B7025" s="3" t="s">
        <v>6708</v>
      </c>
      <c r="C7025" s="3" t="str">
        <f>IFERROR(__xludf.DUMMYFUNCTION("GOOGLETRANSLATE(B7025,""id"",""en"")"),"['Ngellag', 'really', 'Lord', 'Telkomsel', ""]")</f>
        <v>['Ngellag', 'really', 'Lord', 'Telkomsel', "]</v>
      </c>
      <c r="D7025" s="3">
        <v>1.0</v>
      </c>
    </row>
    <row r="7026" ht="15.75" customHeight="1">
      <c r="A7026" s="1">
        <v>7479.0</v>
      </c>
      <c r="B7026" s="3" t="s">
        <v>6709</v>
      </c>
      <c r="C7026" s="3" t="str">
        <f>IFERROR(__xludf.DUMMYFUNCTION("GOOGLETRANSLATE(B7026,""id"",""en"")"),"['knp', 'signal', 'ugly', 'bnget', 'skrg', 'lazy', 'sympathy', 'pdhl', 'kenceng', 'buffering', 'mulu', 'brp', ' "", 'Restart', 'Tetep', 'Lemot', 'Bnerin', 'Knp', 'User', 'Udh', 'Dozens', 'Disappointed']")</f>
        <v>['knp', 'signal', 'ugly', 'bnget', 'skrg', 'lazy', 'sympathy', 'pdhl', 'kenceng', 'buffering', 'mulu', 'brp', ' ", 'Restart', 'Tetep', 'Lemot', 'Bnerin', 'Knp', 'User', 'Udh', 'Dozens', 'Disappointed']</v>
      </c>
      <c r="D7026" s="3">
        <v>3.0</v>
      </c>
    </row>
    <row r="7027" ht="15.75" customHeight="1">
      <c r="A7027" s="1">
        <v>7480.0</v>
      </c>
      <c r="B7027" s="3" t="s">
        <v>6710</v>
      </c>
      <c r="C7027" s="3" t="str">
        <f>IFERROR(__xludf.DUMMYFUNCTION("GOOGLETRANSLATE(B7027,""id"",""en"")"),"['package', 'omg', 'expensive', 'package', 'cheerful', 'bunkk', 'package', 'expensive', '']")</f>
        <v>['package', 'omg', 'expensive', 'package', 'cheerful', 'bunkk', 'package', 'expensive', '']</v>
      </c>
      <c r="D7027" s="3">
        <v>1.0</v>
      </c>
    </row>
    <row r="7028" ht="15.75" customHeight="1">
      <c r="A7028" s="1">
        <v>7481.0</v>
      </c>
      <c r="B7028" s="3" t="s">
        <v>6711</v>
      </c>
      <c r="C7028" s="3" t="str">
        <f>IFERROR(__xludf.DUMMYFUNCTION("GOOGLETRANSLATE(B7028,""id"",""en"")"),"['quota', 'multimedia', 'use', 'loss', 'buy', 'quota', 'gmna', 'multimedia', 'disappointed', 'Telkomsel']")</f>
        <v>['quota', 'multimedia', 'use', 'loss', 'buy', 'quota', 'gmna', 'multimedia', 'disappointed', 'Telkomsel']</v>
      </c>
      <c r="D7028" s="3">
        <v>1.0</v>
      </c>
    </row>
    <row r="7029" ht="15.75" customHeight="1">
      <c r="A7029" s="1">
        <v>7482.0</v>
      </c>
      <c r="B7029" s="3" t="s">
        <v>6712</v>
      </c>
      <c r="C7029" s="3" t="str">
        <f>IFERROR(__xludf.DUMMYFUNCTION("GOOGLETRANSLATE(B7029,""id"",""en"")"),"['card', 'unclean', 'ugly', 'really', 'cave', 'udh', 'subscription', 'bangwt', 'good', 'tlkomsel']")</f>
        <v>['card', 'unclean', 'ugly', 'really', 'cave', 'udh', 'subscription', 'bangwt', 'good', 'tlkomsel']</v>
      </c>
      <c r="D7029" s="3">
        <v>1.0</v>
      </c>
    </row>
    <row r="7030" ht="15.75" customHeight="1">
      <c r="A7030" s="1">
        <v>7483.0</v>
      </c>
      <c r="B7030" s="3" t="s">
        <v>6713</v>
      </c>
      <c r="C7030" s="3" t="str">
        <f>IFERROR(__xludf.DUMMYFUNCTION("GOOGLETRANSLATE(B7030,""id"",""en"")"),"['Gara', 'Update', 'Cell', 'Package', 'Combo', 'Sakti', 'Want', 'Change', 'Card', 'SIM', 'PDAH', 'Subscription', ' Aga ',' Disappointed ',' ']")</f>
        <v>['Gara', 'Update', 'Cell', 'Package', 'Combo', 'Sakti', 'Want', 'Change', 'Card', 'SIM', 'PDAH', 'Subscription', ' Aga ',' Disappointed ',' ']</v>
      </c>
      <c r="D7030" s="3">
        <v>2.0</v>
      </c>
    </row>
    <row r="7031" ht="15.75" customHeight="1">
      <c r="A7031" s="1">
        <v>7484.0</v>
      </c>
      <c r="B7031" s="3" t="s">
        <v>6714</v>
      </c>
      <c r="C7031" s="3" t="str">
        <f>IFERROR(__xludf.DUMMYFUNCTION("GOOGLETRANSLATE(B7031,""id"",""en"")"),"['knp', 'package', 'combo', 'blom']")</f>
        <v>['knp', 'package', 'combo', 'blom']</v>
      </c>
      <c r="D7031" s="3">
        <v>1.0</v>
      </c>
    </row>
    <row r="7032" ht="15.75" customHeight="1">
      <c r="A7032" s="1">
        <v>7485.0</v>
      </c>
      <c r="B7032" s="3" t="s">
        <v>6715</v>
      </c>
      <c r="C7032" s="3" t="str">
        <f>IFERROR(__xludf.DUMMYFUNCTION("GOOGLETRANSLATE(B7032,""id"",""en"")"),"['signal', 'fix', 'price', 'package', 'expensive', 'signal', 'ugly', 'according to', 'price', 'quality', 'signal', 'ugly', ' expensive price', '']")</f>
        <v>['signal', 'fix', 'price', 'package', 'expensive', 'signal', 'ugly', 'according to', 'price', 'quality', 'signal', 'ugly', ' expensive price', '']</v>
      </c>
      <c r="D7032" s="3">
        <v>1.0</v>
      </c>
    </row>
    <row r="7033" ht="15.75" customHeight="1">
      <c r="A7033" s="1">
        <v>7486.0</v>
      </c>
      <c r="B7033" s="3" t="s">
        <v>6716</v>
      </c>
      <c r="C7033" s="3" t="str">
        <f>IFERROR(__xludf.DUMMYFUNCTION("GOOGLETRANSLATE(B7033,""id"",""en"")"),"['Not bad', 'satisfying', '']")</f>
        <v>['Not bad', 'satisfying', '']</v>
      </c>
      <c r="D7033" s="3">
        <v>5.0</v>
      </c>
    </row>
    <row r="7034" ht="15.75" customHeight="1">
      <c r="A7034" s="1">
        <v>7487.0</v>
      </c>
      <c r="B7034" s="3" t="s">
        <v>6717</v>
      </c>
      <c r="C7034" s="3" t="str">
        <f>IFERROR(__xludf.DUMMYFUNCTION("GOOGLETRANSLATE(B7034,""id"",""en"")"),"['Notification', 'Package', 'Out']")</f>
        <v>['Notification', 'Package', 'Out']</v>
      </c>
      <c r="D7034" s="3">
        <v>1.0</v>
      </c>
    </row>
    <row r="7035" ht="15.75" customHeight="1">
      <c r="A7035" s="1">
        <v>7488.0</v>
      </c>
      <c r="B7035" s="3" t="s">
        <v>6718</v>
      </c>
      <c r="C7035" s="3" t="str">
        <f>IFERROR(__xludf.DUMMYFUNCTION("GOOGLETRANSLATE(B7035,""id"",""en"")"),"['Network', 'stay', 'Jakarta', 'rich', 'forest', 'network', 'replace', 'card', 'abal', 'sympathy', 'skrng', ""]")</f>
        <v>['Network', 'stay', 'Jakarta', 'rich', 'forest', 'network', 'replace', 'card', 'abal', 'sympathy', 'skrng', "]</v>
      </c>
      <c r="D7035" s="3">
        <v>1.0</v>
      </c>
    </row>
    <row r="7036" ht="15.75" customHeight="1">
      <c r="A7036" s="1">
        <v>7489.0</v>
      </c>
      <c r="B7036" s="3" t="s">
        <v>6719</v>
      </c>
      <c r="C7036" s="3" t="str">
        <f>IFERROR(__xludf.DUMMYFUNCTION("GOOGLETRANSLATE(B7036,""id"",""en"")"),"['Kirain', 'Good', 'The network', 'ehh', 'ugly', 'really', 'network', 'Telkomsel', 'disorder', 'clock', 'ngelag', 'play', ' Game ',' Online ',' Network ',' Nggk ',' Support ',' Ngegame ',' Pokonya ',' Bad ',' Network ',' Ngelag ',' Dikarawang ',' populist"&amp;" ',' Download ' , 'really', 'gada', 'improvement', 'that's',' Dikarawang ',' Trouke ',' Loe ',' ad ',' network ',' slow ',' mah ',' repair ',' Nggk ',' proof ',' really ',' ngelag ',' gakaran ', ""]")</f>
        <v>['Kirain', 'Good', 'The network', 'ehh', 'ugly', 'really', 'network', 'Telkomsel', 'disorder', 'clock', 'ngelag', 'play', ' Game ',' Online ',' Network ',' Nggk ',' Support ',' Ngegame ',' Pokonya ',' Bad ',' Network ',' Ngelag ',' Dikarawang ',' populist ',' Download ' , 'really', 'gada', 'improvement', 'that's',' Dikarawang ',' Trouke ',' Loe ',' ad ',' network ',' slow ',' mah ',' repair ',' Nggk ',' proof ',' really ',' ngelag ',' gakaran ', "]</v>
      </c>
      <c r="D7036" s="3">
        <v>1.0</v>
      </c>
    </row>
    <row r="7037" ht="15.75" customHeight="1">
      <c r="A7037" s="1">
        <v>7490.0</v>
      </c>
      <c r="B7037" s="3" t="s">
        <v>6720</v>
      </c>
      <c r="C7037" s="3" t="str">
        <f>IFERROR(__xludf.DUMMYFUNCTION("GOOGLETRANSLATE(B7037,""id"",""en"")"),"['Telkomsel', 'Telkomsel', '']")</f>
        <v>['Telkomsel', 'Telkomsel', '']</v>
      </c>
      <c r="D7037" s="3">
        <v>1.0</v>
      </c>
    </row>
    <row r="7038" ht="15.75" customHeight="1">
      <c r="A7038" s="1">
        <v>7491.0</v>
      </c>
      <c r="B7038" s="3" t="s">
        <v>6721</v>
      </c>
      <c r="C7038" s="3" t="str">
        <f>IFERROR(__xludf.DUMMYFUNCTION("GOOGLETRANSLATE(B7038,""id"",""en"")"),"['Cheap', 'package', 'data', 'The', 'Best', ""]")</f>
        <v>['Cheap', 'package', 'data', 'The', 'Best', "]</v>
      </c>
      <c r="D7038" s="3">
        <v>5.0</v>
      </c>
    </row>
    <row r="7039" ht="15.75" customHeight="1">
      <c r="A7039" s="1">
        <v>7492.0</v>
      </c>
      <c r="B7039" s="3" t="s">
        <v>6722</v>
      </c>
      <c r="C7039" s="3" t="str">
        <f>IFERROR(__xludf.DUMMYFUNCTION("GOOGLETRANSLATE(B7039,""id"",""en"")"),"['cloudy', 'little', 'network', 'down', '']")</f>
        <v>['cloudy', 'little', 'network', 'down', '']</v>
      </c>
      <c r="D7039" s="3">
        <v>1.0</v>
      </c>
    </row>
    <row r="7040" ht="15.75" customHeight="1">
      <c r="A7040" s="1">
        <v>7493.0</v>
      </c>
      <c r="B7040" s="3" t="s">
        <v>6723</v>
      </c>
      <c r="C7040" s="3" t="str">
        <f>IFERROR(__xludf.DUMMYFUNCTION("GOOGLETRANSLATE(B7040,""id"",""en"")"),"['signal', 'ugly', 'really', 'maen', 'game', 'good', 'disorder', 'mode', 'plane', 'dlu', 'smooth']")</f>
        <v>['signal', 'ugly', 'really', 'maen', 'game', 'good', 'disorder', 'mode', 'plane', 'dlu', 'smooth']</v>
      </c>
      <c r="D7040" s="3">
        <v>1.0</v>
      </c>
    </row>
    <row r="7041" ht="15.75" customHeight="1">
      <c r="A7041" s="1">
        <v>7494.0</v>
      </c>
      <c r="B7041" s="3" t="s">
        <v>6724</v>
      </c>
      <c r="C7041" s="3" t="str">
        <f>IFERROR(__xludf.DUMMYFUNCTION("GOOGLETRANSLATE(B7041,""id"",""en"")"),"['fast', 'easy']")</f>
        <v>['fast', 'easy']</v>
      </c>
      <c r="D7041" s="3">
        <v>3.0</v>
      </c>
    </row>
    <row r="7042" ht="15.75" customHeight="1">
      <c r="A7042" s="1">
        <v>7495.0</v>
      </c>
      <c r="B7042" s="3" t="s">
        <v>6725</v>
      </c>
      <c r="C7042" s="3" t="str">
        <f>IFERROR(__xludf.DUMMYFUNCTION("GOOGLETRANSLATE(B7042,""id"",""en"")"),"['card', 'signal', 'internet', 'ugly', 'card', 'package', 'bought', ""]")</f>
        <v>['card', 'signal', 'internet', 'ugly', 'card', 'package', 'bought', "]</v>
      </c>
      <c r="D7042" s="3">
        <v>1.0</v>
      </c>
    </row>
    <row r="7043" ht="15.75" customHeight="1">
      <c r="A7043" s="1">
        <v>7496.0</v>
      </c>
      <c r="B7043" s="3" t="s">
        <v>6726</v>
      </c>
      <c r="C7043" s="3" t="str">
        <f>IFERROR(__xludf.DUMMYFUNCTION("GOOGLETRANSLATE(B7043,""id"",""en"")"),"['Fix', 'The network', 'Village', 'Network', 'ugly']")</f>
        <v>['Fix', 'The network', 'Village', 'Network', 'ugly']</v>
      </c>
      <c r="D7043" s="3">
        <v>1.0</v>
      </c>
    </row>
    <row r="7044" ht="15.75" customHeight="1">
      <c r="A7044" s="1">
        <v>7497.0</v>
      </c>
      <c r="B7044" s="3" t="s">
        <v>6727</v>
      </c>
      <c r="C7044" s="3" t="str">
        <f>IFERROR(__xludf.DUMMYFUNCTION("GOOGLETRANSLATE(B7044,""id"",""en"")"),"['card', 'decent', 'use', 'should', 'experience', 'name', 'disruption', 'price', 'package', 'exceed', 'card', '']")</f>
        <v>['card', 'decent', 'use', 'should', 'experience', 'name', 'disruption', 'price', 'package', 'exceed', 'card', '']</v>
      </c>
      <c r="D7044" s="3">
        <v>1.0</v>
      </c>
    </row>
    <row r="7045" ht="15.75" customHeight="1">
      <c r="A7045" s="1">
        <v>7498.0</v>
      </c>
      <c r="B7045" s="3" t="s">
        <v>6728</v>
      </c>
      <c r="C7045" s="3" t="str">
        <f>IFERROR(__xludf.DUMMYFUNCTION("GOOGLETRANSLATE(B7045,""id"",""en"")"),"['Package', 'Combo', 'Sakti', 'unlimited', 'limit', 'gini', 'deh', 'like', 'really', 'buy', 'package', 'combo', ' Sakti ',' right ',' unlimited ',' tasty ',' skrng ',' gini ',' comfortable ',' hopefully ',' telkomsel ',' change ',' package ',' combo ',' s"&amp;"akti ' , 'Unlimited', 'Sosmed', 'Package', 'Combo', 'Sakti', 'Gunain', 'CUMN', 'Loading', 'Bosen', 'Game', 'Unlimited', 'Chat', ' Package ',' Combo ',' Sakti ',' Gunain ',' Pas', 'Liat', 'Status',' UDH ',' Telkomsel ', ""]")</f>
        <v>['Package', 'Combo', 'Sakti', 'unlimited', 'limit', 'gini', 'deh', 'like', 'really', 'buy', 'package', 'combo', ' Sakti ',' right ',' unlimited ',' tasty ',' skrng ',' gini ',' comfortable ',' hopefully ',' telkomsel ',' change ',' package ',' combo ',' sakti ' , 'Unlimited', 'Sosmed', 'Package', 'Combo', 'Sakti', 'Gunain', 'CUMN', 'Loading', 'Bosen', 'Game', 'Unlimited', 'Chat', ' Package ',' Combo ',' Sakti ',' Gunain ',' Pas', 'Liat', 'Status',' UDH ',' Telkomsel ', "]</v>
      </c>
      <c r="D7045" s="3">
        <v>1.0</v>
      </c>
    </row>
    <row r="7046" ht="15.75" customHeight="1">
      <c r="A7046" s="1">
        <v>7499.0</v>
      </c>
      <c r="B7046" s="3" t="s">
        <v>6729</v>
      </c>
      <c r="C7046" s="3" t="str">
        <f>IFERROR(__xludf.DUMMYFUNCTION("GOOGLETRANSLATE(B7046,""id"",""en"")"),"['stretch', 'users',' like ',' like ',' signal ',' network ',' Indonesia ',' like ',' like ',' slow ',' Come ',' bad ',' servicenya ',' closed ',' Ajalah ',' UDH ']")</f>
        <v>['stretch', 'users',' like ',' like ',' signal ',' network ',' Indonesia ',' like ',' like ',' slow ',' Come ',' bad ',' servicenya ',' closed ',' Ajalah ',' UDH ']</v>
      </c>
      <c r="D7046" s="3">
        <v>1.0</v>
      </c>
    </row>
    <row r="7047" ht="15.75" customHeight="1">
      <c r="A7047" s="1">
        <v>7500.0</v>
      </c>
      <c r="B7047" s="3" t="s">
        <v>6730</v>
      </c>
      <c r="C7047" s="3" t="str">
        <f>IFERROR(__xludf.DUMMYFUNCTION("GOOGLETRANSLATE(B7047,""id"",""en"")"),"['Please', 'connection', 'internet', 'Dragus',' area ',' difficult ',' signal ',' school ',' signal ',' Telkomsel ',' bad ',' megalamnya ',' Users', 'Telkomsel', 'Class',' experience ',' interfere with ',' lessons', 'pandemic', 'students',' required ',' c"&amp;"ellphone ',' please ',' in the future ',' hope ' , 'Telkomsel', 'complete', 'network', 'thank you']")</f>
        <v>['Please', 'connection', 'internet', 'Dragus',' area ',' difficult ',' signal ',' school ',' signal ',' Telkomsel ',' bad ',' megalamnya ',' Users', 'Telkomsel', 'Class',' experience ',' interfere with ',' lessons', 'pandemic', 'students',' required ',' cellphone ',' please ',' in the future ',' hope ' , 'Telkomsel', 'complete', 'network', 'thank you']</v>
      </c>
      <c r="D7047" s="3">
        <v>3.0</v>
      </c>
    </row>
    <row r="7048" ht="15.75" customHeight="1">
      <c r="A7048" s="1">
        <v>7501.0</v>
      </c>
      <c r="B7048" s="3" t="s">
        <v>6731</v>
      </c>
      <c r="C7048" s="3" t="str">
        <f>IFERROR(__xludf.DUMMYFUNCTION("GOOGLETRANSLATE(B7048,""id"",""en"")"),"['use', 'sympathy', 'yr', 'nmr', 'replace', 'sympathy', 'right', 'now', 'bring', 'where', 'no', 'worry', ' signal ',' skrg ',' sympathy ',' it seems', 'no', 'counts',' complete ',' skrg ',' supeeeeeerrr ',' slow ',' mlm ',' abis', 'rain' , 'Cook', 'Team',"&amp;" 'No', 'See', 'Tower', 'Over', 'Load', 'Telkomsel', 'Lost', ""]")</f>
        <v>['use', 'sympathy', 'yr', 'nmr', 'replace', 'sympathy', 'right', 'now', 'bring', 'where', 'no', 'worry', ' signal ',' skrg ',' sympathy ',' it seems', 'no', 'counts',' complete ',' skrg ',' supeeeeeerrr ',' slow ',' mlm ',' abis', 'rain' , 'Cook', 'Team', 'No', 'See', 'Tower', 'Over', 'Load', 'Telkomsel', 'Lost', "]</v>
      </c>
      <c r="D7048" s="3">
        <v>2.0</v>
      </c>
    </row>
    <row r="7049" ht="15.75" customHeight="1">
      <c r="A7049" s="1">
        <v>7502.0</v>
      </c>
      <c r="B7049" s="3" t="s">
        <v>6732</v>
      </c>
      <c r="C7049" s="3" t="str">
        <f>IFERROR(__xludf.DUMMYFUNCTION("GOOGLETRANSLATE(B7049,""id"",""en"")"),"['pulse', 'contents', 'buy', 'package', 'combo', 'pulse', 'sufficient', 'still', 'intact', 'pulses', ""]")</f>
        <v>['pulse', 'contents', 'buy', 'package', 'combo', 'pulse', 'sufficient', 'still', 'intact', 'pulses', "]</v>
      </c>
      <c r="D7049" s="3">
        <v>1.0</v>
      </c>
    </row>
    <row r="7050" ht="15.75" customHeight="1">
      <c r="A7050" s="1">
        <v>7503.0</v>
      </c>
      <c r="B7050" s="3" t="s">
        <v>6733</v>
      </c>
      <c r="C7050" s="3" t="str">
        <f>IFERROR(__xludf.DUMMYFUNCTION("GOOGLETRANSLATE(B7050,""id"",""en"")"),"['Melmen', 'Customer', 'Network', 'Leet', 'Drain', 'Quota', 'Severe']")</f>
        <v>['Melmen', 'Customer', 'Network', 'Leet', 'Drain', 'Quota', 'Severe']</v>
      </c>
      <c r="D7050" s="3">
        <v>1.0</v>
      </c>
    </row>
    <row r="7051" ht="15.75" customHeight="1">
      <c r="A7051" s="1">
        <v>7504.0</v>
      </c>
      <c r="B7051" s="3" t="s">
        <v>6734</v>
      </c>
      <c r="C7051" s="3" t="str">
        <f>IFERROR(__xludf.DUMMYFUNCTION("GOOGLETRANSLATE(B7051,""id"",""en"")"),"['sick', 'network', 'Telkomsel', 'bah', 'udh', 'expensive', 'slow', 'severe', 'disappointed', 'because', 'udh', 'customers',' Telkomsel ']")</f>
        <v>['sick', 'network', 'Telkomsel', 'bah', 'udh', 'expensive', 'slow', 'severe', 'disappointed', 'because', 'udh', 'customers',' Telkomsel ']</v>
      </c>
      <c r="D7051" s="3">
        <v>1.0</v>
      </c>
    </row>
    <row r="7052" ht="15.75" customHeight="1">
      <c r="A7052" s="1">
        <v>7505.0</v>
      </c>
      <c r="B7052" s="3" t="s">
        <v>6735</v>
      </c>
      <c r="C7052" s="3" t="str">
        <f>IFERROR(__xludf.DUMMYFUNCTION("GOOGLETRANSLATE(B7052,""id"",""en"")"),"['Disappointed', 'really', 'Telkomsel', 'ngellag', 'really', 'lose', 'card', 'gini', 'trs', 'replace', 'card']")</f>
        <v>['Disappointed', 'really', 'Telkomsel', 'ngellag', 'really', 'lose', 'card', 'gini', 'trs', 'replace', 'card']</v>
      </c>
      <c r="D7052" s="3">
        <v>1.0</v>
      </c>
    </row>
    <row r="7053" ht="15.75" customHeight="1">
      <c r="A7053" s="1">
        <v>7506.0</v>
      </c>
      <c r="B7053" s="3" t="s">
        <v>6736</v>
      </c>
      <c r="C7053" s="3" t="str">
        <f>IFERROR(__xludf.DUMMYFUNCTION("GOOGLETRANSLATE(B7053,""id"",""en"")"),"['Maketin', 'process', 'Kyak', 'That's', 'Many', 'Try', 'Quota', 'Out', 'How', 'Dooong']")</f>
        <v>['Maketin', 'process', 'Kyak', 'That's', 'Many', 'Try', 'Quota', 'Out', 'How', 'Dooong']</v>
      </c>
      <c r="D7053" s="3">
        <v>3.0</v>
      </c>
    </row>
    <row r="7054" ht="15.75" customHeight="1">
      <c r="A7054" s="1">
        <v>7507.0</v>
      </c>
      <c r="B7054" s="3" t="s">
        <v>6737</v>
      </c>
      <c r="C7054" s="3" t="str">
        <f>IFERROR(__xludf.DUMMYFUNCTION("GOOGLETRANSLATE(B7054,""id"",""en"")"),"['Please', 'Network', 'Telkomsel', 'Batam', 'City', 'Fix', 'Already', 'Livet', 'Network', 'Damaged', 'Frequency']")</f>
        <v>['Please', 'Network', 'Telkomsel', 'Batam', 'City', 'Fix', 'Already', 'Livet', 'Network', 'Damaged', 'Frequency']</v>
      </c>
      <c r="D7054" s="3">
        <v>1.0</v>
      </c>
    </row>
    <row r="7055" ht="15.75" customHeight="1">
      <c r="A7055" s="1">
        <v>7508.0</v>
      </c>
      <c r="B7055" s="3" t="s">
        <v>6738</v>
      </c>
      <c r="C7055" s="3" t="str">
        <f>IFERROR(__xludf.DUMMYFUNCTION("GOOGLETRANSLATE(B7055,""id"",""en"")"),"['Package', 'Combo', 'Changed', 'Buy', 'Sudh', '']")</f>
        <v>['Package', 'Combo', 'Changed', 'Buy', 'Sudh', '']</v>
      </c>
      <c r="D7055" s="3">
        <v>4.0</v>
      </c>
    </row>
    <row r="7056" ht="15.75" customHeight="1">
      <c r="A7056" s="1">
        <v>7509.0</v>
      </c>
      <c r="B7056" s="3" t="s">
        <v>6739</v>
      </c>
      <c r="C7056" s="3" t="str">
        <f>IFERROR(__xludf.DUMMYFUNCTION("GOOGLETRANSLATE(B7056,""id"",""en"")"),"['network', 'Telkomsel', 'ugly', 'price', 'package', 'expensive', 'suits', 'network', ""]")</f>
        <v>['network', 'Telkomsel', 'ugly', 'price', 'package', 'expensive', 'suits', 'network', "]</v>
      </c>
      <c r="D7056" s="3">
        <v>1.0</v>
      </c>
    </row>
    <row r="7057" ht="15.75" customHeight="1">
      <c r="A7057" s="1">
        <v>7510.0</v>
      </c>
      <c r="B7057" s="3" t="s">
        <v>6740</v>
      </c>
      <c r="C7057" s="3" t="str">
        <f>IFERROR(__xludf.DUMMYFUNCTION("GOOGLETRANSLATE(B7057,""id"",""en"")"),"['disappointed', 'here', 'jangringan', 'rotten', 'package', 'internet', 'doang', 'expensive', 'according to', 'biyaya', 'remove', ""]")</f>
        <v>['disappointed', 'here', 'jangringan', 'rotten', 'package', 'internet', 'doang', 'expensive', 'according to', 'biyaya', 'remove', "]</v>
      </c>
      <c r="D7057" s="3">
        <v>1.0</v>
      </c>
    </row>
    <row r="7058" ht="15.75" customHeight="1">
      <c r="A7058" s="1">
        <v>7511.0</v>
      </c>
      <c r="B7058" s="3" t="s">
        <v>6741</v>
      </c>
      <c r="C7058" s="3" t="str">
        <f>IFERROR(__xludf.DUMMYFUNCTION("GOOGLETRANSLATE(B7058,""id"",""en"")"),"['signal', 'here', 'ugly', 'right', 'Nge', 'game', 'parahh', 'mah', 'good', 'skrang', 'severe', 'regret', ' Telkom ']")</f>
        <v>['signal', 'here', 'ugly', 'right', 'Nge', 'game', 'parahh', 'mah', 'good', 'skrang', 'severe', 'regret', ' Telkom ']</v>
      </c>
      <c r="D7058" s="3">
        <v>1.0</v>
      </c>
    </row>
    <row r="7059" ht="15.75" customHeight="1">
      <c r="A7059" s="1">
        <v>7512.0</v>
      </c>
      <c r="B7059" s="3" t="s">
        <v>406</v>
      </c>
      <c r="C7059" s="3" t="str">
        <f>IFERROR(__xludf.DUMMYFUNCTION("GOOGLETRANSLATE(B7059,""id"",""en"")"),"['Memandakan']")</f>
        <v>['Memandakan']</v>
      </c>
      <c r="D7059" s="3">
        <v>5.0</v>
      </c>
    </row>
    <row r="7060" ht="15.75" customHeight="1">
      <c r="A7060" s="1">
        <v>7513.0</v>
      </c>
      <c r="B7060" s="3" t="s">
        <v>6742</v>
      </c>
      <c r="C7060" s="3" t="str">
        <f>IFERROR(__xludf.DUMMYFUNCTION("GOOGLETRANSLATE(B7060,""id"",""en"")"),"['Severe', 'lag', 'package', 'price', 'exorbitant', 'quality', 'tissue', 'ugly', 'disappointed', 'really', 'like', 'Axis',' ']")</f>
        <v>['Severe', 'lag', 'package', 'price', 'exorbitant', 'quality', 'tissue', 'ugly', 'disappointed', 'really', 'like', 'Axis',' ']</v>
      </c>
      <c r="D7060" s="3">
        <v>1.0</v>
      </c>
    </row>
    <row r="7061" ht="15.75" customHeight="1">
      <c r="A7061" s="1">
        <v>7514.0</v>
      </c>
      <c r="B7061" s="3" t="s">
        <v>6743</v>
      </c>
      <c r="C7061" s="3" t="str">
        <f>IFERROR(__xludf.DUMMYFUNCTION("GOOGLETRANSLATE(B7061,""id"",""en"")"),"['Maslaah', 'Mulu', 'Network']")</f>
        <v>['Maslaah', 'Mulu', 'Network']</v>
      </c>
      <c r="D7061" s="3">
        <v>1.0</v>
      </c>
    </row>
    <row r="7062" ht="15.75" customHeight="1">
      <c r="A7062" s="1">
        <v>7515.0</v>
      </c>
      <c r="B7062" s="3" t="s">
        <v>6744</v>
      </c>
      <c r="C7062" s="3" t="str">
        <f>IFERROR(__xludf.DUMMYFUNCTION("GOOGLETRANSLATE(B7062,""id"",""en"")"),"['Telkomsel', 'Suggest', 'Used', 'Gaming', 'Game', 'Online', 'Good', 'Application', 'MyTelkomsel', 'Anyway', 'Recommended', 'Spread', ' money ',' card ',' internet ',' Telkomsel ']")</f>
        <v>['Telkomsel', 'Suggest', 'Used', 'Gaming', 'Game', 'Online', 'Good', 'Application', 'MyTelkomsel', 'Anyway', 'Recommended', 'Spread', ' money ',' card ',' internet ',' Telkomsel ']</v>
      </c>
      <c r="D7062" s="3">
        <v>1.0</v>
      </c>
    </row>
    <row r="7063" ht="15.75" customHeight="1">
      <c r="A7063" s="1">
        <v>7516.0</v>
      </c>
      <c r="B7063" s="3" t="s">
        <v>6745</v>
      </c>
      <c r="C7063" s="3" t="str">
        <f>IFERROR(__xludf.DUMMYFUNCTION("GOOGLETRANSLATE(B7063,""id"",""en"")"),"['Signal', 'Region', 'South Jakarta', 'Cilandak', 'Bapuk', 'Emotion', 'Main', 'Game', 'Ngelag', 'Parahhhh', ""]")</f>
        <v>['Signal', 'Region', 'South Jakarta', 'Cilandak', 'Bapuk', 'Emotion', 'Main', 'Game', 'Ngelag', 'Parahhhh', "]</v>
      </c>
      <c r="D7063" s="3">
        <v>1.0</v>
      </c>
    </row>
    <row r="7064" ht="15.75" customHeight="1">
      <c r="A7064" s="1">
        <v>7517.0</v>
      </c>
      <c r="B7064" s="3" t="s">
        <v>6746</v>
      </c>
      <c r="C7064" s="3" t="str">
        <f>IFERROR(__xludf.DUMMYFUNCTION("GOOGLETRANSLATE(B7064,""id"",""en"")"),"['like', 'because', 'Points', 'Telkomsel', 'apply', 'Kalimantan', 'West', 'City', 'Sintang', 'apply', 'disappointed']")</f>
        <v>['like', 'because', 'Points', 'Telkomsel', 'apply', 'Kalimantan', 'West', 'City', 'Sintang', 'apply', 'disappointed']</v>
      </c>
      <c r="D7064" s="3">
        <v>2.0</v>
      </c>
    </row>
    <row r="7065" ht="15.75" customHeight="1">
      <c r="A7065" s="1">
        <v>7518.0</v>
      </c>
      <c r="B7065" s="3" t="s">
        <v>6747</v>
      </c>
      <c r="C7065" s="3" t="str">
        <f>IFERROR(__xludf.DUMMYFUNCTION("GOOGLETRANSLATE(B7065,""id"",""en"")"),"['priority', 'heranan', 'quality', 'package', 'expensive', 'network', 'abal', 'abal', 'knapa', 'every company', 'company', ' BUMN ',' all ',' raw ',' ngacangin ',' people ',' rural ',' add to ',' suffering ',' people ',' old ',' earning ',' right ',' Pasa"&amp;"n ' , '']")</f>
        <v>['priority', 'heranan', 'quality', 'package', 'expensive', 'network', 'abal', 'abal', 'knapa', 'every company', 'company', ' BUMN ',' all ',' raw ',' ngacangin ',' people ',' rural ',' add to ',' suffering ',' people ',' old ',' earning ',' right ',' Pasan ' , '']</v>
      </c>
      <c r="D7065" s="3">
        <v>1.0</v>
      </c>
    </row>
    <row r="7066" ht="15.75" customHeight="1">
      <c r="A7066" s="1">
        <v>7519.0</v>
      </c>
      <c r="B7066" s="3" t="s">
        <v>6748</v>
      </c>
      <c r="C7066" s="3" t="str">
        <f>IFERROR(__xludf.DUMMYFUNCTION("GOOGLETRANSLATE(B7066,""id"",""en"")"),"['Telkomsel', 'used', 'play', 'game', 'ugly', 'severe', 'just', 'clock', 'network', 'ugly', 'friend', 'ugly']")</f>
        <v>['Telkomsel', 'used', 'play', 'game', 'ugly', 'severe', 'just', 'clock', 'network', 'ugly', 'friend', 'ugly']</v>
      </c>
      <c r="D7066" s="3">
        <v>1.0</v>
      </c>
    </row>
    <row r="7067" ht="15.75" customHeight="1">
      <c r="A7067" s="1">
        <v>7521.0</v>
      </c>
      <c r="B7067" s="3" t="s">
        <v>6749</v>
      </c>
      <c r="C7067" s="3" t="str">
        <f>IFERROR(__xludf.DUMMYFUNCTION("GOOGLETRANSLATE(B7067,""id"",""en"")"),"['Credit', 'Reduced', 'Buy', 'Package', 'Internet', 'Application', 'Transaction', 'Package', 'Troubled']")</f>
        <v>['Credit', 'Reduced', 'Buy', 'Package', 'Internet', 'Application', 'Transaction', 'Package', 'Troubled']</v>
      </c>
      <c r="D7067" s="3">
        <v>1.0</v>
      </c>
    </row>
    <row r="7068" ht="15.75" customHeight="1">
      <c r="A7068" s="1">
        <v>7522.0</v>
      </c>
      <c r="B7068" s="3" t="s">
        <v>6750</v>
      </c>
      <c r="C7068" s="3" t="str">
        <f>IFERROR(__xludf.DUMMYFUNCTION("GOOGLETRANSLATE(B7068,""id"",""en"")"),"['Telkom', 'Disruption', 'What', 'Min', 'Play', 'Game', 'Gabisa', 'Please', 'Fix', 'Min', 'Sell', 'account', ' Game ',' online ',' Gara ',' entered ',' disturbed ',' detrimental ']")</f>
        <v>['Telkom', 'Disruption', 'What', 'Min', 'Play', 'Game', 'Gabisa', 'Please', 'Fix', 'Min', 'Sell', 'account', ' Game ',' online ',' Gara ',' entered ',' disturbed ',' detrimental ']</v>
      </c>
      <c r="D7068" s="3">
        <v>1.0</v>
      </c>
    </row>
    <row r="7069" ht="15.75" customHeight="1">
      <c r="A7069" s="1">
        <v>7523.0</v>
      </c>
      <c r="B7069" s="3" t="s">
        <v>6751</v>
      </c>
      <c r="C7069" s="3" t="str">
        <f>IFERROR(__xludf.DUMMYFUNCTION("GOOGLETRANSLATE(B7069,""id"",""en"")"),"['Telkomsel', 'signal', 'rotten', 'leg', 'maen', 'game', 'signal', 'Telkomsel', 'proof', 'ugly', 'getting', 'tetep', ' ping ',' down ',' sometimes', 'jammed', ""]")</f>
        <v>['Telkomsel', 'signal', 'rotten', 'leg', 'maen', 'game', 'signal', 'Telkomsel', 'proof', 'ugly', 'getting', 'tetep', ' ping ',' down ',' sometimes', 'jammed', "]</v>
      </c>
      <c r="D7069" s="3">
        <v>1.0</v>
      </c>
    </row>
    <row r="7070" ht="15.75" customHeight="1">
      <c r="A7070" s="1">
        <v>7524.0</v>
      </c>
      <c r="B7070" s="3" t="s">
        <v>6752</v>
      </c>
      <c r="C7070" s="3" t="str">
        <f>IFERROR(__xludf.DUMMYFUNCTION("GOOGLETRANSLATE(B7070,""id"",""en"")"),"['Fix', 'quality', 'signal', 'donk', 'signalny', 'NGLEG', 'restart', 'normal', 'signalny', 'rich', 'that's',' then ',' Damaged ',' Exchange ',' Point ',' Prnah ',' Win ',' ']")</f>
        <v>['Fix', 'quality', 'signal', 'donk', 'signalny', 'NGLEG', 'restart', 'normal', 'signalny', 'rich', 'that's',' then ',' Damaged ',' Exchange ',' Point ',' Prnah ',' Win ',' ']</v>
      </c>
      <c r="D7070" s="3">
        <v>2.0</v>
      </c>
    </row>
    <row r="7071" ht="15.75" customHeight="1">
      <c r="A7071" s="1">
        <v>7525.0</v>
      </c>
      <c r="B7071" s="3" t="s">
        <v>6753</v>
      </c>
      <c r="C7071" s="3" t="str">
        <f>IFERROR(__xludf.DUMMYFUNCTION("GOOGLETRANSLATE(B7071,""id"",""en"")"),"['application', 'ugly', 'difficult', 'open', ""]")</f>
        <v>['application', 'ugly', 'difficult', 'open', "]</v>
      </c>
      <c r="D7071" s="3">
        <v>1.0</v>
      </c>
    </row>
    <row r="7072" ht="15.75" customHeight="1">
      <c r="A7072" s="1">
        <v>7526.0</v>
      </c>
      <c r="B7072" s="3" t="s">
        <v>6754</v>
      </c>
      <c r="C7072" s="3" t="str">
        <f>IFERROR(__xludf.DUMMYFUNCTION("GOOGLETRANSLATE(B7072,""id"",""en"")"),"['Please', 'Play', 'Game', 'Clock', 'Mahgrib', 'Sampe', 'Hour', 'Malem', 'Network', 'ugly', 'really', 'Telkomsel', ' Feelings', 'Pancar', 'Games']")</f>
        <v>['Please', 'Play', 'Game', 'Clock', 'Mahgrib', 'Sampe', 'Hour', 'Malem', 'Network', 'ugly', 'really', 'Telkomsel', ' Feelings', 'Pancar', 'Games']</v>
      </c>
      <c r="D7072" s="3">
        <v>1.0</v>
      </c>
    </row>
    <row r="7073" ht="15.75" customHeight="1">
      <c r="A7073" s="1">
        <v>7527.0</v>
      </c>
      <c r="B7073" s="3" t="s">
        <v>6755</v>
      </c>
      <c r="C7073" s="3" t="str">
        <f>IFERROR(__xludf.DUMMYFUNCTION("GOOGLETRANSLATE(B7073,""id"",""en"")"),"['dapet', 'daily', 'check', 'sucked', 'pulse', 'reason', 'non', 'package', 'sueee', 'hit', 'trap', 'disappointed', ' Really ',' AnjiiIrr ',' ']")</f>
        <v>['dapet', 'daily', 'check', 'sucked', 'pulse', 'reason', 'non', 'package', 'sueee', 'hit', 'trap', 'disappointed', ' Really ',' AnjiiIrr ',' ']</v>
      </c>
      <c r="D7073" s="3">
        <v>1.0</v>
      </c>
    </row>
    <row r="7074" ht="15.75" customHeight="1">
      <c r="A7074" s="1">
        <v>7528.0</v>
      </c>
      <c r="B7074" s="3" t="s">
        <v>6756</v>
      </c>
      <c r="C7074" s="3" t="str">
        <f>IFERROR(__xludf.DUMMYFUNCTION("GOOGLETRANSLATE(B7074,""id"",""en"")"),"['LEG', 'Network', 'business', 'hampered', ""]")</f>
        <v>['LEG', 'Network', 'business', 'hampered', "]</v>
      </c>
      <c r="D7074" s="3">
        <v>2.0</v>
      </c>
    </row>
    <row r="7075" ht="15.75" customHeight="1">
      <c r="A7075" s="1">
        <v>7529.0</v>
      </c>
      <c r="B7075" s="3" t="s">
        <v>6757</v>
      </c>
      <c r="C7075" s="3" t="str">
        <f>IFERROR(__xludf.DUMMYFUNCTION("GOOGLETRANSLATE(B7075,""id"",""en"")"),"['Telkomsel', 'pork', 'signal', 'ugly', 'really', 'quality', 'really', 'use', 'service', 'operator', 'damn', 'detrimental', ' Customers', 'Original', 'Telkomsel', 'Animals']")</f>
        <v>['Telkomsel', 'pork', 'signal', 'ugly', 'really', 'quality', 'really', 'use', 'service', 'operator', 'damn', 'detrimental', ' Customers', 'Original', 'Telkomsel', 'Animals']</v>
      </c>
      <c r="D7075" s="3">
        <v>1.0</v>
      </c>
    </row>
    <row r="7076" ht="15.75" customHeight="1">
      <c r="A7076" s="1">
        <v>7530.0</v>
      </c>
      <c r="B7076" s="3" t="s">
        <v>6758</v>
      </c>
      <c r="C7076" s="3" t="str">
        <f>IFERROR(__xludf.DUMMYFUNCTION("GOOGLETRANSLATE(B7076,""id"",""en"")"),"['', 'pulse', 'lost', 'trail', 'explanation', 'application', 'thief', '']")</f>
        <v>['', 'pulse', 'lost', 'trail', 'explanation', 'application', 'thief', '']</v>
      </c>
      <c r="D7076" s="3">
        <v>1.0</v>
      </c>
    </row>
    <row r="7077" ht="15.75" customHeight="1">
      <c r="A7077" s="1">
        <v>7531.0</v>
      </c>
      <c r="B7077" s="3" t="s">
        <v>6759</v>
      </c>
      <c r="C7077" s="3" t="str">
        <f>IFERROR(__xludf.DUMMYFUNCTION("GOOGLETRANSLATE(B7077,""id"",""en"")"),"['slow', 'network', 'kayak', 'already', 'buy', 'package', 'like', 'package', 'fix', '']")</f>
        <v>['slow', 'network', 'kayak', 'already', 'buy', 'package', 'like', 'package', 'fix', '']</v>
      </c>
      <c r="D7077" s="3">
        <v>1.0</v>
      </c>
    </row>
    <row r="7078" ht="15.75" customHeight="1">
      <c r="A7078" s="1">
        <v>7532.0</v>
      </c>
      <c r="B7078" s="3" t="s">
        <v>6760</v>
      </c>
      <c r="C7078" s="3" t="str">
        <f>IFERROR(__xludf.DUMMYFUNCTION("GOOGLETRANSLATE(B7078,""id"",""en"")"),"['expensive', 'doang', 'network', 'kayak', 'puki']")</f>
        <v>['expensive', 'doang', 'network', 'kayak', 'puki']</v>
      </c>
      <c r="D7078" s="3">
        <v>1.0</v>
      </c>
    </row>
    <row r="7079" ht="15.75" customHeight="1">
      <c r="A7079" s="1">
        <v>7533.0</v>
      </c>
      <c r="B7079" s="3" t="s">
        <v>6761</v>
      </c>
      <c r="C7079" s="3" t="str">
        <f>IFERROR(__xludf.DUMMYFUNCTION("GOOGLETRANSLATE(B7079,""id"",""en"")"),"['Bosen', 'Disruption']")</f>
        <v>['Bosen', 'Disruption']</v>
      </c>
      <c r="D7079" s="3">
        <v>1.0</v>
      </c>
    </row>
    <row r="7080" ht="15.75" customHeight="1">
      <c r="A7080" s="1">
        <v>7534.0</v>
      </c>
      <c r="B7080" s="3" t="s">
        <v>6762</v>
      </c>
      <c r="C7080" s="3" t="str">
        <f>IFERROR(__xludf.DUMMYFUNCTION("GOOGLETRANSLATE(B7080,""id"",""en"")"),"['please', 'Telkomsel', 'proposal', 'provider', 'cellular', 'biggest', 'Indonesia', 'quota', 'left', 'accumulated', 'quota', 'please', ' Looked, 'Considered', 'Thank', 'Love', ""]")</f>
        <v>['please', 'Telkomsel', 'proposal', 'provider', 'cellular', 'biggest', 'Indonesia', 'quota', 'left', 'accumulated', 'quota', 'please', ' Looked, 'Considered', 'Thank', 'Love', "]</v>
      </c>
      <c r="D7080" s="3">
        <v>5.0</v>
      </c>
    </row>
    <row r="7081" ht="15.75" customHeight="1">
      <c r="A7081" s="1">
        <v>7535.0</v>
      </c>
      <c r="B7081" s="3" t="s">
        <v>6763</v>
      </c>
      <c r="C7081" s="3" t="str">
        <f>IFERROR(__xludf.DUMMYFUNCTION("GOOGLETRANSLATE(B7081,""id"",""en"")"),"['parahh', 'already', 'send', 'data', 'connection', 'no', 'read', 'already', 'sent', 'until', 'time', 'read', ' No 'bot']")</f>
        <v>['parahh', 'already', 'send', 'data', 'connection', 'no', 'read', 'already', 'sent', 'until', 'time', 'read', ' No 'bot']</v>
      </c>
      <c r="D7081" s="3">
        <v>1.0</v>
      </c>
    </row>
    <row r="7082" ht="15.75" customHeight="1">
      <c r="A7082" s="1">
        <v>7536.0</v>
      </c>
      <c r="B7082" s="3" t="s">
        <v>6764</v>
      </c>
      <c r="C7082" s="3" t="str">
        <f>IFERROR(__xludf.DUMMYFUNCTION("GOOGLETRANSLATE(B7082,""id"",""en"")"),"['Disruption', 'signal', 'and then', 'weather', 'cloudy', 'bad', 'promo', 'prize', 'prize', ""]")</f>
        <v>['Disruption', 'signal', 'and then', 'weather', 'cloudy', 'bad', 'promo', 'prize', 'prize', "]</v>
      </c>
      <c r="D7082" s="3">
        <v>5.0</v>
      </c>
    </row>
    <row r="7083" ht="15.75" customHeight="1">
      <c r="A7083" s="1">
        <v>7537.0</v>
      </c>
      <c r="B7083" s="3" t="s">
        <v>6765</v>
      </c>
      <c r="C7083" s="3" t="str">
        <f>IFERROR(__xludf.DUMMYFUNCTION("GOOGLETRANSLATE(B7083,""id"",""en"")"),"['Telkomsel', 'easy', 'buy', 'package', 'data', 'suggestion', 'choice', '']")</f>
        <v>['Telkomsel', 'easy', 'buy', 'package', 'data', 'suggestion', 'choice', '']</v>
      </c>
      <c r="D7083" s="3">
        <v>4.0</v>
      </c>
    </row>
    <row r="7084" ht="15.75" customHeight="1">
      <c r="A7084" s="1">
        <v>7538.0</v>
      </c>
      <c r="B7084" s="3" t="s">
        <v>6766</v>
      </c>
      <c r="C7084" s="3" t="str">
        <f>IFERROR(__xludf.DUMMYFUNCTION("GOOGLETRANSLATE(B7084,""id"",""en"")"),"['network', 'broken', 'severe', 'replace', 'package', 'plus',' delay ',' abis', 'hit', 'maki', 'job', 'please', ' Fix ',' Sampe ',' Move ',' Operator ']")</f>
        <v>['network', 'broken', 'severe', 'replace', 'package', 'plus',' delay ',' abis', 'hit', 'maki', 'job', 'please', ' Fix ',' Sampe ',' Move ',' Operator ']</v>
      </c>
      <c r="D7084" s="3">
        <v>1.0</v>
      </c>
    </row>
    <row r="7085" ht="15.75" customHeight="1">
      <c r="A7085" s="1">
        <v>7539.0</v>
      </c>
      <c r="B7085" s="3" t="s">
        <v>6767</v>
      </c>
      <c r="C7085" s="3" t="str">
        <f>IFERROR(__xludf.DUMMYFUNCTION("GOOGLETRANSLATE(B7085,""id"",""en"")"),"['love', 'star', 'because', 'disappointed', 'down', 'used', 'play', 'game', 'onlen', 'lag', 'visits',' stop ',' Udh ',' turned off ',' data ',' mode ',' airplane ',' many ',' times', 'tetep', 'lag', 'detrimental', 'because', 'convenient', '']")</f>
        <v>['love', 'star', 'because', 'disappointed', 'down', 'used', 'play', 'game', 'onlen', 'lag', 'visits',' stop ',' Udh ',' turned off ',' data ',' mode ',' airplane ',' many ',' times', 'tetep', 'lag', 'detrimental', 'because', 'convenient', '']</v>
      </c>
      <c r="D7085" s="3">
        <v>1.0</v>
      </c>
    </row>
    <row r="7086" ht="15.75" customHeight="1">
      <c r="A7086" s="1">
        <v>7540.0</v>
      </c>
      <c r="B7086" s="3" t="s">
        <v>6768</v>
      </c>
      <c r="C7086" s="3" t="str">
        <f>IFERROR(__xludf.DUMMYFUNCTION("GOOGLETRANSLATE(B7086,""id"",""en"")"),"['offended', 'mutations',' cards', 'postpaid', 'lure', 'network', 'prioritized', 'mah', 'kayak', 'prepaid', 'ugly', 'signal', ' expensive ',' postpaid ',' bills', 'billed', '']")</f>
        <v>['offended', 'mutations',' cards', 'postpaid', 'lure', 'network', 'prioritized', 'mah', 'kayak', 'prepaid', 'ugly', 'signal', ' expensive ',' postpaid ',' bills', 'billed', '']</v>
      </c>
      <c r="D7086" s="3">
        <v>1.0</v>
      </c>
    </row>
    <row r="7087" ht="15.75" customHeight="1">
      <c r="A7087" s="1">
        <v>7541.0</v>
      </c>
      <c r="B7087" s="3" t="s">
        <v>6769</v>
      </c>
      <c r="C7087" s="3" t="str">
        <f>IFERROR(__xludf.DUMMYFUNCTION("GOOGLETRANSLATE(B7087,""id"",""en"")"),"['loss', 'use', 'Telkomsel', 'Network', 'Severe', 'really']")</f>
        <v>['loss', 'use', 'Telkomsel', 'Network', 'Severe', 'really']</v>
      </c>
      <c r="D7087" s="3">
        <v>1.0</v>
      </c>
    </row>
    <row r="7088" ht="15.75" customHeight="1">
      <c r="A7088" s="1">
        <v>7542.0</v>
      </c>
      <c r="B7088" s="3" t="s">
        <v>6770</v>
      </c>
      <c r="C7088" s="3" t="str">
        <f>IFERROR(__xludf.DUMMYFUNCTION("GOOGLETRANSLATE(B7088,""id"",""en"")"),"['My in my opinion', 'TELKOM', 'Delicious',' Males', 'subscription', 'package', 'discount', 'ehh', 'ride', 'price', 'monopoly', 'price', ' his name ',' rise ',' customer ',' loyal ',' subscription ',' package ',' rich ',' minimal ',' love ',' decrease ','"&amp;" price ',' ride ',' price ' ]")</f>
        <v>['My in my opinion', 'TELKOM', 'Delicious',' Males', 'subscription', 'package', 'discount', 'ehh', 'ride', 'price', 'monopoly', 'price', ' his name ',' rise ',' customer ',' loyal ',' subscription ',' package ',' rich ',' minimal ',' love ',' decrease ',' price ',' ride ',' price ' ]</v>
      </c>
      <c r="D7088" s="3">
        <v>3.0</v>
      </c>
    </row>
    <row r="7089" ht="15.75" customHeight="1">
      <c r="A7089" s="1">
        <v>7543.0</v>
      </c>
      <c r="B7089" s="3" t="s">
        <v>6771</v>
      </c>
      <c r="C7089" s="3" t="str">
        <f>IFERROR(__xludf.DUMMYFUNCTION("GOOGLETRANSLATE(B7089,""id"",""en"")"),"['package', 'Doang', 'expensive', 'quality', 'network', 'bad', '']")</f>
        <v>['package', 'Doang', 'expensive', 'quality', 'network', 'bad', '']</v>
      </c>
      <c r="D7089" s="3">
        <v>1.0</v>
      </c>
    </row>
    <row r="7090" ht="15.75" customHeight="1">
      <c r="A7090" s="1">
        <v>7544.0</v>
      </c>
      <c r="B7090" s="3" t="s">
        <v>6772</v>
      </c>
      <c r="C7090" s="3" t="str">
        <f>IFERROR(__xludf.DUMMYFUNCTION("GOOGLETRANSLATE(B7090,""id"",""en"")"),"['network', 'fix', 'online', 'send', 'chat', 'difficult', 'symbol', 'doang', 'network', 'emotion', 'card', 'rot', ' ']")</f>
        <v>['network', 'fix', 'online', 'send', 'chat', 'difficult', 'symbol', 'doang', 'network', 'emotion', 'card', 'rot', ' ']</v>
      </c>
      <c r="D7090" s="3">
        <v>1.0</v>
      </c>
    </row>
    <row r="7091" ht="15.75" customHeight="1">
      <c r="A7091" s="1">
        <v>7545.0</v>
      </c>
      <c r="B7091" s="3" t="s">
        <v>6773</v>
      </c>
      <c r="C7091" s="3" t="str">
        <f>IFERROR(__xludf.DUMMYFUNCTION("GOOGLETRANSLATE(B7091,""id"",""en"")"),"['my', 'moved', 'card', 'UDH', 'buy', 'quota', 'expensive', 'signal', 'ugly', '']")</f>
        <v>['my', 'moved', 'card', 'UDH', 'buy', 'quota', 'expensive', 'signal', 'ugly', '']</v>
      </c>
      <c r="D7091" s="3">
        <v>1.0</v>
      </c>
    </row>
    <row r="7092" ht="15.75" customHeight="1">
      <c r="A7092" s="1">
        <v>7546.0</v>
      </c>
      <c r="B7092" s="3" t="s">
        <v>6774</v>
      </c>
      <c r="C7092" s="3" t="str">
        <f>IFERROR(__xludf.DUMMYFUNCTION("GOOGLETRANSLATE(B7092,""id"",""en"")"),"['disappointing', 'quality', 'connection', 'internet', 'as', 'user', 'disappointed', 'here', 'stable', ""]")</f>
        <v>['disappointing', 'quality', 'connection', 'internet', 'as', 'user', 'disappointed', 'here', 'stable', "]</v>
      </c>
      <c r="D7092" s="3">
        <v>1.0</v>
      </c>
    </row>
    <row r="7093" ht="15.75" customHeight="1">
      <c r="A7093" s="1">
        <v>7547.0</v>
      </c>
      <c r="B7093" s="3" t="s">
        <v>6775</v>
      </c>
      <c r="C7093" s="3" t="str">
        <f>IFERROR(__xludf.DUMMYFUNCTION("GOOGLETRANSLATE(B7093,""id"",""en"")"),"['Fraudsters',' Credit ',' Reduced ',' Out ',' Quota ',' Look ',' Pas', 'Open', 'YouTube', 'App', 'Basic', 'Fraudster', ' ',' Pusla ',' I ',' Gegara ',' promo ',' fraud ',' easy ',' hopefully ',' azab ']")</f>
        <v>['Fraudsters',' Credit ',' Reduced ',' Out ',' Quota ',' Look ',' Pas', 'Open', 'YouTube', 'App', 'Basic', 'Fraudster', ' ',' Pusla ',' I ',' Gegara ',' promo ',' fraud ',' easy ',' hopefully ',' azab ']</v>
      </c>
      <c r="D7093" s="3">
        <v>1.0</v>
      </c>
    </row>
    <row r="7094" ht="15.75" customHeight="1">
      <c r="A7094" s="1">
        <v>7548.0</v>
      </c>
      <c r="B7094" s="3" t="s">
        <v>6776</v>
      </c>
      <c r="C7094" s="3" t="str">
        <f>IFERROR(__xludf.DUMMYFUNCTION("GOOGLETRANSLATE(B7094,""id"",""en"")"),"['complicated']")</f>
        <v>['complicated']</v>
      </c>
      <c r="D7094" s="3">
        <v>5.0</v>
      </c>
    </row>
    <row r="7095" ht="15.75" customHeight="1">
      <c r="A7095" s="1">
        <v>7549.0</v>
      </c>
      <c r="B7095" s="3" t="s">
        <v>6777</v>
      </c>
      <c r="C7095" s="3" t="str">
        <f>IFERROR(__xludf.DUMMYFUNCTION("GOOGLETRANSLATE(B7095,""id"",""en"")"),"['Assalamualaikum', 'Sis',' Network ',' Telkomsel ',' ugly ',' really ',' really ',' ugly ',' really ',' signal ',' full ',' network ',' ugly ',' no ',' stable ',' area ',' area ',' kab ',' sukabumi ',' please ',' help ',' kak ',' network ', ""]")</f>
        <v>['Assalamualaikum', 'Sis',' Network ',' Telkomsel ',' ugly ',' really ',' really ',' ugly ',' really ',' signal ',' full ',' network ',' ugly ',' no ',' stable ',' area ',' area ',' kab ',' sukabumi ',' please ',' help ',' kak ',' network ', "]</v>
      </c>
      <c r="D7095" s="3">
        <v>2.0</v>
      </c>
    </row>
    <row r="7096" ht="15.75" customHeight="1">
      <c r="A7096" s="1">
        <v>7550.0</v>
      </c>
      <c r="B7096" s="3" t="s">
        <v>6778</v>
      </c>
      <c r="C7096" s="3" t="str">
        <f>IFERROR(__xludf.DUMMYFUNCTION("GOOGLETRANSLATE(B7096,""id"",""en"")"),"['Please', 'Network', 'Telkomsel', 'Difficult', 'Dead', 'Lights', 'Dead', 'Signal', 'Please', 'Fixed', 'Boss']")</f>
        <v>['Please', 'Network', 'Telkomsel', 'Difficult', 'Dead', 'Lights', 'Dead', 'Signal', 'Please', 'Fixed', 'Boss']</v>
      </c>
      <c r="D7096" s="3">
        <v>3.0</v>
      </c>
    </row>
    <row r="7097" ht="15.75" customHeight="1">
      <c r="A7097" s="1">
        <v>7551.0</v>
      </c>
      <c r="B7097" s="3" t="s">
        <v>6779</v>
      </c>
      <c r="C7097" s="3" t="str">
        <f>IFERROR(__xludf.DUMMYFUNCTION("GOOGLETRANSLATE(B7097,""id"",""en"")"),"['Good', 'App', 'service', 'satisfying', '']")</f>
        <v>['Good', 'App', 'service', 'satisfying', '']</v>
      </c>
      <c r="D7097" s="3">
        <v>5.0</v>
      </c>
    </row>
    <row r="7098" ht="15.75" customHeight="1">
      <c r="A7098" s="1">
        <v>7552.0</v>
      </c>
      <c r="B7098" s="3" t="s">
        <v>6780</v>
      </c>
      <c r="C7098" s="3" t="str">
        <f>IFERROR(__xludf.DUMMYFUNCTION("GOOGLETRANSLATE(B7098,""id"",""en"")"),"['Telkomsel', 'crazy', 'price', 'package', 'data', 'telephone', 'expensive', 'Telkomsel', 'customer', 'lost', 'use', 'card', ' expensive ',' Package ',' Offer ',' Naturally ',' Telkomsel ',' Left Behind ',' Competitors', 'Please', 'Package', 'Phone', 'Dat"&amp;"a', 'Expensive', 'Price' , 'Naturally', 'Normal']")</f>
        <v>['Telkomsel', 'crazy', 'price', 'package', 'data', 'telephone', 'expensive', 'Telkomsel', 'customer', 'lost', 'use', 'card', ' expensive ',' Package ',' Offer ',' Naturally ',' Telkomsel ',' Left Behind ',' Competitors', 'Please', 'Package', 'Phone', 'Data', 'Expensive', 'Price' , 'Naturally', 'Normal']</v>
      </c>
      <c r="D7098" s="3">
        <v>5.0</v>
      </c>
    </row>
    <row r="7099" ht="15.75" customHeight="1">
      <c r="A7099" s="1">
        <v>7553.0</v>
      </c>
      <c r="B7099" s="3" t="s">
        <v>6781</v>
      </c>
      <c r="C7099" s="3" t="str">
        <f>IFERROR(__xludf.DUMMYFUNCTION("GOOGLETRANSLATE(B7099,""id"",""en"")"),"['friendly', 'bags', 'students', 'UDH', 'unlimited', 'package', 'Berkona', 'Kek', 'list', 'school', ""]")</f>
        <v>['friendly', 'bags', 'students', 'UDH', 'unlimited', 'package', 'Berkona', 'Kek', 'list', 'school', "]</v>
      </c>
      <c r="D7099" s="3">
        <v>1.0</v>
      </c>
    </row>
    <row r="7100" ht="15.75" customHeight="1">
      <c r="A7100" s="1">
        <v>7555.0</v>
      </c>
      <c r="B7100" s="3" t="s">
        <v>6782</v>
      </c>
      <c r="C7100" s="3" t="str">
        <f>IFERROR(__xludf.DUMMYFUNCTION("GOOGLETRANSLATE(B7100,""id"",""en"")"),"['already', 'update', 'ttp', 'update', 'trs', 'right', 'open', 'app', 'update', '']")</f>
        <v>['already', 'update', 'ttp', 'update', 'trs', 'right', 'open', 'app', 'update', '']</v>
      </c>
      <c r="D7100" s="3">
        <v>1.0</v>
      </c>
    </row>
    <row r="7101" ht="15.75" customHeight="1">
      <c r="A7101" s="1">
        <v>7556.0</v>
      </c>
      <c r="B7101" s="3" t="s">
        <v>6783</v>
      </c>
      <c r="C7101" s="3" t="str">
        <f>IFERROR(__xludf.DUMMYFUNCTION("GOOGLETRANSLATE(B7101,""id"",""en"")"),"['Network', 'knapa', 'sihk', 'sek', 'ntool']")</f>
        <v>['Network', 'knapa', 'sihk', 'sek', 'ntool']</v>
      </c>
      <c r="D7101" s="3">
        <v>1.0</v>
      </c>
    </row>
    <row r="7102" ht="15.75" customHeight="1">
      <c r="A7102" s="1">
        <v>7557.0</v>
      </c>
      <c r="B7102" s="3" t="s">
        <v>6784</v>
      </c>
      <c r="C7102" s="3" t="str">
        <f>IFERROR(__xludf.DUMMYFUNCTION("GOOGLETRANSLATE(B7102,""id"",""en"")"),"['Mantab', 'TPI', 'Kemot']")</f>
        <v>['Mantab', 'TPI', 'Kemot']</v>
      </c>
      <c r="D7102" s="3">
        <v>5.0</v>
      </c>
    </row>
    <row r="7103" ht="15.75" customHeight="1">
      <c r="A7103" s="1">
        <v>7558.0</v>
      </c>
      <c r="B7103" s="3" t="s">
        <v>6785</v>
      </c>
      <c r="C7103" s="3" t="str">
        <f>IFERROR(__xludf.DUMMYFUNCTION("GOOGLETRANSLATE(B7103,""id"",""en"")"),"['Good', 'version', 'version', 'contents', 'pulse', 'list', 'package', 'day', 'reduced', ""]")</f>
        <v>['Good', 'version', 'version', 'contents', 'pulse', 'list', 'package', 'day', 'reduced', "]</v>
      </c>
      <c r="D7103" s="3">
        <v>1.0</v>
      </c>
    </row>
    <row r="7104" ht="15.75" customHeight="1">
      <c r="A7104" s="1">
        <v>7559.0</v>
      </c>
      <c r="B7104" s="3" t="s">
        <v>6786</v>
      </c>
      <c r="C7104" s="3" t="str">
        <f>IFERROR(__xludf.DUMMYFUNCTION("GOOGLETRANSLATE(B7104,""id"",""en"")"),"['Maling', 'pulse', 'thief', 'pulse', 'bagan', 'next door', '']")</f>
        <v>['Maling', 'pulse', 'thief', 'pulse', 'bagan', 'next door', '']</v>
      </c>
      <c r="D7104" s="3">
        <v>1.0</v>
      </c>
    </row>
    <row r="7105" ht="15.75" customHeight="1">
      <c r="A7105" s="1">
        <v>7560.0</v>
      </c>
      <c r="B7105" s="3" t="s">
        <v>6787</v>
      </c>
      <c r="C7105" s="3" t="str">
        <f>IFERROR(__xludf.DUMMYFUNCTION("GOOGLETRANSLATE(B7105,""id"",""en"")"),"['really', 'ilang', 'network', 'quota', 'speeding', 'really', 'sumps', 'package', 'expensive']")</f>
        <v>['really', 'ilang', 'network', 'quota', 'speeding', 'really', 'sumps', 'package', 'expensive']</v>
      </c>
      <c r="D7105" s="3">
        <v>1.0</v>
      </c>
    </row>
    <row r="7106" ht="15.75" customHeight="1">
      <c r="A7106" s="1">
        <v>7561.0</v>
      </c>
      <c r="B7106" s="3" t="s">
        <v>6788</v>
      </c>
      <c r="C7106" s="3" t="str">
        <f>IFERROR(__xludf.DUMMYFUNCTION("GOOGLETRANSLATE(B7106,""id"",""en"")"),"['special', 'good', 'slang', 'biasah', 'build']")</f>
        <v>['special', 'good', 'slang', 'biasah', 'build']</v>
      </c>
      <c r="D7106" s="3">
        <v>5.0</v>
      </c>
    </row>
    <row r="7107" ht="15.75" customHeight="1">
      <c r="A7107" s="1">
        <v>7562.0</v>
      </c>
      <c r="B7107" s="3" t="s">
        <v>6789</v>
      </c>
      <c r="C7107" s="3" t="str">
        <f>IFERROR(__xludf.DUMMYFUNCTION("GOOGLETRANSLATE(B7107,""id"",""en"")"),"['Plis', 'Telkomsel', 'pulses', 'take-up', 'thousand', 'bewap', 'wary']")</f>
        <v>['Plis', 'Telkomsel', 'pulses', 'take-up', 'thousand', 'bewap', 'wary']</v>
      </c>
      <c r="D7107" s="3">
        <v>1.0</v>
      </c>
    </row>
    <row r="7108" ht="15.75" customHeight="1">
      <c r="A7108" s="1">
        <v>7563.0</v>
      </c>
      <c r="B7108" s="3" t="s">
        <v>6790</v>
      </c>
      <c r="C7108" s="3" t="str">
        <f>IFERROR(__xludf.DUMMYFUNCTION("GOOGLETRANSLATE(B7108,""id"",""en"")"),"['area', 'Rangkas', 'signal', 'good']")</f>
        <v>['area', 'Rangkas', 'signal', 'good']</v>
      </c>
      <c r="D7108" s="3">
        <v>5.0</v>
      </c>
    </row>
    <row r="7109" ht="15.75" customHeight="1">
      <c r="A7109" s="1">
        <v>7564.0</v>
      </c>
      <c r="B7109" s="3" t="s">
        <v>6791</v>
      </c>
      <c r="C7109" s="3" t="str">
        <f>IFERROR(__xludf.DUMMYFUNCTION("GOOGLETRANSLATE(B7109,""id"",""en"")"),"['Severe', 'paraaaaaaahhhhhhhhhhhhh', 'network', 'slow', 'comfort', 'play', 'game', 'signal', 'red', 'teru', 'morning', 'afternoon', ' night ',' severe ',' please ',' fix ']")</f>
        <v>['Severe', 'paraaaaaaahhhhhhhhhhhhh', 'network', 'slow', 'comfort', 'play', 'game', 'signal', 'red', 'teru', 'morning', 'afternoon', ' night ',' severe ',' please ',' fix ']</v>
      </c>
      <c r="D7109" s="3">
        <v>1.0</v>
      </c>
    </row>
    <row r="7110" ht="15.75" customHeight="1">
      <c r="A7110" s="1">
        <v>7565.0</v>
      </c>
      <c r="B7110" s="3" t="s">
        <v>6792</v>
      </c>
      <c r="C7110" s="3" t="str">
        <f>IFERROR(__xludf.DUMMYFUNCTION("GOOGLETRANSLATE(B7110,""id"",""en"")"),"['Telkomsel', 'card', 'Najis',' buy ',' quota ',' downlod ',' application ',' Lahh ',' mean ',' use ',' play ',' game ',' lag ',' Ouch ',' Telkomsel ',' ']")</f>
        <v>['Telkomsel', 'card', 'Najis',' buy ',' quota ',' downlod ',' application ',' Lahh ',' mean ',' use ',' play ',' game ',' lag ',' Ouch ',' Telkomsel ',' ']</v>
      </c>
      <c r="D7110" s="3">
        <v>1.0</v>
      </c>
    </row>
    <row r="7111" ht="15.75" customHeight="1">
      <c r="A7111" s="1">
        <v>7566.0</v>
      </c>
      <c r="B7111" s="3" t="s">
        <v>6793</v>
      </c>
      <c r="C7111" s="3" t="str">
        <f>IFERROR(__xludf.DUMMYFUNCTION("GOOGLETRANSLATE(B7111,""id"",""en"")"),"['Telkomsel', 'annoying', 'it's eager', 'already', 'buy', 'package', 'expensive', 'network', 'bad', 'Telkomsel']")</f>
        <v>['Telkomsel', 'annoying', 'it's eager', 'already', 'buy', 'package', 'expensive', 'network', 'bad', 'Telkomsel']</v>
      </c>
      <c r="D7111" s="3">
        <v>1.0</v>
      </c>
    </row>
    <row r="7112" ht="15.75" customHeight="1">
      <c r="A7112" s="1">
        <v>7567.0</v>
      </c>
      <c r="B7112" s="3" t="s">
        <v>6794</v>
      </c>
      <c r="C7112" s="3" t="str">
        <f>IFERROR(__xludf.DUMMYFUNCTION("GOOGLETRANSLATE(B7112,""id"",""en"")"),"['package', 'expensive', 'network', 'disappointed', 'Woyyyyy', 'signal', 'Woyyyyy', 'Ahhh', 'Sempak']")</f>
        <v>['package', 'expensive', 'network', 'disappointed', 'Woyyyyy', 'signal', 'Woyyyyy', 'Ahhh', 'Sempak']</v>
      </c>
      <c r="D7112" s="3">
        <v>2.0</v>
      </c>
    </row>
    <row r="7113" ht="15.75" customHeight="1">
      <c r="A7113" s="1">
        <v>7568.0</v>
      </c>
      <c r="B7113" s="3" t="s">
        <v>6795</v>
      </c>
      <c r="C7113" s="3" t="str">
        <f>IFERROR(__xludf.DUMMYFUNCTION("GOOGLETRANSLATE(B7113,""id"",""en"")"),"['Easy', 'Where']")</f>
        <v>['Easy', 'Where']</v>
      </c>
      <c r="D7113" s="3">
        <v>4.0</v>
      </c>
    </row>
    <row r="7114" ht="15.75" customHeight="1">
      <c r="A7114" s="1">
        <v>7569.0</v>
      </c>
      <c r="B7114" s="3" t="s">
        <v>6796</v>
      </c>
      <c r="C7114" s="3" t="str">
        <f>IFERROR(__xludf.DUMMYFUNCTION("GOOGLETRANSLATE(B7114,""id"",""en"")"),"['Login', 'Ribet', 'GPP', 'Msih', 'Enter', 'Wonder', 'expensive', 'quota', 'Telkomsel', 'buy', 'quota', 'GB', ' Price ',' RB ',' skrg ',' jdi ',' rb ', ""]")</f>
        <v>['Login', 'Ribet', 'GPP', 'Msih', 'Enter', 'Wonder', 'expensive', 'quota', 'Telkomsel', 'buy', 'quota', 'GB', ' Price ',' RB ',' skrg ',' jdi ',' rb ', "]</v>
      </c>
      <c r="D7114" s="3">
        <v>4.0</v>
      </c>
    </row>
    <row r="7115" ht="15.75" customHeight="1">
      <c r="A7115" s="1">
        <v>7570.0</v>
      </c>
      <c r="B7115" s="3" t="s">
        <v>600</v>
      </c>
      <c r="C7115" s="3" t="str">
        <f>IFERROR(__xludf.DUMMYFUNCTION("GOOGLETRANSLATE(B7115,""id"",""en"")"),"['Application', 'Good', '']")</f>
        <v>['Application', 'Good', '']</v>
      </c>
      <c r="D7115" s="3">
        <v>5.0</v>
      </c>
    </row>
    <row r="7116" ht="15.75" customHeight="1">
      <c r="A7116" s="1">
        <v>7571.0</v>
      </c>
      <c r="B7116" s="3" t="s">
        <v>6797</v>
      </c>
      <c r="C7116" s="3" t="str">
        <f>IFERROR(__xludf.DUMMYFUNCTION("GOOGLETRANSLATE(B7116,""id"",""en"")"),"['application', 'The', 'Best', 'really', 'just']")</f>
        <v>['application', 'The', 'Best', 'really', 'just']</v>
      </c>
      <c r="D7116" s="3">
        <v>5.0</v>
      </c>
    </row>
    <row r="7117" ht="15.75" customHeight="1">
      <c r="A7117" s="1">
        <v>7572.0</v>
      </c>
      <c r="B7117" s="3" t="s">
        <v>3529</v>
      </c>
      <c r="C7117" s="3" t="str">
        <f>IFERROR(__xludf.DUMMYFUNCTION("GOOGLETRANSLATE(B7117,""id"",""en"")"),"['easy', '']")</f>
        <v>['easy', '']</v>
      </c>
      <c r="D7117" s="3">
        <v>4.0</v>
      </c>
    </row>
    <row r="7118" ht="15.75" customHeight="1">
      <c r="A7118" s="1">
        <v>7573.0</v>
      </c>
      <c r="B7118" s="3" t="s">
        <v>6798</v>
      </c>
      <c r="C7118" s="3" t="str">
        <f>IFERROR(__xludf.DUMMYFUNCTION("GOOGLETRANSLATE(B7118,""id"",""en"")"),"['telkomnyet', 'signal', 'full', 'good', 'telkomnyet', 'kek', 'ajg', 'open', 'open', 'open', 'game', 'see', ' Snap ',' People ',' Send ',' Nerima ',' Image ',' Video ',' Kapok ',' Telkomnyet ']")</f>
        <v>['telkomnyet', 'signal', 'full', 'good', 'telkomnyet', 'kek', 'ajg', 'open', 'open', 'open', 'game', 'see', ' Snap ',' People ',' Send ',' Nerima ',' Image ',' Video ',' Kapok ',' Telkomnyet ']</v>
      </c>
      <c r="D7118" s="3">
        <v>1.0</v>
      </c>
    </row>
    <row r="7119" ht="15.75" customHeight="1">
      <c r="A7119" s="1">
        <v>7574.0</v>
      </c>
      <c r="B7119" s="3" t="s">
        <v>6799</v>
      </c>
      <c r="C7119" s="3" t="str">
        <f>IFERROR(__xludf.DUMMYFUNCTION("GOOGLETRANSLATE(B7119,""id"",""en"")"),"['Fix', 'Quality', 'Network']")</f>
        <v>['Fix', 'Quality', 'Network']</v>
      </c>
      <c r="D7119" s="3">
        <v>5.0</v>
      </c>
    </row>
    <row r="7120" ht="15.75" customHeight="1">
      <c r="A7120" s="1">
        <v>7575.0</v>
      </c>
      <c r="B7120" s="3" t="s">
        <v>6800</v>
      </c>
      <c r="C7120" s="3" t="str">
        <f>IFERROR(__xludf.DUMMYFUNCTION("GOOGLETRANSLATE(B7120,""id"",""en"")"),"['Points',' Iyak ',' Points', 'Nga', 'exchanged', 'System', 'Busy', 'KEADIALYA', 'Where', 'Boss',' Dekrinima ',' Mending ',' Delete ',' Application ',' Biay ',' Biayakin ',' Memory ',' Please ',' System ',' Busy ',' Mulu ',' Telkom ']")</f>
        <v>['Points',' Iyak ',' Points', 'Nga', 'exchanged', 'System', 'Busy', 'KEADIALYA', 'Where', 'Boss',' Dekrinima ',' Mending ',' Delete ',' Application ',' Biay ',' Biayakin ',' Memory ',' Please ',' System ',' Busy ',' Mulu ',' Telkom ']</v>
      </c>
      <c r="D7120" s="3">
        <v>5.0</v>
      </c>
    </row>
    <row r="7121" ht="15.75" customHeight="1">
      <c r="A7121" s="1">
        <v>7576.0</v>
      </c>
      <c r="B7121" s="3" t="s">
        <v>6801</v>
      </c>
      <c r="C7121" s="3" t="str">
        <f>IFERROR(__xludf.DUMMYFUNCTION("GOOGLETRANSLATE(B7121,""id"",""en"")"),"['Remove', 'difficult', 'type', 'number']")</f>
        <v>['Remove', 'difficult', 'type', 'number']</v>
      </c>
      <c r="D7121" s="3">
        <v>3.0</v>
      </c>
    </row>
    <row r="7122" ht="15.75" customHeight="1">
      <c r="A7122" s="1">
        <v>7578.0</v>
      </c>
      <c r="B7122" s="3" t="s">
        <v>6802</v>
      </c>
      <c r="C7122" s="3" t="str">
        <f>IFERROR(__xludf.DUMMYFUNCTION("GOOGLETRANSLATE(B7122,""id"",""en"")"),"['', 'star', 'use', 'application', 'mytelkomsel']")</f>
        <v>['', 'star', 'use', 'application', 'mytelkomsel']</v>
      </c>
      <c r="D7122" s="3">
        <v>4.0</v>
      </c>
    </row>
    <row r="7123" ht="15.75" customHeight="1">
      <c r="A7123" s="1">
        <v>7579.0</v>
      </c>
      <c r="B7123" s="3" t="s">
        <v>6803</v>
      </c>
      <c r="C7123" s="3" t="str">
        <f>IFERROR(__xludf.DUMMYFUNCTION("GOOGLETRANSLATE(B7123,""id"",""en"")"),"['How to', 'BLI', 'pulse', 'pulses', 'already', 'PDAVY', 'Save', 'BLI', 'Package', 'Loss', ""]")</f>
        <v>['How to', 'BLI', 'pulse', 'pulses', 'already', 'PDAVY', 'Save', 'BLI', 'Package', 'Loss', "]</v>
      </c>
      <c r="D7123" s="3">
        <v>1.0</v>
      </c>
    </row>
    <row r="7124" ht="15.75" customHeight="1">
      <c r="A7124" s="1">
        <v>7580.0</v>
      </c>
      <c r="B7124" s="3" t="s">
        <v>6804</v>
      </c>
      <c r="C7124" s="3" t="str">
        <f>IFERROR(__xludf.DUMMYFUNCTION("GOOGLETRANSLATE(B7124,""id"",""en"")"),"['how', 'application', 'difficult', 'open', 'application', 'user', 'difficulty', 'check', 'quota', 'pulse', 'buy', 'package', ' Application ',' Mohom ',' explanation ',' ']")</f>
        <v>['how', 'application', 'difficult', 'open', 'application', 'user', 'difficulty', 'check', 'quota', 'pulse', 'buy', 'package', ' Application ',' Mohom ',' explanation ',' ']</v>
      </c>
      <c r="D7124" s="3">
        <v>5.0</v>
      </c>
    </row>
    <row r="7125" ht="15.75" customHeight="1">
      <c r="A7125" s="1">
        <v>7581.0</v>
      </c>
      <c r="B7125" s="3" t="s">
        <v>6805</v>
      </c>
      <c r="C7125" s="3" t="str">
        <f>IFERROR(__xludf.DUMMYFUNCTION("GOOGLETRANSLATE(B7125,""id"",""en"")"),"['Customer', 'Service', 'Telkomsel', 'card', 'Hello', 'Priority', 'Leet', 'Severe', 'Recommended']")</f>
        <v>['Customer', 'Service', 'Telkomsel', 'card', 'Hello', 'Priority', 'Leet', 'Severe', 'Recommended']</v>
      </c>
      <c r="D7125" s="3">
        <v>1.0</v>
      </c>
    </row>
    <row r="7126" ht="15.75" customHeight="1">
      <c r="A7126" s="1">
        <v>7582.0</v>
      </c>
      <c r="B7126" s="3" t="s">
        <v>6806</v>
      </c>
      <c r="C7126" s="3" t="str">
        <f>IFERROR(__xludf.DUMMYFUNCTION("GOOGLETRANSLATE(B7126,""id"",""en"")"),"['Login', 'wherever']")</f>
        <v>['Login', 'wherever']</v>
      </c>
      <c r="D7126" s="3">
        <v>5.0</v>
      </c>
    </row>
    <row r="7127" ht="15.75" customHeight="1">
      <c r="A7127" s="1">
        <v>7583.0</v>
      </c>
      <c r="B7127" s="3" t="s">
        <v>6807</v>
      </c>
      <c r="C7127" s="3" t="str">
        <f>IFERROR(__xludf.DUMMYFUNCTION("GOOGLETRANSLATE(B7127,""id"",""en"")"),"['service', 'slogan', 'migration', 'Telkomsel', 'lie', 'useful', ""]")</f>
        <v>['service', 'slogan', 'migration', 'Telkomsel', 'lie', 'useful', "]</v>
      </c>
      <c r="D7127" s="3">
        <v>1.0</v>
      </c>
    </row>
    <row r="7128" ht="15.75" customHeight="1">
      <c r="A7128" s="1">
        <v>7584.0</v>
      </c>
      <c r="B7128" s="3" t="s">
        <v>6808</v>
      </c>
      <c r="C7128" s="3" t="str">
        <f>IFERROR(__xludf.DUMMYFUNCTION("GOOGLETRANSLATE(B7128,""id"",""en"")"),"['Cool', 'makes it easy', 'user']")</f>
        <v>['Cool', 'makes it easy', 'user']</v>
      </c>
      <c r="D7128" s="3">
        <v>5.0</v>
      </c>
    </row>
    <row r="7129" ht="15.75" customHeight="1">
      <c r="A7129" s="1">
        <v>7585.0</v>
      </c>
      <c r="B7129" s="3" t="s">
        <v>6809</v>
      </c>
      <c r="C7129" s="3" t="str">
        <f>IFERROR(__xludf.DUMMYFUNCTION("GOOGLETRANSLATE(B7129,""id"",""en"")"),"['easy', 'transaction', 'purchase', 'pulse', 'package', 'internet']")</f>
        <v>['easy', 'transaction', 'purchase', 'pulse', 'package', 'internet']</v>
      </c>
      <c r="D7129" s="3">
        <v>4.0</v>
      </c>
    </row>
    <row r="7130" ht="15.75" customHeight="1">
      <c r="A7130" s="1">
        <v>7586.0</v>
      </c>
      <c r="B7130" s="3" t="s">
        <v>6810</v>
      </c>
      <c r="C7130" s="3" t="str">
        <f>IFERROR(__xludf.DUMMYFUNCTION("GOOGLETRANSLATE(B7130,""id"",""en"")"),"['Exchange', 'Points', 'Package', 'UDH', 'Try', 'Please', 'Fix', 'Save', 'Money', 'Covid', ""]")</f>
        <v>['Exchange', 'Points', 'Package', 'UDH', 'Try', 'Please', 'Fix', 'Save', 'Money', 'Covid', "]</v>
      </c>
      <c r="D7130" s="3">
        <v>1.0</v>
      </c>
    </row>
    <row r="7131" ht="15.75" customHeight="1">
      <c r="A7131" s="1">
        <v>7587.0</v>
      </c>
      <c r="B7131" s="3" t="s">
        <v>6811</v>
      </c>
      <c r="C7131" s="3" t="str">
        <f>IFERROR(__xludf.DUMMYFUNCTION("GOOGLETRANSLATE(B7131,""id"",""en"")"),"['promo', 'use', 'missing', 'notification', '']")</f>
        <v>['promo', 'use', 'missing', 'notification', '']</v>
      </c>
      <c r="D7131" s="3">
        <v>3.0</v>
      </c>
    </row>
    <row r="7132" ht="15.75" customHeight="1">
      <c r="A7132" s="1">
        <v>7588.0</v>
      </c>
      <c r="B7132" s="3" t="s">
        <v>4415</v>
      </c>
      <c r="C7132" s="3" t="str">
        <f>IFERROR(__xludf.DUMMYFUNCTION("GOOGLETRANSLATE(B7132,""id"",""en"")"),"['Application', 'help', ""]")</f>
        <v>['Application', 'help', "]</v>
      </c>
      <c r="D7132" s="3">
        <v>5.0</v>
      </c>
    </row>
    <row r="7133" ht="15.75" customHeight="1">
      <c r="A7133" s="1">
        <v>7590.0</v>
      </c>
      <c r="B7133" s="3" t="s">
        <v>6812</v>
      </c>
      <c r="C7133" s="3" t="str">
        <f>IFERROR(__xludf.DUMMYFUNCTION("GOOGLETRANSLATE(B7133,""id"",""en"")"),"['strange', 'actually', 'already', 'suspiciously', 'application', 'default', 'counters',' quota ',' daily ',' panel ',' GB ',' Telk ',' finished', '']")</f>
        <v>['strange', 'actually', 'already', 'suspiciously', 'application', 'default', 'counters',' quota ',' daily ',' panel ',' GB ',' Telk ',' finished', '']</v>
      </c>
      <c r="D7133" s="3">
        <v>3.0</v>
      </c>
    </row>
    <row r="7134" ht="15.75" customHeight="1">
      <c r="A7134" s="1">
        <v>7591.0</v>
      </c>
      <c r="B7134" s="3" t="s">
        <v>6813</v>
      </c>
      <c r="C7134" s="3" t="str">
        <f>IFERROR(__xludf.DUMMYFUNCTION("GOOGLETRANSLATE(B7134,""id"",""en"")"),"['', 'Telkomsel', 'Service', 'Provider', 'Best', 'The', 'Best', 'Anyway', 'Help', 'Thank', 'Love', 'Telkomsel']")</f>
        <v>['', 'Telkomsel', 'Service', 'Provider', 'Best', 'The', 'Best', 'Anyway', 'Help', 'Thank', 'Love', 'Telkomsel']</v>
      </c>
      <c r="D7134" s="3">
        <v>5.0</v>
      </c>
    </row>
    <row r="7135" ht="15.75" customHeight="1">
      <c r="A7135" s="1">
        <v>7592.0</v>
      </c>
      <c r="B7135" s="3" t="s">
        <v>6814</v>
      </c>
      <c r="C7135" s="3" t="str">
        <f>IFERROR(__xludf.DUMMYFUNCTION("GOOGLETRANSLATE(B7135,""id"",""en"")"),"['Please', 'Adin', 'Feature', 'Keep', 'Balance', 'Operator', 'Next to', 'Already', 'Nerapin', 'The Application', 'Telkomsel', 'Felt', ' Keckown ',' pulses', 'right', 'Abis',' quota ',' sumps', 'pulse', 'gara', 'usage', 'quota', 'tariff', 'base', 'pulses' "&amp;", 'SMS', 'subscribe', 'Telkomsel', 'honest', 'operator', 'competitor', 'honest', 'credit', 'customer', 'harmed', 'Hopefully', 'heard']")</f>
        <v>['Please', 'Adin', 'Feature', 'Keep', 'Balance', 'Operator', 'Next to', 'Already', 'Nerapin', 'The Application', 'Telkomsel', 'Felt', ' Keckown ',' pulses', 'right', 'Abis',' quota ',' sumps', 'pulse', 'gara', 'usage', 'quota', 'tariff', 'base', 'pulses' , 'SMS', 'subscribe', 'Telkomsel', 'honest', 'operator', 'competitor', 'honest', 'credit', 'customer', 'harmed', 'Hopefully', 'heard']</v>
      </c>
      <c r="D7135" s="3">
        <v>1.0</v>
      </c>
    </row>
    <row r="7136" ht="15.75" customHeight="1">
      <c r="A7136" s="1">
        <v>7593.0</v>
      </c>
      <c r="B7136" s="3" t="s">
        <v>6815</v>
      </c>
      <c r="C7136" s="3" t="str">
        <f>IFERROR(__xludf.DUMMYFUNCTION("GOOGLETRANSLATE(B7136,""id"",""en"")"),"['Good', 'lebiuh', 'easy', '']")</f>
        <v>['Good', 'lebiuh', 'easy', '']</v>
      </c>
      <c r="D7136" s="3">
        <v>5.0</v>
      </c>
    </row>
    <row r="7137" ht="15.75" customHeight="1">
      <c r="A7137" s="1">
        <v>7594.0</v>
      </c>
      <c r="B7137" s="3" t="s">
        <v>6816</v>
      </c>
      <c r="C7137" s="3" t="str">
        <f>IFERROR(__xludf.DUMMYFUNCTION("GOOGLETRANSLATE(B7137,""id"",""en"")"),"['UINDIAN']")</f>
        <v>['UINDIAN']</v>
      </c>
      <c r="D7137" s="3">
        <v>5.0</v>
      </c>
    </row>
    <row r="7138" ht="15.75" customHeight="1">
      <c r="A7138" s="1">
        <v>7595.0</v>
      </c>
      <c r="B7138" s="3" t="s">
        <v>6817</v>
      </c>
      <c r="C7138" s="3" t="str">
        <f>IFERROR(__xludf.DUMMYFUNCTION("GOOGLETRANSLATE(B7138,""id"",""en"")"),"['oath', 'signal', 'ugly', 'bangettt', 'ngelag', 'mulu', ""]")</f>
        <v>['oath', 'signal', 'ugly', 'bangettt', 'ngelag', 'mulu', "]</v>
      </c>
      <c r="D7138" s="3">
        <v>1.0</v>
      </c>
    </row>
    <row r="7139" ht="15.75" customHeight="1">
      <c r="A7139" s="1">
        <v>7596.0</v>
      </c>
      <c r="B7139" s="3" t="s">
        <v>6818</v>
      </c>
      <c r="C7139" s="3" t="str">
        <f>IFERROR(__xludf.DUMMYFUNCTION("GOOGLETRANSLATE(B7139,""id"",""en"")"),"['use', 'card', 'Hallo', 'open', 'application', 'daily', 'check', 'bonus', 'quota', 'used', 'claimed', ""]")</f>
        <v>['use', 'card', 'Hallo', 'open', 'application', 'daily', 'check', 'bonus', 'quota', 'used', 'claimed', "]</v>
      </c>
      <c r="D7139" s="3">
        <v>3.0</v>
      </c>
    </row>
    <row r="7140" ht="15.75" customHeight="1">
      <c r="A7140" s="1">
        <v>7597.0</v>
      </c>
      <c r="B7140" s="3" t="s">
        <v>81</v>
      </c>
      <c r="C7140" s="3" t="str">
        <f>IFERROR(__xludf.DUMMYFUNCTION("GOOGLETRANSLATE(B7140,""id"",""en"")"),"['application', 'good']")</f>
        <v>['application', 'good']</v>
      </c>
      <c r="D7140" s="3">
        <v>1.0</v>
      </c>
    </row>
    <row r="7141" ht="15.75" customHeight="1">
      <c r="A7141" s="1">
        <v>7598.0</v>
      </c>
      <c r="B7141" s="3" t="s">
        <v>6819</v>
      </c>
      <c r="C7141" s="3" t="str">
        <f>IFERROR(__xludf.DUMMYFUNCTION("GOOGLETRANSLATE(B7141,""id"",""en"")"),"['Posts', 'Package', 'special', 'ilang', 'buy', 'package', 'cheap', 'kagak', 'please', 'repair', ""]")</f>
        <v>['Posts', 'Package', 'special', 'ilang', 'buy', 'package', 'cheap', 'kagak', 'please', 'repair', "]</v>
      </c>
      <c r="D7141" s="3">
        <v>4.0</v>
      </c>
    </row>
    <row r="7142" ht="15.75" customHeight="1">
      <c r="A7142" s="1">
        <v>7599.0</v>
      </c>
      <c r="B7142" s="3" t="s">
        <v>6820</v>
      </c>
      <c r="C7142" s="3" t="str">
        <f>IFERROR(__xludf.DUMMYFUNCTION("GOOGLETRANSLATE(B7142,""id"",""en"")"),"['Package', 'Credit', 'Cut', 'Add', 'Feature']")</f>
        <v>['Package', 'Credit', 'Cut', 'Add', 'Feature']</v>
      </c>
      <c r="D7142" s="3">
        <v>1.0</v>
      </c>
    </row>
    <row r="7143" ht="15.75" customHeight="1">
      <c r="A7143" s="1">
        <v>7600.0</v>
      </c>
      <c r="B7143" s="3" t="s">
        <v>6821</v>
      </c>
      <c r="C7143" s="3" t="str">
        <f>IFERROR(__xludf.DUMMYFUNCTION("GOOGLETRANSLATE(B7143,""id"",""en"")"),"['Terms', 'Disables', 'Card', 'Hallo', 'Recommendation', '']")</f>
        <v>['Terms', 'Disables', 'Card', 'Hallo', 'Recommendation', '']</v>
      </c>
      <c r="D7143" s="3">
        <v>1.0</v>
      </c>
    </row>
    <row r="7144" ht="15.75" customHeight="1">
      <c r="A7144" s="1">
        <v>7601.0</v>
      </c>
      <c r="B7144" s="3" t="s">
        <v>6822</v>
      </c>
      <c r="C7144" s="3" t="str">
        <f>IFERROR(__xludf.DUMMYFUNCTION("GOOGLETRANSLATE(B7144,""id"",""en"")"),"['Heh', 'here', 'good', 'signal', 'ilang', 'price', 'package', 'doang', 'soar', 'kijakan', 'repair', 'signal', ' ',' city ',' Manado ',' exact ',' signal ',' Telkomsel ',' KEK ',' Satan ',' smooth ',' Jaya ',' Telkomsel ',' plump ',' emang ' , 'Telkomsel'"&amp;", 'severe', 'nyesel', 'fill in', 'buy', 'package', 'expensive', 'end', 'because', 'signal', 'kek', 'gini', ' aware ',' Lahhh ',' little ',' Jngan ',' Paketan ',' expensive ',' Satan ',' ']")</f>
        <v>['Heh', 'here', 'good', 'signal', 'ilang', 'price', 'package', 'doang', 'soar', 'kijakan', 'repair', 'signal', ' ',' city ',' Manado ',' exact ',' signal ',' Telkomsel ',' KEK ',' Satan ',' smooth ',' Jaya ',' Telkomsel ',' plump ',' emang ' , 'Telkomsel', 'severe', 'nyesel', 'fill in', 'buy', 'package', 'expensive', 'end', 'because', 'signal', 'kek', 'gini', ' aware ',' Lahhh ',' little ',' Jngan ',' Paketan ',' expensive ',' Satan ',' ']</v>
      </c>
      <c r="D7144" s="3">
        <v>1.0</v>
      </c>
    </row>
    <row r="7145" ht="15.75" customHeight="1">
      <c r="A7145" s="1">
        <v>7603.0</v>
      </c>
      <c r="B7145" s="3" t="s">
        <v>6823</v>
      </c>
      <c r="C7145" s="3" t="str">
        <f>IFERROR(__xludf.DUMMYFUNCTION("GOOGLETRANSLATE(B7145,""id"",""en"")"),"['signal', 'kek', 'pig']")</f>
        <v>['signal', 'kek', 'pig']</v>
      </c>
      <c r="D7145" s="3">
        <v>1.0</v>
      </c>
    </row>
    <row r="7146" ht="15.75" customHeight="1">
      <c r="A7146" s="1">
        <v>7604.0</v>
      </c>
      <c r="B7146" s="3" t="s">
        <v>6824</v>
      </c>
      <c r="C7146" s="3" t="str">
        <f>IFERROR(__xludf.DUMMYFUNCTION("GOOGLETRANSLATE(B7146,""id"",""en"")"),"['The network', 'ugly', 'bnget', 'turn', 'nagih', 'smangat', 'nympek', 'contact', 'phone', 'all', 'then', 'bright', ' Russy ',' Take ',' Package ',' Post ',' Pay ',' Telkomsel ',' ']")</f>
        <v>['The network', 'ugly', 'bnget', 'turn', 'nagih', 'smangat', 'nympek', 'contact', 'phone', 'all', 'then', 'bright', ' Russy ',' Take ',' Package ',' Post ',' Pay ',' Telkomsel ',' ']</v>
      </c>
      <c r="D7146" s="3">
        <v>1.0</v>
      </c>
    </row>
    <row r="7147" ht="15.75" customHeight="1">
      <c r="A7147" s="1">
        <v>7605.0</v>
      </c>
      <c r="B7147" s="3" t="s">
        <v>6825</v>
      </c>
      <c r="C7147" s="3" t="str">
        <f>IFERROR(__xludf.DUMMYFUNCTION("GOOGLETRANSLATE(B7147,""id"",""en"")"),"['sympathy', 'slow', 'package', 'unlimited', 'custody']")</f>
        <v>['sympathy', 'slow', 'package', 'unlimited', 'custody']</v>
      </c>
      <c r="D7147" s="3">
        <v>1.0</v>
      </c>
    </row>
    <row r="7148" ht="15.75" customHeight="1">
      <c r="A7148" s="1">
        <v>7606.0</v>
      </c>
      <c r="B7148" s="3" t="s">
        <v>6826</v>
      </c>
      <c r="C7148" s="3" t="str">
        <f>IFERROR(__xludf.DUMMYFUNCTION("GOOGLETRANSLATE(B7148,""id"",""en"")"),"['Please', 'Fox', 'Follow', 'Progam', 'Access', 'Location', 'Pay', 'Costs', 'Payment', 'Data', 'Free', 'Pay']")</f>
        <v>['Please', 'Fox', 'Follow', 'Progam', 'Access', 'Location', 'Pay', 'Costs', 'Payment', 'Data', 'Free', 'Pay']</v>
      </c>
      <c r="D7148" s="3">
        <v>5.0</v>
      </c>
    </row>
    <row r="7149" ht="15.75" customHeight="1">
      <c r="A7149" s="1">
        <v>7607.0</v>
      </c>
      <c r="B7149" s="3" t="s">
        <v>6827</v>
      </c>
      <c r="C7149" s="3" t="str">
        <f>IFERROR(__xludf.DUMMYFUNCTION("GOOGLETRANSLATE(B7149,""id"",""en"")"),"['Telkomsel', 'card', 'hello', 'knp', 'signal', 'good', 'skrg', 'tlg', 'repaired', 'limit', 'di card', 'rb', ' Semwntara ',' usage ',' RB ',' KNP ',' right ',' Bill ',' MSK ',' RB ',' DMANA ',' TLP ',' Remnant ',' Limit ',' Hadeh ' , 'Telkomsel', 'skrg', "&amp;"'hrs', 'moved', 'provider', 'sad', 'akutuh', 'as', 'user', 'your seti', '']")</f>
        <v>['Telkomsel', 'card', 'hello', 'knp', 'signal', 'good', 'skrg', 'tlg', 'repaired', 'limit', 'di card', 'rb', ' Semwntara ',' usage ',' RB ',' KNP ',' right ',' Bill ',' MSK ',' RB ',' DMANA ',' TLP ',' Remnant ',' Limit ',' Hadeh ' , 'Telkomsel', 'skrg', 'hrs', 'moved', 'provider', 'sad', 'akutuh', 'as', 'user', 'your seti', '']</v>
      </c>
      <c r="D7149" s="3">
        <v>2.0</v>
      </c>
    </row>
    <row r="7150" ht="15.75" customHeight="1">
      <c r="A7150" s="1">
        <v>7608.0</v>
      </c>
      <c r="B7150" s="3" t="s">
        <v>6828</v>
      </c>
      <c r="C7150" s="3" t="str">
        <f>IFERROR(__xludf.DUMMYFUNCTION("GOOGLETRANSLATE(B7150,""id"",""en"")"),"['Alhamdulillah', 'info', 'info', 'newest', 'trimakasih']")</f>
        <v>['Alhamdulillah', 'info', 'info', 'newest', 'trimakasih']</v>
      </c>
      <c r="D7150" s="3">
        <v>5.0</v>
      </c>
    </row>
    <row r="7151" ht="15.75" customHeight="1">
      <c r="A7151" s="1">
        <v>7609.0</v>
      </c>
      <c r="B7151" s="3" t="s">
        <v>6829</v>
      </c>
      <c r="C7151" s="3" t="str">
        <f>IFERROR(__xludf.DUMMYFUNCTION("GOOGLETRANSLATE(B7151,""id"",""en"")"),"['service', 'steady', 'transaction', 'purchase', 'package', 'repeat', 'succeed', 'a day', 'wait', 'notification', 'pulses', 'whole' Given ',' Info ',' Wait ',' Mulu ',' ']")</f>
        <v>['service', 'steady', 'transaction', 'purchase', 'package', 'repeat', 'succeed', 'a day', 'wait', 'notification', 'pulses', 'whole' Given ',' Info ',' Wait ',' Mulu ',' ']</v>
      </c>
      <c r="D7151" s="3">
        <v>1.0</v>
      </c>
    </row>
    <row r="7152" ht="15.75" customHeight="1">
      <c r="A7152" s="1">
        <v>7610.0</v>
      </c>
      <c r="B7152" s="3" t="s">
        <v>6830</v>
      </c>
      <c r="C7152" s="3" t="str">
        <f>IFERROR(__xludf.DUMMYFUNCTION("GOOGLETRANSLATE(B7152,""id"",""en"")"),"['Credit', 'cave', 'COK', 'Sucked', 'Mulu', 'Season', 'cave', 'quota', ""]")</f>
        <v>['Credit', 'cave', 'COK', 'Sucked', 'Mulu', 'Season', 'cave', 'quota', "]</v>
      </c>
      <c r="D7152" s="3">
        <v>1.0</v>
      </c>
    </row>
    <row r="7153" ht="15.75" customHeight="1">
      <c r="A7153" s="1">
        <v>7611.0</v>
      </c>
      <c r="B7153" s="3" t="s">
        <v>6831</v>
      </c>
      <c r="C7153" s="3" t="str">
        <f>IFERROR(__xludf.DUMMYFUNCTION("GOOGLETRANSLATE(B7153,""id"",""en"")"),"['signal', 'good', 'slow', 'quota', 'expensive']")</f>
        <v>['signal', 'good', 'slow', 'quota', 'expensive']</v>
      </c>
      <c r="D7153" s="3">
        <v>2.0</v>
      </c>
    </row>
    <row r="7154" ht="15.75" customHeight="1">
      <c r="A7154" s="1">
        <v>7612.0</v>
      </c>
      <c r="B7154" s="3" t="s">
        <v>6832</v>
      </c>
      <c r="C7154" s="3" t="str">
        <f>IFERROR(__xludf.DUMMYFUNCTION("GOOGLETRANSLATE(B7154,""id"",""en"")"),"['Good', 'easy', 'understand', '']")</f>
        <v>['Good', 'easy', 'understand', '']</v>
      </c>
      <c r="D7154" s="3">
        <v>4.0</v>
      </c>
    </row>
    <row r="7155" ht="15.75" customHeight="1">
      <c r="A7155" s="1">
        <v>7613.0</v>
      </c>
      <c r="B7155" s="3" t="s">
        <v>6833</v>
      </c>
      <c r="C7155" s="3" t="str">
        <f>IFERROR(__xludf.DUMMYFUNCTION("GOOGLETRANSLATE(B7155,""id"",""en"")"),"['signal', 'already', 'strong', 'open', 'game', 'MMORPG', 'difficult', 'open', 'sosmed', 'smooth', 'contents',' pulses', ' Stay ',' already ',' Maling ',' Delicious', 'Eat', 'Salary', 'Money', 'Haram']")</f>
        <v>['signal', 'already', 'strong', 'open', 'game', 'MMORPG', 'difficult', 'open', 'sosmed', 'smooth', 'contents',' pulses', ' Stay ',' already ',' Maling ',' Delicious', 'Eat', 'Salary', 'Money', 'Haram']</v>
      </c>
      <c r="D7155" s="3">
        <v>1.0</v>
      </c>
    </row>
    <row r="7156" ht="15.75" customHeight="1">
      <c r="A7156" s="1">
        <v>7614.0</v>
      </c>
      <c r="B7156" s="3" t="s">
        <v>6834</v>
      </c>
      <c r="C7156" s="3" t="str">
        <f>IFERROR(__xludf.DUMMYFUNCTION("GOOGLETRANSLATE(B7156,""id"",""en"")"),"['Disappointed', 'Telkomsel', 'number', 'Dead', 'Urus',' Stay ',' Activate ',' Various', 'Application', 'Strange', 'Enabled', 'User', ' How ',' Application ',' Login ',' Data ',' SATA ',' User ',' Dunk ', ""]")</f>
        <v>['Disappointed', 'Telkomsel', 'number', 'Dead', 'Urus',' Stay ',' Activate ',' Various', 'Application', 'Strange', 'Enabled', 'User', ' How ',' Application ',' Login ',' Data ',' SATA ',' User ',' Dunk ', "]</v>
      </c>
      <c r="D7156" s="3">
        <v>1.0</v>
      </c>
    </row>
    <row r="7157" ht="15.75" customHeight="1">
      <c r="A7157" s="1">
        <v>7615.0</v>
      </c>
      <c r="B7157" s="3" t="s">
        <v>6835</v>
      </c>
      <c r="C7157" s="3" t="str">
        <f>IFERROR(__xludf.DUMMYFUNCTION("GOOGLETRANSLATE(B7157,""id"",""en"")"),"['Lally', 'package', 'internet', 'cheap', '']")</f>
        <v>['Lally', 'package', 'internet', 'cheap', '']</v>
      </c>
      <c r="D7157" s="3">
        <v>5.0</v>
      </c>
    </row>
    <row r="7158" ht="15.75" customHeight="1">
      <c r="A7158" s="1">
        <v>7616.0</v>
      </c>
      <c r="B7158" s="3" t="s">
        <v>6836</v>
      </c>
      <c r="C7158" s="3" t="str">
        <f>IFERROR(__xludf.DUMMYFUNCTION("GOOGLETRANSLATE(B7158,""id"",""en"")"),"['Please', 'Open', 'Application', 'Telkomsel', 'Free', 'Quota', 'MB', 'Credit', 'Cutting', 'Buy', 'Package', 'Data', ' Telkomsel ']")</f>
        <v>['Please', 'Open', 'Application', 'Telkomsel', 'Free', 'Quota', 'MB', 'Credit', 'Cutting', 'Buy', 'Package', 'Data', ' Telkomsel ']</v>
      </c>
      <c r="D7158" s="3">
        <v>3.0</v>
      </c>
    </row>
    <row r="7159" ht="15.75" customHeight="1">
      <c r="A7159" s="1">
        <v>7617.0</v>
      </c>
      <c r="B7159" s="3" t="s">
        <v>6837</v>
      </c>
      <c r="C7159" s="3" t="str">
        <f>IFERROR(__xludf.DUMMYFUNCTION("GOOGLETRANSLATE(B7159,""id"",""en"")"),"['mboh', 'access',' application ',' charged ',' charge ',' contents', 'pulse', 'rb', 'ngactivein', 'package', 'application', 'scorch', ' Gara ',' worn ',' Costs', 'Regular', 'Parahh', '']")</f>
        <v>['mboh', 'access',' application ',' charged ',' charge ',' contents', 'pulse', 'rb', 'ngactivein', 'package', 'application', 'scorch', ' Gara ',' worn ',' Costs', 'Regular', 'Parahh', '']</v>
      </c>
      <c r="D7159" s="3">
        <v>1.0</v>
      </c>
    </row>
    <row r="7160" ht="15.75" customHeight="1">
      <c r="A7160" s="1">
        <v>7618.0</v>
      </c>
      <c r="B7160" s="3" t="s">
        <v>6838</v>
      </c>
      <c r="C7160" s="3" t="str">
        <f>IFERROR(__xludf.DUMMYFUNCTION("GOOGLETRANSLATE(B7160,""id"",""en"")"),"['Come', 'disappointing', 'expensive', 'network', 'missing', 'moved', 'operator', 'number', 'used', 'area', 'border', 'Telkomsel', ' reliable ',' silence ',' operator ',' next door ',' price ',' cheap ',' please ',' Telkomsel ',' enhanced ',' try ',' loya"&amp;"l ',' dragging ',' dissolved ' , 'Network', 'like', 'missing']")</f>
        <v>['Come', 'disappointing', 'expensive', 'network', 'missing', 'moved', 'operator', 'number', 'used', 'area', 'border', 'Telkomsel', ' reliable ',' silence ',' operator ',' next door ',' price ',' cheap ',' please ',' Telkomsel ',' enhanced ',' try ',' loyal ',' dragging ',' dissolved ' , 'Network', 'like', 'missing']</v>
      </c>
      <c r="D7160" s="3">
        <v>1.0</v>
      </c>
    </row>
    <row r="7161" ht="15.75" customHeight="1">
      <c r="A7161" s="1">
        <v>7619.0</v>
      </c>
      <c r="B7161" s="3" t="s">
        <v>6839</v>
      </c>
      <c r="C7161" s="3" t="str">
        <f>IFERROR(__xludf.DUMMYFUNCTION("GOOGLETRANSLATE(B7161,""id"",""en"")"),"['user', 'loyal', 'Telkomsel', 'signal', 'top', 'okay', 'yuk', 'switch', 'Telkomsel', 'easy', 'hopefully', 'win', ' Lottery ',' Point ',' Telkomsel ',' THX ']")</f>
        <v>['user', 'loyal', 'Telkomsel', 'signal', 'top', 'okay', 'yuk', 'switch', 'Telkomsel', 'easy', 'hopefully', 'win', ' Lottery ',' Point ',' Telkomsel ',' THX ']</v>
      </c>
      <c r="D7161" s="3">
        <v>5.0</v>
      </c>
    </row>
    <row r="7162" ht="15.75" customHeight="1">
      <c r="A7162" s="1">
        <v>7621.0</v>
      </c>
      <c r="B7162" s="3" t="s">
        <v>6840</v>
      </c>
      <c r="C7162" s="3" t="str">
        <f>IFERROR(__xludf.DUMMYFUNCTION("GOOGLETRANSLATE(B7162,""id"",""en"")"),"['Good', 'Increase', 'Good', 'Nambah', 'promo']")</f>
        <v>['Good', 'Increase', 'Good', 'Nambah', 'promo']</v>
      </c>
      <c r="D7162" s="3">
        <v>5.0</v>
      </c>
    </row>
    <row r="7163" ht="15.75" customHeight="1">
      <c r="A7163" s="1">
        <v>7622.0</v>
      </c>
      <c r="B7163" s="3" t="s">
        <v>6841</v>
      </c>
      <c r="C7163" s="3" t="str">
        <f>IFERROR(__xludf.DUMMYFUNCTION("GOOGLETRANSLATE(B7163,""id"",""en"")"),"['Transaction', 'Top', 'Application', 'Pay', 'Use', 'Gopay', 'Cashback', 'Rb', 'Already', 'Transaction', 'Success',' Cashback ',' ']")</f>
        <v>['Transaction', 'Top', 'Application', 'Pay', 'Use', 'Gopay', 'Cashback', 'Rb', 'Already', 'Transaction', 'Success',' Cashback ',' ']</v>
      </c>
      <c r="D7163" s="3">
        <v>1.0</v>
      </c>
    </row>
    <row r="7164" ht="15.75" customHeight="1">
      <c r="A7164" s="1">
        <v>7623.0</v>
      </c>
      <c r="B7164" s="3" t="s">
        <v>6842</v>
      </c>
      <c r="C7164" s="3" t="str">
        <f>IFERROR(__xludf.DUMMYFUNCTION("GOOGLETRANSLATE(B7164,""id"",""en"")"),"['Credit', 'Kalua', 'Turn Off', 'Data', 'Direct', 'Disappear', 'Pulses',' Network ',' Leet ',' Karna ',' My Place ',' Tower ',' Telkomsel ',' Forced ',' Telkomsel ',' Lemot ',' Out ',' Try ',' Increase ']")</f>
        <v>['Credit', 'Kalua', 'Turn Off', 'Data', 'Direct', 'Disappear', 'Pulses',' Network ',' Leet ',' Karna ',' My Place ',' Tower ',' Telkomsel ',' Forced ',' Telkomsel ',' Lemot ',' Out ',' Try ',' Increase ']</v>
      </c>
      <c r="D7164" s="3">
        <v>2.0</v>
      </c>
    </row>
    <row r="7165" ht="15.75" customHeight="1">
      <c r="A7165" s="1">
        <v>7624.0</v>
      </c>
      <c r="B7165" s="3" t="s">
        <v>6843</v>
      </c>
      <c r="C7165" s="3" t="str">
        <f>IFERROR(__xludf.DUMMYFUNCTION("GOOGLETRANSLATE(B7165,""id"",""en"")"),"['Telkomsel', 'cheap', 'choose', 'package', 'internet', 'expensive', 'really', 'mending', 'next door', 'cheap']")</f>
        <v>['Telkomsel', 'cheap', 'choose', 'package', 'internet', 'expensive', 'really', 'mending', 'next door', 'cheap']</v>
      </c>
      <c r="D7165" s="3">
        <v>1.0</v>
      </c>
    </row>
    <row r="7166" ht="15.75" customHeight="1">
      <c r="A7166" s="1">
        <v>7625.0</v>
      </c>
      <c r="B7166" s="3" t="s">
        <v>6844</v>
      </c>
      <c r="C7166" s="3" t="str">
        <f>IFERROR(__xludf.DUMMYFUNCTION("GOOGLETRANSLATE(B7166,""id"",""en"")"),"['Love', 'Segini', 'Sometimes', 'Likes', 'Troubled']")</f>
        <v>['Love', 'Segini', 'Sometimes', 'Likes', 'Troubled']</v>
      </c>
      <c r="D7166" s="3">
        <v>3.0</v>
      </c>
    </row>
    <row r="7167" ht="15.75" customHeight="1">
      <c r="A7167" s="1">
        <v>7626.0</v>
      </c>
      <c r="B7167" s="3" t="s">
        <v>6845</v>
      </c>
      <c r="C7167" s="3" t="str">
        <f>IFERROR(__xludf.DUMMYFUNCTION("GOOGLETRANSLATE(B7167,""id"",""en"")"),"['', 'satisfying', 'Telkomsel', 'signal', 'ugly']")</f>
        <v>['', 'satisfying', 'Telkomsel', 'signal', 'ugly']</v>
      </c>
      <c r="D7167" s="3">
        <v>1.0</v>
      </c>
    </row>
    <row r="7168" ht="15.75" customHeight="1">
      <c r="A7168" s="1">
        <v>7627.0</v>
      </c>
      <c r="B7168" s="3" t="s">
        <v>6846</v>
      </c>
      <c r="C7168" s="3" t="str">
        <f>IFERROR(__xludf.DUMMYFUNCTION("GOOGLETRANSLATE(B7168,""id"",""en"")"),"['Alhamdulillah', 'customer', 'disappointment']")</f>
        <v>['Alhamdulillah', 'customer', 'disappointment']</v>
      </c>
      <c r="D7168" s="3">
        <v>5.0</v>
      </c>
    </row>
    <row r="7169" ht="15.75" customHeight="1">
      <c r="A7169" s="1">
        <v>7628.0</v>
      </c>
      <c r="B7169" s="3" t="s">
        <v>6847</v>
      </c>
      <c r="C7169" s="3" t="str">
        <f>IFERROR(__xludf.DUMMYFUNCTION("GOOGLETRANSLATE(B7169,""id"",""en"")"),"['Honest', 'Gambutuh', 'Cave', 'Discard', 'Telkomsel', 'Credit', 'Bener', 'Bener', 'Take', 'Out', 'Fuck', ' pulses ',' the rest ',' run out ',' because 'cards', 'Telkomsel', 'smartfren', 'smartfren', 'gapernah', 'names', 'srangan', 'pulses', 'magnitude' ,"&amp;" 'Telkomsel', 'Srong', 'pulses', 'tens', 'thousand', 'mah', 'robbery', 'hope', 'hope', 'in the future', 'bankrupt', ""]")</f>
        <v>['Honest', 'Gambutuh', 'Cave', 'Discard', 'Telkomsel', 'Credit', 'Bener', 'Bener', 'Take', 'Out', 'Fuck', ' pulses ',' the rest ',' run out ',' because 'cards', 'Telkomsel', 'smartfren', 'smartfren', 'gapernah', 'names', 'srangan', 'pulses', 'magnitude' , 'Telkomsel', 'Srong', 'pulses', 'tens', 'thousand', 'mah', 'robbery', 'hope', 'hope', 'in the future', 'bankrupt', "]</v>
      </c>
      <c r="D7169" s="3">
        <v>1.0</v>
      </c>
    </row>
    <row r="7170" ht="15.75" customHeight="1">
      <c r="A7170" s="1">
        <v>7630.0</v>
      </c>
      <c r="B7170" s="3" t="s">
        <v>6848</v>
      </c>
      <c r="C7170" s="3" t="str">
        <f>IFERROR(__xludf.DUMMYFUNCTION("GOOGLETRANSLATE(B7170,""id"",""en"")"),"['Please', 'Clarification', 'Package']")</f>
        <v>['Please', 'Clarification', 'Package']</v>
      </c>
      <c r="D7170" s="3">
        <v>3.0</v>
      </c>
    </row>
    <row r="7171" ht="15.75" customHeight="1">
      <c r="A7171" s="1">
        <v>7631.0</v>
      </c>
      <c r="B7171" s="3" t="s">
        <v>6849</v>
      </c>
      <c r="C7171" s="3" t="str">
        <f>IFERROR(__xludf.DUMMYFUNCTION("GOOGLETRANSLATE(B7171,""id"",""en"")"),"['cave', 'love', 'star', 'kayak', 'genshin', 'gift', 'free', 'come', 'friend', 'love', 'star', 'give' quota ',' free ']")</f>
        <v>['cave', 'love', 'star', 'kayak', 'genshin', 'gift', 'free', 'come', 'friend', 'love', 'star', 'give' quota ',' free ']</v>
      </c>
      <c r="D7171" s="3">
        <v>1.0</v>
      </c>
    </row>
    <row r="7172" ht="15.75" customHeight="1">
      <c r="A7172" s="1">
        <v>7632.0</v>
      </c>
      <c r="B7172" s="3" t="s">
        <v>6850</v>
      </c>
      <c r="C7172" s="3" t="str">
        <f>IFERROR(__xludf.DUMMYFUNCTION("GOOGLETRANSLATE(B7172,""id"",""en"")"),"['Login', 'Difficult', 'Enter', 'How', 'Telkomsel', 'APK', ""]")</f>
        <v>['Login', 'Difficult', 'Enter', 'How', 'Telkomsel', 'APK', "]</v>
      </c>
      <c r="D7172" s="3">
        <v>1.0</v>
      </c>
    </row>
    <row r="7173" ht="15.75" customHeight="1">
      <c r="A7173" s="1">
        <v>7633.0</v>
      </c>
      <c r="B7173" s="3" t="s">
        <v>6851</v>
      </c>
      <c r="C7173" s="3" t="str">
        <f>IFERROR(__xludf.DUMMYFUNCTION("GOOGLETRANSLATE(B7173,""id"",""en"")"),"['koq', 'problematic', 'login', 'verification', 'sms', 'repeat', 'sms', 'sent', '']")</f>
        <v>['koq', 'problematic', 'login', 'verification', 'sms', 'repeat', 'sms', 'sent', '']</v>
      </c>
      <c r="D7173" s="3">
        <v>1.0</v>
      </c>
    </row>
    <row r="7174" ht="15.75" customHeight="1">
      <c r="A7174" s="1">
        <v>7634.0</v>
      </c>
      <c r="B7174" s="3" t="s">
        <v>6852</v>
      </c>
      <c r="C7174" s="3" t="str">
        <f>IFERROR(__xludf.DUMMYFUNCTION("GOOGLETRANSLATE(B7174,""id"",""en"")"),"['Buy', 'Package', 'Data', 'Used']")</f>
        <v>['Buy', 'Package', 'Data', 'Used']</v>
      </c>
      <c r="D7174" s="3">
        <v>2.0</v>
      </c>
    </row>
    <row r="7175" ht="15.75" customHeight="1">
      <c r="A7175" s="1">
        <v>7635.0</v>
      </c>
      <c r="B7175" s="3" t="s">
        <v>6853</v>
      </c>
      <c r="C7175" s="3" t="str">
        <f>IFERROR(__xludf.DUMMYFUNCTION("GOOGLETRANSLATE(B7175,""id"",""en"")"),"['The application', 'good', 'TPI', 'good', 'the application']")</f>
        <v>['The application', 'good', 'TPI', 'good', 'the application']</v>
      </c>
      <c r="D7175" s="3">
        <v>1.0</v>
      </c>
    </row>
    <row r="7176" ht="15.75" customHeight="1">
      <c r="A7176" s="1">
        <v>7636.0</v>
      </c>
      <c r="B7176" s="3" t="s">
        <v>6854</v>
      </c>
      <c r="C7176" s="3" t="str">
        <f>IFERROR(__xludf.DUMMYFUNCTION("GOOGLETRANSLATE(B7176,""id"",""en"")"),"['satisfying', 'Please', 'quota', 'internet', 'pray', 'quota', 'internet', 'comparable', 'price', 'hope', 'greetings',' gutter ',' Ubi ',' ']")</f>
        <v>['satisfying', 'Please', 'quota', 'internet', 'pray', 'quota', 'internet', 'comparable', 'price', 'hope', 'greetings',' gutter ',' Ubi ',' ']</v>
      </c>
      <c r="D7176" s="3">
        <v>5.0</v>
      </c>
    </row>
    <row r="7177" ht="15.75" customHeight="1">
      <c r="A7177" s="1">
        <v>7637.0</v>
      </c>
      <c r="B7177" s="3" t="s">
        <v>6855</v>
      </c>
      <c r="C7177" s="3" t="str">
        <f>IFERROR(__xludf.DUMMYFUNCTION("GOOGLETRANSLATE(B7177,""id"",""en"")"),"['LMOT', 'Teparted', 'Tele', 'Opened', 'Package', 'Customer', 'Use', 'Direct', 'The', 'Point', 'Pressing', 'Alternative', ' Package ',' Daily ',' conclusion ',' Dial ',' Telkomsel ', ""]")</f>
        <v>['LMOT', 'Teparted', 'Tele', 'Opened', 'Package', 'Customer', 'Use', 'Direct', 'The', 'Point', 'Pressing', 'Alternative', ' Package ',' Daily ',' conclusion ',' Dial ',' Telkomsel ', "]</v>
      </c>
      <c r="D7177" s="3">
        <v>1.0</v>
      </c>
    </row>
    <row r="7178" ht="15.75" customHeight="1">
      <c r="A7178" s="1">
        <v>7638.0</v>
      </c>
      <c r="B7178" s="3" t="s">
        <v>6856</v>
      </c>
      <c r="C7178" s="3" t="str">
        <f>IFERROR(__xludf.DUMMYFUNCTION("GOOGLETRANSLATE(B7178,""id"",""en"")"),"['Application', 'Koplaakk', 'skrng', 'Errr', 'bother', 'user']")</f>
        <v>['Application', 'Koplaakk', 'skrng', 'Errr', 'bother', 'user']</v>
      </c>
      <c r="D7178" s="3">
        <v>1.0</v>
      </c>
    </row>
    <row r="7179" ht="15.75" customHeight="1">
      <c r="A7179" s="1">
        <v>7639.0</v>
      </c>
      <c r="B7179" s="3" t="s">
        <v>6857</v>
      </c>
      <c r="C7179" s="3" t="str">
        <f>IFERROR(__xludf.DUMMYFUNCTION("GOOGLETRANSLATE(B7179,""id"",""en"")"),"['Telkomsel', 'Severe', 'network', 'internet', 'ugly', 'here', 'bad', 'hope', 'input']")</f>
        <v>['Telkomsel', 'Severe', 'network', 'internet', 'ugly', 'here', 'bad', 'hope', 'input']</v>
      </c>
      <c r="D7179" s="3">
        <v>1.0</v>
      </c>
    </row>
    <row r="7180" ht="15.75" customHeight="1">
      <c r="A7180" s="1">
        <v>7640.0</v>
      </c>
      <c r="B7180" s="3" t="s">
        <v>6858</v>
      </c>
      <c r="C7180" s="3" t="str">
        <f>IFERROR(__xludf.DUMMYFUNCTION("GOOGLETRANSLATE(B7180,""id"",""en"")"),"['according to', 'function']")</f>
        <v>['according to', 'function']</v>
      </c>
      <c r="D7180" s="3">
        <v>4.0</v>
      </c>
    </row>
    <row r="7181" ht="15.75" customHeight="1">
      <c r="A7181" s="1">
        <v>7641.0</v>
      </c>
      <c r="B7181" s="3" t="s">
        <v>6859</v>
      </c>
      <c r="C7181" s="3" t="str">
        <f>IFERROR(__xludf.DUMMYFUNCTION("GOOGLETRANSLATE(B7181,""id"",""en"")"),"['poor', 'pulse', 'Embat', 'missing', 'giver', 'know', 'where', 'loss',' customer ',' disappointed ',' events', 'provider', ' Quality ',' signal ',' BURIK ',' again ', ""]")</f>
        <v>['poor', 'pulse', 'Embat', 'missing', 'giver', 'know', 'where', 'loss',' customer ',' disappointed ',' events', 'provider', ' Quality ',' signal ',' BURIK ',' again ', "]</v>
      </c>
      <c r="D7181" s="3">
        <v>1.0</v>
      </c>
    </row>
    <row r="7182" ht="15.75" customHeight="1">
      <c r="A7182" s="1">
        <v>7642.0</v>
      </c>
      <c r="B7182" s="3" t="s">
        <v>6860</v>
      </c>
      <c r="C7182" s="3" t="str">
        <f>IFERROR(__xludf.DUMMYFUNCTION("GOOGLETRANSLATE(B7182,""id"",""en"")"),"['Service', 'Thanks', 'Telkomsel', '']")</f>
        <v>['Service', 'Thanks', 'Telkomsel', '']</v>
      </c>
      <c r="D7182" s="3">
        <v>5.0</v>
      </c>
    </row>
    <row r="7183" ht="15.75" customHeight="1">
      <c r="A7183" s="1">
        <v>7643.0</v>
      </c>
      <c r="B7183" s="3" t="s">
        <v>6861</v>
      </c>
      <c r="C7183" s="3" t="str">
        <f>IFERROR(__xludf.DUMMYFUNCTION("GOOGLETRANSLATE(B7183,""id"",""en"")"),"['Telkomsel', 'slow', 'open', 'application', 'signal', 'severe', 'package', 'internet', 'expensive']")</f>
        <v>['Telkomsel', 'slow', 'open', 'application', 'signal', 'severe', 'package', 'internet', 'expensive']</v>
      </c>
      <c r="D7183" s="3">
        <v>1.0</v>
      </c>
    </row>
    <row r="7184" ht="15.75" customHeight="1">
      <c r="A7184" s="1">
        <v>7644.0</v>
      </c>
      <c r="B7184" s="3" t="s">
        <v>6862</v>
      </c>
      <c r="C7184" s="3" t="str">
        <f>IFERROR(__xludf.DUMMYFUNCTION("GOOGLETRANSLATE(B7184,""id"",""en"")"),"['Yesterday', 'Get', 'SMS', 'Telkomsel', 'Message', 'buy', 'credit', 'get', 'cashback', 'pulse', 'boundary', 'October', ' Fill ',' pulse ',' get ',' cashback ',' pulses', 'disappointed', 'really', 'Telkomsel', 'PHP', 'already', 'already', 'buy', 'get' , '"&amp;"Cashback', '']")</f>
        <v>['Yesterday', 'Get', 'SMS', 'Telkomsel', 'Message', 'buy', 'credit', 'get', 'cashback', 'pulse', 'boundary', 'October', ' Fill ',' pulse ',' get ',' cashback ',' pulses', 'disappointed', 'really', 'Telkomsel', 'PHP', 'already', 'already', 'buy', 'get' , 'Cashback', '']</v>
      </c>
      <c r="D7184" s="3">
        <v>1.0</v>
      </c>
    </row>
    <row r="7185" ht="15.75" customHeight="1">
      <c r="A7185" s="1">
        <v>7645.0</v>
      </c>
      <c r="B7185" s="3" t="s">
        <v>6863</v>
      </c>
      <c r="C7185" s="3" t="str">
        <f>IFERROR(__xludf.DUMMYFUNCTION("GOOGLETRANSLATE(B7185,""id"",""en"")"),"['buy', 'pulse', 'rb', 'ten', 'thousand', 'run out', 'rare', 'use', 'call', 'sms',' package ',' already ',' transferred ',' number ',' Please ',' Telkomsel ',' Maen ',' Cut ',' Credit ',' Litu ',' Review ',' contents', 'complained', 'wasteful', 'pulses' ,"&amp;" 'Telkomsel', '']")</f>
        <v>['buy', 'pulse', 'rb', 'ten', 'thousand', 'run out', 'rare', 'use', 'call', 'sms',' package ',' already ',' transferred ',' number ',' Please ',' Telkomsel ',' Maen ',' Cut ',' Credit ',' Litu ',' Review ',' contents', 'complained', 'wasteful', 'pulses' , 'Telkomsel', '']</v>
      </c>
      <c r="D7185" s="3">
        <v>3.0</v>
      </c>
    </row>
    <row r="7186" ht="15.75" customHeight="1">
      <c r="A7186" s="1">
        <v>7646.0</v>
      </c>
      <c r="B7186" s="3" t="s">
        <v>6864</v>
      </c>
      <c r="C7186" s="3" t="str">
        <f>IFERROR(__xludf.DUMMYFUNCTION("GOOGLETRANSLATE(B7186,""id"",""en"")"),"['Application', 'Useful', 'Download']")</f>
        <v>['Application', 'Useful', 'Download']</v>
      </c>
      <c r="D7186" s="3">
        <v>5.0</v>
      </c>
    </row>
    <row r="7187" ht="15.75" customHeight="1">
      <c r="A7187" s="1">
        <v>7647.0</v>
      </c>
      <c r="B7187" s="3" t="s">
        <v>6865</v>
      </c>
      <c r="C7187" s="3" t="str">
        <f>IFERROR(__xludf.DUMMYFUNCTION("GOOGLETRANSLATE(B7187,""id"",""en"")"),"['Help', 'happy', 'application', 'thank you', 'mytelkomsel']")</f>
        <v>['Help', 'happy', 'application', 'thank you', 'mytelkomsel']</v>
      </c>
      <c r="D7187" s="3">
        <v>5.0</v>
      </c>
    </row>
    <row r="7188" ht="15.75" customHeight="1">
      <c r="A7188" s="1">
        <v>7648.0</v>
      </c>
      <c r="B7188" s="3" t="s">
        <v>6866</v>
      </c>
      <c r="C7188" s="3" t="str">
        <f>IFERROR(__xludf.DUMMYFUNCTION("GOOGLETRANSLATE(B7188,""id"",""en"")"),"['run out', 'quota', 'credit', 'Telkomsel', 'helped', 'buy', 'package', 'debt', '']")</f>
        <v>['run out', 'quota', 'credit', 'Telkomsel', 'helped', 'buy', 'package', 'debt', '']</v>
      </c>
      <c r="D7188" s="3">
        <v>5.0</v>
      </c>
    </row>
    <row r="7189" ht="15.75" customHeight="1">
      <c r="A7189" s="1">
        <v>7649.0</v>
      </c>
      <c r="B7189" s="3" t="s">
        <v>6867</v>
      </c>
      <c r="C7189" s="3" t="str">
        <f>IFERROR(__xludf.DUMMYFUNCTION("GOOGLETRANSLATE(B7189,""id"",""en"")"),"['annoyed', 'dpat', 'sms', 'free', 'how', 'solution', '']")</f>
        <v>['annoyed', 'dpat', 'sms', 'free', 'how', 'solution', '']</v>
      </c>
      <c r="D7189" s="3">
        <v>1.0</v>
      </c>
    </row>
    <row r="7190" ht="15.75" customHeight="1">
      <c r="A7190" s="1">
        <v>7650.0</v>
      </c>
      <c r="B7190" s="3" t="s">
        <v>6868</v>
      </c>
      <c r="C7190" s="3" t="str">
        <f>IFERROR(__xludf.DUMMYFUNCTION("GOOGLETRANSLATE(B7190,""id"",""en"")"),"['here', 'Telkomsel', 'problematic', 'lgi', 'user', 'dri', 'village', 'dri', 'village', 'friend', 'deket', 'ganguan', ' ']")</f>
        <v>['here', 'Telkomsel', 'problematic', 'lgi', 'user', 'dri', 'village', 'dri', 'village', 'friend', 'deket', 'ganguan', ' ']</v>
      </c>
      <c r="D7190" s="3">
        <v>3.0</v>
      </c>
    </row>
    <row r="7191" ht="15.75" customHeight="1">
      <c r="A7191" s="1">
        <v>7651.0</v>
      </c>
      <c r="B7191" s="3" t="s">
        <v>6869</v>
      </c>
      <c r="C7191" s="3" t="str">
        <f>IFERROR(__xludf.DUMMYFUNCTION("GOOGLETRANSLATE(B7191,""id"",""en"")"),"['Application', 'Useful']")</f>
        <v>['Application', 'Useful']</v>
      </c>
      <c r="D7191" s="3">
        <v>5.0</v>
      </c>
    </row>
    <row r="7192" ht="15.75" customHeight="1">
      <c r="A7192" s="1">
        <v>7652.0</v>
      </c>
      <c r="B7192" s="3" t="s">
        <v>6870</v>
      </c>
      <c r="C7192" s="3" t="str">
        <f>IFERROR(__xludf.DUMMYFUNCTION("GOOGLETRANSLATE(B7192,""id"",""en"")"),"['', 'expensive', 'ngelag', 'emang', ""]")</f>
        <v>['', 'expensive', 'ngelag', 'emang', "]</v>
      </c>
      <c r="D7192" s="3">
        <v>1.0</v>
      </c>
    </row>
    <row r="7193" ht="15.75" customHeight="1">
      <c r="A7193" s="1">
        <v>7653.0</v>
      </c>
      <c r="B7193" s="3" t="s">
        <v>6871</v>
      </c>
      <c r="C7193" s="3" t="str">
        <f>IFERROR(__xludf.DUMMYFUNCTION("GOOGLETRANSLATE(B7193,""id"",""en"")"),"['Severe', 'really', 'yok', 'mending', 'use', 'Telkomsel', 'cost', 'expensive', 'price', 'package', 'expensive', 'quality', ' Bad ',' Indonesia ',' ']")</f>
        <v>['Severe', 'really', 'yok', 'mending', 'use', 'Telkomsel', 'cost', 'expensive', 'price', 'package', 'expensive', 'quality', ' Bad ',' Indonesia ',' ']</v>
      </c>
      <c r="D7193" s="3">
        <v>1.0</v>
      </c>
    </row>
    <row r="7194" ht="15.75" customHeight="1">
      <c r="A7194" s="1">
        <v>7654.0</v>
      </c>
      <c r="B7194" s="3" t="s">
        <v>6872</v>
      </c>
      <c r="C7194" s="3" t="str">
        <f>IFERROR(__xludf.DUMMYFUNCTION("GOOGLETRANSLATE(B7194,""id"",""en"")"),"['Kerreennn', 'cheap']")</f>
        <v>['Kerreennn', 'cheap']</v>
      </c>
      <c r="D7194" s="3">
        <v>4.0</v>
      </c>
    </row>
    <row r="7195" ht="15.75" customHeight="1">
      <c r="A7195" s="1">
        <v>7655.0</v>
      </c>
      <c r="B7195" s="3" t="s">
        <v>6873</v>
      </c>
      <c r="C7195" s="3" t="str">
        <f>IFERROR(__xludf.DUMMYFUNCTION("GOOGLETRANSLATE(B7195,""id"",""en"")"),"['application', 'enter', 'difficult', 'times', 'delete', 'your application', 'spend', 'package', 'person', '']")</f>
        <v>['application', 'enter', 'difficult', 'times', 'delete', 'your application', 'spend', 'package', 'person', '']</v>
      </c>
      <c r="D7195" s="3">
        <v>1.0</v>
      </c>
    </row>
    <row r="7196" ht="15.75" customHeight="1">
      <c r="A7196" s="1">
        <v>7656.0</v>
      </c>
      <c r="B7196" s="3" t="s">
        <v>6874</v>
      </c>
      <c r="C7196" s="3" t="str">
        <f>IFERROR(__xludf.DUMMYFUNCTION("GOOGLETRANSLATE(B7196,""id"",""en"")"),"['Useful', 'Helpful', 'Customer', 'Telkomsel', 'Bonus', '']")</f>
        <v>['Useful', 'Helpful', 'Customer', 'Telkomsel', 'Bonus', '']</v>
      </c>
      <c r="D7196" s="3">
        <v>5.0</v>
      </c>
    </row>
    <row r="7197" ht="15.75" customHeight="1">
      <c r="A7197" s="1">
        <v>7657.0</v>
      </c>
      <c r="B7197" s="3" t="s">
        <v>6875</v>
      </c>
      <c r="C7197" s="3" t="str">
        <f>IFERROR(__xludf.DUMMYFUNCTION("GOOGLETRANSLATE(B7197,""id"",""en"")"),"['', 'Package', 'YouTube', 'run', 'Application', 'YouTube', 'Package', 'Game', 'Mobile', 'Legends',' Troubled ',' Loading ',' Match ',' electricity ',' goes out ',' signal ',' missing ',' area ',' North Sumatra ',' Batang ',' Angkola ',' Telkomsel ', ""]")</f>
        <v>['', 'Package', 'YouTube', 'run', 'Application', 'YouTube', 'Package', 'Game', 'Mobile', 'Legends',' Troubled ',' Loading ',' Match ',' electricity ',' goes out ',' signal ',' missing ',' area ',' North Sumatra ',' Batang ',' Angkola ',' Telkomsel ', "]</v>
      </c>
      <c r="D7197" s="3">
        <v>3.0</v>
      </c>
    </row>
    <row r="7198" ht="15.75" customHeight="1">
      <c r="A7198" s="1">
        <v>7658.0</v>
      </c>
      <c r="B7198" s="3" t="s">
        <v>6876</v>
      </c>
      <c r="C7198" s="3" t="str">
        <f>IFERROR(__xludf.DUMMYFUNCTION("GOOGLETRANSLATE(B7198,""id"",""en"")"),"['Telkomsel', 'BerbaiiIkkkkkk', 'dumped', 'basically', 'belovedaaa', '']")</f>
        <v>['Telkomsel', 'BerbaiiIkkkkkk', 'dumped', 'basically', 'belovedaaa', '']</v>
      </c>
      <c r="D7198" s="3">
        <v>5.0</v>
      </c>
    </row>
    <row r="7199" ht="15.75" customHeight="1">
      <c r="A7199" s="1">
        <v>7659.0</v>
      </c>
      <c r="B7199" s="3" t="s">
        <v>6877</v>
      </c>
      <c r="C7199" s="3" t="str">
        <f>IFERROR(__xludf.DUMMYFUNCTION("GOOGLETRANSLATE(B7199,""id"",""en"")"),"['Gausah', 'Telkom', 'Come on', 'Telkom', 'Maen', 'Game', 'Nge', 'Lag', 'Severe', 'Watch', 'wasteful', 'quota', ' The location is', 'City', 'Semarang']")</f>
        <v>['Gausah', 'Telkom', 'Come on', 'Telkom', 'Maen', 'Game', 'Nge', 'Lag', 'Severe', 'Watch', 'wasteful', 'quota', ' The location is', 'City', 'Semarang']</v>
      </c>
      <c r="D7199" s="3">
        <v>1.0</v>
      </c>
    </row>
    <row r="7200" ht="15.75" customHeight="1">
      <c r="A7200" s="1">
        <v>7660.0</v>
      </c>
      <c r="B7200" s="3" t="s">
        <v>6878</v>
      </c>
      <c r="C7200" s="3" t="str">
        <f>IFERROR(__xludf.DUMMYFUNCTION("GOOGLETRANSLATE(B7200,""id"",""en"")"),"['It's easier for', 'customers', 'Telkomsel', 'information', 'complete']")</f>
        <v>['It's easier for', 'customers', 'Telkomsel', 'information', 'complete']</v>
      </c>
      <c r="D7200" s="3">
        <v>5.0</v>
      </c>
    </row>
    <row r="7201" ht="15.75" customHeight="1">
      <c r="A7201" s="1">
        <v>7661.0</v>
      </c>
      <c r="B7201" s="3" t="s">
        <v>6879</v>
      </c>
      <c r="C7201" s="3" t="str">
        <f>IFERROR(__xludf.DUMMYFUNCTION("GOOGLETRANSLATE(B7201,""id"",""en"")"),"['bismilah', 'yallah', 'already', 'make', 'telkom', 'buy', 'package', 'alpha', 'expensive', 'signal', 'no', 'tara', ' people ',' work ',' forest ',' plobis', 'village', 'signal', 'smooth', 'different', 'card', 'area', 'sometimes',' signal ',' Telkomsel ' "&amp;", 'Current', 'anywhere', 'area', 'as expensive', 'high', 'quota', 'telkom', 'people', 'business', 'online', 'rural']")</f>
        <v>['bismilah', 'yallah', 'already', 'make', 'telkom', 'buy', 'package', 'alpha', 'expensive', 'signal', 'no', 'tara', ' people ',' work ',' forest ',' plobis', 'village', 'signal', 'smooth', 'different', 'card', 'area', 'sometimes',' signal ',' Telkomsel ' , 'Current', 'anywhere', 'area', 'as expensive', 'high', 'quota', 'telkom', 'people', 'business', 'online', 'rural']</v>
      </c>
      <c r="D7201" s="3">
        <v>5.0</v>
      </c>
    </row>
    <row r="7202" ht="15.75" customHeight="1">
      <c r="A7202" s="1">
        <v>7662.0</v>
      </c>
      <c r="B7202" s="3" t="s">
        <v>6880</v>
      </c>
      <c r="C7202" s="3" t="str">
        <f>IFERROR(__xludf.DUMMYFUNCTION("GOOGLETRANSLATE(B7202,""id"",""en"")"),"['Network', 'ugly', 'like', 'missing', 'signal', 'repair', 'notification', 'disappointing']")</f>
        <v>['Network', 'ugly', 'like', 'missing', 'signal', 'repair', 'notification', 'disappointing']</v>
      </c>
      <c r="D7202" s="3">
        <v>1.0</v>
      </c>
    </row>
    <row r="7203" ht="15.75" customHeight="1">
      <c r="A7203" s="1">
        <v>7663.0</v>
      </c>
      <c r="B7203" s="3" t="s">
        <v>4948</v>
      </c>
      <c r="C7203" s="3" t="str">
        <f>IFERROR(__xludf.DUMMYFUNCTION("GOOGLETRANSLATE(B7203,""id"",""en"")"),"['Telkomsel', 'best']")</f>
        <v>['Telkomsel', 'best']</v>
      </c>
      <c r="D7203" s="3">
        <v>5.0</v>
      </c>
    </row>
    <row r="7204" ht="15.75" customHeight="1">
      <c r="A7204" s="1">
        <v>7664.0</v>
      </c>
      <c r="B7204" s="3" t="s">
        <v>6881</v>
      </c>
      <c r="C7204" s="3" t="str">
        <f>IFERROR(__xludf.DUMMYFUNCTION("GOOGLETRANSLATE(B7204,""id"",""en"")"),"['already', 'rich', 'gini', 'name', 'business',' already ',' intention ',' network ',' delete ',' ngeecewain ',' customer ',' loyal ',' Tanggerang ',' City ',' signal ',' game ',' other ',' Sometimes', 'Sometimes',' Stable ',' Package ',' Data ',' Buy ','"&amp;" Signal ',' Err ' , 'then', 'Hadeh', 'Severe', 'Telkomsel', 'Package', 'Data', 'GB', 'Notif', 'Message', 'Package', 'Out', 'Borr']")</f>
        <v>['already', 'rich', 'gini', 'name', 'business',' already ',' intention ',' network ',' delete ',' ngeecewain ',' customer ',' loyal ',' Tanggerang ',' City ',' signal ',' game ',' other ',' Sometimes', 'Sometimes',' Stable ',' Package ',' Data ',' Buy ',' Signal ',' Err ' , 'then', 'Hadeh', 'Severe', 'Telkomsel', 'Package', 'Data', 'GB', 'Notif', 'Message', 'Package', 'Out', 'Borr']</v>
      </c>
      <c r="D7204" s="3">
        <v>1.0</v>
      </c>
    </row>
    <row r="7205" ht="15.75" customHeight="1">
      <c r="A7205" s="1">
        <v>7665.0</v>
      </c>
      <c r="B7205" s="3" t="s">
        <v>6882</v>
      </c>
      <c r="C7205" s="3" t="str">
        <f>IFERROR(__xludf.DUMMYFUNCTION("GOOGLETRANSLATE(B7205,""id"",""en"")"),"['Bad', 'right', 'service', 'call', 'told', 'Wait', 'tomorrow', 'tomorrow', 'pulse', 'missing', 'no', 'service', ' Whatever ',' contents', 'corrupted', 'taken', '']")</f>
        <v>['Bad', 'right', 'service', 'call', 'told', 'Wait', 'tomorrow', 'tomorrow', 'pulse', 'missing', 'no', 'service', ' Whatever ',' contents', 'corrupted', 'taken', '']</v>
      </c>
      <c r="D7205" s="3">
        <v>5.0</v>
      </c>
    </row>
    <row r="7206" ht="15.75" customHeight="1">
      <c r="A7206" s="1">
        <v>7666.0</v>
      </c>
      <c r="B7206" s="3" t="s">
        <v>6883</v>
      </c>
      <c r="C7206" s="3" t="str">
        <f>IFERROR(__xludf.DUMMYFUNCTION("GOOGLETRANSLATE(B7206,""id"",""en"")"),"['Change', 'Package', 'Hallo', 'Pay', 'Bill', 'a month', 'In the future', 'PDHAL', 'Ribet', 'Raying', 'Change', 'Hello', ' ']")</f>
        <v>['Change', 'Package', 'Hallo', 'Pay', 'Bill', 'a month', 'In the future', 'PDHAL', 'Ribet', 'Raying', 'Change', 'Hello', ' ']</v>
      </c>
      <c r="D7206" s="3">
        <v>1.0</v>
      </c>
    </row>
    <row r="7207" ht="15.75" customHeight="1">
      <c r="A7207" s="1">
        <v>7667.0</v>
      </c>
      <c r="B7207" s="3" t="s">
        <v>6884</v>
      </c>
      <c r="C7207" s="3" t="str">
        <f>IFERROR(__xludf.DUMMYFUNCTION("GOOGLETRANSLATE(B7207,""id"",""en"")"),"['Network', 'Telkomsel', 'Severe', 'really', 'serious',' package ',' connection ',' right ',' right ',' chaotic ',' ngapain ',' already ',' report ',' Sampe ',' now ',' disappointed ',' really ',' provider ',' Mending ',' moved ',' provider ',' neighbor '"&amp;",' oath ',' disappointed ' , 'really', 'Telkomsel', '']")</f>
        <v>['Network', 'Telkomsel', 'Severe', 'really', 'serious',' package ',' connection ',' right ',' right ',' chaotic ',' ngapain ',' already ',' report ',' Sampe ',' now ',' disappointed ',' really ',' provider ',' Mending ',' moved ',' provider ',' neighbor ',' oath ',' disappointed ' , 'really', 'Telkomsel', '']</v>
      </c>
      <c r="D7207" s="3">
        <v>1.0</v>
      </c>
    </row>
    <row r="7208" ht="15.75" customHeight="1">
      <c r="A7208" s="1">
        <v>7668.0</v>
      </c>
      <c r="B7208" s="3" t="s">
        <v>6885</v>
      </c>
      <c r="C7208" s="3" t="str">
        <f>IFERROR(__xludf.DUMMYFUNCTION("GOOGLETRANSLATE(B7208,""id"",""en"")"),"['Severe', 'Telkomsel', 'quota', 'Not bad', 'expensive', 'signal', 'ugly', 'already', 'pulse', 'sumps',' fast ',' fix ',' Min ',' damage ',' Dragus', 'reach', 'signal', 'match', 'price', 'quota', ""]")</f>
        <v>['Severe', 'Telkomsel', 'quota', 'Not bad', 'expensive', 'signal', 'ugly', 'already', 'pulse', 'sumps',' fast ',' fix ',' Min ',' damage ',' Dragus', 'reach', 'signal', 'match', 'price', 'quota', "]</v>
      </c>
      <c r="D7208" s="3">
        <v>1.0</v>
      </c>
    </row>
    <row r="7209" ht="15.75" customHeight="1">
      <c r="A7209" s="1">
        <v>7669.0</v>
      </c>
      <c r="B7209" s="3" t="s">
        <v>6886</v>
      </c>
      <c r="C7209" s="3" t="str">
        <f>IFERROR(__xludf.DUMMYFUNCTION("GOOGLETRANSLATE(B7209,""id"",""en"")"),"['Network', 'Telkomsel', 'Center', 'Subdistrict', 'Tetep', 'Slow', 'Package', 'Fix']")</f>
        <v>['Network', 'Telkomsel', 'Center', 'Subdistrict', 'Tetep', 'Slow', 'Package', 'Fix']</v>
      </c>
      <c r="D7209" s="3">
        <v>1.0</v>
      </c>
    </row>
    <row r="7210" ht="15.75" customHeight="1">
      <c r="A7210" s="1">
        <v>7670.0</v>
      </c>
      <c r="B7210" s="3" t="s">
        <v>6887</v>
      </c>
      <c r="C7210" s="3" t="str">
        <f>IFERROR(__xludf.DUMMYFUNCTION("GOOGLETRANSLATE(B7210,""id"",""en"")"),"['oath', 'ngaco', 'contents',' pulse ',' times', 'funds',' nggk ',' enter ',' strange ',' cok ',' ktrngn ',' fund ',' Udh ',' success', 'check', 'Nggk', 'entered', 'Taiiii', 'can', 'sms',' congratulations', 'get', 'package', 'pulse', 'active' , 'cave', 'c"&amp;"heck', 'ap', 'loss', 'cok', 'cave']")</f>
        <v>['oath', 'ngaco', 'contents',' pulse ',' times', 'funds',' nggk ',' enter ',' strange ',' cok ',' ktrngn ',' fund ',' Udh ',' success', 'check', 'Nggk', 'entered', 'Taiiii', 'can', 'sms',' congratulations', 'get', 'package', 'pulse', 'active' , 'cave', 'check', 'ap', 'loss', 'cok', 'cave']</v>
      </c>
      <c r="D7210" s="3">
        <v>1.0</v>
      </c>
    </row>
    <row r="7211" ht="15.75" customHeight="1">
      <c r="A7211" s="1">
        <v>7671.0</v>
      </c>
      <c r="B7211" s="3" t="s">
        <v>6888</v>
      </c>
      <c r="C7211" s="3" t="str">
        <f>IFERROR(__xludf.DUMMYFUNCTION("GOOGLETRANSLATE(B7211,""id"",""en"")"),"['makes it easier', 'service', 'consumer']")</f>
        <v>['makes it easier', 'service', 'consumer']</v>
      </c>
      <c r="D7211" s="3">
        <v>4.0</v>
      </c>
    </row>
    <row r="7212" ht="15.75" customHeight="1">
      <c r="A7212" s="1">
        <v>7672.0</v>
      </c>
      <c r="B7212" s="3" t="s">
        <v>6889</v>
      </c>
      <c r="C7212" s="3" t="str">
        <f>IFERROR(__xludf.DUMMYFUNCTION("GOOGLETRANSLATE(B7212,""id"",""en"")"),"['Benerin', 'Signal', 'Woy', 'chaotic', 'Bener', 'Region', 'Doang', 'Ngeluh', 'Indo', 'Keklaim', 'Network', ' Best ',' TPI ',' MCM ',' Snail ',' Mending ',' Snails', 'Stable', 'Slow', 'Lack', 'lag', 'shy', 'nooked', 'blkg' , 'bot', 'closed', 'intention', "&amp;"'benerin', 'network', 'loss',' org ',' luck ',' TPI ',' Benerin ',' the network ',' DSR ',' Provider ',' Eek ',' Lincung ',' You ',' Fucekkk ', ""]")</f>
        <v>['Benerin', 'Signal', 'Woy', 'chaotic', 'Bener', 'Region', 'Doang', 'Ngeluh', 'Indo', 'Keklaim', 'Network', ' Best ',' TPI ',' MCM ',' Snail ',' Mending ',' Snails', 'Stable', 'Slow', 'Lack', 'lag', 'shy', 'nooked', 'blkg' , 'bot', 'closed', 'intention', 'benerin', 'network', 'loss',' org ',' luck ',' TPI ',' Benerin ',' the network ',' DSR ',' Provider ',' Eek ',' Lincung ',' You ',' Fucekkk ', "]</v>
      </c>
      <c r="D7212" s="3">
        <v>1.0</v>
      </c>
    </row>
    <row r="7213" ht="15.75" customHeight="1">
      <c r="A7213" s="1">
        <v>7673.0</v>
      </c>
      <c r="B7213" s="3" t="s">
        <v>6890</v>
      </c>
      <c r="C7213" s="3" t="str">
        <f>IFERROR(__xludf.DUMMYFUNCTION("GOOGLETRANSLATE(B7213,""id"",""en"")"),"['Kirain', 'credit', 'run out', 'usage', 'internet', 'flame', 'pulse', 'run out', 'severe', 'tsel', 'udh', 'byk', ' Complaints', 'BGNI', 'TKUT', 'LIGHT', 'Credit', 'BLN', 'UDH', 'LMYN', 'SRG', 'PLSA', 'ilang', 'GTW', 'KMN' , 'pdhl', 'dpkai', 'pkai', 'krtu"&amp;"', 'pket', 'internet', 'lma', 'all', 'customers',' tsel ',' blur ',' blik ',' Klau ',' service ',' mkain ',' ugly ',' network ',' ugly ',' srg ',' error ',' paraah ']")</f>
        <v>['Kirain', 'credit', 'run out', 'usage', 'internet', 'flame', 'pulse', 'run out', 'severe', 'tsel', 'udh', 'byk', ' Complaints', 'BGNI', 'TKUT', 'LIGHT', 'Credit', 'BLN', 'UDH', 'LMYN', 'SRG', 'PLSA', 'ilang', 'GTW', 'KMN' , 'pdhl', 'dpkai', 'pkai', 'krtu', 'pket', 'internet', 'lma', 'all', 'customers',' tsel ',' blur ',' blik ',' Klau ',' service ',' mkain ',' ugly ',' network ',' ugly ',' srg ',' error ',' paraah ']</v>
      </c>
      <c r="D7213" s="3">
        <v>1.0</v>
      </c>
    </row>
    <row r="7214" ht="15.75" customHeight="1">
      <c r="A7214" s="1">
        <v>7674.0</v>
      </c>
      <c r="B7214" s="3" t="s">
        <v>6891</v>
      </c>
      <c r="C7214" s="3" t="str">
        <f>IFERROR(__xludf.DUMMYFUNCTION("GOOGLETRANSLATE(B7214,""id"",""en"")"),"['Date', 'October', 'clock', 'night', 'signal', 'Telkomsel', 'poor', 'Loading', 'Youtub', 'motion', 'Telkomsel', 'sell', ' name ',' quality ']")</f>
        <v>['Date', 'October', 'clock', 'night', 'signal', 'Telkomsel', 'poor', 'Loading', 'Youtub', 'motion', 'Telkomsel', 'sell', ' name ',' quality ']</v>
      </c>
      <c r="D7214" s="3">
        <v>1.0</v>
      </c>
    </row>
    <row r="7215" ht="15.75" customHeight="1">
      <c r="A7215" s="1">
        <v>7675.0</v>
      </c>
      <c r="B7215" s="3" t="s">
        <v>6892</v>
      </c>
      <c r="C7215" s="3" t="str">
        <f>IFERROR(__xludf.DUMMYFUNCTION("GOOGLETRANSLATE(B7215,""id"",""en"")"),"['Threat', 'Telkomsel', 'Auto', 'Move', 'Card']")</f>
        <v>['Threat', 'Telkomsel', 'Auto', 'Move', 'Card']</v>
      </c>
      <c r="D7215" s="3">
        <v>1.0</v>
      </c>
    </row>
    <row r="7216" ht="15.75" customHeight="1">
      <c r="A7216" s="1">
        <v>7676.0</v>
      </c>
      <c r="B7216" s="3" t="s">
        <v>6893</v>
      </c>
      <c r="C7216" s="3" t="str">
        <f>IFERROR(__xludf.DUMMYFUNCTION("GOOGLETRANSLATE(B7216,""id"",""en"")"),"['card', 'pay', 'name', 'usury', 'gda', 'usage', 'tetep', 'pay', 'fox', 'hello', 'card', 'GBS', ' people ',' cards', 'lost', 'lgsung', 'print', 'strange', 'hello', 'bilng', 'hit', 'law', 'usury', 'fall', 'gda' , 'uses',' dibsur ',' pay ',' a month ',' pli"&amp;"ng ',' rb ',' gda ',' usage ',' times', 'brp', 'shocked', 'listen', ' person', '']")</f>
        <v>['card', 'pay', 'name', 'usury', 'gda', 'usage', 'tetep', 'pay', 'fox', 'hello', 'card', 'GBS', ' people ',' cards', 'lost', 'lgsung', 'print', 'strange', 'hello', 'bilng', 'hit', 'law', 'usury', 'fall', 'gda' , 'uses',' dibsur ',' pay ',' a month ',' pling ',' rb ',' gda ',' usage ',' times', 'brp', 'shocked', 'listen', ' person', '']</v>
      </c>
      <c r="D7216" s="3">
        <v>1.0</v>
      </c>
    </row>
    <row r="7217" ht="15.75" customHeight="1">
      <c r="A7217" s="1">
        <v>7677.0</v>
      </c>
      <c r="B7217" s="3" t="s">
        <v>6894</v>
      </c>
      <c r="C7217" s="3" t="str">
        <f>IFERROR(__xludf.DUMMYFUNCTION("GOOGLETRANSLATE(B7217,""id"",""en"")"),"['Good', 'loan', 'package', 'emergency', 'donk', 'dlm', 'keada', 'urgent', 'borrow', 'pulse']")</f>
        <v>['Good', 'loan', 'package', 'emergency', 'donk', 'dlm', 'keada', 'urgent', 'borrow', 'pulse']</v>
      </c>
      <c r="D7217" s="3">
        <v>5.0</v>
      </c>
    </row>
    <row r="7218" ht="15.75" customHeight="1">
      <c r="A7218" s="1">
        <v>7678.0</v>
      </c>
      <c r="B7218" s="3" t="s">
        <v>6895</v>
      </c>
      <c r="C7218" s="3" t="str">
        <f>IFERROR(__xludf.DUMMYFUNCTION("GOOGLETRANSLATE(B7218,""id"",""en"")"),"['Gegara', 'Download', 'APK', 'Login', 'Register', 'Network', 'cave', 'ilang', 'divergible', 'right', 'my APK', 'cave', ' Delete ',' network ',' cave ',' sudden ',' min ',' gtu ',' ']")</f>
        <v>['Gegara', 'Download', 'APK', 'Login', 'Register', 'Network', 'cave', 'ilang', 'divergible', 'right', 'my APK', 'cave', ' Delete ',' network ',' cave ',' sudden ',' min ',' gtu ',' ']</v>
      </c>
      <c r="D7218" s="3">
        <v>1.0</v>
      </c>
    </row>
    <row r="7219" ht="15.75" customHeight="1">
      <c r="A7219" s="1">
        <v>7679.0</v>
      </c>
      <c r="B7219" s="3" t="s">
        <v>6896</v>
      </c>
      <c r="C7219" s="3" t="str">
        <f>IFERROR(__xludf.DUMMYFUNCTION("GOOGLETRANSLATE(B7219,""id"",""en"")"),"['buy', 'package', 'promo', 'reply', 'transaction', 'sia', 'contents', 'pulse']")</f>
        <v>['buy', 'package', 'promo', 'reply', 'transaction', 'sia', 'contents', 'pulse']</v>
      </c>
      <c r="D7219" s="3">
        <v>2.0</v>
      </c>
    </row>
    <row r="7220" ht="15.75" customHeight="1">
      <c r="A7220" s="1">
        <v>7680.0</v>
      </c>
      <c r="B7220" s="3" t="s">
        <v>6897</v>
      </c>
      <c r="C7220" s="3" t="str">
        <f>IFERROR(__xludf.DUMMYFUNCTION("GOOGLETRANSLATE(B7220,""id"",""en"")"),"['Increase', 'Mantap']")</f>
        <v>['Increase', 'Mantap']</v>
      </c>
      <c r="D7220" s="3">
        <v>5.0</v>
      </c>
    </row>
    <row r="7221" ht="15.75" customHeight="1">
      <c r="A7221" s="1">
        <v>7681.0</v>
      </c>
      <c r="B7221" s="3" t="s">
        <v>6898</v>
      </c>
      <c r="C7221" s="3" t="str">
        <f>IFERROR(__xludf.DUMMYFUNCTION("GOOGLETRANSLATE(B7221,""id"",""en"")"),"['Network', 'Severe', 'Credit', 'Cutting', 'Service', 'Useful', 'Response', 'Satisfying', 'Telkomsel', 'Already', 'Burik', 'Anying']")</f>
        <v>['Network', 'Severe', 'Credit', 'Cutting', 'Service', 'Useful', 'Response', 'Satisfying', 'Telkomsel', 'Already', 'Burik', 'Anying']</v>
      </c>
      <c r="D7221" s="3">
        <v>1.0</v>
      </c>
    </row>
    <row r="7222" ht="15.75" customHeight="1">
      <c r="A7222" s="1">
        <v>7682.0</v>
      </c>
      <c r="B7222" s="3" t="s">
        <v>6899</v>
      </c>
      <c r="C7222" s="3" t="str">
        <f>IFERROR(__xludf.DUMMYFUNCTION("GOOGLETRANSLATE(B7222,""id"",""en"")"),"['Network', 'ngelag', 'BURIK', 'quota', 'pulse', 'take', 'kyk', 'pinjol', 'flower', '']")</f>
        <v>['Network', 'ngelag', 'BURIK', 'quota', 'pulse', 'take', 'kyk', 'pinjol', 'flower', '']</v>
      </c>
      <c r="D7222" s="3">
        <v>2.0</v>
      </c>
    </row>
    <row r="7223" ht="15.75" customHeight="1">
      <c r="A7223" s="1">
        <v>7683.0</v>
      </c>
      <c r="B7223" s="3" t="s">
        <v>6900</v>
      </c>
      <c r="C7223" s="3" t="str">
        <f>IFERROR(__xludf.DUMMYFUNCTION("GOOGLETRANSLATE(B7223,""id"",""en"")"),"['Network', 'garbage', 'DKI', 'Network', 'down', 'area', 'remote', 'rating', 'star', 'love', 'star', 'Telkomsel']")</f>
        <v>['Network', 'garbage', 'DKI', 'Network', 'down', 'area', 'remote', 'rating', 'star', 'love', 'star', 'Telkomsel']</v>
      </c>
      <c r="D7223" s="3">
        <v>1.0</v>
      </c>
    </row>
    <row r="7224" ht="15.75" customHeight="1">
      <c r="A7224" s="1">
        <v>7684.0</v>
      </c>
      <c r="B7224" s="3" t="s">
        <v>6901</v>
      </c>
      <c r="C7224" s="3" t="str">
        <f>IFERROR(__xludf.DUMMYFUNCTION("GOOGLETRANSLATE(B7224,""id"",""en"")"),"['Severe', 'Telkomsel', 'Disappointed', 'Original', 'Narik', 'Credit', 'Package', 'Jelala']")</f>
        <v>['Severe', 'Telkomsel', 'Disappointed', 'Original', 'Narik', 'Credit', 'Package', 'Jelala']</v>
      </c>
      <c r="D7224" s="3">
        <v>2.0</v>
      </c>
    </row>
    <row r="7225" ht="15.75" customHeight="1">
      <c r="A7225" s="1">
        <v>7685.0</v>
      </c>
      <c r="B7225" s="3" t="s">
        <v>6902</v>
      </c>
      <c r="C7225" s="3" t="str">
        <f>IFERROR(__xludf.DUMMYFUNCTION("GOOGLETRANSLATE(B7225,""id"",""en"")"),"['times', 'promo', 'promo', 'data', 'private', 'blm', 'safe']")</f>
        <v>['times', 'promo', 'promo', 'data', 'private', 'blm', 'safe']</v>
      </c>
      <c r="D7225" s="3">
        <v>1.0</v>
      </c>
    </row>
    <row r="7226" ht="15.75" customHeight="1">
      <c r="A7226" s="1">
        <v>7686.0</v>
      </c>
      <c r="B7226" s="3" t="s">
        <v>6903</v>
      </c>
      <c r="C7226" s="3" t="str">
        <f>IFERROR(__xludf.DUMMYFUNCTION("GOOGLETRANSLATE(B7226,""id"",""en"")"),"['signal', 'here', 'bad', 'buy', 'expensive', 'Telkomsel', 'bad', 'signal', 'buy', 'ngeChat']")</f>
        <v>['signal', 'here', 'bad', 'buy', 'expensive', 'Telkomsel', 'bad', 'signal', 'buy', 'ngeChat']</v>
      </c>
      <c r="D7226" s="3">
        <v>1.0</v>
      </c>
    </row>
    <row r="7227" ht="15.75" customHeight="1">
      <c r="A7227" s="1">
        <v>7687.0</v>
      </c>
      <c r="B7227" s="3" t="s">
        <v>6904</v>
      </c>
      <c r="C7227" s="3" t="str">
        <f>IFERROR(__xludf.DUMMYFUNCTION("GOOGLETRANSLATE(B7227,""id"",""en"")"),"['cant', 'bills',' pulse ',' dedestal ',' bill ',' number ',' number ',' as', 'Telkomsel', 'right', 'contents',' pulses', ' automatically ',' Tesdott ',' Please ',' Telkomsel ',' Mukin ',' people ',' already ',' can ',' eat ',' min ',' please ',' pataa ',"&amp;"' heart ' , 'Prussan', 'Telkomsel', 'Search', 'UTUNG', 'Litu', 'Cara']")</f>
        <v>['cant', 'bills',' pulse ',' dedestal ',' bill ',' number ',' number ',' as', 'Telkomsel', 'right', 'contents',' pulses', ' automatically ',' Tesdott ',' Please ',' Telkomsel ',' Mukin ',' people ',' already ',' can ',' eat ',' min ',' please ',' pataa ',' heart ' , 'Prussan', 'Telkomsel', 'Search', 'UTUNG', 'Litu', 'Cara']</v>
      </c>
      <c r="D7227" s="3">
        <v>1.0</v>
      </c>
    </row>
    <row r="7228" ht="15.75" customHeight="1">
      <c r="A7228" s="1">
        <v>7688.0</v>
      </c>
      <c r="B7228" s="3" t="s">
        <v>6905</v>
      </c>
      <c r="C7228" s="3" t="str">
        <f>IFERROR(__xludf.DUMMYFUNCTION("GOOGLETRANSLATE(B7228,""id"",""en"")"),"['network', 'according to', 'price', 'slow', 'buy', 'package', 'expensive', 'qualix', 'null', '']")</f>
        <v>['network', 'according to', 'price', 'slow', 'buy', 'package', 'expensive', 'qualix', 'null', '']</v>
      </c>
      <c r="D7228" s="3">
        <v>1.0</v>
      </c>
    </row>
    <row r="7229" ht="15.75" customHeight="1">
      <c r="A7229" s="1">
        <v>7689.0</v>
      </c>
      <c r="B7229" s="3" t="s">
        <v>6906</v>
      </c>
      <c r="C7229" s="3" t="str">
        <f>IFERROR(__xludf.DUMMYFUNCTION("GOOGLETRANSLATE(B7229,""id"",""en"")"),"['Cave', 'Download', 'Love', 'Review', 'Actually', 'mAh', 'Males', 'buy', 'sympathy', 'already', 'kapok', 'really' network ',' slow ',' really ',' maen ',' game ',' mending ',' three ',' make ',' already ',' want ',' fast ',' fast ',' abis' , 'quota', 're"&amp;"place', 'Indosat']")</f>
        <v>['Cave', 'Download', 'Love', 'Review', 'Actually', 'mAh', 'Males', 'buy', 'sympathy', 'already', 'kapok', 'really' network ',' slow ',' really ',' maen ',' game ',' mending ',' three ',' make ',' already ',' want ',' fast ',' fast ',' abis' , 'quota', 'replace', 'Indosat']</v>
      </c>
      <c r="D7229" s="3">
        <v>1.0</v>
      </c>
    </row>
    <row r="7230" ht="15.75" customHeight="1">
      <c r="A7230" s="1">
        <v>7690.0</v>
      </c>
      <c r="B7230" s="3" t="s">
        <v>6907</v>
      </c>
      <c r="C7230" s="3" t="str">
        <f>IFERROR(__xludf.DUMMYFUNCTION("GOOGLETRANSLATE(B7230,""id"",""en"")"),"['Thanks', 'steady', 'gan']")</f>
        <v>['Thanks', 'steady', 'gan']</v>
      </c>
      <c r="D7230" s="3">
        <v>5.0</v>
      </c>
    </row>
    <row r="7231" ht="15.75" customHeight="1">
      <c r="A7231" s="1">
        <v>7691.0</v>
      </c>
      <c r="B7231" s="3" t="s">
        <v>6908</v>
      </c>
      <c r="C7231" s="3" t="str">
        <f>IFERROR(__xludf.DUMMYFUNCTION("GOOGLETRANSLATE(B7231,""id"",""en"")"),"['Kasi', 'star', 'suggestion', 'open', 'special', 'application', 'free', 'quota', 'user', 'Telkomsel', 'buy', 'pulse', ' quota ',' just ',' account ',' Telkomsel ',' application ',' essence ',' stingy ',' customer ',' bravo ',' Telkomsel ', ""]")</f>
        <v>['Kasi', 'star', 'suggestion', 'open', 'special', 'application', 'free', 'quota', 'user', 'Telkomsel', 'buy', 'pulse', ' quota ',' just ',' account ',' Telkomsel ',' application ',' essence ',' stingy ',' customer ',' bravo ',' Telkomsel ', "]</v>
      </c>
      <c r="D7231" s="3">
        <v>5.0</v>
      </c>
    </row>
    <row r="7232" ht="15.75" customHeight="1">
      <c r="A7232" s="1">
        <v>7692.0</v>
      </c>
      <c r="B7232" s="3" t="s">
        <v>6909</v>
      </c>
      <c r="C7232" s="3" t="str">
        <f>IFERROR(__xludf.DUMMYFUNCTION("GOOGLETRANSLATE(B7232,""id"",""en"")"),"['Learning', 'Ngerni', 'this makes']")</f>
        <v>['Learning', 'Ngerni', 'this makes']</v>
      </c>
      <c r="D7232" s="3">
        <v>3.0</v>
      </c>
    </row>
    <row r="7233" ht="15.75" customHeight="1">
      <c r="A7233" s="1">
        <v>7693.0</v>
      </c>
      <c r="B7233" s="3" t="s">
        <v>6910</v>
      </c>
      <c r="C7233" s="3" t="str">
        <f>IFERROR(__xludf.DUMMYFUNCTION("GOOGLETRANSLATE(B7233,""id"",""en"")"),"['buy', 'Package', 'YouTube', 'Shame']")</f>
        <v>['buy', 'Package', 'YouTube', 'Shame']</v>
      </c>
      <c r="D7233" s="3">
        <v>1.0</v>
      </c>
    </row>
    <row r="7234" ht="15.75" customHeight="1">
      <c r="A7234" s="1">
        <v>7694.0</v>
      </c>
      <c r="B7234" s="3" t="s">
        <v>6911</v>
      </c>
      <c r="C7234" s="3" t="str">
        <f>IFERROR(__xludf.DUMMYFUNCTION("GOOGLETRANSLATE(B7234,""id"",""en"")"),"['Application', 'yaa', 'mantab']")</f>
        <v>['Application', 'yaa', 'mantab']</v>
      </c>
      <c r="D7234" s="3">
        <v>5.0</v>
      </c>
    </row>
    <row r="7235" ht="15.75" customHeight="1">
      <c r="A7235" s="1">
        <v>7695.0</v>
      </c>
      <c r="B7235" s="3" t="s">
        <v>6912</v>
      </c>
      <c r="C7235" s="3" t="str">
        <f>IFERROR(__xludf.DUMMYFUNCTION("GOOGLETRANSLATE(B7235,""id"",""en"")"),"['Network', 'Burik', 'Uda', 'Switers', 'Network', 'Tetep', 'Bangat']")</f>
        <v>['Network', 'Burik', 'Uda', 'Switers', 'Network', 'Tetep', 'Bangat']</v>
      </c>
      <c r="D7235" s="3">
        <v>1.0</v>
      </c>
    </row>
    <row r="7236" ht="15.75" customHeight="1">
      <c r="A7236" s="1">
        <v>7696.0</v>
      </c>
      <c r="B7236" s="3" t="s">
        <v>6913</v>
      </c>
      <c r="C7236" s="3" t="str">
        <f>IFERROR(__xludf.DUMMYFUNCTION("GOOGLETRANSLATE(B7236,""id"",""en"")"),"['Sorry', 'Network', 'Internet', 'Telkomsel', 'Severe', '']")</f>
        <v>['Sorry', 'Network', 'Internet', 'Telkomsel', 'Severe', '']</v>
      </c>
      <c r="D7236" s="3">
        <v>2.0</v>
      </c>
    </row>
    <row r="7237" ht="15.75" customHeight="1">
      <c r="A7237" s="1">
        <v>7697.0</v>
      </c>
      <c r="B7237" s="3" t="s">
        <v>6914</v>
      </c>
      <c r="C7237" s="3" t="str">
        <f>IFERROR(__xludf.DUMMYFUNCTION("GOOGLETRANSLATE(B7237,""id"",""en"")"),"['Since', 'Switch', 'Telkomsel', 'Hello', 'Signal', 'Slow', 'Signal', 'Different', 'Please', 'Fix']")</f>
        <v>['Since', 'Switch', 'Telkomsel', 'Hello', 'Signal', 'Slow', 'Signal', 'Different', 'Please', 'Fix']</v>
      </c>
      <c r="D7237" s="3">
        <v>1.0</v>
      </c>
    </row>
    <row r="7238" ht="15.75" customHeight="1">
      <c r="A7238" s="1">
        <v>7698.0</v>
      </c>
      <c r="B7238" s="3" t="s">
        <v>6915</v>
      </c>
      <c r="C7238" s="3" t="str">
        <f>IFERROR(__xludf.DUMMYFUNCTION("GOOGLETRANSLATE(B7238,""id"",""en"")"),"['Strengthen', 'The network', '']")</f>
        <v>['Strengthen', 'The network', '']</v>
      </c>
      <c r="D7238" s="3">
        <v>3.0</v>
      </c>
    </row>
    <row r="7239" ht="15.75" customHeight="1">
      <c r="A7239" s="1">
        <v>7699.0</v>
      </c>
      <c r="B7239" s="3" t="s">
        <v>6916</v>
      </c>
      <c r="C7239" s="3" t="str">
        <f>IFERROR(__xludf.DUMMYFUNCTION("GOOGLETRANSLATE(B7239,""id"",""en"")"),"['Good', 'Help', 'Hopefully', 'Lottery', 'Telkomsel', 'Points', 'Times', 'Get', 'Aamiin']")</f>
        <v>['Good', 'Help', 'Hopefully', 'Lottery', 'Telkomsel', 'Points', 'Times', 'Get', 'Aamiin']</v>
      </c>
      <c r="D7239" s="3">
        <v>5.0</v>
      </c>
    </row>
    <row r="7240" ht="15.75" customHeight="1">
      <c r="A7240" s="1">
        <v>7700.0</v>
      </c>
      <c r="B7240" s="3" t="s">
        <v>6917</v>
      </c>
      <c r="C7240" s="3" t="str">
        <f>IFERROR(__xludf.DUMMYFUNCTION("GOOGLETRANSLATE(B7240,""id"",""en"")"),"['signal', 'chaotic', 'yak', 'right', 'play', 'signal', 'change', 'green', 'red', 'green', 'red', 'telkom', ' Please ',' repaired ',' Sousal ',' Comfortable ',' Wear ',' Card ']")</f>
        <v>['signal', 'chaotic', 'yak', 'right', 'play', 'signal', 'change', 'green', 'red', 'green', 'red', 'telkom', ' Please ',' repaired ',' Sousal ',' Comfortable ',' Wear ',' Card ']</v>
      </c>
      <c r="D7240" s="3">
        <v>3.0</v>
      </c>
    </row>
    <row r="7241" ht="15.75" customHeight="1">
      <c r="A7241" s="1">
        <v>7701.0</v>
      </c>
      <c r="B7241" s="3" t="s">
        <v>6918</v>
      </c>
      <c r="C7241" s="3" t="str">
        <f>IFERROR(__xludf.DUMMYFUNCTION("GOOGLETRANSLATE(B7241,""id"",""en"")"),"['good', 'tasty', 'open', 'youtube', 'get', 'sms',' rates', 'non', 'package', 'right', 'check', 'pulses',' Stayed ',' RbU ',' RbU ',' Check ',' Quota ',' Data ',' Ngerti ',' Provider ',' Severe ']")</f>
        <v>['good', 'tasty', 'open', 'youtube', 'get', 'sms',' rates', 'non', 'package', 'right', 'check', 'pulses',' Stayed ',' RbU ',' RbU ',' Check ',' Quota ',' Data ',' Ngerti ',' Provider ',' Severe ']</v>
      </c>
      <c r="D7241" s="3">
        <v>1.0</v>
      </c>
    </row>
    <row r="7242" ht="15.75" customHeight="1">
      <c r="A7242" s="1">
        <v>7702.0</v>
      </c>
      <c r="B7242" s="3" t="s">
        <v>6919</v>
      </c>
      <c r="C7242" s="3" t="str">
        <f>IFERROR(__xludf.DUMMYFUNCTION("GOOGLETRANSLATE(B7242,""id"",""en"")"),"['signal', 'ugly', 'until', 'minutes',' fix ',' ugly ',' play ',' game ',' red ',' signal ',' masi ',' lack ',' Understand ',' Please ',' repaired ']")</f>
        <v>['signal', 'ugly', 'until', 'minutes',' fix ',' ugly ',' play ',' game ',' red ',' signal ',' masi ',' lack ',' Understand ',' Please ',' repaired ']</v>
      </c>
      <c r="D7242" s="3">
        <v>1.0</v>
      </c>
    </row>
    <row r="7243" ht="15.75" customHeight="1">
      <c r="A7243" s="1">
        <v>7703.0</v>
      </c>
      <c r="B7243" s="3" t="s">
        <v>6920</v>
      </c>
      <c r="C7243" s="3" t="str">
        <f>IFERROR(__xludf.DUMMYFUNCTION("GOOGLETRANSLATE(B7243,""id"",""en"")"),"['Application', 'worst', 'application', 'mind', 'check', 'quota', 'annoyed', 'description', 'check', 'connection', 'ngatur', 'network', ' giving ',' service ',' best ',' told ',' What's', 'Jaeibgan', 'fix', 'quota', 'internet', 'expensive', 'service', 'ba"&amp;"d', ""]")</f>
        <v>['Application', 'worst', 'application', 'mind', 'check', 'quota', 'annoyed', 'description', 'check', 'connection', 'ngatur', 'network', ' giving ',' service ',' best ',' told ',' What's', 'Jaeibgan', 'fix', 'quota', 'internet', 'expensive', 'service', 'bad', "]</v>
      </c>
      <c r="D7243" s="3">
        <v>1.0</v>
      </c>
    </row>
    <row r="7244" ht="15.75" customHeight="1">
      <c r="A7244" s="1">
        <v>7704.0</v>
      </c>
      <c r="B7244" s="3" t="s">
        <v>6921</v>
      </c>
      <c r="C7244" s="3" t="str">
        <f>IFERROR(__xludf.DUMMYFUNCTION("GOOGLETRANSLATE(B7244,""id"",""en"")"),"['Please', 'Service', 'Increases', 'Lost', 'Matangan', 'Cellular', 'Masik', 'Old', 'Corn']")</f>
        <v>['Please', 'Service', 'Increases', 'Lost', 'Matangan', 'Cellular', 'Masik', 'Old', 'Corn']</v>
      </c>
      <c r="D7244" s="3">
        <v>1.0</v>
      </c>
    </row>
    <row r="7245" ht="15.75" customHeight="1">
      <c r="A7245" s="1">
        <v>7705.0</v>
      </c>
      <c r="B7245" s="3" t="s">
        <v>6922</v>
      </c>
      <c r="C7245" s="3" t="str">
        <f>IFERROR(__xludf.DUMMYFUNCTION("GOOGLETRANSLATE(B7245,""id"",""en"")"),"['speed', 'internet', 'network', 'ilang', 'since' since 'cable', 'broke', 'buy', 'package', 'quota', 'use', 'hot', ' Batre ',' broken ']")</f>
        <v>['speed', 'internet', 'network', 'ilang', 'since' since 'cable', 'broke', 'buy', 'package', 'quota', 'use', 'hot', ' Batre ',' broken ']</v>
      </c>
      <c r="D7245" s="3">
        <v>1.0</v>
      </c>
    </row>
    <row r="7246" ht="15.75" customHeight="1">
      <c r="A7246" s="1">
        <v>7706.0</v>
      </c>
      <c r="B7246" s="3" t="s">
        <v>6923</v>
      </c>
      <c r="C7246" s="3" t="str">
        <f>IFERROR(__xludf.DUMMYFUNCTION("GOOGLETRANSLATE(B7246,""id"",""en"")"),"['trimakasih', 'application', 'help', 'really', 'teeeerrrrrrraik', '']")</f>
        <v>['trimakasih', 'application', 'help', 'really', 'teeeerrrrrrraik', '']</v>
      </c>
      <c r="D7246" s="3">
        <v>5.0</v>
      </c>
    </row>
    <row r="7247" ht="15.75" customHeight="1">
      <c r="A7247" s="1">
        <v>7707.0</v>
      </c>
      <c r="B7247" s="3" t="s">
        <v>6924</v>
      </c>
      <c r="C7247" s="3" t="str">
        <f>IFERROR(__xludf.DUMMYFUNCTION("GOOGLETRANSLATE(B7247,""id"",""en"")"),"['Telkomsel', 'network', 'slow', 'please', 'fix', 'convenience', 'user', 'network', 'stable', 'most', 'bafring', 'thank', ' love']")</f>
        <v>['Telkomsel', 'network', 'slow', 'please', 'fix', 'convenience', 'user', 'network', 'stable', 'most', 'bafring', 'thank', ' love']</v>
      </c>
      <c r="D7247" s="3">
        <v>1.0</v>
      </c>
    </row>
    <row r="7248" ht="15.75" customHeight="1">
      <c r="A7248" s="1">
        <v>7708.0</v>
      </c>
      <c r="B7248" s="3" t="s">
        <v>6925</v>
      </c>
      <c r="C7248" s="3" t="str">
        <f>IFERROR(__xludf.DUMMYFUNCTION("GOOGLETRANSLATE(B7248,""id"",""en"")"),"['Ngacir', 'then', 'signal']")</f>
        <v>['Ngacir', 'then', 'signal']</v>
      </c>
      <c r="D7248" s="3">
        <v>4.0</v>
      </c>
    </row>
    <row r="7249" ht="15.75" customHeight="1">
      <c r="A7249" s="1">
        <v>7709.0</v>
      </c>
      <c r="B7249" s="3" t="s">
        <v>6926</v>
      </c>
      <c r="C7249" s="3" t="str">
        <f>IFERROR(__xludf.DUMMYFUNCTION("GOOGLETRANSLATE(B7249,""id"",""en"")"),"['Plate', 'Red', 'Service', 'Bad', '']")</f>
        <v>['Plate', 'Red', 'Service', 'Bad', '']</v>
      </c>
      <c r="D7249" s="3">
        <v>1.0</v>
      </c>
    </row>
    <row r="7250" ht="15.75" customHeight="1">
      <c r="A7250" s="1">
        <v>7710.0</v>
      </c>
      <c r="B7250" s="3" t="s">
        <v>6927</v>
      </c>
      <c r="C7250" s="3" t="str">
        <f>IFERROR(__xludf.DUMMYFUNCTION("GOOGLETRANSLATE(B7250,""id"",""en"")"),"['Update', 'Application', 'Buy', 'Package', 'Check', 'Network', 'Wait', 'Minutes',' Current ',' Minutes', 'Kayak', 'That's',' regret ',' really ',' update ',' update ',' application ',' right ',' application ',' open ',' except ',' emang ',' application '"&amp;",' open ',' update ' , 'Forced', 'Download', 'APK', 'Version', '']")</f>
        <v>['Update', 'Application', 'Buy', 'Package', 'Check', 'Network', 'Wait', 'Minutes',' Current ',' Minutes', 'Kayak', 'That's',' regret ',' really ',' update ',' update ',' application ',' right ',' application ',' open ',' except ',' emang ',' application ',' open ',' update ' , 'Forced', 'Download', 'APK', 'Version', '']</v>
      </c>
      <c r="D7250" s="3">
        <v>1.0</v>
      </c>
    </row>
    <row r="7251" ht="15.75" customHeight="1">
      <c r="A7251" s="1">
        <v>7711.0</v>
      </c>
      <c r="B7251" s="3" t="s">
        <v>6928</v>
      </c>
      <c r="C7251" s="3" t="str">
        <f>IFERROR(__xludf.DUMMYFUNCTION("GOOGLETRANSLATE(B7251,""id"",""en"")"),"['Disappointed', 'pulse', 'buy', 'package', 'combo', 'GB', 'shrs',' pulse ',' leftover ',' knapa ',' package ',' telephone ',' free ',' minutes', 'turn', 'used', 'call', 'tsel', 'koq', 'suck', 'pulse', 'how', 'responsibility', 'mytelkomsel', 'user' , 'kar"&amp;"tuas',' koq ',' that's', 'times',' dlm ',' search ',' profit ',' think ',' search ',' money ',' buy ',' pulse ',' Easy ',' please ',' handling ',' frofesional ',' price ',' according to ',' quota ',' jngn ',' cheat ']")</f>
        <v>['Disappointed', 'pulse', 'buy', 'package', 'combo', 'GB', 'shrs',' pulse ',' leftover ',' knapa ',' package ',' telephone ',' free ',' minutes', 'turn', 'used', 'call', 'tsel', 'koq', 'suck', 'pulse', 'how', 'responsibility', 'mytelkomsel', 'user' , 'kartuas',' koq ',' that's', 'times',' dlm ',' search ',' profit ',' think ',' search ',' money ',' buy ',' pulse ',' Easy ',' please ',' handling ',' frofesional ',' price ',' according to ',' quota ',' jngn ',' cheat ']</v>
      </c>
      <c r="D7251" s="3">
        <v>3.0</v>
      </c>
    </row>
    <row r="7252" ht="15.75" customHeight="1">
      <c r="A7252" s="1">
        <v>7712.0</v>
      </c>
      <c r="B7252" s="3" t="s">
        <v>6929</v>
      </c>
      <c r="C7252" s="3" t="str">
        <f>IFERROR(__xludf.DUMMYFUNCTION("GOOGLETRANSLATE(B7252,""id"",""en"")"),"['update', 'satisfying', 'Loading', 'application', 'cutting-edge', 'Thank you', 'Telkomsel', 'Sorry', 'Update', 'Review', 'Please', 'Credit', ' Cut ',' ']")</f>
        <v>['update', 'satisfying', 'Loading', 'application', 'cutting-edge', 'Thank you', 'Telkomsel', 'Sorry', 'Update', 'Review', 'Please', 'Credit', ' Cut ',' ']</v>
      </c>
      <c r="D7252" s="3">
        <v>5.0</v>
      </c>
    </row>
    <row r="7253" ht="15.75" customHeight="1">
      <c r="A7253" s="1">
        <v>7713.0</v>
      </c>
      <c r="B7253" s="3" t="s">
        <v>6930</v>
      </c>
      <c r="C7253" s="3" t="str">
        <f>IFERROR(__xludf.DUMMYFUNCTION("GOOGLETRANSLATE(B7253,""id"",""en"")"),"['Fix', 'your network', 'kyk', 'plz', 'dizziness', 'dizziness', 'eeeee', 'network', 'Telkomsel', '']")</f>
        <v>['Fix', 'your network', 'kyk', 'plz', 'dizziness', 'dizziness', 'eeeee', 'network', 'Telkomsel', '']</v>
      </c>
      <c r="D7253" s="3">
        <v>1.0</v>
      </c>
    </row>
    <row r="7254" ht="15.75" customHeight="1">
      <c r="A7254" s="1">
        <v>7714.0</v>
      </c>
      <c r="B7254" s="3" t="s">
        <v>6931</v>
      </c>
      <c r="C7254" s="3" t="str">
        <f>IFERROR(__xludf.DUMMYFUNCTION("GOOGLETRANSLATE(B7254,""id"",""en"")"),"['Easy', 'check', 'pulse']")</f>
        <v>['Easy', 'check', 'pulse']</v>
      </c>
      <c r="D7254" s="3">
        <v>5.0</v>
      </c>
    </row>
    <row r="7255" ht="15.75" customHeight="1">
      <c r="A7255" s="1">
        <v>7715.0</v>
      </c>
      <c r="B7255" s="3" t="s">
        <v>6932</v>
      </c>
      <c r="C7255" s="3" t="str">
        <f>IFERROR(__xludf.DUMMYFUNCTION("GOOGLETRANSLATE(B7255,""id"",""en"")"),"['card', 'West', 'Dipake', 'Jakarta', 'price', 'Package', 'RB', 'PAS', 'Region', 'Javanese', 'West', 'Normal', ' change ',' friend ',' price ',' normal ']")</f>
        <v>['card', 'West', 'Dipake', 'Jakarta', 'price', 'Package', 'RB', 'PAS', 'Region', 'Javanese', 'West', 'Normal', ' change ',' friend ',' price ',' normal ']</v>
      </c>
      <c r="D7255" s="3">
        <v>3.0</v>
      </c>
    </row>
    <row r="7256" ht="15.75" customHeight="1">
      <c r="A7256" s="1">
        <v>7716.0</v>
      </c>
      <c r="B7256" s="3" t="s">
        <v>6933</v>
      </c>
      <c r="C7256" s="3" t="str">
        <f>IFERROR(__xludf.DUMMYFUNCTION("GOOGLETRANSLATE(B7256,""id"",""en"")"),"['paid', 'now', 'just', 'pulse', 'available', 'share', 'type', 'payment', 'right', 'update', 'ugly', 'really', ' APK ',' Useful ',' Very ',' Krna ',' Available ',' BBRPA ',' Payment ',' Skrmg ',' Update ',' Huknya ',' Good ',' Ancur ']")</f>
        <v>['paid', 'now', 'just', 'pulse', 'available', 'share', 'type', 'payment', 'right', 'update', 'ugly', 'really', ' APK ',' Useful ',' Very ',' Krna ',' Available ',' BBRPA ',' Payment ',' Skrmg ',' Update ',' Huknya ',' Good ',' Ancur ']</v>
      </c>
      <c r="D7256" s="3">
        <v>5.0</v>
      </c>
    </row>
    <row r="7257" ht="15.75" customHeight="1">
      <c r="A7257" s="1">
        <v>7717.0</v>
      </c>
      <c r="B7257" s="3" t="s">
        <v>6934</v>
      </c>
      <c r="C7257" s="3" t="str">
        <f>IFERROR(__xludf.DUMMYFUNCTION("GOOGLETRANSLATE(B7257,""id"",""en"")"),"['network', 'quality', 'just', 'open', 'Telkomsel', 'open', 'application', 'jaringgan', 'no', 'really', 'disappointing']")</f>
        <v>['network', 'quality', 'just', 'open', 'Telkomsel', 'open', 'application', 'jaringgan', 'no', 'really', 'disappointing']</v>
      </c>
      <c r="D7257" s="3">
        <v>1.0</v>
      </c>
    </row>
    <row r="7258" ht="15.75" customHeight="1">
      <c r="A7258" s="1">
        <v>7718.0</v>
      </c>
      <c r="B7258" s="3" t="s">
        <v>6935</v>
      </c>
      <c r="C7258" s="3" t="str">
        <f>IFERROR(__xludf.DUMMYFUNCTION("GOOGLETRANSLATE(B7258,""id"",""en"")"),"['Telkom', 'Indonesia', 'Yesterday', 'Disruption', 'Signal', 'Telkomsel', 'Cause', 'Kabal', 'Disconnect', 'Bite', 'Shark', 'Sea', ' Batam ',' obstacles', 'Error', 'then', 'Signal', 'Telkomsel', 'Morning', 'Try', 'Please', 'Respond', 'Review', 'Trimakasih'"&amp;", ""]")</f>
        <v>['Telkom', 'Indonesia', 'Yesterday', 'Disruption', 'Signal', 'Telkomsel', 'Cause', 'Kabal', 'Disconnect', 'Bite', 'Shark', 'Sea', ' Batam ',' obstacles', 'Error', 'then', 'Signal', 'Telkomsel', 'Morning', 'Try', 'Please', 'Respond', 'Review', 'Trimakasih', "]</v>
      </c>
      <c r="D7258" s="3">
        <v>1.0</v>
      </c>
    </row>
    <row r="7259" ht="15.75" customHeight="1">
      <c r="A7259" s="1">
        <v>7719.0</v>
      </c>
      <c r="B7259" s="3" t="s">
        <v>6936</v>
      </c>
      <c r="C7259" s="3" t="str">
        <f>IFERROR(__xludf.DUMMYFUNCTION("GOOGLETRANSLATE(B7259,""id"",""en"")"),"['Love', 'star', 'already', 'love', 'star', 'spirit', 'Telkomsel', 'hope', ""]")</f>
        <v>['Love', 'star', 'already', 'love', 'star', 'spirit', 'Telkomsel', 'hope', "]</v>
      </c>
      <c r="D7259" s="3">
        <v>1.0</v>
      </c>
    </row>
    <row r="7260" ht="15.75" customHeight="1">
      <c r="A7260" s="1">
        <v>7720.0</v>
      </c>
      <c r="B7260" s="3" t="s">
        <v>1481</v>
      </c>
      <c r="C7260" s="3" t="str">
        <f>IFERROR(__xludf.DUMMYFUNCTION("GOOGLETRANSLATE(B7260,""id"",""en"")"),"['I hope this helps']")</f>
        <v>['I hope this helps']</v>
      </c>
      <c r="D7260" s="3">
        <v>3.0</v>
      </c>
    </row>
    <row r="7261" ht="15.75" customHeight="1">
      <c r="A7261" s="1">
        <v>7721.0</v>
      </c>
      <c r="B7261" s="3" t="s">
        <v>6937</v>
      </c>
      <c r="C7261" s="3" t="str">
        <f>IFERROR(__xludf.DUMMYFUNCTION("GOOGLETRANSLATE(B7261,""id"",""en"")"),"['application', 'potato', 'ever']")</f>
        <v>['application', 'potato', 'ever']</v>
      </c>
      <c r="D7261" s="3">
        <v>1.0</v>
      </c>
    </row>
    <row r="7262" ht="15.75" customHeight="1">
      <c r="A7262" s="1">
        <v>7722.0</v>
      </c>
      <c r="B7262" s="3" t="s">
        <v>6938</v>
      </c>
      <c r="C7262" s="3" t="str">
        <f>IFERROR(__xludf.DUMMYFUNCTION("GOOGLETRANSLATE(B7262,""id"",""en"")"),"['Please', 'signal', 'repaired', 'Direct']")</f>
        <v>['Please', 'signal', 'repaired', 'Direct']</v>
      </c>
      <c r="D7262" s="3">
        <v>3.0</v>
      </c>
    </row>
    <row r="7263" ht="15.75" customHeight="1">
      <c r="A7263" s="1">
        <v>7723.0</v>
      </c>
      <c r="B7263" s="3" t="s">
        <v>6939</v>
      </c>
      <c r="C7263" s="3" t="str">
        <f>IFERROR(__xludf.DUMMYFUNCTION("GOOGLETRANSLATE(B7263,""id"",""en"")"),"['Please', 'network', 'repaired', 'stable', 'TKS', 'Telkomsel']")</f>
        <v>['Please', 'network', 'repaired', 'stable', 'TKS', 'Telkomsel']</v>
      </c>
      <c r="D7263" s="3">
        <v>4.0</v>
      </c>
    </row>
    <row r="7264" ht="15.75" customHeight="1">
      <c r="A7264" s="1">
        <v>7724.0</v>
      </c>
      <c r="B7264" s="3" t="s">
        <v>6940</v>
      </c>
      <c r="C7264" s="3" t="str">
        <f>IFERROR(__xludf.DUMMYFUNCTION("GOOGLETRANSLATE(B7264,""id"",""en"")"),"['contents', 'pulse', 'leftover', 'pulse', 'thousand', 'buy', 'package', 'thousand', 'service', 'telkom', 'like', 'nga']")</f>
        <v>['contents', 'pulse', 'leftover', 'pulse', 'thousand', 'buy', 'package', 'thousand', 'service', 'telkom', 'like', 'nga']</v>
      </c>
      <c r="D7264" s="3">
        <v>2.0</v>
      </c>
    </row>
    <row r="7265" ht="15.75" customHeight="1">
      <c r="A7265" s="1">
        <v>7725.0</v>
      </c>
      <c r="B7265" s="3" t="s">
        <v>6941</v>
      </c>
      <c r="C7265" s="3" t="str">
        <f>IFERROR(__xludf.DUMMYFUNCTION("GOOGLETRANSLATE(B7265,""id"",""en"")"),"['Sorry', 'the application', 'Error', 'Loading', 'reset', 'buy', 'package', 'data', 'application', 'error', 'already', 'update', ' Disturbing ',' Mood ',' Learning ',' No ',' Activein ',' Package ']")</f>
        <v>['Sorry', 'the application', 'Error', 'Loading', 'reset', 'buy', 'package', 'data', 'application', 'error', 'already', 'update', ' Disturbing ',' Mood ',' Learning ',' No ',' Activein ',' Package ']</v>
      </c>
      <c r="D7265" s="3">
        <v>1.0</v>
      </c>
    </row>
    <row r="7266" ht="15.75" customHeight="1">
      <c r="A7266" s="1">
        <v>7726.0</v>
      </c>
      <c r="B7266" s="3" t="s">
        <v>6942</v>
      </c>
      <c r="C7266" s="3" t="str">
        <f>IFERROR(__xludf.DUMMYFUNCTION("GOOGLETRANSLATE(B7266,""id"",""en"")"),"['user', 'active', 'Telkomsel', 'Sampe', 'Network', 'ugly', 'really', ""]")</f>
        <v>['user', 'active', 'Telkomsel', 'Sampe', 'Network', 'ugly', 'really', "]</v>
      </c>
      <c r="D7266" s="3">
        <v>1.0</v>
      </c>
    </row>
    <row r="7267" ht="15.75" customHeight="1">
      <c r="A7267" s="1">
        <v>7727.0</v>
      </c>
      <c r="B7267" s="3" t="s">
        <v>6943</v>
      </c>
      <c r="C7267" s="3" t="str">
        <f>IFERROR(__xludf.DUMMYFUNCTION("GOOGLETRANSLATE(B7267,""id"",""en"")"),"['Honey', 'quota', 'internetku', 'network', 'slow', 'regret', 'use', 'Telkomsel', '']")</f>
        <v>['Honey', 'quota', 'internetku', 'network', 'slow', 'regret', 'use', 'Telkomsel', '']</v>
      </c>
      <c r="D7267" s="3">
        <v>1.0</v>
      </c>
    </row>
    <row r="7268" ht="15.75" customHeight="1">
      <c r="A7268" s="1">
        <v>7728.0</v>
      </c>
      <c r="B7268" s="3" t="s">
        <v>6944</v>
      </c>
      <c r="C7268" s="3" t="str">
        <f>IFERROR(__xludf.DUMMYFUNCTION("GOOGLETRANSLATE(B7268,""id"",""en"")"),"['Disappointed', 'Skarang', 'Wear', 'Telkomsel', 'Dead', 'Lights',' Ujan ',' Storm ',' Safe ',' Network ',' Skarang ',' Dead ',' Lights', 'missing', 'please', 'fix']")</f>
        <v>['Disappointed', 'Skarang', 'Wear', 'Telkomsel', 'Dead', 'Lights',' Ujan ',' Storm ',' Safe ',' Network ',' Skarang ',' Dead ',' Lights', 'missing', 'please', 'fix']</v>
      </c>
      <c r="D7268" s="3">
        <v>1.0</v>
      </c>
    </row>
    <row r="7269" ht="15.75" customHeight="1">
      <c r="A7269" s="1">
        <v>7729.0</v>
      </c>
      <c r="B7269" s="3" t="s">
        <v>6945</v>
      </c>
      <c r="C7269" s="3" t="str">
        <f>IFERROR(__xludf.DUMMYFUNCTION("GOOGLETRANSLATE(B7269,""id"",""en"")"),"['Love', 'Segini', 'Karna', 'Network', 'Sometimes', 'Slow', 'Please', 'Fix', 'Telkomsel', 'Lemot', ""]")</f>
        <v>['Love', 'Segini', 'Karna', 'Network', 'Sometimes', 'Slow', 'Please', 'Fix', 'Telkomsel', 'Lemot', "]</v>
      </c>
      <c r="D7269" s="3">
        <v>3.0</v>
      </c>
    </row>
    <row r="7270" ht="15.75" customHeight="1">
      <c r="A7270" s="1">
        <v>7730.0</v>
      </c>
      <c r="B7270" s="3" t="s">
        <v>6946</v>
      </c>
      <c r="C7270" s="3" t="str">
        <f>IFERROR(__xludf.DUMMYFUNCTION("GOOGLETRANSLATE(B7270,""id"",""en"")"),"['have', 'experience', 'use', 'application', '']")</f>
        <v>['have', 'experience', 'use', 'application', '']</v>
      </c>
      <c r="D7270" s="3">
        <v>5.0</v>
      </c>
    </row>
    <row r="7271" ht="15.75" customHeight="1">
      <c r="A7271" s="1">
        <v>7731.0</v>
      </c>
      <c r="B7271" s="3" t="s">
        <v>6947</v>
      </c>
      <c r="C7271" s="3" t="str">
        <f>IFERROR(__xludf.DUMMYFUNCTION("GOOGLETRANSLATE(B7271,""id"",""en"")"),"['Sinyall', 'fluent', 'Speed', 'Okay', 'Trima', 'Love', 'Telkomsel', 'Customer', 'loyal', 'lhooo', 'hehehe']")</f>
        <v>['Sinyall', 'fluent', 'Speed', 'Okay', 'Trima', 'Love', 'Telkomsel', 'Customer', 'loyal', 'lhooo', 'hehehe']</v>
      </c>
      <c r="D7271" s="3">
        <v>5.0</v>
      </c>
    </row>
    <row r="7272" ht="15.75" customHeight="1">
      <c r="A7272" s="1">
        <v>7732.0</v>
      </c>
      <c r="B7272" s="3" t="s">
        <v>6948</v>
      </c>
      <c r="C7272" s="3" t="str">
        <f>IFERROR(__xludf.DUMMYFUNCTION("GOOGLETRANSLATE(B7272,""id"",""en"")"),"['', 'Understand', 'Telkomsel', 'Credit', 'Cut "",' Promo ',' Quota ',' Buy ',' UDH ',' Gada ',' Signal ',' ugly ',' pdhl ',' right ',' Send ',' Chat ',' Jamkot ',' Sebel ',' Notification ',' Appears', 'Credit', 'Udh', 'Abis',' Clean ',' Quota ', 'Price',"&amp;" 'expensive', 'UDH', 'Cape', 'I', 'Change', 'Provider', ""]")</f>
        <v>['', 'Understand', 'Telkomsel', 'Credit', 'Cut ",' Promo ',' Quota ',' Buy ',' UDH ',' Gada ',' Signal ',' ugly ',' pdhl ',' right ',' Send ',' Chat ',' Jamkot ',' Sebel ',' Notification ',' Appears', 'Credit', 'Udh', 'Abis',' Clean ',' Quota ', 'Price', 'expensive', 'UDH', 'Cape', 'I', 'Change', 'Provider', "]</v>
      </c>
      <c r="D7272" s="3">
        <v>1.0</v>
      </c>
    </row>
    <row r="7273" ht="15.75" customHeight="1">
      <c r="A7273" s="1">
        <v>7733.0</v>
      </c>
      <c r="B7273" s="3" t="s">
        <v>6949</v>
      </c>
      <c r="C7273" s="3" t="str">
        <f>IFERROR(__xludf.DUMMYFUNCTION("GOOGLETRANSLATE(B7273,""id"",""en"")"),"['quota', 'local', 'bought', 'Kecamatan', '']")</f>
        <v>['quota', 'local', 'bought', 'Kecamatan', '']</v>
      </c>
      <c r="D7273" s="3">
        <v>3.0</v>
      </c>
    </row>
    <row r="7274" ht="15.75" customHeight="1">
      <c r="A7274" s="1">
        <v>7734.0</v>
      </c>
      <c r="B7274" s="3" t="s">
        <v>6950</v>
      </c>
      <c r="C7274" s="3" t="str">
        <f>IFERROR(__xludf.DUMMYFUNCTION("GOOGLETRANSLATE(B7274,""id"",""en"")"),"['Thank you', 'Telkomsel', 'Good', 'Skli', 'Use', 'User', 'Data', '']")</f>
        <v>['Thank you', 'Telkomsel', 'Good', 'Skli', 'Use', 'User', 'Data', '']</v>
      </c>
      <c r="D7274" s="3">
        <v>5.0</v>
      </c>
    </row>
    <row r="7275" ht="15.75" customHeight="1">
      <c r="A7275" s="1">
        <v>7735.0</v>
      </c>
      <c r="B7275" s="3" t="s">
        <v>6951</v>
      </c>
      <c r="C7275" s="3" t="str">
        <f>IFERROR(__xludf.DUMMYFUNCTION("GOOGLETRANSLATE(B7275,""id"",""en"")"),"['BERES', 'Network', 'KRTU', 'Telkomsel', 'Current', 'Jaya', 'Why', 'Telkomsel', ""]")</f>
        <v>['BERES', 'Network', 'KRTU', 'Telkomsel', 'Current', 'Jaya', 'Why', 'Telkomsel', "]</v>
      </c>
      <c r="D7275" s="3">
        <v>1.0</v>
      </c>
    </row>
    <row r="7276" ht="15.75" customHeight="1">
      <c r="A7276" s="1">
        <v>7736.0</v>
      </c>
      <c r="B7276" s="3" t="s">
        <v>6952</v>
      </c>
      <c r="C7276" s="3" t="str">
        <f>IFERROR(__xludf.DUMMYFUNCTION("GOOGLETRANSLATE(B7276,""id"",""en"")"),"['package', 'SMS', 'printed', 'application', 'stable', 'location', 'card', 'moved', 'card', 'friend', 'brand', 'type', ' Package ',' SMS ',' Package ',' Tel ',' Stable ',' Nothing ',' Sometimes', 'Sometimes',' Funny One ',' Tukeran ',' Card ',' SIM ',' Pa"&amp;"ckage ' , 'strange', 'buy', 'program', 'package', 'borrow', 'colleague', ""]")</f>
        <v>['package', 'SMS', 'printed', 'application', 'stable', 'location', 'card', 'moved', 'card', 'friend', 'brand', 'type', ' Package ',' SMS ',' Package ',' Tel ',' Stable ',' Nothing ',' Sometimes', 'Sometimes',' Funny One ',' Tukeran ',' Card ',' SIM ',' Package ' , 'strange', 'buy', 'program', 'package', 'borrow', 'colleague', "]</v>
      </c>
      <c r="D7276" s="3">
        <v>1.0</v>
      </c>
    </row>
    <row r="7277" ht="15.75" customHeight="1">
      <c r="A7277" s="1">
        <v>7737.0</v>
      </c>
      <c r="B7277" s="3" t="s">
        <v>1267</v>
      </c>
      <c r="C7277" s="3" t="str">
        <f>IFERROR(__xludf.DUMMYFUNCTION("GOOGLETRANSLATE(B7277,""id"",""en"")"),"['Margnon']")</f>
        <v>['Margnon']</v>
      </c>
      <c r="D7277" s="3">
        <v>5.0</v>
      </c>
    </row>
    <row r="7278" ht="15.75" customHeight="1">
      <c r="A7278" s="1">
        <v>7738.0</v>
      </c>
      <c r="B7278" s="3" t="s">
        <v>6953</v>
      </c>
      <c r="C7278" s="3" t="str">
        <f>IFERROR(__xludf.DUMMYFUNCTION("GOOGLETRANSLATE(B7278,""id"",""en"")"),"['Telkomsel', 'difficult', 'Open', 'update', 'TPI', 'he was', 'told', 'update']")</f>
        <v>['Telkomsel', 'difficult', 'Open', 'update', 'TPI', 'he was', 'told', 'update']</v>
      </c>
      <c r="D7278" s="3">
        <v>3.0</v>
      </c>
    </row>
    <row r="7279" ht="15.75" customHeight="1">
      <c r="A7279" s="1">
        <v>7739.0</v>
      </c>
      <c r="B7279" s="3" t="s">
        <v>6954</v>
      </c>
      <c r="C7279" s="3" t="str">
        <f>IFERROR(__xludf.DUMMYFUNCTION("GOOGLETRANSLATE(B7279,""id"",""en"")"),"['Like', 'Errors',' Difficult ',' Install ',' Difficult ',' Verification ',' Error ',' Use ',' Android ',' Oreo ',' Sok ',' Please ',' Bible ',' Error ',' Atuh ',' Telkomsel ']")</f>
        <v>['Like', 'Errors',' Difficult ',' Install ',' Difficult ',' Verification ',' Error ',' Use ',' Android ',' Oreo ',' Sok ',' Please ',' Bible ',' Error ',' Atuh ',' Telkomsel ']</v>
      </c>
      <c r="D7279" s="3">
        <v>2.0</v>
      </c>
    </row>
    <row r="7280" ht="15.75" customHeight="1">
      <c r="A7280" s="1">
        <v>7740.0</v>
      </c>
      <c r="B7280" s="3" t="s">
        <v>6955</v>
      </c>
      <c r="C7280" s="3" t="str">
        <f>IFERROR(__xludf.DUMMYFUNCTION("GOOGLETRANSLATE(B7280,""id"",""en"")"),"['Good', 'use', 'pulse', 'wasteful', 'usage', '']")</f>
        <v>['Good', 'use', 'pulse', 'wasteful', 'usage', '']</v>
      </c>
      <c r="D7280" s="3">
        <v>5.0</v>
      </c>
    </row>
    <row r="7281" ht="15.75" customHeight="1">
      <c r="A7281" s="1">
        <v>7741.0</v>
      </c>
      <c r="B7281" s="3" t="s">
        <v>669</v>
      </c>
      <c r="C7281" s="3" t="str">
        <f>IFERROR(__xludf.DUMMYFUNCTION("GOOGLETRANSLATE(B7281,""id"",""en"")"),"['good']")</f>
        <v>['good']</v>
      </c>
      <c r="D7281" s="3">
        <v>1.0</v>
      </c>
    </row>
    <row r="7282" ht="15.75" customHeight="1">
      <c r="A7282" s="1">
        <v>7742.0</v>
      </c>
      <c r="B7282" s="3" t="s">
        <v>6956</v>
      </c>
      <c r="C7282" s="3" t="str">
        <f>IFERROR(__xludf.DUMMYFUNCTION("GOOGLETRANSLATE(B7282,""id"",""en"")"),"['signal', 'bar', 'ngelek', 'package', 'buy', 'expensive', 'pulak', 'speed', 'below', 'standard', 'lose', 'Malaysia', ' Malaysia']")</f>
        <v>['signal', 'bar', 'ngelek', 'package', 'buy', 'expensive', 'pulak', 'speed', 'below', 'standard', 'lose', 'Malaysia', ' Malaysia']</v>
      </c>
      <c r="D7282" s="3">
        <v>1.0</v>
      </c>
    </row>
    <row r="7283" ht="15.75" customHeight="1">
      <c r="A7283" s="1">
        <v>7743.0</v>
      </c>
      <c r="B7283" s="3" t="s">
        <v>6957</v>
      </c>
      <c r="C7283" s="3" t="str">
        <f>IFERROR(__xludf.DUMMYFUNCTION("GOOGLETRANSLATE(B7283,""id"",""en"")"),"['Sorry', 'star', 'Reduce', 'Quality', 'Network', 'ugly', 'Ujan', 'Yesterday', 'Safe', 'Minn', 'Post', 'reply', ' Please ',' ']")</f>
        <v>['Sorry', 'star', 'Reduce', 'Quality', 'Network', 'ugly', 'Ujan', 'Yesterday', 'Safe', 'Minn', 'Post', 'reply', ' Please ',' ']</v>
      </c>
      <c r="D7283" s="3">
        <v>1.0</v>
      </c>
    </row>
    <row r="7284" ht="15.75" customHeight="1">
      <c r="A7284" s="1">
        <v>7744.0</v>
      </c>
      <c r="B7284" s="3" t="s">
        <v>6958</v>
      </c>
      <c r="C7284" s="3" t="str">
        <f>IFERROR(__xludf.DUMMYFUNCTION("GOOGLETRANSLATE(B7284,""id"",""en"")"),"['expensive', 'ALLIII', 'MAHALL', 'ALLII']")</f>
        <v>['expensive', 'ALLIII', 'MAHALL', 'ALLII']</v>
      </c>
      <c r="D7284" s="3">
        <v>2.0</v>
      </c>
    </row>
    <row r="7285" ht="15.75" customHeight="1">
      <c r="A7285" s="1">
        <v>7745.0</v>
      </c>
      <c r="B7285" s="3" t="s">
        <v>6959</v>
      </c>
      <c r="C7285" s="3" t="str">
        <f>IFERROR(__xludf.DUMMYFUNCTION("GOOGLETRANSLATE(B7285,""id"",""en"")"),"['stupid', 'gini', 'application', 'failed', 'loading', 'buy', 'package', 'fail', 'pulse']")</f>
        <v>['stupid', 'gini', 'application', 'failed', 'loading', 'buy', 'package', 'fail', 'pulse']</v>
      </c>
      <c r="D7285" s="3">
        <v>5.0</v>
      </c>
    </row>
    <row r="7286" ht="15.75" customHeight="1">
      <c r="A7286" s="1">
        <v>7746.0</v>
      </c>
      <c r="B7286" s="3" t="s">
        <v>6960</v>
      </c>
      <c r="C7286" s="3" t="str">
        <f>IFERROR(__xludf.DUMMYFUNCTION("GOOGLETRANSLATE(B7286,""id"",""en"")"),"['mantep', 'cave', 'contents', 'pulse', 'until', 'package', 'internet', 'pulses', 'sumps', 'cave', 'subscribe', ""]")</f>
        <v>['mantep', 'cave', 'contents', 'pulse', 'until', 'package', 'internet', 'pulses', 'sumps', 'cave', 'subscribe', "]</v>
      </c>
      <c r="D7286" s="3">
        <v>1.0</v>
      </c>
    </row>
    <row r="7287" ht="15.75" customHeight="1">
      <c r="A7287" s="1">
        <v>7747.0</v>
      </c>
      <c r="B7287" s="3" t="s">
        <v>6961</v>
      </c>
      <c r="C7287" s="3" t="str">
        <f>IFERROR(__xludf.DUMMYFUNCTION("GOOGLETRANSLATE(B7287,""id"",""en"")"),"['KNPA', 'quota', 'play', 'game', 'pdhl', 'quota', 'main', 'msa', 'scrol', 'tick', 'tok', 'mlu']")</f>
        <v>['KNPA', 'quota', 'play', 'game', 'pdhl', 'quota', 'main', 'msa', 'scrol', 'tick', 'tok', 'mlu']</v>
      </c>
      <c r="D7287" s="3">
        <v>2.0</v>
      </c>
    </row>
    <row r="7288" ht="15.75" customHeight="1">
      <c r="A7288" s="1">
        <v>7748.0</v>
      </c>
      <c r="B7288" s="3" t="s">
        <v>6962</v>
      </c>
      <c r="C7288" s="3" t="str">
        <f>IFERROR(__xludf.DUMMYFUNCTION("GOOGLETRANSLATE(B7288,""id"",""en"")"),"['easy', 'use', 'package', 'internet', 'cheap', 'festive', 'hahaa']")</f>
        <v>['easy', 'use', 'package', 'internet', 'cheap', 'festive', 'hahaa']</v>
      </c>
      <c r="D7288" s="3">
        <v>5.0</v>
      </c>
    </row>
    <row r="7289" ht="15.75" customHeight="1">
      <c r="A7289" s="1">
        <v>7749.0</v>
      </c>
      <c r="B7289" s="3" t="s">
        <v>6963</v>
      </c>
      <c r="C7289" s="3" t="str">
        <f>IFERROR(__xludf.DUMMYFUNCTION("GOOGLETRANSLATE(B7289,""id"",""en"")"),"['It's easy', 'users',' Cool ',' Hopefully ',' In the future ',' Efficient ',' Cool ',' APDET ',' User ',' Switch ',' Application ',' Awaited ',' Breakthrough ',' works', 'newest', '']")</f>
        <v>['It's easy', 'users',' Cool ',' Hopefully ',' In the future ',' Efficient ',' Cool ',' APDET ',' User ',' Switch ',' Application ',' Awaited ',' Breakthrough ',' works', 'newest', '']</v>
      </c>
      <c r="D7289" s="3">
        <v>5.0</v>
      </c>
    </row>
    <row r="7290" ht="15.75" customHeight="1">
      <c r="A7290" s="1">
        <v>7750.0</v>
      </c>
      <c r="B7290" s="3" t="s">
        <v>6964</v>
      </c>
      <c r="C7290" s="3" t="str">
        <f>IFERROR(__xludf.DUMMYFUNCTION("GOOGLETRANSLATE(B7290,""id"",""en"")"),"['Open', 'Application', 'Telkomsel', 'Check', 'Credit', 'Card', 'Telkomsel', 'Pig']")</f>
        <v>['Open', 'Application', 'Telkomsel', 'Check', 'Credit', 'Card', 'Telkomsel', 'Pig']</v>
      </c>
      <c r="D7290" s="3">
        <v>1.0</v>
      </c>
    </row>
    <row r="7291" ht="15.75" customHeight="1">
      <c r="A7291" s="1">
        <v>7751.0</v>
      </c>
      <c r="B7291" s="3" t="s">
        <v>6965</v>
      </c>
      <c r="C7291" s="3" t="str">
        <f>IFERROR(__xludf.DUMMYFUNCTION("GOOGLETRANSLATE(B7291,""id"",""en"")"),"['company', 'company', 'government', 'play', 'network', 'internet', 'severe', 'care', 'network', ""]")</f>
        <v>['company', 'company', 'government', 'play', 'network', 'internet', 'severe', 'care', 'network', "]</v>
      </c>
      <c r="D7291" s="3">
        <v>1.0</v>
      </c>
    </row>
    <row r="7292" ht="15.75" customHeight="1">
      <c r="A7292" s="1">
        <v>7752.0</v>
      </c>
      <c r="B7292" s="3" t="s">
        <v>6966</v>
      </c>
      <c r="C7292" s="3" t="str">
        <f>IFERROR(__xludf.DUMMYFUNCTION("GOOGLETRANSLATE(B7292,""id"",""en"")"),"['application', 'open', 'UDH', 'repeat', 'times', 'try', 'enter']")</f>
        <v>['application', 'open', 'UDH', 'repeat', 'times', 'try', 'enter']</v>
      </c>
      <c r="D7292" s="3">
        <v>2.0</v>
      </c>
    </row>
    <row r="7293" ht="15.75" customHeight="1">
      <c r="A7293" s="1">
        <v>7753.0</v>
      </c>
      <c r="B7293" s="3" t="s">
        <v>6967</v>
      </c>
      <c r="C7293" s="3" t="str">
        <f>IFERROR(__xludf.DUMMYFUNCTION("GOOGLETRANSLATE(B7293,""id"",""en"")"),"['application', 'Telkom', 'cell', 'help', ""]")</f>
        <v>['application', 'Telkom', 'cell', 'help', "]</v>
      </c>
      <c r="D7293" s="3">
        <v>4.0</v>
      </c>
    </row>
    <row r="7294" ht="15.75" customHeight="1">
      <c r="A7294" s="1">
        <v>7754.0</v>
      </c>
      <c r="B7294" s="3" t="s">
        <v>6968</v>
      </c>
      <c r="C7294" s="3" t="str">
        <f>IFERROR(__xludf.DUMMYFUNCTION("GOOGLETRANSLATE(B7294,""id"",""en"")"),"['Signal', 'lost', 'electricity', 'go out', 'network', 'go out', 'process',' data ',' office ',' broken ',' Gara ',' disconnected ',' Connection ',' ']")</f>
        <v>['Signal', 'lost', 'electricity', 'go out', 'network', 'go out', 'process',' data ',' office ',' broken ',' Gara ',' disconnected ',' Connection ',' ']</v>
      </c>
      <c r="D7294" s="3">
        <v>3.0</v>
      </c>
    </row>
    <row r="7295" ht="15.75" customHeight="1">
      <c r="A7295" s="1">
        <v>7755.0</v>
      </c>
      <c r="B7295" s="3" t="s">
        <v>6969</v>
      </c>
      <c r="C7295" s="3" t="str">
        <f>IFERROR(__xludf.DUMMYFUNCTION("GOOGLETRANSLATE(B7295,""id"",""en"")"),"['Purchase', 'Package', 'telephone', 'bought', 'signal', 'connection', 'Telkomsel', 'bad', 'repeated', 'times',' tried ',' failed ',' Credit ',' Suck ',' Out ',' Disappointed ',' ']")</f>
        <v>['Purchase', 'Package', 'telephone', 'bought', 'signal', 'connection', 'Telkomsel', 'bad', 'repeated', 'times',' tried ',' failed ',' Credit ',' Suck ',' Out ',' Disappointed ',' ']</v>
      </c>
      <c r="D7295" s="3">
        <v>2.0</v>
      </c>
    </row>
    <row r="7296" ht="15.75" customHeight="1">
      <c r="A7296" s="1">
        <v>7756.0</v>
      </c>
      <c r="B7296" s="3" t="s">
        <v>6970</v>
      </c>
      <c r="C7296" s="3" t="str">
        <f>IFERROR(__xludf.DUMMYFUNCTION("GOOGLETRANSLATE(B7296,""id"",""en"")"),"['application', 'garbage', 'point', 'tuker', 'quota', 'point', 'try', 'noon', 'night', 'answer', 'sorry', 'system', ' After ',' Busy ',' Babilah ',' Superior ',' Signalndoang ',' Telkomsel ',' Network ',' Where ',' Lemot ',' Ajah ',' Card ',' His position"&amp;" ',' Ajah ' , 'different']")</f>
        <v>['application', 'garbage', 'point', 'tuker', 'quota', 'point', 'try', 'noon', 'night', 'answer', 'sorry', 'system', ' After ',' Busy ',' Babilah ',' Superior ',' Signalndoang ',' Telkomsel ',' Network ',' Where ',' Lemot ',' Ajah ',' Card ',' His position ',' Ajah ' , 'different']</v>
      </c>
      <c r="D7296" s="3">
        <v>1.0</v>
      </c>
    </row>
    <row r="7297" ht="15.75" customHeight="1">
      <c r="A7297" s="1">
        <v>7757.0</v>
      </c>
      <c r="B7297" s="3" t="s">
        <v>6971</v>
      </c>
      <c r="C7297" s="3" t="str">
        <f>IFERROR(__xludf.DUMMYFUNCTION("GOOGLETRANSLATE(B7297,""id"",""en"")"),"['Download', 'apk', 'Telkomsel', 'good', 'really', 'package', 'internet', 'love', 'star', 'steady', ""]")</f>
        <v>['Download', 'apk', 'Telkomsel', 'good', 'really', 'package', 'internet', 'love', 'star', 'steady', "]</v>
      </c>
      <c r="D7297" s="3">
        <v>5.0</v>
      </c>
    </row>
    <row r="7298" ht="15.75" customHeight="1">
      <c r="A7298" s="1">
        <v>7758.0</v>
      </c>
      <c r="B7298" s="3" t="s">
        <v>6972</v>
      </c>
      <c r="C7298" s="3" t="str">
        <f>IFERROR(__xludf.DUMMYFUNCTION("GOOGLETRANSLATE(B7298,""id"",""en"")"),"['menu', 'good', 'package', 'TPI', 'menu', 'loan']")</f>
        <v>['menu', 'good', 'package', 'TPI', 'menu', 'loan']</v>
      </c>
      <c r="D7298" s="3">
        <v>1.0</v>
      </c>
    </row>
    <row r="7299" ht="15.75" customHeight="1">
      <c r="A7299" s="1">
        <v>7759.0</v>
      </c>
      <c r="B7299" s="3" t="s">
        <v>6973</v>
      </c>
      <c r="C7299" s="3" t="str">
        <f>IFERROR(__xludf.DUMMYFUNCTION("GOOGLETRANSLATE(B7299,""id"",""en"")"),"['quota', 'emergency', 'pay', 'quota', 'mah', 'nipu', ""]")</f>
        <v>['quota', 'emergency', 'pay', 'quota', 'mah', 'nipu', "]</v>
      </c>
      <c r="D7299" s="3">
        <v>2.0</v>
      </c>
    </row>
    <row r="7300" ht="15.75" customHeight="1">
      <c r="A7300" s="1">
        <v>7760.0</v>
      </c>
      <c r="B7300" s="3" t="s">
        <v>6974</v>
      </c>
      <c r="C7300" s="3" t="str">
        <f>IFERROR(__xludf.DUMMYFUNCTION("GOOGLETRANSLATE(B7300,""id"",""en"")"),"['Network', 'Telkomsel', 'missing', 'week', 'connection', 'Live', 'times', 'disconnected']")</f>
        <v>['Network', 'Telkomsel', 'missing', 'week', 'connection', 'Live', 'times', 'disconnected']</v>
      </c>
      <c r="D7300" s="3">
        <v>1.0</v>
      </c>
    </row>
    <row r="7301" ht="15.75" customHeight="1">
      <c r="A7301" s="1">
        <v>7761.0</v>
      </c>
      <c r="B7301" s="3" t="s">
        <v>6975</v>
      </c>
      <c r="C7301" s="3" t="str">
        <f>IFERROR(__xludf.DUMMYFUNCTION("GOOGLETRANSLATE(B7301,""id"",""en"")"),"['', 'Telkomsel', 'easy']")</f>
        <v>['', 'Telkomsel', 'easy']</v>
      </c>
      <c r="D7301" s="3">
        <v>5.0</v>
      </c>
    </row>
    <row r="7302" ht="15.75" customHeight="1">
      <c r="A7302" s="1">
        <v>7762.0</v>
      </c>
      <c r="B7302" s="3" t="s">
        <v>6976</v>
      </c>
      <c r="C7302" s="3" t="str">
        <f>IFERROR(__xludf.DUMMYFUNCTION("GOOGLETRANSLATE(B7302,""id"",""en"")"),"['Severe', 'buy', 'package', 'night', 'payment', 'Gopay', 'Gopay', 'truncated', 'package', 'entered', 'ama', 'Veronika', ' Mangkin ',' Ribet ',' Uda ',' Include ',' proof ']")</f>
        <v>['Severe', 'buy', 'package', 'night', 'payment', 'Gopay', 'Gopay', 'truncated', 'package', 'entered', 'ama', 'Veronika', ' Mangkin ',' Ribet ',' Uda ',' Include ',' proof ']</v>
      </c>
      <c r="D7302" s="3">
        <v>1.0</v>
      </c>
    </row>
    <row r="7303" ht="15.75" customHeight="1">
      <c r="A7303" s="1">
        <v>7763.0</v>
      </c>
      <c r="B7303" s="3" t="s">
        <v>6977</v>
      </c>
      <c r="C7303" s="3" t="str">
        <f>IFERROR(__xludf.DUMMYFUNCTION("GOOGLETRANSLATE(B7303,""id"",""en"")"),"['yaa', 'buy', 'package', 'combo', 'sakti', 'package', 'tlfn', 'download', 'application', 'buy', 'package', 'wear', ' APK ',' MLH ',' buy ',' lgi ', ""]")</f>
        <v>['yaa', 'buy', 'package', 'combo', 'sakti', 'package', 'tlfn', 'download', 'application', 'buy', 'package', 'wear', ' APK ',' MLH ',' buy ',' lgi ', "]</v>
      </c>
      <c r="D7303" s="3">
        <v>3.0</v>
      </c>
    </row>
    <row r="7304" ht="15.75" customHeight="1">
      <c r="A7304" s="1">
        <v>7764.0</v>
      </c>
      <c r="B7304" s="3" t="s">
        <v>6978</v>
      </c>
      <c r="C7304" s="3" t="str">
        <f>IFERROR(__xludf.DUMMYFUNCTION("GOOGLETRANSLATE(B7304,""id"",""en"")"),"['Sometimes',' Telkomsel ',' like ',' take ',' pulse ',' package ',' data ',' nelfon ',' rare ',' pulse ',' really ',' cut ',' Credit ',' The rest ',' claim ',' Reward ',' Bonus', 'Telkomsel', '']")</f>
        <v>['Sometimes',' Telkomsel ',' like ',' take ',' pulse ',' package ',' data ',' nelfon ',' rare ',' pulse ',' really ',' cut ',' Credit ',' The rest ',' claim ',' Reward ',' Bonus', 'Telkomsel', '']</v>
      </c>
      <c r="D7304" s="3">
        <v>4.0</v>
      </c>
    </row>
    <row r="7305" ht="15.75" customHeight="1">
      <c r="A7305" s="1">
        <v>7765.0</v>
      </c>
      <c r="B7305" s="3" t="s">
        <v>6979</v>
      </c>
      <c r="C7305" s="3" t="str">
        <f>IFERROR(__xludf.DUMMYFUNCTION("GOOGLETRANSLATE(B7305,""id"",""en"")"),"['Application', 'Logout']")</f>
        <v>['Application', 'Logout']</v>
      </c>
      <c r="D7305" s="3">
        <v>1.0</v>
      </c>
    </row>
    <row r="7306" ht="15.75" customHeight="1">
      <c r="A7306" s="1">
        <v>7766.0</v>
      </c>
      <c r="B7306" s="3" t="s">
        <v>6980</v>
      </c>
      <c r="C7306" s="3" t="str">
        <f>IFERROR(__xludf.DUMMYFUNCTION("GOOGLETRANSLATE(B7306,""id"",""en"")"),"['ask', 'Package', 'TLP', 'All', 'Operator', 'Minutes',' a month ',' should ',' TLP ',' Telkomsel ',' Donk ',' knp ',' Tetep ',' Sumpot ',' Credit ',' Strange ', ""]")</f>
        <v>['ask', 'Package', 'TLP', 'All', 'Operator', 'Minutes',' a month ',' should ',' TLP ',' Telkomsel ',' Donk ',' knp ',' Tetep ',' Sumpot ',' Credit ',' Strange ', "]</v>
      </c>
      <c r="D7306" s="3">
        <v>1.0</v>
      </c>
    </row>
    <row r="7307" ht="15.75" customHeight="1">
      <c r="A7307" s="1">
        <v>7767.0</v>
      </c>
      <c r="B7307" s="3" t="s">
        <v>6981</v>
      </c>
      <c r="C7307" s="3" t="str">
        <f>IFERROR(__xludf.DUMMYFUNCTION("GOOGLETRANSLATE(B7307,""id"",""en"")"),"['Buy', 'Package', 'Unlimited', 'YouTube', 'Accessible', 'Try', 'check', 'Kouta', 'limit', 'kouta', 'already', 'kantel', ' Used ',' Males', '']")</f>
        <v>['Buy', 'Package', 'Unlimited', 'YouTube', 'Accessible', 'Try', 'check', 'Kouta', 'limit', 'kouta', 'already', 'kantel', ' Used ',' Males', '']</v>
      </c>
      <c r="D7307" s="3">
        <v>1.0</v>
      </c>
    </row>
    <row r="7308" ht="15.75" customHeight="1">
      <c r="A7308" s="1">
        <v>7768.0</v>
      </c>
      <c r="B7308" s="3" t="s">
        <v>6982</v>
      </c>
      <c r="C7308" s="3" t="str">
        <f>IFERROR(__xludf.DUMMYFUNCTION("GOOGLETRANSLATE(B7308,""id"",""en"")"),"['Telkomsel', 'difficult', 'access', 'sorry', 'error', 'system', 'auruh', 'try', 'hemmmm', ""]")</f>
        <v>['Telkomsel', 'difficult', 'access', 'sorry', 'error', 'system', 'auruh', 'try', 'hemmmm', "]</v>
      </c>
      <c r="D7308" s="3">
        <v>1.0</v>
      </c>
    </row>
    <row r="7309" ht="15.75" customHeight="1">
      <c r="A7309" s="1">
        <v>7769.0</v>
      </c>
      <c r="B7309" s="3" t="s">
        <v>6983</v>
      </c>
      <c r="C7309" s="3" t="str">
        <f>IFERROR(__xludf.DUMMYFUNCTION("GOOGLETRANSLATE(B7309,""id"",""en"")"),"['Price', 'Package', 'Doang', 'Ride', 'Quality', 'Very', 'Network', 'ilang', 'Sometimes',' Nongol ',' then ',' ilang ',' at home ',' office ',' where ',' that's', 'anjirr', 'cave', 'buy', 'package', 'per month', 'cheap', 'boss',' work ',' task ' , 'Purpos"&amp;"e', 'Office', 'Macem', 'Quality', 'Chaos', 'Price', 'Package', 'Quality', 'Ride']")</f>
        <v>['Price', 'Package', 'Doang', 'Ride', 'Quality', 'Very', 'Network', 'ilang', 'Sometimes',' Nongol ',' then ',' ilang ',' at home ',' office ',' where ',' that's', 'anjirr', 'cave', 'buy', 'package', 'per month', 'cheap', 'boss',' work ',' task ' , 'Purpose', 'Office', 'Macem', 'Quality', 'Chaos', 'Price', 'Package', 'Quality', 'Ride']</v>
      </c>
      <c r="D7309" s="3">
        <v>2.0</v>
      </c>
    </row>
    <row r="7310" ht="15.75" customHeight="1">
      <c r="A7310" s="1">
        <v>7770.0</v>
      </c>
      <c r="B7310" s="3" t="s">
        <v>6984</v>
      </c>
      <c r="C7310" s="3" t="str">
        <f>IFERROR(__xludf.DUMMYFUNCTION("GOOGLETRANSLATE(B7310,""id"",""en"")"),"['Akh', 'opened', 'Direct', 'JLEG', 'opened', 'already', 'Install', 'reset', 'BBR', 'Times',' JLEG ',' Surpread ',' ']")</f>
        <v>['Akh', 'opened', 'Direct', 'JLEG', 'opened', 'already', 'Install', 'reset', 'BBR', 'Times',' JLEG ',' Surpread ',' ']</v>
      </c>
      <c r="D7310" s="3">
        <v>2.0</v>
      </c>
    </row>
    <row r="7311" ht="15.75" customHeight="1">
      <c r="A7311" s="1">
        <v>7771.0</v>
      </c>
      <c r="B7311" s="3" t="s">
        <v>6985</v>
      </c>
      <c r="C7311" s="3" t="str">
        <f>IFERROR(__xludf.DUMMYFUNCTION("GOOGLETRANSLATE(B7311,""id"",""en"")"),"['Telkomsel', 'Disruption', 'People', 'Move', 'Network', 'Telkomes', 'Disorders', 'Season', 'Mending', 'Pakek', 'Network']")</f>
        <v>['Telkomsel', 'Disruption', 'People', 'Move', 'Network', 'Telkomes', 'Disorders', 'Season', 'Mending', 'Pakek', 'Network']</v>
      </c>
      <c r="D7311" s="3">
        <v>1.0</v>
      </c>
    </row>
    <row r="7312" ht="15.75" customHeight="1">
      <c r="A7312" s="1">
        <v>7772.0</v>
      </c>
      <c r="B7312" s="3" t="s">
        <v>6986</v>
      </c>
      <c r="C7312" s="3" t="str">
        <f>IFERROR(__xludf.DUMMYFUNCTION("GOOGLETRANSLATE(B7312,""id"",""en"")"),"['Like', 'Telkomsel', 'Disappointed', 'Use', 'Provider', 'Telkomsel', 'Network', 'Changed', 'Connection', 'Often', 'Weakening', 'Stay', ' City ',' Where ',' Signal ',' Since ',' Technical ',' Experienced ',' Telkomsel ',' Yesterday ',' Here ',' Down ',' S"&amp;"peed ​​',' Tissue ',' Expensive ' , 'Doang', 'Nge', 'lag']")</f>
        <v>['Like', 'Telkomsel', 'Disappointed', 'Use', 'Provider', 'Telkomsel', 'Network', 'Changed', 'Connection', 'Often', 'Weakening', 'Stay', ' City ',' Where ',' Signal ',' Since ',' Technical ',' Experienced ',' Telkomsel ',' Yesterday ',' Here ',' Down ',' Speed ​​',' Tissue ',' Expensive ' , 'Doang', 'Nge', 'lag']</v>
      </c>
      <c r="D7312" s="3">
        <v>1.0</v>
      </c>
    </row>
    <row r="7313" ht="15.75" customHeight="1">
      <c r="A7313" s="1">
        <v>7773.0</v>
      </c>
      <c r="B7313" s="3" t="s">
        <v>6987</v>
      </c>
      <c r="C7313" s="3" t="str">
        <f>IFERROR(__xludf.DUMMYFUNCTION("GOOGLETRANSLATE(B7313,""id"",""en"")"),"['Help', 'Level', 'promo', 'promo', 'purchase', 'via', 'application', 'MyTelkomsel', ""]")</f>
        <v>['Help', 'Level', 'promo', 'promo', 'purchase', 'via', 'application', 'MyTelkomsel', "]</v>
      </c>
      <c r="D7313" s="3">
        <v>5.0</v>
      </c>
    </row>
    <row r="7314" ht="15.75" customHeight="1">
      <c r="A7314" s="1">
        <v>7774.0</v>
      </c>
      <c r="B7314" s="3" t="s">
        <v>6988</v>
      </c>
      <c r="C7314" s="3" t="str">
        <f>IFERROR(__xludf.DUMMYFUNCTION("GOOGLETRANSLATE(B7314,""id"",""en"")"),"['application', 'Tsel', 'used', 'buy', 'package', 'internet', 'failed', 'told', 'check', 'connection', 'signal', 'smooth', ' Stay ',' city ',' please ',' repay ',' ']")</f>
        <v>['application', 'Tsel', 'used', 'buy', 'package', 'internet', 'failed', 'told', 'check', 'connection', 'signal', 'smooth', ' Stay ',' city ',' please ',' repay ',' ']</v>
      </c>
      <c r="D7314" s="3">
        <v>1.0</v>
      </c>
    </row>
    <row r="7315" ht="15.75" customHeight="1">
      <c r="A7315" s="1">
        <v>7775.0</v>
      </c>
      <c r="B7315" s="3" t="s">
        <v>6989</v>
      </c>
      <c r="C7315" s="3" t="str">
        <f>IFERROR(__xludf.DUMMYFUNCTION("GOOGLETRANSLATE(B7315,""id"",""en"")"),"['purchase', 'extra', 'package', 'subscribe', 'GB', 'BC', 'price', 'package', 'entry', 'increase', 'payment', 'card', ' Hello']")</f>
        <v>['purchase', 'extra', 'package', 'subscribe', 'GB', 'BC', 'price', 'package', 'entry', 'increase', 'payment', 'card', ' Hello']</v>
      </c>
      <c r="D7315" s="3">
        <v>1.0</v>
      </c>
    </row>
    <row r="7316" ht="15.75" customHeight="1">
      <c r="A7316" s="1">
        <v>7776.0</v>
      </c>
      <c r="B7316" s="3" t="s">
        <v>6990</v>
      </c>
      <c r="C7316" s="3" t="str">
        <f>IFERROR(__xludf.DUMMYFUNCTION("GOOGLETRANSLATE(B7316,""id"",""en"")"),"['Network', 'missing', 'play', 'Rank', 'tasty', 'cmn', 'missing', 'update', 'gjlas']")</f>
        <v>['Network', 'missing', 'play', 'Rank', 'tasty', 'cmn', 'missing', 'update', 'gjlas']</v>
      </c>
      <c r="D7316" s="3">
        <v>2.0</v>
      </c>
    </row>
    <row r="7317" ht="15.75" customHeight="1">
      <c r="A7317" s="1">
        <v>7777.0</v>
      </c>
      <c r="B7317" s="3" t="s">
        <v>6991</v>
      </c>
      <c r="C7317" s="3" t="str">
        <f>IFERROR(__xludf.DUMMYFUNCTION("GOOGLETRANSLATE(B7317,""id"",""en"")"),"['Hay', 'Telkomsel', 'Disappointed', 'because', 'pulses',' thousand ',' buy ',' quota ',' repeated ',' failed ',' pulse ',' thousand ',' Angus', 'leftover', 'thousand', 'turn', 'Try', 'buy', 'Bener', 'Bener', 'Maruk', 'really']")</f>
        <v>['Hay', 'Telkomsel', 'Disappointed', 'because', 'pulses',' thousand ',' buy ',' quota ',' repeated ',' failed ',' pulse ',' thousand ',' Angus', 'leftover', 'thousand', 'turn', 'Try', 'buy', 'Bener', 'Bener', 'Maruk', 'really']</v>
      </c>
      <c r="D7317" s="3">
        <v>1.0</v>
      </c>
    </row>
    <row r="7318" ht="15.75" customHeight="1">
      <c r="A7318" s="1">
        <v>7778.0</v>
      </c>
      <c r="B7318" s="3" t="s">
        <v>6992</v>
      </c>
      <c r="C7318" s="3" t="str">
        <f>IFERROR(__xludf.DUMMYFUNCTION("GOOGLETRANSLATE(B7318,""id"",""en"")"),"['makes it easy', 'usage', 'operator', 'Telkomsel']")</f>
        <v>['makes it easy', 'usage', 'operator', 'Telkomsel']</v>
      </c>
      <c r="D7318" s="3">
        <v>4.0</v>
      </c>
    </row>
    <row r="7319" ht="15.75" customHeight="1">
      <c r="A7319" s="1">
        <v>7779.0</v>
      </c>
      <c r="B7319" s="3" t="s">
        <v>6993</v>
      </c>
      <c r="C7319" s="3" t="str">
        <f>IFERROR(__xludf.DUMMYFUNCTION("GOOGLETRANSLATE(B7319,""id"",""en"")"),"['', 'network', 'stable', 'lost', 'network', 'tower', 'network', 'next to', 'location', 'disorder', 'power', 'electricity', 'cutting ',' pulse ',' The reason ',' thank ',' love ',' help ',' annoying ',' work ',' replace ',' card ',' SIM ', ""]")</f>
        <v>['', 'network', 'stable', 'lost', 'network', 'tower', 'network', 'next to', 'location', 'disorder', 'power', 'electricity', 'cutting ',' pulse ',' The reason ',' thank ',' love ',' help ',' annoying ',' work ',' replace ',' card ',' SIM ', "]</v>
      </c>
      <c r="D7319" s="3">
        <v>1.0</v>
      </c>
    </row>
    <row r="7320" ht="15.75" customHeight="1">
      <c r="A7320" s="1">
        <v>7780.0</v>
      </c>
      <c r="B7320" s="3" t="s">
        <v>6994</v>
      </c>
      <c r="C7320" s="3" t="str">
        <f>IFERROR(__xludf.DUMMYFUNCTION("GOOGLETRANSLATE(B7320,""id"",""en"")"),"['buy', 'package', 'quota', 'restart', 'slow', 'open', 'application', 'Facebook', 'Instagram', 'YouTube', 'etc', 'open', ' Game ',' Enter ',' Game ',' FPS ',' Drop ',' Severe ',' Disappointed ']")</f>
        <v>['buy', 'package', 'quota', 'restart', 'slow', 'open', 'application', 'Facebook', 'Instagram', 'YouTube', 'etc', 'open', ' Game ',' Enter ',' Game ',' FPS ',' Drop ',' Severe ',' Disappointed ']</v>
      </c>
      <c r="D7320" s="3">
        <v>1.0</v>
      </c>
    </row>
    <row r="7321" ht="15.75" customHeight="1">
      <c r="A7321" s="1">
        <v>7781.0</v>
      </c>
      <c r="B7321" s="3" t="s">
        <v>6995</v>
      </c>
      <c r="C7321" s="3" t="str">
        <f>IFERROR(__xludf.DUMMYFUNCTION("GOOGLETRANSLATE(B7321,""id"",""en"")"),"['application', 'lie', 'downlot', 'direct', 'buy', 'package', 'data', 'info', 'application', 'tuk', 'purchase', 'GB', ' rb ',' buy ',' enter ',' just ',' GB ',' sorry ',' love ',' star ',' because 'liesi', 'kulo', 'tarip', 'right' , 'Min', 'lie', 'disappo"&amp;"inting']")</f>
        <v>['application', 'lie', 'downlot', 'direct', 'buy', 'package', 'data', 'info', 'application', 'tuk', 'purchase', 'GB', ' rb ',' buy ',' enter ',' just ',' GB ',' sorry ',' love ',' star ',' because 'liesi', 'kulo', 'tarip', 'right' , 'Min', 'lie', 'disappointing']</v>
      </c>
      <c r="D7321" s="3">
        <v>1.0</v>
      </c>
    </row>
    <row r="7322" ht="15.75" customHeight="1">
      <c r="A7322" s="1">
        <v>7782.0</v>
      </c>
      <c r="B7322" s="3" t="s">
        <v>6996</v>
      </c>
      <c r="C7322" s="3" t="str">
        <f>IFERROR(__xludf.DUMMYFUNCTION("GOOGLETRANSLATE(B7322,""id"",""en"")"),"['Please', 'family', 'Try', 'Client', 'Stel', 'Network', 'Stay', 'City', 'Serasa', 'Forest', 'See', 'Network']")</f>
        <v>['Please', 'family', 'Try', 'Client', 'Stel', 'Network', 'Stay', 'City', 'Serasa', 'Forest', 'See', 'Network']</v>
      </c>
      <c r="D7322" s="3">
        <v>1.0</v>
      </c>
    </row>
    <row r="7323" ht="15.75" customHeight="1">
      <c r="A7323" s="1">
        <v>7783.0</v>
      </c>
      <c r="B7323" s="3" t="s">
        <v>6997</v>
      </c>
      <c r="C7323" s="3" t="str">
        <f>IFERROR(__xludf.DUMMYFUNCTION("GOOGLETRANSLATE(B7323,""id"",""en"")"),"['quota', 'monthly', 'expensive', 'use', 'sometimes',' network ',' missing ',' no ',' stable ',' location ',' kalteng ',' district ',' go home ',' knife ',' check ',' min ']")</f>
        <v>['quota', 'monthly', 'expensive', 'use', 'sometimes',' network ',' missing ',' no ',' stable ',' location ',' kalteng ',' district ',' go home ',' knife ',' check ',' min ']</v>
      </c>
      <c r="D7323" s="3">
        <v>4.0</v>
      </c>
    </row>
    <row r="7324" ht="15.75" customHeight="1">
      <c r="A7324" s="1">
        <v>7784.0</v>
      </c>
      <c r="B7324" s="3" t="s">
        <v>6998</v>
      </c>
      <c r="C7324" s="3" t="str">
        <f>IFERROR(__xludf.DUMMYFUNCTION("GOOGLETRANSLATE(B7324,""id"",""en"")"),"['Telkomsel', 'Provider', 'already', 'EGK', 'signal', 'stable', 'Package', 'Paid', 'quota', 'expensive', 'comparable']")</f>
        <v>['Telkomsel', 'Provider', 'already', 'EGK', 'signal', 'stable', 'Package', 'Paid', 'quota', 'expensive', 'comparable']</v>
      </c>
      <c r="D7324" s="3">
        <v>3.0</v>
      </c>
    </row>
    <row r="7325" ht="15.75" customHeight="1">
      <c r="A7325" s="1">
        <v>7785.0</v>
      </c>
      <c r="B7325" s="3" t="s">
        <v>6999</v>
      </c>
      <c r="C7325" s="3" t="str">
        <f>IFERROR(__xludf.DUMMYFUNCTION("GOOGLETRANSLATE(B7325,""id"",""en"")"),"['location', 'mature', 'segantar', 'kalimantan', 'west', 'don', 'know', 'signal', 'tsel', 'sudden', 'missing', 'aje', ' The incident ',' morning ',' Daaaaaan ',' noon ',' cable ',' sea ',' belom ',' finished ',' already ',' normal ', ""]")</f>
        <v>['location', 'mature', 'segantar', 'kalimantan', 'west', 'don', 'know', 'signal', 'tsel', 'sudden', 'missing', 'aje', ' The incident ',' morning ',' Daaaaaan ',' noon ',' cable ',' sea ',' belom ',' finished ',' already ',' normal ', "]</v>
      </c>
      <c r="D7325" s="3">
        <v>3.0</v>
      </c>
    </row>
    <row r="7326" ht="15.75" customHeight="1">
      <c r="A7326" s="1">
        <v>7786.0</v>
      </c>
      <c r="B7326" s="3" t="s">
        <v>7000</v>
      </c>
      <c r="C7326" s="3" t="str">
        <f>IFERROR(__xludf.DUMMYFUNCTION("GOOGLETRANSLATE(B7326,""id"",""en"")"),"['Signal', 'Kayak', 'Nongol', 'Mulu', 'Watch', 'YouTube', 'Loading', 'Really', 'Ad', 'Lacar', 'Jaya', 'Buy', ' money ',' package ',' leaves', 'report', 'klu', 'ask', 'hour', 'make', 'sympathy', 'area', 'problem', 'signal', 'change' , 'solution', 'move', '"&amp;"brand']")</f>
        <v>['Signal', 'Kayak', 'Nongol', 'Mulu', 'Watch', 'YouTube', 'Loading', 'Really', 'Ad', 'Lacar', 'Jaya', 'Buy', ' money ',' package ',' leaves', 'report', 'klu', 'ask', 'hour', 'make', 'sympathy', 'area', 'problem', 'signal', 'change' , 'solution', 'move', 'brand']</v>
      </c>
      <c r="D7326" s="3">
        <v>1.0</v>
      </c>
    </row>
    <row r="7327" ht="15.75" customHeight="1">
      <c r="A7327" s="1">
        <v>7787.0</v>
      </c>
      <c r="B7327" s="3" t="s">
        <v>7001</v>
      </c>
      <c r="C7327" s="3" t="str">
        <f>IFERROR(__xludf.DUMMYFUNCTION("GOOGLETRANSLATE(B7327,""id"",""en"")"),"['Help', 'Features', 'Loans', 'Hopefully', 'Succes', 'Telkomsel', ""]")</f>
        <v>['Help', 'Features', 'Loans', 'Hopefully', 'Succes', 'Telkomsel', "]</v>
      </c>
      <c r="D7327" s="3">
        <v>5.0</v>
      </c>
    </row>
    <row r="7328" ht="15.75" customHeight="1">
      <c r="A7328" s="1">
        <v>7788.0</v>
      </c>
      <c r="B7328" s="3" t="s">
        <v>7002</v>
      </c>
      <c r="C7328" s="3" t="str">
        <f>IFERROR(__xludf.DUMMYFUNCTION("GOOGLETRANSLATE(B7328,""id"",""en"")"),"['', 'complain', 'Gimanapai', 'signal', 'that's',' cable ',' waste ',' tower ',' broken ',' satellite ',' explode ',' care ',' care ',' easy ',' hopefully ',' network ',' bankrupt ',' destroyed ',' civilization ',' troubling ',' consumer ',' harm ',' Hasu"&amp;"kin ',' Ngikutin ',' Support ', 'Network', 'replace', 'according to', 'support', 'network', 'person', 'that's',' bangse ',' complain ',' difficult ',' contact ',' features', 'chat ',' ']")</f>
        <v>['', 'complain', 'Gimanapai', 'signal', 'that's',' cable ',' waste ',' tower ',' broken ',' satellite ',' explode ',' care ',' care ',' easy ',' hopefully ',' network ',' bankrupt ',' destroyed ',' civilization ',' troubling ',' consumer ',' harm ',' Hasukin ',' Ngikutin ',' Support ', 'Network', 'replace', 'according to', 'support', 'network', 'person', 'that's',' bangse ',' complain ',' difficult ',' contact ',' features', 'chat ',' ']</v>
      </c>
      <c r="D7328" s="3">
        <v>1.0</v>
      </c>
    </row>
    <row r="7329" ht="15.75" customHeight="1">
      <c r="A7329" s="1">
        <v>7789.0</v>
      </c>
      <c r="B7329" s="3" t="s">
        <v>7003</v>
      </c>
      <c r="C7329" s="3" t="str">
        <f>IFERROR(__xludf.DUMMYFUNCTION("GOOGLETRANSLATE(B7329,""id"",""en"")"),"['Buy', 'Package', 'Internet', 'MyTelkomsel', 'balance', 'Cut', 'Quota', 'Sampe', 'A Week', 'Enter', 'Udqh', 'Complaint', ' Many ',' times', 'settlement', 'promised', 'honest', 'quota', 'entry', 'no', ""]")</f>
        <v>['Buy', 'Package', 'Internet', 'MyTelkomsel', 'balance', 'Cut', 'Quota', 'Sampe', 'A Week', 'Enter', 'Udqh', 'Complaint', ' Many ',' times', 'settlement', 'promised', 'honest', 'quota', 'entry', 'no', "]</v>
      </c>
      <c r="D7329" s="3">
        <v>1.0</v>
      </c>
    </row>
    <row r="7330" ht="15.75" customHeight="1">
      <c r="A7330" s="1">
        <v>7790.0</v>
      </c>
      <c r="B7330" s="3" t="s">
        <v>7004</v>
      </c>
      <c r="C7330" s="3" t="str">
        <f>IFERROR(__xludf.DUMMYFUNCTION("GOOGLETRANSLATE(B7330,""id"",""en"")"),"['Transaction', 'Linkaja', 'Application', 'MyTelkomsel', '']")</f>
        <v>['Transaction', 'Linkaja', 'Application', 'MyTelkomsel', '']</v>
      </c>
      <c r="D7330" s="3">
        <v>3.0</v>
      </c>
    </row>
    <row r="7331" ht="15.75" customHeight="1">
      <c r="A7331" s="1">
        <v>7791.0</v>
      </c>
      <c r="B7331" s="3" t="s">
        <v>7005</v>
      </c>
      <c r="C7331" s="3" t="str">
        <f>IFERROR(__xludf.DUMMYFUNCTION("GOOGLETRANSLATE(B7331,""id"",""en"")"),"['application', 'spend', 'quota', 'open', 'application', 'access', 'data', '']")</f>
        <v>['application', 'spend', 'quota', 'open', 'application', 'access', 'data', '']</v>
      </c>
      <c r="D7331" s="3">
        <v>1.0</v>
      </c>
    </row>
    <row r="7332" ht="15.75" customHeight="1">
      <c r="A7332" s="1">
        <v>7792.0</v>
      </c>
      <c r="B7332" s="3" t="s">
        <v>7006</v>
      </c>
      <c r="C7332" s="3" t="str">
        <f>IFERROR(__xludf.DUMMYFUNCTION("GOOGLETRANSLATE(B7332,""id"",""en"")"),"['Easy', 'save', 'use', 'Telkomsel']")</f>
        <v>['Easy', 'save', 'use', 'Telkomsel']</v>
      </c>
      <c r="D7332" s="3">
        <v>5.0</v>
      </c>
    </row>
    <row r="7333" ht="15.75" customHeight="1">
      <c r="A7333" s="1">
        <v>7793.0</v>
      </c>
      <c r="B7333" s="3" t="s">
        <v>7007</v>
      </c>
      <c r="C7333" s="3" t="str">
        <f>IFERROR(__xludf.DUMMYFUNCTION("GOOGLETRANSLATE(B7333,""id"",""en"")"),"['quota', 'expensive', 'expensive']")</f>
        <v>['quota', 'expensive', 'expensive']</v>
      </c>
      <c r="D7333" s="3">
        <v>3.0</v>
      </c>
    </row>
    <row r="7334" ht="15.75" customHeight="1">
      <c r="A7334" s="1">
        <v>7794.0</v>
      </c>
      <c r="B7334" s="3" t="s">
        <v>7008</v>
      </c>
      <c r="C7334" s="3" t="str">
        <f>IFERROR(__xludf.DUMMYFUNCTION("GOOGLETRANSLATE(B7334,""id"",""en"")"),"['Delete', 'apk', 'jdi', 'garbage', 'pulse', 'cut', 'rb', 'review', 'pulse', 'cut', 'deleted', 'easy', ' hopefully ',' bankrupt ',' telkomsel ',' axis', 'cheap', 'cut', 'pulse', 'network', 'good']")</f>
        <v>['Delete', 'apk', 'jdi', 'garbage', 'pulse', 'cut', 'rb', 'review', 'pulse', 'cut', 'deleted', 'easy', ' hopefully ',' bankrupt ',' telkomsel ',' axis', 'cheap', 'cut', 'pulse', 'network', 'good']</v>
      </c>
      <c r="D7334" s="3">
        <v>1.0</v>
      </c>
    </row>
    <row r="7335" ht="15.75" customHeight="1">
      <c r="A7335" s="1">
        <v>7795.0</v>
      </c>
      <c r="B7335" s="3" t="s">
        <v>7009</v>
      </c>
      <c r="C7335" s="3" t="str">
        <f>IFERROR(__xludf.DUMMYFUNCTION("GOOGLETRANSLATE(B7335,""id"",""en"")"),"['network', 'like', 'stable', 'suggestion', 'features',' pulses', 'save', 'quota', 'run out', 'harmed', 'realized', 'quota', ' run out ',' pulses', 'sumps',' please ',' fix ']")</f>
        <v>['network', 'like', 'stable', 'suggestion', 'features',' pulses', 'save', 'quota', 'run out', 'harmed', 'realized', 'quota', ' run out ',' pulses', 'sumps',' please ',' fix ']</v>
      </c>
      <c r="D7335" s="3">
        <v>1.0</v>
      </c>
    </row>
    <row r="7336" ht="15.75" customHeight="1">
      <c r="A7336" s="1">
        <v>7796.0</v>
      </c>
      <c r="B7336" s="3" t="s">
        <v>7010</v>
      </c>
      <c r="C7336" s="3" t="str">
        <f>IFERROR(__xludf.DUMMYFUNCTION("GOOGLETRANSLATE(B7336,""id"",""en"")"),"['Cool', 'help', ""]")</f>
        <v>['Cool', 'help', "]</v>
      </c>
      <c r="D7336" s="3">
        <v>5.0</v>
      </c>
    </row>
    <row r="7337" ht="15.75" customHeight="1">
      <c r="A7337" s="1">
        <v>7797.0</v>
      </c>
      <c r="B7337" s="3" t="s">
        <v>7011</v>
      </c>
      <c r="C7337" s="3" t="str">
        <f>IFERROR(__xludf.DUMMYFUNCTION("GOOGLETRANSLATE(B7337,""id"",""en"")"),"['difficult', 'login', 'logo', 'Doank', 'Method', 'Login', 'Method', 'Age', 'Bahula', 'Link', 'SMS', 'Ribet', ' BIN ',' Difficult ',' NPA ',' Link ',' SMS ',' expiration ',' Mulu ',' Kayak ',' Sambel ',' Fast ',' Stale ']")</f>
        <v>['difficult', 'login', 'logo', 'Doank', 'Method', 'Login', 'Method', 'Age', 'Bahula', 'Link', 'SMS', 'Ribet', ' BIN ',' Difficult ',' NPA ',' Link ',' SMS ',' expiration ',' Mulu ',' Kayak ',' Sambel ',' Fast ',' Stale ']</v>
      </c>
      <c r="D7337" s="3">
        <v>1.0</v>
      </c>
    </row>
    <row r="7338" ht="15.75" customHeight="1">
      <c r="A7338" s="1">
        <v>7798.0</v>
      </c>
      <c r="B7338" s="3" t="s">
        <v>7012</v>
      </c>
      <c r="C7338" s="3" t="str">
        <f>IFERROR(__xludf.DUMMYFUNCTION("GOOGLETRANSLATE(B7338,""id"",""en"")"),"['Top', 'pulse', 'nominal', 'sihh', 'pay', 'gopay', 'ehh', 'gopay', 'lose', 'pulses',' enter ',' Hadehhh ',' Please ',' Fix ',' Fear ',' Victim ']")</f>
        <v>['Top', 'pulse', 'nominal', 'sihh', 'pay', 'gopay', 'ehh', 'gopay', 'lose', 'pulses',' enter ',' Hadehhh ',' Please ',' Fix ',' Fear ',' Victim ']</v>
      </c>
      <c r="D7338" s="3">
        <v>2.0</v>
      </c>
    </row>
    <row r="7339" ht="15.75" customHeight="1">
      <c r="A7339" s="1">
        <v>7799.0</v>
      </c>
      <c r="B7339" s="3" t="s">
        <v>7013</v>
      </c>
      <c r="C7339" s="3" t="str">
        <f>IFERROR(__xludf.DUMMYFUNCTION("GOOGLETRANSLATE(B7339,""id"",""en"")"),"['Pekah', 'entry']")</f>
        <v>['Pekah', 'entry']</v>
      </c>
      <c r="D7339" s="3">
        <v>3.0</v>
      </c>
    </row>
    <row r="7340" ht="15.75" customHeight="1">
      <c r="A7340" s="1">
        <v>7800.0</v>
      </c>
      <c r="B7340" s="3" t="s">
        <v>7014</v>
      </c>
      <c r="C7340" s="3" t="str">
        <f>IFERROR(__xludf.DUMMYFUNCTION("GOOGLETRANSLATE(B7340,""id"",""en"")"),"['please', 'Telkomsel', 'already', 'check', 'quota', 'message', 'quota', 'chat', 'music', 'games',' play ',' game ',' Please, 'Fix', 'The problem', 'already', 'buy', 'expensive', 'expensive', 'quota', 'function', ""]")</f>
        <v>['please', 'Telkomsel', 'already', 'check', 'quota', 'message', 'quota', 'chat', 'music', 'games',' play ',' game ',' Please, 'Fix', 'The problem', 'already', 'buy', 'expensive', 'expensive', 'quota', 'function', "]</v>
      </c>
      <c r="D7340" s="3">
        <v>1.0</v>
      </c>
    </row>
    <row r="7341" ht="15.75" customHeight="1">
      <c r="A7341" s="1">
        <v>7801.0</v>
      </c>
      <c r="B7341" s="3" t="s">
        <v>7015</v>
      </c>
      <c r="C7341" s="3" t="str">
        <f>IFERROR(__xludf.DUMMYFUNCTION("GOOGLETRANSLATE(B7341,""id"",""en"")"),"['already', 'week', 'clock', 'clock', 'signal', 'ugly', 'internet', 'kaga', 'nelfon', 'kaga', 'me', 'buy', ' Quota ',' Mending ',' Change ',' Provider ',' Gini ', ""]")</f>
        <v>['already', 'week', 'clock', 'clock', 'signal', 'ugly', 'internet', 'kaga', 'nelfon', 'kaga', 'me', 'buy', ' Quota ',' Mending ',' Change ',' Provider ',' Gini ', "]</v>
      </c>
      <c r="D7341" s="3">
        <v>1.0</v>
      </c>
    </row>
    <row r="7342" ht="15.75" customHeight="1">
      <c r="A7342" s="1">
        <v>7802.0</v>
      </c>
      <c r="B7342" s="3" t="s">
        <v>7016</v>
      </c>
      <c r="C7342" s="3" t="str">
        <f>IFERROR(__xludf.DUMMYFUNCTION("GOOGLETRANSLATE(B7342,""id"",""en"")"),"['method', 'payment', 'Telkomsel', 'appears', 'resolution', 'gmn', 'pulse', 'app']")</f>
        <v>['method', 'payment', 'Telkomsel', 'appears', 'resolution', 'gmn', 'pulse', 'app']</v>
      </c>
      <c r="D7342" s="3">
        <v>2.0</v>
      </c>
    </row>
    <row r="7343" ht="15.75" customHeight="1">
      <c r="A7343" s="1">
        <v>7803.0</v>
      </c>
      <c r="B7343" s="3" t="s">
        <v>7017</v>
      </c>
      <c r="C7343" s="3" t="str">
        <f>IFERROR(__xludf.DUMMYFUNCTION("GOOGLETRANSLATE(B7343,""id"",""en"")"),"['already', 'JRG', 'ugly', 'package', 'expensive']")</f>
        <v>['already', 'JRG', 'ugly', 'package', 'expensive']</v>
      </c>
      <c r="D7343" s="3">
        <v>1.0</v>
      </c>
    </row>
    <row r="7344" ht="15.75" customHeight="1">
      <c r="A7344" s="1">
        <v>7804.0</v>
      </c>
      <c r="B7344" s="3" t="s">
        <v>7018</v>
      </c>
      <c r="C7344" s="3" t="str">
        <f>IFERROR(__xludf.DUMMYFUNCTION("GOOGLETRANSLATE(B7344,""id"",""en"")"),"['cutting', 'credit', 'buy', 'subscription', 'package', 'pulse', 'cut', 'automatic', 'call', 'reason', 'purchase', 'play', ' Store ',' History ',' how ',' responsibility ', ""]")</f>
        <v>['cutting', 'credit', 'buy', 'subscription', 'package', 'pulse', 'cut', 'automatic', 'call', 'reason', 'purchase', 'play', ' Store ',' History ',' how ',' responsibility ', "]</v>
      </c>
      <c r="D7344" s="3">
        <v>1.0</v>
      </c>
    </row>
    <row r="7345" ht="15.75" customHeight="1">
      <c r="A7345" s="1">
        <v>7805.0</v>
      </c>
      <c r="B7345" s="3" t="s">
        <v>7019</v>
      </c>
      <c r="C7345" s="3" t="str">
        <f>IFERROR(__xludf.DUMMYFUNCTION("GOOGLETRANSLATE(B7345,""id"",""en"")"),"['Fraudster', 'buy', 'quota', 'thousand', 'pulse', 'tepakai', 'becuss', 'jdi', 'palman', 'loyal', 'many years']")</f>
        <v>['Fraudster', 'buy', 'quota', 'thousand', 'pulse', 'tepakai', 'becuss', 'jdi', 'palman', 'loyal', 'many years']</v>
      </c>
      <c r="D7345" s="3">
        <v>1.0</v>
      </c>
    </row>
    <row r="7346" ht="15.75" customHeight="1">
      <c r="A7346" s="1">
        <v>7807.0</v>
      </c>
      <c r="B7346" s="3" t="s">
        <v>7020</v>
      </c>
      <c r="C7346" s="3" t="str">
        <f>IFERROR(__xludf.DUMMYFUNCTION("GOOGLETRANSLATE(B7346,""id"",""en"")"),"['Telkomsel', 'network', 'fix', 'people', 'emotion', 'comfortable', 'pdhl', 'cave', 'city', 'nich', 'duhh', 'severe', ' Nich ']")</f>
        <v>['Telkomsel', 'network', 'fix', 'people', 'emotion', 'comfortable', 'pdhl', 'cave', 'city', 'nich', 'duhh', 'severe', ' Nich ']</v>
      </c>
      <c r="D7346" s="3">
        <v>1.0</v>
      </c>
    </row>
    <row r="7347" ht="15.75" customHeight="1">
      <c r="A7347" s="1">
        <v>7808.0</v>
      </c>
      <c r="B7347" s="3" t="s">
        <v>7021</v>
      </c>
      <c r="C7347" s="3" t="str">
        <f>IFERROR(__xludf.DUMMYFUNCTION("GOOGLETRANSLATE(B7347,""id"",""en"")"),"['safety', 'credit', 'service', 'card', 'key', 'pulse', 'pulse', 'drained', 'turn on', 'data', 'Please', 'enhanced']")</f>
        <v>['safety', 'credit', 'service', 'card', 'key', 'pulse', 'pulse', 'drained', 'turn on', 'data', 'Please', 'enhanced']</v>
      </c>
      <c r="D7347" s="3">
        <v>3.0</v>
      </c>
    </row>
    <row r="7348" ht="15.75" customHeight="1">
      <c r="A7348" s="1">
        <v>7809.0</v>
      </c>
      <c r="B7348" s="3" t="s">
        <v>7022</v>
      </c>
      <c r="C7348" s="3" t="str">
        <f>IFERROR(__xludf.DUMMYFUNCTION("GOOGLETRANSLATE(B7348,""id"",""en"")"),"['Good', 'really', 'emergency', 'help', 'thank', 'love', 'Telkomsel']")</f>
        <v>['Good', 'really', 'emergency', 'help', 'thank', 'love', 'Telkomsel']</v>
      </c>
      <c r="D7348" s="3">
        <v>5.0</v>
      </c>
    </row>
    <row r="7349" ht="15.75" customHeight="1">
      <c r="A7349" s="1">
        <v>7810.0</v>
      </c>
      <c r="B7349" s="3" t="s">
        <v>7023</v>
      </c>
      <c r="C7349" s="3" t="str">
        <f>IFERROR(__xludf.DUMMYFUNCTION("GOOGLETRANSLATE(B7349,""id"",""en"")"),"['Disappointed', 'Network', 'Play', 'Game', 'Lag', 'Severe', 'Network', 'Since', 'Change', 'Logo', 'Network', 'Lost', ' network ',' Telkomsel ',' missing ']")</f>
        <v>['Disappointed', 'Network', 'Play', 'Game', 'Lag', 'Severe', 'Network', 'Since', 'Change', 'Logo', 'Network', 'Lost', ' network ',' Telkomsel ',' missing ']</v>
      </c>
      <c r="D7349" s="3">
        <v>1.0</v>
      </c>
    </row>
    <row r="7350" ht="15.75" customHeight="1">
      <c r="A7350" s="1">
        <v>7811.0</v>
      </c>
      <c r="B7350" s="3" t="s">
        <v>7024</v>
      </c>
      <c r="C7350" s="3" t="str">
        <f>IFERROR(__xludf.DUMMYFUNCTION("GOOGLETRANSLATE(B7350,""id"",""en"")"),"['Severe', 'network', 'city', 'lose', 'laen', 'package', 'expensive', 'balance', 'quality', 'network', ""]")</f>
        <v>['Severe', 'network', 'city', 'lose', 'laen', 'package', 'expensive', 'balance', 'quality', 'network', "]</v>
      </c>
      <c r="D7350" s="3">
        <v>1.0</v>
      </c>
    </row>
    <row r="7351" ht="15.75" customHeight="1">
      <c r="A7351" s="1">
        <v>7812.0</v>
      </c>
      <c r="B7351" s="3" t="s">
        <v>7025</v>
      </c>
      <c r="C7351" s="3" t="str">
        <f>IFERROR(__xludf.DUMMYFUNCTION("GOOGLETRANSLATE(B7351,""id"",""en"")"),"['Hello', 'min', 'application', 'free', 'WhatsApp', 'Facebook', '']")</f>
        <v>['Hello', 'min', 'application', 'free', 'WhatsApp', 'Facebook', '']</v>
      </c>
      <c r="D7351" s="3">
        <v>3.0</v>
      </c>
    </row>
    <row r="7352" ht="15.75" customHeight="1">
      <c r="A7352" s="1">
        <v>7813.0</v>
      </c>
      <c r="B7352" s="3" t="s">
        <v>7026</v>
      </c>
      <c r="C7352" s="3" t="str">
        <f>IFERROR(__xludf.DUMMYFUNCTION("GOOGLETRANSLATE(B7352,""id"",""en"")"),"['expensive', 'expensive', 'package', 'internet', 'price', 'until', 'skg', 'then', 'package', 'game', 'pub', 'knp', ' skg ',' no ',' uda ',' expensive ',' network ',' please ',' min ',' package ',' internet ',' price ',' back ',' can ',' buy ' , 'then', '"&amp;"']")</f>
        <v>['expensive', 'expensive', 'package', 'internet', 'price', 'until', 'skg', 'then', 'package', 'game', 'pub', 'knp', ' skg ',' no ',' uda ',' expensive ',' network ',' please ',' min ',' package ',' internet ',' price ',' back ',' can ',' buy ' , 'then', '']</v>
      </c>
      <c r="D7352" s="3">
        <v>3.0</v>
      </c>
    </row>
    <row r="7353" ht="15.75" customHeight="1">
      <c r="A7353" s="1">
        <v>7814.0</v>
      </c>
      <c r="B7353" s="3" t="s">
        <v>7027</v>
      </c>
      <c r="C7353" s="3" t="str">
        <f>IFERROR(__xludf.DUMMYFUNCTION("GOOGLETRANSLATE(B7353,""id"",""en"")"),"['Severe', 'really', 'quota', 'TB', 'Abis',' last night ',' Porn ',' Woyy ',' cave ',' semalem ',' TDR ',' off ',' Data ',' bngun ',' already ',' sleep ',' card ',' rich ',' already ',' feasible ',' complain ']")</f>
        <v>['Severe', 'really', 'quota', 'TB', 'Abis',' last night ',' Porn ',' Woyy ',' cave ',' semalem ',' TDR ',' off ',' Data ',' bngun ',' already ',' sleep ',' card ',' rich ',' already ',' feasible ',' complain ']</v>
      </c>
      <c r="D7353" s="3">
        <v>1.0</v>
      </c>
    </row>
    <row r="7354" ht="15.75" customHeight="1">
      <c r="A7354" s="1">
        <v>7815.0</v>
      </c>
      <c r="B7354" s="3" t="s">
        <v>1715</v>
      </c>
      <c r="C7354" s="3" t="str">
        <f>IFERROR(__xludf.DUMMYFUNCTION("GOOGLETRANSLATE(B7354,""id"",""en"")"),"['Telkomsel', 'okay']")</f>
        <v>['Telkomsel', 'okay']</v>
      </c>
      <c r="D7354" s="3">
        <v>5.0</v>
      </c>
    </row>
    <row r="7355" ht="15.75" customHeight="1">
      <c r="A7355" s="1">
        <v>7816.0</v>
      </c>
      <c r="B7355" s="3" t="s">
        <v>7028</v>
      </c>
      <c r="C7355" s="3" t="str">
        <f>IFERROR(__xludf.DUMMYFUNCTION("GOOGLETRANSLATE(B7355,""id"",""en"")"),"['slow', 'difficult', 'open', 'buy', 'package', 'ajah', 'open', 'menu', 'shop', 'loading', 'peak', '']")</f>
        <v>['slow', 'difficult', 'open', 'buy', 'package', 'ajah', 'open', 'menu', 'shop', 'loading', 'peak', '']</v>
      </c>
      <c r="D7355" s="3">
        <v>2.0</v>
      </c>
    </row>
    <row r="7356" ht="15.75" customHeight="1">
      <c r="A7356" s="1">
        <v>7817.0</v>
      </c>
      <c r="B7356" s="3" t="s">
        <v>7029</v>
      </c>
      <c r="C7356" s="3" t="str">
        <f>IFERROR(__xludf.DUMMYFUNCTION("GOOGLETRANSLATE(B7356,""id"",""en"")"),"['Telkomsel', 'loop', 'steady']")</f>
        <v>['Telkomsel', 'loop', 'steady']</v>
      </c>
      <c r="D7356" s="3">
        <v>5.0</v>
      </c>
    </row>
    <row r="7357" ht="15.75" customHeight="1">
      <c r="A7357" s="1">
        <v>7818.0</v>
      </c>
      <c r="B7357" s="3" t="s">
        <v>7030</v>
      </c>
      <c r="C7357" s="3" t="str">
        <f>IFERROR(__xludf.DUMMYFUNCTION("GOOGLETRANSLATE(B7357,""id"",""en"")"),"['The network', 'bad']")</f>
        <v>['The network', 'bad']</v>
      </c>
      <c r="D7357" s="3">
        <v>3.0</v>
      </c>
    </row>
    <row r="7358" ht="15.75" customHeight="1">
      <c r="A7358" s="1">
        <v>7819.0</v>
      </c>
      <c r="B7358" s="3" t="s">
        <v>7031</v>
      </c>
      <c r="C7358" s="3" t="str">
        <f>IFERROR(__xludf.DUMMYFUNCTION("GOOGLETRANSLATE(B7358,""id"",""en"")"),"['Star', 'Ajalah', 'Claims',' Gifts', 'GB', 'Limits',' Claims', 'Perhari', 'fulfilled', 'emang', 'limit', 'claim', ' Points', 'every day', 'and then', 'Claims',' Gifts', 'Notice', 'Success',' Koq ',' Enter ',' Strange ',' Alert ',' Reality ',' Connect ' ,"&amp;" 'system', 'update', 'udh', '']")</f>
        <v>['Star', 'Ajalah', 'Claims',' Gifts', 'GB', 'Limits',' Claims', 'Perhari', 'fulfilled', 'emang', 'limit', 'claim', ' Points', 'every day', 'and then', 'Claims',' Gifts', 'Notice', 'Success',' Koq ',' Enter ',' Strange ',' Alert ',' Reality ',' Connect ' , 'system', 'update', 'udh', '']</v>
      </c>
      <c r="D7358" s="3">
        <v>3.0</v>
      </c>
    </row>
    <row r="7359" ht="15.75" customHeight="1">
      <c r="A7359" s="1">
        <v>7820.0</v>
      </c>
      <c r="B7359" s="3" t="s">
        <v>7032</v>
      </c>
      <c r="C7359" s="3" t="str">
        <f>IFERROR(__xludf.DUMMYFUNCTION("GOOGLETRANSLATE(B7359,""id"",""en"")"),"['buy', 'package', 'extra', 'unlimited', 'active', 'ngikutin', 'active', 'nyah', 'knp', 'right', 'sya', 'pke', ' package ',' extra ',' unlimited ',' NYH ',' PDA ',' Loading ',' Doang ',' SMA ',' Gane ',' situ ',' Text ',' PKai ', ""]")</f>
        <v>['buy', 'package', 'extra', 'unlimited', 'active', 'ngikutin', 'active', 'nyah', 'knp', 'right', 'sya', 'pke', ' package ',' extra ',' unlimited ',' NYH ',' PDA ',' Loading ',' Doang ',' SMA ',' Gane ',' situ ',' Text ',' PKai ', "]</v>
      </c>
      <c r="D7359" s="3">
        <v>3.0</v>
      </c>
    </row>
    <row r="7360" ht="15.75" customHeight="1">
      <c r="A7360" s="1">
        <v>7821.0</v>
      </c>
      <c r="B7360" s="3" t="s">
        <v>7033</v>
      </c>
      <c r="C7360" s="3" t="str">
        <f>IFERROR(__xludf.DUMMYFUNCTION("GOOGLETRANSLATE(B7360,""id"",""en"")"),"['loss',' really ',' buy ',' quota ',' front ',' quota ',' leftover ',' active ',' quota ',' scorched ',' sometimes', 'leftover', ' No ',' accumulated ',' really ',' detrimental ',' consumer ', ""]")</f>
        <v>['loss',' really ',' buy ',' quota ',' front ',' quota ',' leftover ',' active ',' quota ',' scorched ',' sometimes', 'leftover', ' No ',' accumulated ',' really ',' detrimental ',' consumer ', "]</v>
      </c>
      <c r="D7360" s="3">
        <v>3.0</v>
      </c>
    </row>
    <row r="7361" ht="15.75" customHeight="1">
      <c r="A7361" s="1">
        <v>7823.0</v>
      </c>
      <c r="B7361" s="3" t="s">
        <v>7034</v>
      </c>
      <c r="C7361" s="3" t="str">
        <f>IFERROR(__xludf.DUMMYFUNCTION("GOOGLETRANSLATE(B7361,""id"",""en"")"),"['apply', 'package', 'actual', 'check', 'starts',' smooth ',' routine ',' check ',' direct ',' jammed ',' Telkomsel ',' cool ',' Improved ',' Donk ',' Service ', ""]")</f>
        <v>['apply', 'package', 'actual', 'check', 'starts',' smooth ',' routine ',' check ',' direct ',' jammed ',' Telkomsel ',' cool ',' Improved ',' Donk ',' Service ', "]</v>
      </c>
      <c r="D7361" s="3">
        <v>3.0</v>
      </c>
    </row>
    <row r="7362" ht="15.75" customHeight="1">
      <c r="A7362" s="1">
        <v>7824.0</v>
      </c>
      <c r="B7362" s="3" t="s">
        <v>7035</v>
      </c>
      <c r="C7362" s="3" t="str">
        <f>IFERROR(__xludf.DUMMYFUNCTION("GOOGLETRANSLATE(B7362,""id"",""en"")"),"['easy', 'use', 'promo']")</f>
        <v>['easy', 'use', 'promo']</v>
      </c>
      <c r="D7362" s="3">
        <v>5.0</v>
      </c>
    </row>
    <row r="7363" ht="15.75" customHeight="1">
      <c r="A7363" s="1">
        <v>7825.0</v>
      </c>
      <c r="B7363" s="3" t="s">
        <v>7036</v>
      </c>
      <c r="C7363" s="3" t="str">
        <f>IFERROR(__xludf.DUMMYFUNCTION("GOOGLETRANSLATE(B7363,""id"",""en"")"),"['Error', 'Telkomsel', 'Telkomsel', 'gabisa', 'opened', 'UDH', 'updated']")</f>
        <v>['Error', 'Telkomsel', 'Telkomsel', 'gabisa', 'opened', 'UDH', 'updated']</v>
      </c>
      <c r="D7363" s="3">
        <v>2.0</v>
      </c>
    </row>
    <row r="7364" ht="15.75" customHeight="1">
      <c r="A7364" s="1">
        <v>7826.0</v>
      </c>
      <c r="B7364" s="3" t="s">
        <v>7037</v>
      </c>
      <c r="C7364" s="3" t="str">
        <f>IFERROR(__xludf.DUMMYFUNCTION("GOOGLETRANSLATE(B7364,""id"",""en"")"),"['', 'Telkomsel', 'help', 'purchase', 'voucher', 'internet', 'telephone', 'transaction', 'easy', 'fast']")</f>
        <v>['', 'Telkomsel', 'help', 'purchase', 'voucher', 'internet', 'telephone', 'transaction', 'easy', 'fast']</v>
      </c>
      <c r="D7364" s="3">
        <v>5.0</v>
      </c>
    </row>
    <row r="7365" ht="15.75" customHeight="1">
      <c r="A7365" s="1">
        <v>7827.0</v>
      </c>
      <c r="B7365" s="3" t="s">
        <v>7038</v>
      </c>
      <c r="C7365" s="3" t="str">
        <f>IFERROR(__xludf.DUMMYFUNCTION("GOOGLETRANSLATE(B7365,""id"",""en"")"),"['Change', 'Application', 'Log', 'Ribet', 'skrg', 'bsa', ""]")</f>
        <v>['Change', 'Application', 'Log', 'Ribet', 'skrg', 'bsa', "]</v>
      </c>
      <c r="D7365" s="3">
        <v>1.0</v>
      </c>
    </row>
    <row r="7366" ht="15.75" customHeight="1">
      <c r="A7366" s="1">
        <v>7828.0</v>
      </c>
      <c r="B7366" s="3" t="s">
        <v>7039</v>
      </c>
      <c r="C7366" s="3" t="str">
        <f>IFERROR(__xludf.DUMMYFUNCTION("GOOGLETRANSLATE(B7366,""id"",""en"")"),"['Woy', 'Telkomsel', 'gabisa', 'buy', 'package', 'already', 'buy', 'pulse', 'lunsain', 'package', 'emergency', 'paid', ' Pliss', 'fix', 'buy', 'package', 'asww']")</f>
        <v>['Woy', 'Telkomsel', 'gabisa', 'buy', 'package', 'already', 'buy', 'pulse', 'lunsain', 'package', 'emergency', 'paid', ' Pliss', 'fix', 'buy', 'package', 'asww']</v>
      </c>
      <c r="D7366" s="3">
        <v>1.0</v>
      </c>
    </row>
    <row r="7367" ht="15.75" customHeight="1">
      <c r="A7367" s="1">
        <v>7829.0</v>
      </c>
      <c r="B7367" s="3" t="s">
        <v>7040</v>
      </c>
      <c r="C7367" s="3" t="str">
        <f>IFERROR(__xludf.DUMMYFUNCTION("GOOGLETRANSLATE(B7367,""id"",""en"")"),"['Sorry', 'down', 'star', 'trapped', 'Marketing', 'Telkomsel', 'Hello', 'mutation', 'Hello', 'he knows',' Pay ',' Gede ',' really ',' keep ',' card ',' shocked ',' tetep ',' bill ',' dipake ',' tetep ',' hit ',' tap ',' marketing ',' clear ',' deactivate "&amp;"' , 'card', 'Hello', 'how', ""]")</f>
        <v>['Sorry', 'down', 'star', 'trapped', 'Marketing', 'Telkomsel', 'Hello', 'mutation', 'Hello', 'he knows',' Pay ',' Gede ',' really ',' keep ',' card ',' shocked ',' tetep ',' bill ',' dipake ',' tetep ',' hit ',' tap ',' marketing ',' clear ',' deactivate ' , 'card', 'Hello', 'how', "]</v>
      </c>
      <c r="D7367" s="3">
        <v>2.0</v>
      </c>
    </row>
    <row r="7368" ht="15.75" customHeight="1">
      <c r="A7368" s="1">
        <v>7830.0</v>
      </c>
      <c r="B7368" s="3" t="s">
        <v>7041</v>
      </c>
      <c r="C7368" s="3" t="str">
        <f>IFERROR(__xludf.DUMMYFUNCTION("GOOGLETRANSLATE(B7368,""id"",""en"")"),"['Blum', 'Reviews',' opinions', 'developed', 'insight', 'in the future', 'generation', 'child', 'grandchild', 'know', 'believe', 'MyTelkomsel', ' Thanks']")</f>
        <v>['Blum', 'Reviews',' opinions', 'developed', 'insight', 'in the future', 'generation', 'child', 'grandchild', 'know', 'believe', 'MyTelkomsel', ' Thanks']</v>
      </c>
      <c r="D7368" s="3">
        <v>5.0</v>
      </c>
    </row>
    <row r="7369" ht="15.75" customHeight="1">
      <c r="A7369" s="1">
        <v>7831.0</v>
      </c>
      <c r="B7369" s="3" t="s">
        <v>7042</v>
      </c>
      <c r="C7369" s="3" t="str">
        <f>IFERROR(__xludf.DUMMYFUNCTION("GOOGLETRANSLATE(B7369,""id"",""en"")"),"['Bejibun', 'Notif', 'promo', 'contents', 'according to', 'disturbing', 'Season', 'really', ""]")</f>
        <v>['Bejibun', 'Notif', 'promo', 'contents', 'according to', 'disturbing', 'Season', 'really', "]</v>
      </c>
      <c r="D7369" s="3">
        <v>1.0</v>
      </c>
    </row>
    <row r="7370" ht="15.75" customHeight="1">
      <c r="A7370" s="1">
        <v>7832.0</v>
      </c>
      <c r="B7370" s="3" t="s">
        <v>7043</v>
      </c>
      <c r="C7370" s="3" t="str">
        <f>IFERROR(__xludf.DUMMYFUNCTION("GOOGLETRANSLATE(B7370,""id"",""en"")"),"['happy', 'Telkomsel', 'network', 'good', 'package', 'cheap', 'thank you', 'Telkomsel', 'loyal', 'promo', 'package', 'cheap', ' ']")</f>
        <v>['happy', 'Telkomsel', 'network', 'good', 'package', 'cheap', 'thank you', 'Telkomsel', 'loyal', 'promo', 'package', 'cheap', ' ']</v>
      </c>
      <c r="D7370" s="3">
        <v>5.0</v>
      </c>
    </row>
    <row r="7371" ht="15.75" customHeight="1">
      <c r="A7371" s="1">
        <v>7833.0</v>
      </c>
      <c r="B7371" s="3" t="s">
        <v>7044</v>
      </c>
      <c r="C7371" s="3" t="str">
        <f>IFERROR(__xludf.DUMMYFUNCTION("GOOGLETRANSLATE(B7371,""id"",""en"")"),"['My APK', 'Good', 'Network', 'Data', 'Telkomsel', 'Good', 'Sometimes',' Sometimes', 'Open', 'My APK', 'Most', 'Muter', ' LOINDING ',' OPRATOR ',' Network ',' Data ',' Mengebuka ',' APK ',' Current ']")</f>
        <v>['My APK', 'Good', 'Network', 'Data', 'Telkomsel', 'Good', 'Sometimes',' Sometimes', 'Open', 'My APK', 'Most', 'Muter', ' LOINDING ',' OPRATOR ',' Network ',' Data ',' Mengebuka ',' APK ',' Current ']</v>
      </c>
      <c r="D7371" s="3">
        <v>5.0</v>
      </c>
    </row>
    <row r="7372" ht="15.75" customHeight="1">
      <c r="A7372" s="1">
        <v>7834.0</v>
      </c>
      <c r="B7372" s="3" t="s">
        <v>7045</v>
      </c>
      <c r="C7372" s="3" t="str">
        <f>IFERROR(__xludf.DUMMYFUNCTION("GOOGLETRANSLATE(B7372,""id"",""en"")"),"['signal', 'ugly', 'Telkomsel', 'buy', 'unlimited', 'Telkomsel', 'just', 'doang', 'tick', 'tok', 'muter', 'mulu', ' ']")</f>
        <v>['signal', 'ugly', 'Telkomsel', 'buy', 'unlimited', 'Telkomsel', 'just', 'doang', 'tick', 'tok', 'muter', 'mulu', ' ']</v>
      </c>
      <c r="D7372" s="3">
        <v>1.0</v>
      </c>
    </row>
    <row r="7373" ht="15.75" customHeight="1">
      <c r="A7373" s="1">
        <v>7835.0</v>
      </c>
      <c r="B7373" s="3" t="s">
        <v>7046</v>
      </c>
      <c r="C7373" s="3" t="str">
        <f>IFERROR(__xludf.DUMMYFUNCTION("GOOGLETRANSLATE(B7373,""id"",""en"")"),"['WOI', 'owner', 'Telkomsel', 'replace', 'name', 'card', 'sympathy', 'card', 'blaston', 'name', 'sympathy', ' people ',' use ',' learn ',' kek ',' gini ',' signal ',' ugly ']")</f>
        <v>['WOI', 'owner', 'Telkomsel', 'replace', 'name', 'card', 'sympathy', 'card', 'blaston', 'name', 'sympathy', ' people ',' use ',' learn ',' kek ',' gini ',' signal ',' ugly ']</v>
      </c>
      <c r="D7373" s="3">
        <v>1.0</v>
      </c>
    </row>
    <row r="7374" ht="15.75" customHeight="1">
      <c r="A7374" s="1">
        <v>7836.0</v>
      </c>
      <c r="B7374" s="3" t="s">
        <v>1280</v>
      </c>
      <c r="C7374" s="3" t="str">
        <f>IFERROR(__xludf.DUMMYFUNCTION("GOOGLETRANSLATE(B7374,""id"",""en"")"),"['Telkomsel', 'steady']")</f>
        <v>['Telkomsel', 'steady']</v>
      </c>
      <c r="D7374" s="3">
        <v>5.0</v>
      </c>
    </row>
    <row r="7375" ht="15.75" customHeight="1">
      <c r="A7375" s="1">
        <v>7837.0</v>
      </c>
      <c r="B7375" s="3" t="s">
        <v>7047</v>
      </c>
      <c r="C7375" s="3" t="str">
        <f>IFERROR(__xludf.DUMMYFUNCTION("GOOGLETRANSLATE(B7375,""id"",""en"")"),"['Signal', 'Severe']")</f>
        <v>['Signal', 'Severe']</v>
      </c>
      <c r="D7375" s="3">
        <v>1.0</v>
      </c>
    </row>
    <row r="7376" ht="15.75" customHeight="1">
      <c r="A7376" s="1">
        <v>7838.0</v>
      </c>
      <c r="B7376" s="3" t="s">
        <v>7048</v>
      </c>
      <c r="C7376" s="3" t="str">
        <f>IFERROR(__xludf.DUMMYFUNCTION("GOOGLETRANSLATE(B7376,""id"",""en"")"),"['Yesterday', 'love', 'star', 'Addin', 'star', 'star', 'star', 'Halu', 'Telkomsel', ""]")</f>
        <v>['Yesterday', 'love', 'star', 'Addin', 'star', 'star', 'star', 'Halu', 'Telkomsel', "]</v>
      </c>
      <c r="D7376" s="3">
        <v>2.0</v>
      </c>
    </row>
    <row r="7377" ht="15.75" customHeight="1">
      <c r="A7377" s="1">
        <v>7840.0</v>
      </c>
      <c r="B7377" s="3" t="s">
        <v>7049</v>
      </c>
      <c r="C7377" s="3" t="str">
        <f>IFERROR(__xludf.DUMMYFUNCTION("GOOGLETRANSLATE(B7377,""id"",""en"")"),"['network', 'internet', 'Telkomsel', 'slow', 'clock', 'night', 'morning', 'sometimes',' connection ',' disconnected ',' cool ',' Game ',' Disappointed ',' ']")</f>
        <v>['network', 'internet', 'Telkomsel', 'slow', 'clock', 'night', 'morning', 'sometimes',' connection ',' disconnected ',' cool ',' Game ',' Disappointed ',' ']</v>
      </c>
      <c r="D7377" s="3">
        <v>1.0</v>
      </c>
    </row>
    <row r="7378" ht="15.75" customHeight="1">
      <c r="A7378" s="1">
        <v>7841.0</v>
      </c>
      <c r="B7378" s="3" t="s">
        <v>7050</v>
      </c>
      <c r="C7378" s="3" t="str">
        <f>IFERROR(__xludf.DUMMYFUNCTION("GOOGLETRANSLATE(B7378,""id"",""en"")"),"['Telkomsel', 'Mengupgred', 'Network', 'Network', 'Upgred', 'Disruptive', 'Network', 'Please', 'Telkomsel', 'Network', 'Upgred', 'Network', ' Until ',' disturbed ']")</f>
        <v>['Telkomsel', 'Mengupgred', 'Network', 'Network', 'Upgred', 'Disruptive', 'Network', 'Please', 'Telkomsel', 'Network', 'Upgred', 'Network', ' Until ',' disturbed ']</v>
      </c>
      <c r="D7378" s="3">
        <v>1.0</v>
      </c>
    </row>
    <row r="7379" ht="15.75" customHeight="1">
      <c r="A7379" s="1">
        <v>7842.0</v>
      </c>
      <c r="B7379" s="3" t="s">
        <v>7051</v>
      </c>
      <c r="C7379" s="3" t="str">
        <f>IFERROR(__xludf.DUMMYFUNCTION("GOOGLETRANSLATE(B7379,""id"",""en"")"),"['Disappointed', 'Telkomsel', 'Price', 'Expensive', 'Quality', 'Network', 'Bad', 'City', 'Signal', 'Lemot', 'Disappointed', 'Telkomsel', ' bad']")</f>
        <v>['Disappointed', 'Telkomsel', 'Price', 'Expensive', 'Quality', 'Network', 'Bad', 'City', 'Signal', 'Lemot', 'Disappointed', 'Telkomsel', ' bad']</v>
      </c>
      <c r="D7379" s="3">
        <v>1.0</v>
      </c>
    </row>
    <row r="7380" ht="15.75" customHeight="1">
      <c r="A7380" s="1">
        <v>7843.0</v>
      </c>
      <c r="B7380" s="3" t="s">
        <v>7052</v>
      </c>
      <c r="C7380" s="3" t="str">
        <f>IFERROR(__xludf.DUMMYFUNCTION("GOOGLETRANSLATE(B7380,""id"",""en"")"),"['Contents', 'pulses', 'Abis', 'Cut', 'nlpon', 'anything', 'annoyed', '']")</f>
        <v>['Contents', 'pulses', 'Abis', 'Cut', 'nlpon', 'anything', 'annoyed', '']</v>
      </c>
      <c r="D7380" s="3">
        <v>1.0</v>
      </c>
    </row>
    <row r="7381" ht="15.75" customHeight="1">
      <c r="A7381" s="1">
        <v>7844.0</v>
      </c>
      <c r="B7381" s="3" t="s">
        <v>7053</v>
      </c>
      <c r="C7381" s="3" t="str">
        <f>IFERROR(__xludf.DUMMYFUNCTION("GOOGLETRANSLATE(B7381,""id"",""en"")"),"['buy', 'package', 'pitur', 'payment', 'pulse', 'gag', 'pitur', 'payment', '']")</f>
        <v>['buy', 'package', 'pitur', 'payment', 'pulse', 'gag', 'pitur', 'payment', '']</v>
      </c>
      <c r="D7381" s="3">
        <v>1.0</v>
      </c>
    </row>
    <row r="7382" ht="15.75" customHeight="1">
      <c r="A7382" s="1">
        <v>7845.0</v>
      </c>
      <c r="B7382" s="3" t="s">
        <v>7054</v>
      </c>
      <c r="C7382" s="3" t="str">
        <f>IFERROR(__xludf.DUMMYFUNCTION("GOOGLETRANSLATE(B7382,""id"",""en"")"),"['regret', 'Telkomsel', 'have', 'pulses',' safe ',' example ',' experience ',' sumps', 'pulse', 'time', 'quota', 'apps',' Telkomsel ',' MB ',' MB ',' Package ',' Package ',' Out ',' Curing ',' Non ',' Non ',' Package ',' Then ',' Buy ',' Credit ' , 'Petka"&amp;"n', 'right', 'Activate', 'Data', 'pulse', 'Sumpot', 'Disappointed', 'Please', 'Input', 'Credit', 'Safe', ""]")</f>
        <v>['regret', 'Telkomsel', 'have', 'pulses',' safe ',' example ',' experience ',' sumps', 'pulse', 'time', 'quota', 'apps',' Telkomsel ',' MB ',' MB ',' Package ',' Package ',' Out ',' Curing ',' Non ',' Non ',' Package ',' Then ',' Buy ',' Credit ' , 'Petkan', 'right', 'Activate', 'Data', 'pulse', 'Sumpot', 'Disappointed', 'Please', 'Input', 'Credit', 'Safe', "]</v>
      </c>
      <c r="D7382" s="3">
        <v>3.0</v>
      </c>
    </row>
    <row r="7383" ht="15.75" customHeight="1">
      <c r="A7383" s="1">
        <v>7846.0</v>
      </c>
      <c r="B7383" s="3" t="s">
        <v>7055</v>
      </c>
      <c r="C7383" s="3" t="str">
        <f>IFERROR(__xludf.DUMMYFUNCTION("GOOGLETRANSLATE(B7383,""id"",""en"")"),"['Please', 'Price', 'Customized', 'Quality', 'Price', 'above', 'Quality', 'Equivalent', 'Price', 'Cheap', ""]")</f>
        <v>['Please', 'Price', 'Customized', 'Quality', 'Price', 'above', 'Quality', 'Equivalent', 'Price', 'Cheap', "]</v>
      </c>
      <c r="D7383" s="3">
        <v>1.0</v>
      </c>
    </row>
    <row r="7384" ht="15.75" customHeight="1">
      <c r="A7384" s="1">
        <v>7847.0</v>
      </c>
      <c r="B7384" s="3" t="s">
        <v>7056</v>
      </c>
      <c r="C7384" s="3" t="str">
        <f>IFERROR(__xludf.DUMMYFUNCTION("GOOGLETRANSLATE(B7384,""id"",""en"")"),"['Network', 'ngelek', 'MULUBNGST', 'Network', 'Card', 'Kampung', 'Lazy', 'Make', 'Network', 'Telkomsel', ""]")</f>
        <v>['Network', 'ngelek', 'MULUBNGST', 'Network', 'Card', 'Kampung', 'Lazy', 'Make', 'Network', 'Telkomsel', "]</v>
      </c>
      <c r="D7384" s="3">
        <v>2.0</v>
      </c>
    </row>
    <row r="7385" ht="15.75" customHeight="1">
      <c r="A7385" s="1">
        <v>7848.0</v>
      </c>
      <c r="B7385" s="3" t="s">
        <v>7057</v>
      </c>
      <c r="C7385" s="3" t="str">
        <f>IFERROR(__xludf.DUMMYFUNCTION("GOOGLETRANSLATE(B7385,""id"",""en"")"),"['Provider', 'pulp', 'responded', 'comment', 'restricted', 'nge', 'anjg']")</f>
        <v>['Provider', 'pulp', 'responded', 'comment', 'restricted', 'nge', 'anjg']</v>
      </c>
      <c r="D7385" s="3">
        <v>1.0</v>
      </c>
    </row>
    <row r="7386" ht="15.75" customHeight="1">
      <c r="A7386" s="1">
        <v>7849.0</v>
      </c>
      <c r="B7386" s="3" t="s">
        <v>7058</v>
      </c>
      <c r="C7386" s="3" t="str">
        <f>IFERROR(__xludf.DUMMYFUNCTION("GOOGLETRANSLATE(B7386,""id"",""en"")"),"['', 'THN', 'TLKOMSEL', 'SKRNG', 'BNOY', 'Perubhan', 'Mantap', 'Sekarng', 'Price', 'Package', 'Telkomsel', 'Affordable', 'Pouch ',' ivent ',' JGA ',' suggestion ',' patent ',' package ',' internet ',' fox ', ""]")</f>
        <v>['', 'THN', 'TLKOMSEL', 'SKRNG', 'BNOY', 'Perubhan', 'Mantap', 'Sekarng', 'Price', 'Package', 'Telkomsel', 'Affordable', 'Pouch ',' ivent ',' JGA ',' suggestion ',' patent ',' package ',' internet ',' fox ', "]</v>
      </c>
      <c r="D7386" s="3">
        <v>4.0</v>
      </c>
    </row>
    <row r="7387" ht="15.75" customHeight="1">
      <c r="A7387" s="1">
        <v>7850.0</v>
      </c>
      <c r="B7387" s="3" t="s">
        <v>7059</v>
      </c>
      <c r="C7387" s="3" t="str">
        <f>IFERROR(__xludf.DUMMYFUNCTION("GOOGLETRANSLATE(B7387,""id"",""en"")"),"['use', 'card', 'Telkomsel', 'MOVER', 'Alhamdulillah', 'The network', 'Salu', 'smooth', 'Sometimes',' like ',' disorder ',' a little ',' Gakpapa ',' Most importantly ',' Satisfied ',' Card ',' Telkomsel ',' Application ',' MyTelkomsel ',' Hope ',' Telkoms"&amp;"el ',' Slalu ',' Best ',' Disappointing ',' Say ' , 'it's already awkward', 'crew', 'Telkomsel', 'on duty', 'I hope', 'Slalu', 'launch', 'his business',' Slalu ',' launch ',' he rezkan ',' Age ',' Healthy ',' Slalu ',' Amin ', ""]")</f>
        <v>['use', 'card', 'Telkomsel', 'MOVER', 'Alhamdulillah', 'The network', 'Salu', 'smooth', 'Sometimes',' like ',' disorder ',' a little ',' Gakpapa ',' Most importantly ',' Satisfied ',' Card ',' Telkomsel ',' Application ',' MyTelkomsel ',' Hope ',' Telkomsel ',' Slalu ',' Best ',' Disappointing ',' Say ' , 'it's already awkward', 'crew', 'Telkomsel', 'on duty', 'I hope', 'Slalu', 'launch', 'his business',' Slalu ',' launch ',' he rezkan ',' Age ',' Healthy ',' Slalu ',' Amin ', "]</v>
      </c>
      <c r="D7387" s="3">
        <v>5.0</v>
      </c>
    </row>
    <row r="7388" ht="15.75" customHeight="1">
      <c r="A7388" s="1">
        <v>7851.0</v>
      </c>
      <c r="B7388" s="3" t="s">
        <v>7060</v>
      </c>
      <c r="C7388" s="3" t="str">
        <f>IFERROR(__xludf.DUMMYFUNCTION("GOOGLETRANSLATE(B7388,""id"",""en"")"),"['signal', 'keroncong', 'bad', 'quota', 'expensive', 'signal', 'bad', 'beg', 'repair', 'application', 'Telkomsel', 'error', ' buy ',' package ',' quota ',' difficult ']")</f>
        <v>['signal', 'keroncong', 'bad', 'quota', 'expensive', 'signal', 'bad', 'beg', 'repair', 'application', 'Telkomsel', 'error', ' buy ',' package ',' quota ',' difficult ']</v>
      </c>
      <c r="D7388" s="3">
        <v>1.0</v>
      </c>
    </row>
    <row r="7389" ht="15.75" customHeight="1">
      <c r="A7389" s="1">
        <v>7852.0</v>
      </c>
      <c r="B7389" s="3" t="s">
        <v>7061</v>
      </c>
      <c r="C7389" s="3" t="str">
        <f>IFERROR(__xludf.DUMMYFUNCTION("GOOGLETRANSLATE(B7389,""id"",""en"")"),"['Location', 'Perum', 'Getting', 'Serasi', 'Signal', 'Good', 'Draw', 'Thank', 'Love', ""]")</f>
        <v>['Location', 'Perum', 'Getting', 'Serasi', 'Signal', 'Good', 'Draw', 'Thank', 'Love', "]</v>
      </c>
      <c r="D7389" s="3">
        <v>5.0</v>
      </c>
    </row>
    <row r="7390" ht="15.75" customHeight="1">
      <c r="A7390" s="1">
        <v>7853.0</v>
      </c>
      <c r="B7390" s="3" t="s">
        <v>7062</v>
      </c>
      <c r="C7390" s="3" t="str">
        <f>IFERROR(__xludf.DUMMYFUNCTION("GOOGLETRANSLATE(B7390,""id"",""en"")"),"['love', 'star', 'because', 'purchase', 'package', 'night', 'difficult', 'forgiveness',' because ',' kepep ',' already ',' night ',' home ',' buy ',' package ',' app ',' bsa ',' purchase ',' package ',' fit ',' night ',' tip ',' counter ']")</f>
        <v>['love', 'star', 'because', 'purchase', 'package', 'night', 'difficult', 'forgiveness',' because ',' kepep ',' already ',' night ',' home ',' buy ',' package ',' app ',' bsa ',' purchase ',' package ',' fit ',' night ',' tip ',' counter ']</v>
      </c>
      <c r="D7390" s="3">
        <v>1.0</v>
      </c>
    </row>
    <row r="7391" ht="15.75" customHeight="1">
      <c r="A7391" s="1">
        <v>7854.0</v>
      </c>
      <c r="B7391" s="3" t="s">
        <v>7063</v>
      </c>
      <c r="C7391" s="3" t="str">
        <f>IFERROR(__xludf.DUMMYFUNCTION("GOOGLETRANSLATE(B7391,""id"",""en"")"),"['transaction', 'package', 'dat', 'internet', 'choice', 'payment', '']")</f>
        <v>['transaction', 'package', 'dat', 'internet', 'choice', 'payment', '']</v>
      </c>
      <c r="D7391" s="3">
        <v>1.0</v>
      </c>
    </row>
    <row r="7392" ht="15.75" customHeight="1">
      <c r="A7392" s="1">
        <v>7855.0</v>
      </c>
      <c r="B7392" s="3" t="s">
        <v>7064</v>
      </c>
      <c r="C7392" s="3" t="str">
        <f>IFERROR(__xludf.DUMMYFUNCTION("GOOGLETRANSLATE(B7392,""id"",""en"")"),"['Hmm', 'already', 'Telkomsel', 'aware', 'price', 'quota', 'Different', 'Different', 'area', 'plus',' here ',' speed ',' The internet ',' stable ',' signal ',' Full ',' Download ',' FAILURE ',' KARNA ',' STOP ',' Dead ',' Lights', 'Signal', 'Direct', 'ila"&amp;"ng' , 'Safe', 'Safe', 'Strange', 'Telkomsel']")</f>
        <v>['Hmm', 'already', 'Telkomsel', 'aware', 'price', 'quota', 'Different', 'Different', 'area', 'plus',' here ',' speed ',' The internet ',' stable ',' signal ',' Full ',' Download ',' FAILURE ',' KARNA ',' STOP ',' Dead ',' Lights', 'Signal', 'Direct', 'ilang' , 'Safe', 'Safe', 'Strange', 'Telkomsel']</v>
      </c>
      <c r="D7392" s="3">
        <v>1.0</v>
      </c>
    </row>
    <row r="7393" ht="15.75" customHeight="1">
      <c r="A7393" s="1">
        <v>7856.0</v>
      </c>
      <c r="B7393" s="3" t="s">
        <v>7065</v>
      </c>
      <c r="C7393" s="3" t="str">
        <f>IFERROR(__xludf.DUMMYFUNCTION("GOOGLETRANSLATE(B7393,""id"",""en"")"),"['Application', 'Error', 'Mulu', 'chaotic', 'Telkomsel', 'Network', 'Error', 'Application', 'Error', 'Buy', 'Credit', 'FAIL', ' Mulu ',' hurried ',' Cut ',' Credit ',' Woyyyyy ', ""]")</f>
        <v>['Application', 'Error', 'Mulu', 'chaotic', 'Telkomsel', 'Network', 'Error', 'Application', 'Error', 'Buy', 'Credit', 'FAIL', ' Mulu ',' hurried ',' Cut ',' Credit ',' Woyyyyy ', "]</v>
      </c>
      <c r="D7393" s="3">
        <v>1.0</v>
      </c>
    </row>
    <row r="7394" ht="15.75" customHeight="1">
      <c r="A7394" s="1">
        <v>7857.0</v>
      </c>
      <c r="B7394" s="3" t="s">
        <v>7066</v>
      </c>
      <c r="C7394" s="3" t="str">
        <f>IFERROR(__xludf.DUMMYFUNCTION("GOOGLETRANSLATE(B7394,""id"",""en"")"),"['application', 'errorr', 'already', 'version', 'newest', 'error', 'please', 'help', 'pay', 'no', 'bsa', 'buy', ' Package ',' no ',' BSA ',' Fix ',' Love ',' Bintabg ',' Thanks']")</f>
        <v>['application', 'errorr', 'already', 'version', 'newest', 'error', 'please', 'help', 'pay', 'no', 'bsa', 'buy', ' Package ',' no ',' BSA ',' Fix ',' Love ',' Bintabg ',' Thanks']</v>
      </c>
      <c r="D7394" s="3">
        <v>1.0</v>
      </c>
    </row>
    <row r="7395" ht="15.75" customHeight="1">
      <c r="A7395" s="1">
        <v>7858.0</v>
      </c>
      <c r="B7395" s="3" t="s">
        <v>7067</v>
      </c>
      <c r="C7395" s="3" t="str">
        <f>IFERROR(__xludf.DUMMYFUNCTION("GOOGLETRANSLATE(B7395,""id"",""en"")"),"['Apps', 'Normal', 'Please', 'Log', 'Review', 'Buy', 'Package', 'Data', 'How', '']")</f>
        <v>['Apps', 'Normal', 'Please', 'Log', 'Review', 'Buy', 'Package', 'Data', 'How', '']</v>
      </c>
      <c r="D7395" s="3">
        <v>2.0</v>
      </c>
    </row>
    <row r="7396" ht="15.75" customHeight="1">
      <c r="A7396" s="1">
        <v>7859.0</v>
      </c>
      <c r="B7396" s="3" t="s">
        <v>7068</v>
      </c>
      <c r="C7396" s="3" t="str">
        <f>IFERROR(__xludf.DUMMYFUNCTION("GOOGLETRANSLATE(B7396,""id"",""en"")"),"['difficult', 'Telkomsel', 'buy', 'package', 'ajah', 'payment', 'remove', 'love', 'star', 'ajah', 'disappointed']")</f>
        <v>['difficult', 'Telkomsel', 'buy', 'package', 'ajah', 'payment', 'remove', 'love', 'star', 'ajah', 'disappointed']</v>
      </c>
      <c r="D7396" s="3">
        <v>1.0</v>
      </c>
    </row>
    <row r="7397" ht="15.75" customHeight="1">
      <c r="A7397" s="1">
        <v>7860.0</v>
      </c>
      <c r="B7397" s="3" t="s">
        <v>7069</v>
      </c>
      <c r="C7397" s="3" t="str">
        <f>IFERROR(__xludf.DUMMYFUNCTION("GOOGLETRANSLATE(B7397,""id"",""en"")"),"['Log', 'App', 'MyTelkomsel', 'treated', 'Loading', 'Halam', 'Sorry', 'error', 'system', 'entry', 'wifi', 'hahaha', ' Update ',' complaints', 'pulse', 'promo', 'GB', 'Max', 'bought', 'Lawak', 'really', 'Pro', 'feed', ""]")</f>
        <v>['Log', 'App', 'MyTelkomsel', 'treated', 'Loading', 'Halam', 'Sorry', 'error', 'system', 'entry', 'wifi', 'hahaha', ' Update ',' complaints', 'pulse', 'promo', 'GB', 'Max', 'bought', 'Lawak', 'really', 'Pro', 'feed', "]</v>
      </c>
      <c r="D7397" s="3">
        <v>1.0</v>
      </c>
    </row>
    <row r="7398" ht="15.75" customHeight="1">
      <c r="A7398" s="1">
        <v>7861.0</v>
      </c>
      <c r="B7398" s="3" t="s">
        <v>7070</v>
      </c>
      <c r="C7398" s="3" t="str">
        <f>IFERROR(__xludf.DUMMYFUNCTION("GOOGLETRANSLATE(B7398,""id"",""en"")"),"['usage', 'smooth', 'payment', 'package', 'internet', 'easy', 'TPI', 'here', 'gangbang', 'payment', 'application', 'transaction', ' Error ',' PDHL ',' Need ',' Package ',' Wait ',' ']")</f>
        <v>['usage', 'smooth', 'payment', 'package', 'internet', 'easy', 'TPI', 'here', 'gangbang', 'payment', 'application', 'transaction', ' Error ',' PDHL ',' Need ',' Package ',' Wait ',' ']</v>
      </c>
      <c r="D7398" s="3">
        <v>1.0</v>
      </c>
    </row>
    <row r="7399" ht="15.75" customHeight="1">
      <c r="A7399" s="1">
        <v>7862.0</v>
      </c>
      <c r="B7399" s="3" t="s">
        <v>7071</v>
      </c>
      <c r="C7399" s="3" t="str">
        <f>IFERROR(__xludf.DUMMYFUNCTION("GOOGLETRANSLATE(B7399,""id"",""en"")"),"['users',' Telkomsel ',' application ',' MyTelkomsel ',' Help ',' makes it easier ',' Most ',' Error ',' Content ',' Package ',' Application ',' Error ',' Application ',' Force ',' Close ',' updated ',' ']")</f>
        <v>['users',' Telkomsel ',' application ',' MyTelkomsel ',' Help ',' makes it easier ',' Most ',' Error ',' Content ',' Package ',' Application ',' Error ',' Application ',' Force ',' Close ',' updated ',' ']</v>
      </c>
      <c r="D7399" s="3">
        <v>1.0</v>
      </c>
    </row>
    <row r="7400" ht="15.75" customHeight="1">
      <c r="A7400" s="1">
        <v>7863.0</v>
      </c>
      <c r="B7400" s="3" t="s">
        <v>7072</v>
      </c>
      <c r="C7400" s="3" t="str">
        <f>IFERROR(__xludf.DUMMYFUNCTION("GOOGLETRANSLATE(B7400,""id"",""en"")"),"['Telkomsel', 'Leech', 'land', 'data', 'eat', 'pulses',' directly ',' TELEN ',' SISAIN ',' ethically ',' boss', 'network', ' ugly ',' stable ',' apk ',' jga ',' bad ',' really ',' rich ',' apk ',' jos', 'apk', 'skr', 'data', 'gede' , 'Quality', 'Kya', 'De"&amp;"vloer', 'Equek', 'Ecek']")</f>
        <v>['Telkomsel', 'Leech', 'land', 'data', 'eat', 'pulses',' directly ',' TELEN ',' SISAIN ',' ethically ',' boss', 'network', ' ugly ',' stable ',' apk ',' jga ',' bad ',' really ',' rich ',' apk ',' jos', 'apk', 'skr', 'data', 'gede' , 'Quality', 'Kya', 'Devloer', 'Equek', 'Ecek']</v>
      </c>
      <c r="D7400" s="3">
        <v>1.0</v>
      </c>
    </row>
    <row r="7401" ht="15.75" customHeight="1">
      <c r="A7401" s="1">
        <v>7864.0</v>
      </c>
      <c r="B7401" s="3" t="s">
        <v>7073</v>
      </c>
      <c r="C7401" s="3" t="str">
        <f>IFERROR(__xludf.DUMMYFUNCTION("GOOGLETRANSLATE(B7401,""id"",""en"")"),"['Please', 'Fixed', 'buy', 'package', 'like', 'payment']")</f>
        <v>['Please', 'Fixed', 'buy', 'package', 'like', 'payment']</v>
      </c>
      <c r="D7401" s="3">
        <v>3.0</v>
      </c>
    </row>
    <row r="7402" ht="15.75" customHeight="1">
      <c r="A7402" s="1">
        <v>7865.0</v>
      </c>
      <c r="B7402" s="3" t="s">
        <v>7074</v>
      </c>
      <c r="C7402" s="3" t="str">
        <f>IFERROR(__xludf.DUMMYFUNCTION("GOOGLETRANSLATE(B7402,""id"",""en"")"),"['buy', 'disorder', '']")</f>
        <v>['buy', 'disorder', '']</v>
      </c>
      <c r="D7402" s="3">
        <v>1.0</v>
      </c>
    </row>
    <row r="7403" ht="15.75" customHeight="1">
      <c r="A7403" s="1">
        <v>7866.0</v>
      </c>
      <c r="B7403" s="3" t="s">
        <v>7075</v>
      </c>
      <c r="C7403" s="3" t="str">
        <f>IFERROR(__xludf.DUMMYFUNCTION("GOOGLETRANSLATE(B7403,""id"",""en"")"),"['Good', 'TPI', 'KNP', 'Min', 'Klau', 'already', 'Malem', 'Error', 'Buy', 'Paketan', 'Please', 'Benerin', ' Min ']")</f>
        <v>['Good', 'TPI', 'KNP', 'Min', 'Klau', 'already', 'Malem', 'Error', 'Buy', 'Paketan', 'Please', 'Benerin', ' Min ']</v>
      </c>
      <c r="D7403" s="3">
        <v>5.0</v>
      </c>
    </row>
    <row r="7404" ht="15.75" customHeight="1">
      <c r="A7404" s="1">
        <v>7867.0</v>
      </c>
      <c r="B7404" s="3" t="s">
        <v>7076</v>
      </c>
      <c r="C7404" s="3" t="str">
        <f>IFERROR(__xludf.DUMMYFUNCTION("GOOGLETRANSLATE(B7404,""id"",""en"")"),"['APK', 'good', 'basically', 'match', 'really', 'internet', 'pandemic', 'buy', 'pulse', 'pulses', 'cheap', 'really']")</f>
        <v>['APK', 'good', 'basically', 'match', 'really', 'internet', 'pandemic', 'buy', 'pulse', 'pulses', 'cheap', 'really']</v>
      </c>
      <c r="D7404" s="3">
        <v>5.0</v>
      </c>
    </row>
    <row r="7405" ht="15.75" customHeight="1">
      <c r="A7405" s="1">
        <v>7868.0</v>
      </c>
      <c r="B7405" s="3" t="s">
        <v>7077</v>
      </c>
      <c r="C7405" s="3" t="str">
        <f>IFERROR(__xludf.DUMMYFUNCTION("GOOGLETRANSLATE(B7405,""id"",""en"")"),"['here', 'complicated', 'buy', 'quota', 'Midnight', 'told', 'take', 'clock', 'limit', 'clock', 'Telkomsel', 'berun', ' disappointed', '']")</f>
        <v>['here', 'complicated', 'buy', 'quota', 'Midnight', 'told', 'take', 'clock', 'limit', 'clock', 'Telkomsel', 'berun', ' disappointed', '']</v>
      </c>
      <c r="D7405" s="3">
        <v>1.0</v>
      </c>
    </row>
    <row r="7406" ht="15.75" customHeight="1">
      <c r="A7406" s="1">
        <v>7869.0</v>
      </c>
      <c r="B7406" s="3" t="s">
        <v>7078</v>
      </c>
      <c r="C7406" s="3" t="str">
        <f>IFERROR(__xludf.DUMMYFUNCTION("GOOGLETRANSLATE(B7406,""id"",""en"")"),"['Provider', 'biggest', 'satisfying', 'customers', 'shame', ""]")</f>
        <v>['Provider', 'biggest', 'satisfying', 'customers', 'shame', "]</v>
      </c>
      <c r="D7406" s="3">
        <v>1.0</v>
      </c>
    </row>
    <row r="7407" ht="15.75" customHeight="1">
      <c r="A7407" s="1">
        <v>7870.0</v>
      </c>
      <c r="B7407" s="3" t="s">
        <v>7079</v>
      </c>
      <c r="C7407" s="3" t="str">
        <f>IFERROR(__xludf.DUMMYFUNCTION("GOOGLETRANSLATE(B7407,""id"",""en"")"),"['Contents', 'reset', 'quota', 'derimat', 'thank you', 'BUMN', 'country']")</f>
        <v>['Contents', 'reset', 'quota', 'derimat', 'thank you', 'BUMN', 'country']</v>
      </c>
      <c r="D7407" s="3">
        <v>3.0</v>
      </c>
    </row>
    <row r="7408" ht="15.75" customHeight="1">
      <c r="A7408" s="1">
        <v>7871.0</v>
      </c>
      <c r="B7408" s="3" t="s">
        <v>7080</v>
      </c>
      <c r="C7408" s="3" t="str">
        <f>IFERROR(__xludf.DUMMYFUNCTION("GOOGLETRANSLATE(B7408,""id"",""en"")"),"['Contents', 'pulse', 'pakek', 'Telkomsel', 'min', 'play', 'game', 'lag', 'mulu']")</f>
        <v>['Contents', 'pulse', 'pakek', 'Telkomsel', 'min', 'play', 'game', 'lag', 'mulu']</v>
      </c>
      <c r="D7408" s="3">
        <v>1.0</v>
      </c>
    </row>
    <row r="7409" ht="15.75" customHeight="1">
      <c r="A7409" s="1">
        <v>7872.0</v>
      </c>
      <c r="B7409" s="3" t="s">
        <v>7081</v>
      </c>
      <c r="C7409" s="3" t="str">
        <f>IFERROR(__xludf.DUMMYFUNCTION("GOOGLETRANSLATE(B7409,""id"",""en"")"),"['Disappointed', 'Telkomsel', 'quota', 'pulse', 'taken', 'thousand', 'network', 'ugly', 'angry', 'service', 'satisfying', 'customer']")</f>
        <v>['Disappointed', 'Telkomsel', 'quota', 'pulse', 'taken', 'thousand', 'network', 'ugly', 'angry', 'service', 'satisfying', 'customer']</v>
      </c>
      <c r="D7409" s="3">
        <v>1.0</v>
      </c>
    </row>
    <row r="7410" ht="15.75" customHeight="1">
      <c r="A7410" s="1">
        <v>7873.0</v>
      </c>
      <c r="B7410" s="3" t="s">
        <v>7082</v>
      </c>
      <c r="C7410" s="3" t="str">
        <f>IFERROR(__xludf.DUMMYFUNCTION("GOOGLETRANSLATE(B7410,""id"",""en"")"),"['system', 'disorder', 'mulu', 'cave', 'buy', 'pulse', 'buy', 'package', 'quota', 'disorder', 'mulu', 'times',' Cave ',' Telkomsel ',' Kayak ',' Gini ']")</f>
        <v>['system', 'disorder', 'mulu', 'cave', 'buy', 'pulse', 'buy', 'package', 'quota', 'disorder', 'mulu', 'times',' Cave ',' Telkomsel ',' Kayak ',' Gini ']</v>
      </c>
      <c r="D7410" s="3">
        <v>1.0</v>
      </c>
    </row>
    <row r="7411" ht="15.75" customHeight="1">
      <c r="A7411" s="1">
        <v>7874.0</v>
      </c>
      <c r="B7411" s="3" t="s">
        <v>7083</v>
      </c>
      <c r="C7411" s="3" t="str">
        <f>IFERROR(__xludf.DUMMYFUNCTION("GOOGLETRANSLATE(B7411,""id"",""en"")"),"['Disappointed', 'Telkomsel', 'Karna', 'buy', 'Package', 'Telkomsel', 'Install', 'APP']")</f>
        <v>['Disappointed', 'Telkomsel', 'Karna', 'buy', 'Package', 'Telkomsel', 'Install', 'APP']</v>
      </c>
      <c r="D7411" s="3">
        <v>1.0</v>
      </c>
    </row>
    <row r="7412" ht="15.75" customHeight="1">
      <c r="A7412" s="1">
        <v>7875.0</v>
      </c>
      <c r="B7412" s="3" t="s">
        <v>7084</v>
      </c>
      <c r="C7412" s="3" t="str">
        <f>IFERROR(__xludf.DUMMYFUNCTION("GOOGLETRANSLATE(B7412,""id"",""en"")"),"['fill', 'internet', 'method', 'payment', 'restart', 'update', 'buy', '']")</f>
        <v>['fill', 'internet', 'method', 'payment', 'restart', 'update', 'buy', '']</v>
      </c>
      <c r="D7412" s="3">
        <v>3.0</v>
      </c>
    </row>
    <row r="7413" ht="15.75" customHeight="1">
      <c r="A7413" s="1">
        <v>7876.0</v>
      </c>
      <c r="B7413" s="3" t="s">
        <v>7085</v>
      </c>
      <c r="C7413" s="3" t="str">
        <f>IFERROR(__xludf.DUMMYFUNCTION("GOOGLETRANSLATE(B7413,""id"",""en"")"),"['', 'open', 'Telkomsel', 'mala', 'suru', 'update', 'forced', ""]")</f>
        <v>['', 'open', 'Telkomsel', 'mala', 'suru', 'update', 'forced', "]</v>
      </c>
      <c r="D7413" s="3">
        <v>5.0</v>
      </c>
    </row>
    <row r="7414" ht="15.75" customHeight="1">
      <c r="A7414" s="1">
        <v>7877.0</v>
      </c>
      <c r="B7414" s="3" t="s">
        <v>7086</v>
      </c>
      <c r="C7414" s="3" t="str">
        <f>IFERROR(__xludf.DUMMYFUNCTION("GOOGLETRANSLATE(B7414,""id"",""en"")"),"['Telkomsel', 'bad', 'network', 'Tangerang', 'application', 'buy', 'package', 'buy', 'expensive', 'sales',' move ',' card ',' Disappointed ',' Telkomsel ',' comfortable ',' disappointed ',' pandemic ',' promo ',' strange ',' expensive ',' ']")</f>
        <v>['Telkomsel', 'bad', 'network', 'Tangerang', 'application', 'buy', 'package', 'buy', 'expensive', 'sales',' move ',' card ',' Disappointed ',' Telkomsel ',' comfortable ',' disappointed ',' pandemic ',' promo ',' strange ',' expensive ',' ']</v>
      </c>
      <c r="D7414" s="3">
        <v>1.0</v>
      </c>
    </row>
    <row r="7415" ht="15.75" customHeight="1">
      <c r="A7415" s="1">
        <v>7878.0</v>
      </c>
      <c r="B7415" s="3" t="s">
        <v>7087</v>
      </c>
      <c r="C7415" s="3" t="str">
        <f>IFERROR(__xludf.DUMMYFUNCTION("GOOGLETRANSLATE(B7415,""id"",""en"")"),"['', 'Telkomsel', 'package', 'expensive', 'quality', 'kayak', 'eek', 'please', 'min', 'comfort', 'dutamain', 'network', 'ugly ',' expensive ',' expensive ',' loss', 'already', 'subscribe', 'fucek', 'terjumping', 'dumerant', 'play', 'game', ""]")</f>
        <v>['', 'Telkomsel', 'package', 'expensive', 'quality', 'kayak', 'eek', 'please', 'min', 'comfort', 'dutamain', 'network', 'ugly ',' expensive ',' expensive ',' loss', 'already', 'subscribe', 'fucek', 'terjumping', 'dumerant', 'play', 'game', "]</v>
      </c>
      <c r="D7415" s="3">
        <v>1.0</v>
      </c>
    </row>
    <row r="7416" ht="15.75" customHeight="1">
      <c r="A7416" s="1">
        <v>7879.0</v>
      </c>
      <c r="B7416" s="3" t="s">
        <v>7088</v>
      </c>
      <c r="C7416" s="3" t="str">
        <f>IFERROR(__xludf.DUMMYFUNCTION("GOOGLETRANSLATE(B7416,""id"",""en"")"),"['Try', 'Package', 'Telkomsel', 'expensive', 'network', 'good', 'Mending', 'ugly', 'stump', 'until', 'come on', 'price', ' Quality ',' package ',' expensive ',' Network ',' Hadehh ', ""]")</f>
        <v>['Try', 'Package', 'Telkomsel', 'expensive', 'network', 'good', 'Mending', 'ugly', 'stump', 'until', 'come on', 'price', ' Quality ',' package ',' expensive ',' Network ',' Hadehh ', "]</v>
      </c>
      <c r="D7416" s="3">
        <v>1.0</v>
      </c>
    </row>
    <row r="7417" ht="15.75" customHeight="1">
      <c r="A7417" s="1">
        <v>7880.0</v>
      </c>
      <c r="B7417" s="3" t="s">
        <v>7089</v>
      </c>
      <c r="C7417" s="3" t="str">
        <f>IFERROR(__xludf.DUMMYFUNCTION("GOOGLETRANSLATE(B7417,""id"",""en"")"),"['Enter', 'Code', 'Voucher', 'Wait', 'Clock', 'Night', 'Season', 'Try', 'Imagine', 'at the time', 'Affairs',' times', ' Wait ',' clock ',' night ',' times', 'Gituu']")</f>
        <v>['Enter', 'Code', 'Voucher', 'Wait', 'Clock', 'Night', 'Season', 'Try', 'Imagine', 'at the time', 'Affairs',' times', ' Wait ',' clock ',' night ',' times', 'Gituu']</v>
      </c>
      <c r="D7417" s="3">
        <v>1.0</v>
      </c>
    </row>
    <row r="7418" ht="15.75" customHeight="1">
      <c r="A7418" s="1">
        <v>7881.0</v>
      </c>
      <c r="B7418" s="3" t="s">
        <v>7090</v>
      </c>
      <c r="C7418" s="3" t="str">
        <f>IFERROR(__xludf.DUMMYFUNCTION("GOOGLETRANSLATE(B7418,""id"",""en"")"),"['Sya', 'already', 'Exchange', 'Points', 'pulses', 'million', 'Nipu', 'Detinent', 'Points', ""]")</f>
        <v>['Sya', 'already', 'Exchange', 'Points', 'pulses', 'million', 'Nipu', 'Detinent', 'Points', "]</v>
      </c>
      <c r="D7418" s="3">
        <v>2.0</v>
      </c>
    </row>
    <row r="7419" ht="15.75" customHeight="1">
      <c r="A7419" s="1">
        <v>7882.0</v>
      </c>
      <c r="B7419" s="3" t="s">
        <v>7091</v>
      </c>
      <c r="C7419" s="3" t="str">
        <f>IFERROR(__xludf.DUMMYFUNCTION("GOOGLETRANSLATE(B7419,""id"",""en"")"),"['buy', 'package', 'kouta', 'internet', 'night', 'urgency', 'use', 'event', 'disorder', 'what's',' buy ',' package ',' Whatever ',' yaudah ',' application ',' downgrade ',' greople ',' simple ',' easy ',' ']")</f>
        <v>['buy', 'package', 'kouta', 'internet', 'night', 'urgency', 'use', 'event', 'disorder', 'what's',' buy ',' package ',' Whatever ',' yaudah ',' application ',' downgrade ',' greople ',' simple ',' easy ',' ']</v>
      </c>
      <c r="D7419" s="3">
        <v>1.0</v>
      </c>
    </row>
    <row r="7420" ht="15.75" customHeight="1">
      <c r="A7420" s="1">
        <v>7883.0</v>
      </c>
      <c r="B7420" s="3" t="s">
        <v>7092</v>
      </c>
      <c r="C7420" s="3" t="str">
        <f>IFERROR(__xludf.DUMMYFUNCTION("GOOGLETRANSLATE(B7420,""id"",""en"")"),"['Please', 'wanted', 'buy', 'quota', 'knp', 'slow', 'bngt', 'open', 'the application', 'right', 'cave', 'want', ' Pay ',' Mulu ',' connection ']")</f>
        <v>['Please', 'wanted', 'buy', 'quota', 'knp', 'slow', 'bngt', 'open', 'the application', 'right', 'cave', 'want', ' Pay ',' Mulu ',' connection ']</v>
      </c>
      <c r="D7420" s="3">
        <v>3.0</v>
      </c>
    </row>
    <row r="7421" ht="15.75" customHeight="1">
      <c r="A7421" s="1">
        <v>7884.0</v>
      </c>
      <c r="B7421" s="3" t="s">
        <v>7093</v>
      </c>
      <c r="C7421" s="3" t="str">
        <f>IFERROR(__xludf.DUMMYFUNCTION("GOOGLETRANSLATE(B7421,""id"",""en"")"),"['sgt', 'help']")</f>
        <v>['sgt', 'help']</v>
      </c>
      <c r="D7421" s="3">
        <v>5.0</v>
      </c>
    </row>
    <row r="7422" ht="15.75" customHeight="1">
      <c r="A7422" s="1">
        <v>7885.0</v>
      </c>
      <c r="B7422" s="3" t="s">
        <v>7094</v>
      </c>
      <c r="C7422" s="3" t="str">
        <f>IFERROR(__xludf.DUMMYFUNCTION("GOOGLETRANSLATE(B7422,""id"",""en"")"),"['', 'user', 'Tsel', 'application', 'feel', 'disappointed', 'already', 'Belu', 'quota', 'gabisa', 'pay', 'choose', 'method ',' payment ',' button ',' pay ',' kaga ',' pressed ',' buy ',' what ',' woi ',' update ',' application ',' right ']")</f>
        <v>['', 'user', 'Tsel', 'application', 'feel', 'disappointed', 'already', 'Belu', 'quota', 'gabisa', 'pay', 'choose', 'method ',' payment ',' button ',' pay ',' kaga ',' pressed ',' buy ',' what ',' woi ',' update ',' application ',' right ']</v>
      </c>
      <c r="D7422" s="3">
        <v>1.0</v>
      </c>
    </row>
    <row r="7423" ht="15.75" customHeight="1">
      <c r="A7423" s="1">
        <v>7886.0</v>
      </c>
      <c r="B7423" s="3" t="s">
        <v>7095</v>
      </c>
      <c r="C7423" s="3" t="str">
        <f>IFERROR(__xludf.DUMMYFUNCTION("GOOGLETRANSLATE(B7423,""id"",""en"")"),"['Pay', 'expensive', 'signal', 'ugly', 'nyesaaal', 'use', 'card', 'Telkomsel', 'sympathy', 'pay', 'expensive', 'service', ' Kayak ',' people ',' twice ',' nyesell ',' use ',' Telkomsel ']")</f>
        <v>['Pay', 'expensive', 'signal', 'ugly', 'nyesaaal', 'use', 'card', 'Telkomsel', 'sympathy', 'pay', 'expensive', 'service', ' Kayak ',' people ',' twice ',' nyesell ',' use ',' Telkomsel ']</v>
      </c>
      <c r="D7423" s="3">
        <v>1.0</v>
      </c>
    </row>
    <row r="7424" ht="15.75" customHeight="1">
      <c r="A7424" s="1">
        <v>7887.0</v>
      </c>
      <c r="B7424" s="3" t="s">
        <v>7096</v>
      </c>
      <c r="C7424" s="3" t="str">
        <f>IFERROR(__xludf.DUMMYFUNCTION("GOOGLETRANSLATE(B7424,""id"",""en"")"),"['pulse', 'lost', 'used', 'strange', 'please', 'mimin', 'fix', 'service', 'thanks', ""]")</f>
        <v>['pulse', 'lost', 'used', 'strange', 'please', 'mimin', 'fix', 'service', 'thanks', "]</v>
      </c>
      <c r="D7424" s="3">
        <v>1.0</v>
      </c>
    </row>
    <row r="7425" ht="15.75" customHeight="1">
      <c r="A7425" s="1">
        <v>7888.0</v>
      </c>
      <c r="B7425" s="3" t="s">
        <v>7097</v>
      </c>
      <c r="C7425" s="3" t="str">
        <f>IFERROR(__xludf.DUMMYFUNCTION("GOOGLETRANSLATE(B7425,""id"",""en"")"),"['Rates', 'buy', 'quota', 'Different', 'Different', 'number', 'Telkomsel', ""]")</f>
        <v>['Rates', 'buy', 'quota', 'Different', 'Different', 'number', 'Telkomsel', "]</v>
      </c>
      <c r="D7425" s="3">
        <v>4.0</v>
      </c>
    </row>
    <row r="7426" ht="15.75" customHeight="1">
      <c r="A7426" s="1">
        <v>7889.0</v>
      </c>
      <c r="B7426" s="3" t="s">
        <v>7098</v>
      </c>
      <c r="C7426" s="3" t="str">
        <f>IFERROR(__xludf.DUMMYFUNCTION("GOOGLETRANSLATE(B7426,""id"",""en"")"),"['Good', 'Help', 'Switch', 'Points', 'Binus', 'City', 'Drink', 'Interest', ""]")</f>
        <v>['Good', 'Help', 'Switch', 'Points', 'Binus', 'City', 'Drink', 'Interest', "]</v>
      </c>
      <c r="D7426" s="3">
        <v>5.0</v>
      </c>
    </row>
    <row r="7427" ht="15.75" customHeight="1">
      <c r="A7427" s="1">
        <v>7890.0</v>
      </c>
      <c r="B7427" s="3" t="s">
        <v>7099</v>
      </c>
      <c r="C7427" s="3" t="str">
        <f>IFERROR(__xludf.DUMMYFUNCTION("GOOGLETRANSLATE(B7427,""id"",""en"")"),"['', 'Install']")</f>
        <v>['', 'Install']</v>
      </c>
      <c r="D7427" s="3">
        <v>1.0</v>
      </c>
    </row>
    <row r="7428" ht="15.75" customHeight="1">
      <c r="A7428" s="1">
        <v>7891.0</v>
      </c>
      <c r="B7428" s="3" t="s">
        <v>7100</v>
      </c>
      <c r="C7428" s="3" t="str">
        <f>IFERROR(__xludf.DUMMYFUNCTION("GOOGLETRANSLATE(B7428,""id"",""en"")"),"['Quality', 'Network', 'Best']")</f>
        <v>['Quality', 'Network', 'Best']</v>
      </c>
      <c r="D7428" s="3">
        <v>5.0</v>
      </c>
    </row>
    <row r="7429" ht="15.75" customHeight="1">
      <c r="A7429" s="1">
        <v>7892.0</v>
      </c>
      <c r="B7429" s="3" t="s">
        <v>7101</v>
      </c>
      <c r="C7429" s="3" t="str">
        <f>IFERROR(__xludf.DUMMYFUNCTION("GOOGLETRANSLATE(B7429,""id"",""en"")"),"['signal', 'please', 'fix', 'harha', 'package', 'data', 'expensive', 'sms', 'fraud', 'please', 'block']")</f>
        <v>['signal', 'please', 'fix', 'harha', 'package', 'data', 'expensive', 'sms', 'fraud', 'please', 'block']</v>
      </c>
      <c r="D7429" s="3">
        <v>4.0</v>
      </c>
    </row>
    <row r="7430" ht="15.75" customHeight="1">
      <c r="A7430" s="1">
        <v>7893.0</v>
      </c>
      <c r="B7430" s="3" t="s">
        <v>7102</v>
      </c>
      <c r="C7430" s="3" t="str">
        <f>IFERROR(__xludf.DUMMYFUNCTION("GOOGLETRANSLATE(B7430,""id"",""en"")"),"['I', 'Pay', 'Expensive', 'Look', 'Quality', 'Signal', 'Good', 'Woyyy', 'Signal', 'Ngegame', 'Good', 'Ngelag', ' down ',' price ',' quota ',' price ',' quality ',' just ',' sell ',' name ',' telkomsel ',' already ',' ngelag ',' price ',' expensive ' , 'Co"&amp;"me', 'Telkomsel', 'Stay', 'City', 'inland', ""]")</f>
        <v>['I', 'Pay', 'Expensive', 'Look', 'Quality', 'Signal', 'Good', 'Woyyy', 'Signal', 'Ngegame', 'Good', 'Ngelag', ' down ',' price ',' quota ',' price ',' quality ',' just ',' sell ',' name ',' telkomsel ',' already ',' ngelag ',' price ',' expensive ' , 'Come', 'Telkomsel', 'Stay', 'City', 'inland', "]</v>
      </c>
      <c r="D7430" s="3">
        <v>1.0</v>
      </c>
    </row>
    <row r="7431" ht="15.75" customHeight="1">
      <c r="A7431" s="1">
        <v>7894.0</v>
      </c>
      <c r="B7431" s="3" t="s">
        <v>7103</v>
      </c>
      <c r="C7431" s="3" t="str">
        <f>IFERROR(__xludf.DUMMYFUNCTION("GOOGLETRANSLATE(B7431,""id"",""en"")"),"['package', 'run out', 'pulse', 'main', 'run out', 'bnyak', 'pulse', 'take', 'sophisticated', 'exsis',' city ',' finished ',' Take ',' pulse ',' exsis', 'good']")</f>
        <v>['package', 'run out', 'pulse', 'main', 'run out', 'bnyak', 'pulse', 'take', 'sophisticated', 'exsis',' city ',' finished ',' Take ',' pulse ',' exsis', 'good']</v>
      </c>
      <c r="D7431" s="3">
        <v>1.0</v>
      </c>
    </row>
    <row r="7432" ht="15.75" customHeight="1">
      <c r="A7432" s="1">
        <v>7895.0</v>
      </c>
      <c r="B7432" s="3" t="s">
        <v>7104</v>
      </c>
      <c r="C7432" s="3" t="str">
        <f>IFERROR(__xludf.DUMMYFUNCTION("GOOGLETRANSLATE(B7432,""id"",""en"")"),"['Hello', 'Sis',' Hello ',' Abang ',' Asked ',' Siborong ',' Borong ',' Network ',' Telkomsel ',' Lelet ',' Lost ',' Oprator ',' Please, 'Sis', 'Tagus', 'Sis', 'Company', 'Network', 'Leet', 'Telkomsel', 'Number', 'Decline', 'Please', 'Yes', 'Sis' , 'repai"&amp;"rs', 'thank you']")</f>
        <v>['Hello', 'Sis',' Hello ',' Abang ',' Asked ',' Siborong ',' Borong ',' Network ',' Telkomsel ',' Lelet ',' Lost ',' Oprator ',' Please, 'Sis', 'Tagus', 'Sis', 'Company', 'Network', 'Leet', 'Telkomsel', 'Number', 'Decline', 'Please', 'Yes', 'Sis' , 'repairs', 'thank you']</v>
      </c>
      <c r="D7432" s="3">
        <v>1.0</v>
      </c>
    </row>
    <row r="7433" ht="15.75" customHeight="1">
      <c r="A7433" s="1">
        <v>7896.0</v>
      </c>
      <c r="B7433" s="3" t="s">
        <v>7105</v>
      </c>
      <c r="C7433" s="3" t="str">
        <f>IFERROR(__xludf.DUMMYFUNCTION("GOOGLETRANSLATE(B7433,""id"",""en"")"),"['Connection', 'Internet', 'Troubled', 'Network', 'Telkomsel', 'Used', 'WiFi', 'Indihome']")</f>
        <v>['Connection', 'Internet', 'Troubled', 'Network', 'Telkomsel', 'Used', 'WiFi', 'Indihome']</v>
      </c>
      <c r="D7433" s="3">
        <v>1.0</v>
      </c>
    </row>
    <row r="7434" ht="15.75" customHeight="1">
      <c r="A7434" s="1">
        <v>7897.0</v>
      </c>
      <c r="B7434" s="3" t="s">
        <v>7106</v>
      </c>
      <c r="C7434" s="3" t="str">
        <f>IFERROR(__xludf.DUMMYFUNCTION("GOOGLETRANSLATE(B7434,""id"",""en"")"),"['Disappointed', 'Performance', 'Telkomsel', 'Buy', 'Package', 'Quota', 'Expensive', 'Quality', 'Bad', 'Play', 'Game', 'Comfortable', ' because ',' network ',' internet ',' Telkomsel ',' stable ']")</f>
        <v>['Disappointed', 'Performance', 'Telkomsel', 'Buy', 'Package', 'Quota', 'Expensive', 'Quality', 'Bad', 'Play', 'Game', 'Comfortable', ' because ',' network ',' internet ',' Telkomsel ',' stable ']</v>
      </c>
      <c r="D7434" s="3">
        <v>1.0</v>
      </c>
    </row>
    <row r="7435" ht="15.75" customHeight="1">
      <c r="A7435" s="1">
        <v>7898.0</v>
      </c>
      <c r="B7435" s="3" t="s">
        <v>7107</v>
      </c>
      <c r="C7435" s="3" t="str">
        <f>IFERROR(__xludf.DUMMYFUNCTION("GOOGLETRANSLATE(B7435,""id"",""en"")"),"['Telkomsel', 'card', 'expensive', 'signal', 'cheap', 'Tangerang', 'city', 'sinynya', 'severe', 'card']")</f>
        <v>['Telkomsel', 'card', 'expensive', 'signal', 'cheap', 'Tangerang', 'city', 'sinynya', 'severe', 'card']</v>
      </c>
      <c r="D7435" s="3">
        <v>1.0</v>
      </c>
    </row>
    <row r="7436" ht="15.75" customHeight="1">
      <c r="A7436" s="1">
        <v>7899.0</v>
      </c>
      <c r="B7436" s="3" t="s">
        <v>7108</v>
      </c>
      <c r="C7436" s="3" t="str">
        <f>IFERROR(__xludf.DUMMYFUNCTION("GOOGLETRANSLATE(B7436,""id"",""en"")"),"['Telkomsel', 'please', 'expensive', 'quota', 'internet', 'detrimental']")</f>
        <v>['Telkomsel', 'please', 'expensive', 'quota', 'internet', 'detrimental']</v>
      </c>
      <c r="D7436" s="3">
        <v>1.0</v>
      </c>
    </row>
    <row r="7437" ht="15.75" customHeight="1">
      <c r="A7437" s="1">
        <v>7900.0</v>
      </c>
      <c r="B7437" s="3" t="s">
        <v>7109</v>
      </c>
      <c r="C7437" s="3" t="str">
        <f>IFERROR(__xludf.DUMMYFUNCTION("GOOGLETRANSLATE(B7437,""id"",""en"")"),"['theme', 'slow', 'October', 'replace', 'card', 'replace', 'number', 'gini', 'Lika', 'twists',' users', 'Telkomsel', ' As long as', 'as fast', 'anything', 'internet', 'stable']")</f>
        <v>['theme', 'slow', 'October', 'replace', 'card', 'replace', 'number', 'gini', 'Lika', 'twists',' users', 'Telkomsel', ' As long as', 'as fast', 'anything', 'internet', 'stable']</v>
      </c>
      <c r="D7437" s="3">
        <v>1.0</v>
      </c>
    </row>
    <row r="7438" ht="15.75" customHeight="1">
      <c r="A7438" s="1">
        <v>7901.0</v>
      </c>
      <c r="B7438" s="3" t="s">
        <v>7110</v>
      </c>
      <c r="C7438" s="3" t="str">
        <f>IFERROR(__xludf.DUMMYFUNCTION("GOOGLETRANSLATE(B7438,""id"",""en"")"),"['your signal', 'step', 'signal', 'down', 'drastically', 'home', 'signal', 'full', 'enter', 'home', 'down', 'enter', ' down ',' internet ',' Dapan ',' home ',' moved ',' provider ',' deh ',' ']")</f>
        <v>['your signal', 'step', 'signal', 'down', 'drastically', 'home', 'signal', 'full', 'enter', 'home', 'down', 'enter', ' down ',' internet ',' Dapan ',' home ',' moved ',' provider ',' deh ',' ']</v>
      </c>
      <c r="D7438" s="3">
        <v>1.0</v>
      </c>
    </row>
    <row r="7439" ht="15.75" customHeight="1">
      <c r="A7439" s="1">
        <v>7902.0</v>
      </c>
      <c r="B7439" s="3" t="s">
        <v>7111</v>
      </c>
      <c r="C7439" s="3" t="str">
        <f>IFERROR(__xludf.DUMMYFUNCTION("GOOGLETRANSLATE(B7439,""id"",""en"")"),"['Severe', 'already', 'Center', 'City', 'Sempet', 'Sempet', 'Network', 'xxxxx', 'dizzy', 'cave', 'ket', 'emng']")</f>
        <v>['Severe', 'already', 'Center', 'City', 'Sempet', 'Sempet', 'Network', 'xxxxx', 'dizzy', 'cave', 'ket', 'emng']</v>
      </c>
      <c r="D7439" s="3">
        <v>1.0</v>
      </c>
    </row>
    <row r="7440" ht="15.75" customHeight="1">
      <c r="A7440" s="1">
        <v>7903.0</v>
      </c>
      <c r="B7440" s="3" t="s">
        <v>7112</v>
      </c>
      <c r="C7440" s="3" t="str">
        <f>IFERROR(__xludf.DUMMYFUNCTION("GOOGLETRANSLATE(B7440,""id"",""en"")"),"['Telkomsel', 'Mengelek', 'Benerin', 'Min', 'nillace', 'expensive', 'buy', 'quota', 'network', 'slow', 'quota', 'expensive', ' network ',' cheap ',' me ',' play ',' lag ',' play ',' his soy ',' really ',' min ',' cape ',' me ',' play ',' epic ' , 'UDH', '"&amp;"signal', 'ugly', 'can', 'team', 'ugly', 'smooth', 'sosmed', 'doang', 'game', 'slow']")</f>
        <v>['Telkomsel', 'Mengelek', 'Benerin', 'Min', 'nillace', 'expensive', 'buy', 'quota', 'network', 'slow', 'quota', 'expensive', ' network ',' cheap ',' me ',' play ',' lag ',' play ',' his soy ',' really ',' min ',' cape ',' me ',' play ',' epic ' , 'UDH', 'signal', 'ugly', 'can', 'team', 'ugly', 'smooth', 'sosmed', 'doang', 'game', 'slow']</v>
      </c>
      <c r="D7440" s="3">
        <v>1.0</v>
      </c>
    </row>
    <row r="7441" ht="15.75" customHeight="1">
      <c r="A7441" s="1">
        <v>7904.0</v>
      </c>
      <c r="B7441" s="3" t="s">
        <v>7113</v>
      </c>
      <c r="C7441" s="3" t="str">
        <f>IFERROR(__xludf.DUMMYFUNCTION("GOOGLETRANSLATE(B7441,""id"",""en"")"),"['lag', 'really', 'the network', 'ngak', 'stable', 'mocked', 'like', 'like', 'sometimes', 'cage', ""]")</f>
        <v>['lag', 'really', 'the network', 'ngak', 'stable', 'mocked', 'like', 'like', 'sometimes', 'cage', "]</v>
      </c>
      <c r="D7441" s="3">
        <v>1.0</v>
      </c>
    </row>
    <row r="7442" ht="15.75" customHeight="1">
      <c r="A7442" s="1">
        <v>7905.0</v>
      </c>
      <c r="B7442" s="3" t="s">
        <v>7114</v>
      </c>
      <c r="C7442" s="3" t="str">
        <f>IFERROR(__xludf.DUMMYFUNCTION("GOOGLETRANSLATE(B7442,""id"",""en"")"),"['network', 'Telkomsel', 'bad', 'signal', 'full', 'slow', 'package', 'expensive', 'according to', 'package', 'expensive', 'quality', ' Bad, 'please', 'quality', 'according to', 'price', 'package', 'disappointed', 'network', 'bad']")</f>
        <v>['network', 'Telkomsel', 'bad', 'signal', 'full', 'slow', 'package', 'expensive', 'according to', 'package', 'expensive', 'quality', ' Bad, 'please', 'quality', 'according to', 'price', 'package', 'disappointed', 'network', 'bad']</v>
      </c>
      <c r="D7442" s="3">
        <v>1.0</v>
      </c>
    </row>
    <row r="7443" ht="15.75" customHeight="1">
      <c r="A7443" s="1">
        <v>7906.0</v>
      </c>
      <c r="B7443" s="3" t="s">
        <v>7115</v>
      </c>
      <c r="C7443" s="3" t="str">
        <f>IFERROR(__xludf.DUMMYFUNCTION("GOOGLETRANSLATE(B7443,""id"",""en"")"),"['', 'district', 'Bandung', 'signal', 'unclean', 'package', 'expensive', 'network', 'unclean', 'really', 'good', 'dilapok']")</f>
        <v>['', 'district', 'Bandung', 'signal', 'unclean', 'package', 'expensive', 'network', 'unclean', 'really', 'good', 'dilapok']</v>
      </c>
      <c r="D7443" s="3">
        <v>1.0</v>
      </c>
    </row>
    <row r="7444" ht="15.75" customHeight="1">
      <c r="A7444" s="1">
        <v>7907.0</v>
      </c>
      <c r="B7444" s="3" t="s">
        <v>7116</v>
      </c>
      <c r="C7444" s="3" t="str">
        <f>IFERROR(__xludf.DUMMYFUNCTION("GOOGLETRANSLATE(B7444,""id"",""en"")"),"['', 'users',' Telkomsel ',' Beginner ',' buy ',' package ',' Giga ',' Lanjar ',' his time ',' Giga ',' the rest ',' no ',' was used ',' Most ',' muter ',' mending ',' package ',' no ',' muter ',' regret ',' really ',' buy ',' package ',' Telkomsel ']")</f>
        <v>['', 'users',' Telkomsel ',' Beginner ',' buy ',' package ',' Giga ',' Lanjar ',' his time ',' Giga ',' the rest ',' no ',' was used ',' Most ',' muter ',' mending ',' package ',' no ',' muter ',' regret ',' really ',' buy ',' package ',' Telkomsel ']</v>
      </c>
      <c r="D7444" s="3">
        <v>1.0</v>
      </c>
    </row>
    <row r="7445" ht="15.75" customHeight="1">
      <c r="A7445" s="1">
        <v>7908.0</v>
      </c>
      <c r="B7445" s="3" t="s">
        <v>7117</v>
      </c>
      <c r="C7445" s="3" t="str">
        <f>IFERROR(__xludf.DUMMYFUNCTION("GOOGLETRANSLATE(B7445,""id"",""en"")"),"['Plication', 'Good', '']")</f>
        <v>['Plication', 'Good', '']</v>
      </c>
      <c r="D7445" s="3">
        <v>5.0</v>
      </c>
    </row>
    <row r="7446" ht="15.75" customHeight="1">
      <c r="A7446" s="1">
        <v>7909.0</v>
      </c>
      <c r="B7446" s="3" t="s">
        <v>7118</v>
      </c>
      <c r="C7446" s="3" t="str">
        <f>IFERROR(__xludf.DUMMYFUNCTION("GOOGLETRANSLATE(B7446,""id"",""en"")"),"['signal', 'good', 'package', 'sultan', 'sympathaft', 'signal', 'area', 'remote', 'already', 'restar', 'ttp', 'zong', ' Sinyal ',' Severe ',' Paketan ',' Sultan ',' Signal ',' Landing ']")</f>
        <v>['signal', 'good', 'package', 'sultan', 'sympathaft', 'signal', 'area', 'remote', 'already', 'restar', 'ttp', 'zong', ' Sinyal ',' Severe ',' Paketan ',' Sultan ',' Signal ',' Landing ']</v>
      </c>
      <c r="D7446" s="3">
        <v>1.0</v>
      </c>
    </row>
    <row r="7447" ht="15.75" customHeight="1">
      <c r="A7447" s="1">
        <v>7910.0</v>
      </c>
      <c r="B7447" s="3" t="s">
        <v>7119</v>
      </c>
      <c r="C7447" s="3" t="str">
        <f>IFERROR(__xludf.DUMMYFUNCTION("GOOGLETRANSLATE(B7447,""id"",""en"")"),"['Please', 'Network', 'strong', 'moved', 'card', 'Hello', 'prepaid', 'slow', 'signal']")</f>
        <v>['Please', 'Network', 'strong', 'moved', 'card', 'Hello', 'prepaid', 'slow', 'signal']</v>
      </c>
      <c r="D7447" s="3">
        <v>4.0</v>
      </c>
    </row>
    <row r="7448" ht="15.75" customHeight="1">
      <c r="A7448" s="1">
        <v>7911.0</v>
      </c>
      <c r="B7448" s="3" t="s">
        <v>7120</v>
      </c>
      <c r="C7448" s="3" t="str">
        <f>IFERROR(__xludf.DUMMYFUNCTION("GOOGLETRANSLATE(B7448,""id"",""en"")"),"['uda', 'update', 'told', 'update', 'apk', 'gini', 'quality', 'open']")</f>
        <v>['uda', 'update', 'told', 'update', 'apk', 'gini', 'quality', 'open']</v>
      </c>
      <c r="D7448" s="3">
        <v>2.0</v>
      </c>
    </row>
    <row r="7449" ht="15.75" customHeight="1">
      <c r="A7449" s="1">
        <v>7912.0</v>
      </c>
      <c r="B7449" s="3" t="s">
        <v>7121</v>
      </c>
      <c r="C7449" s="3" t="str">
        <f>IFERROR(__xludf.DUMMYFUNCTION("GOOGLETRANSLATE(B7449,""id"",""en"")"),"['Satisfied', 'Sometimes', 'Sometimes', 'Network', 'Lost', 'Angry', 'Emotion', 'Thank you', 'Telkomsel', '']")</f>
        <v>['Satisfied', 'Sometimes', 'Sometimes', 'Network', 'Lost', 'Angry', 'Emotion', 'Thank you', 'Telkomsel', '']</v>
      </c>
      <c r="D7449" s="3">
        <v>5.0</v>
      </c>
    </row>
    <row r="7450" ht="15.75" customHeight="1">
      <c r="A7450" s="1">
        <v>7913.0</v>
      </c>
      <c r="B7450" s="3" t="s">
        <v>7122</v>
      </c>
      <c r="C7450" s="3" t="str">
        <f>IFERROR(__xludf.DUMMYFUNCTION("GOOGLETRANSLATE(B7450,""id"",""en"")"),"['annoyed', 'obstacles', 'loss', 'network', 'network', 'bad', 'scamer', 'fraud', 'system', 'Telkomsel']")</f>
        <v>['annoyed', 'obstacles', 'loss', 'network', 'network', 'bad', 'scamer', 'fraud', 'system', 'Telkomsel']</v>
      </c>
      <c r="D7450" s="3">
        <v>2.0</v>
      </c>
    </row>
    <row r="7451" ht="15.75" customHeight="1">
      <c r="A7451" s="1">
        <v>7914.0</v>
      </c>
      <c r="B7451" s="3" t="s">
        <v>7123</v>
      </c>
      <c r="C7451" s="3" t="str">
        <f>IFERROR(__xludf.DUMMYFUNCTION("GOOGLETRANSLATE(B7451,""id"",""en"")"),"['user', 'loyal', 'Telkomsel', 'here', 'destroyed', 'signal', 'Telkomsel', 'line', 'and then', 'rare', 'line', 'stem']")</f>
        <v>['user', 'loyal', 'Telkomsel', 'here', 'destroyed', 'signal', 'Telkomsel', 'line', 'and then', 'rare', 'line', 'stem']</v>
      </c>
      <c r="D7451" s="3">
        <v>1.0</v>
      </c>
    </row>
    <row r="7452" ht="15.75" customHeight="1">
      <c r="A7452" s="1">
        <v>7915.0</v>
      </c>
      <c r="B7452" s="3" t="s">
        <v>7124</v>
      </c>
      <c r="C7452" s="3" t="str">
        <f>IFERROR(__xludf.DUMMYFUNCTION("GOOGLETRANSLATE(B7452,""id"",""en"")"),"['APL', 'petrified', 'search', 'package', 'right', 'promo', 'interesting', 'please', 'reproduced', ""]")</f>
        <v>['APL', 'petrified', 'search', 'package', 'right', 'promo', 'interesting', 'please', 'reproduced', "]</v>
      </c>
      <c r="D7452" s="3">
        <v>5.0</v>
      </c>
    </row>
    <row r="7453" ht="15.75" customHeight="1">
      <c r="A7453" s="1">
        <v>7916.0</v>
      </c>
      <c r="B7453" s="3" t="s">
        <v>7125</v>
      </c>
      <c r="C7453" s="3" t="str">
        <f>IFERROR(__xludf.DUMMYFUNCTION("GOOGLETRANSLATE(B7453,""id"",""en"")"),"['Sorry', 'Telkomsel', 'Review', 'Please', 'Strong', 'Network', 'Inter', 'Net', 'County', 'Signal', 'Internet', 'Network', ' Strong ',' ping ',' already ',' Keatasa ',' strong ',' signal ',' internet ',' slow ',' slow ', ""]")</f>
        <v>['Sorry', 'Telkomsel', 'Review', 'Please', 'Strong', 'Network', 'Inter', 'Net', 'County', 'Signal', 'Internet', 'Network', ' Strong ',' ping ',' already ',' Keatasa ',' strong ',' signal ',' internet ',' slow ',' slow ', "]</v>
      </c>
      <c r="D7453" s="3">
        <v>1.0</v>
      </c>
    </row>
    <row r="7454" ht="15.75" customHeight="1">
      <c r="A7454" s="1">
        <v>7917.0</v>
      </c>
      <c r="B7454" s="3" t="s">
        <v>1569</v>
      </c>
      <c r="C7454" s="3" t="str">
        <f>IFERROR(__xludf.DUMMYFUNCTION("GOOGLETRANSLATE(B7454,""id"",""en"")"),"['APK', 'good', 'really']")</f>
        <v>['APK', 'good', 'really']</v>
      </c>
      <c r="D7454" s="3">
        <v>5.0</v>
      </c>
    </row>
    <row r="7455" ht="15.75" customHeight="1">
      <c r="A7455" s="1">
        <v>7918.0</v>
      </c>
      <c r="B7455" s="3" t="s">
        <v>7126</v>
      </c>
      <c r="C7455" s="3" t="str">
        <f>IFERROR(__xludf.DUMMYFUNCTION("GOOGLETRANSLATE(B7455,""id"",""en"")"),"['contents',' pulse ',' thousand ',' buyin ',' package ',' internet ',' Telkomsel ',' check ',' purchase ',' pulse ',' cheek ',' leftover ',' Thousands', 'severe', 'boss',' collapsed ',' star ',' ']")</f>
        <v>['contents',' pulse ',' thousand ',' buyin ',' package ',' internet ',' Telkomsel ',' check ',' purchase ',' pulse ',' cheek ',' leftover ',' Thousands', 'severe', 'boss',' collapsed ',' star ',' ']</v>
      </c>
      <c r="D7455" s="3">
        <v>1.0</v>
      </c>
    </row>
    <row r="7456" ht="15.75" customHeight="1">
      <c r="A7456" s="1">
        <v>7919.0</v>
      </c>
      <c r="B7456" s="3" t="s">
        <v>7127</v>
      </c>
      <c r="C7456" s="3" t="str">
        <f>IFERROR(__xludf.DUMMYFUNCTION("GOOGLETRANSLATE(B7456,""id"",""en"")"),"['APK', 'care', 'kagak', 'apk', 'stop', 'try', 'renewed', 'kagak', 'open']")</f>
        <v>['APK', 'care', 'kagak', 'apk', 'stop', 'try', 'renewed', 'kagak', 'open']</v>
      </c>
      <c r="D7456" s="3">
        <v>1.0</v>
      </c>
    </row>
    <row r="7457" ht="15.75" customHeight="1">
      <c r="A7457" s="1">
        <v>7920.0</v>
      </c>
      <c r="B7457" s="3" t="s">
        <v>7128</v>
      </c>
      <c r="C7457" s="3" t="str">
        <f>IFERROR(__xludf.DUMMYFUNCTION("GOOGLETRANSLATE(B7457,""id"",""en"")"),"['Please', 'MyTelkomsel', 'Disappointed', 'already', 'price', 'package', 'Not bad', 'expensive', 'network', 'crash', 'Blom', 'go', ' Remote ',' Behh ',' tempeh ',' please ',' fix ',' quality ',' network ',' thank ',' money ',' network ',' tetep ',' dilapo"&amp;"k ', ""]")</f>
        <v>['Please', 'MyTelkomsel', 'Disappointed', 'already', 'price', 'package', 'Not bad', 'expensive', 'network', 'crash', 'Blom', 'go', ' Remote ',' Behh ',' tempeh ',' please ',' fix ',' quality ',' network ',' thank ',' money ',' network ',' tetep ',' dilapok ', "]</v>
      </c>
      <c r="D7457" s="3">
        <v>3.0</v>
      </c>
    </row>
    <row r="7458" ht="15.75" customHeight="1">
      <c r="A7458" s="1">
        <v>7921.0</v>
      </c>
      <c r="B7458" s="3" t="s">
        <v>7129</v>
      </c>
      <c r="C7458" s="3" t="str">
        <f>IFERROR(__xludf.DUMMYFUNCTION("GOOGLETRANSLATE(B7458,""id"",""en"")"),"['signal', 'Telkomsel', 'down', 'Normal', 'Kyak', 'dlu', 'lgi', ""]")</f>
        <v>['signal', 'Telkomsel', 'down', 'Normal', 'Kyak', 'dlu', 'lgi', "]</v>
      </c>
      <c r="D7458" s="3">
        <v>1.0</v>
      </c>
    </row>
    <row r="7459" ht="15.75" customHeight="1">
      <c r="A7459" s="1">
        <v>7922.0</v>
      </c>
      <c r="B7459" s="3" t="s">
        <v>7130</v>
      </c>
      <c r="C7459" s="3" t="str">
        <f>IFERROR(__xludf.DUMMYFUNCTION("GOOGLETRANSLATE(B7459,""id"",""en"")"),"['Telkomsel', 'Network', 'Down', 'Mulu', 'Please', 'Internet', 'Down', 'Mulu', 'Why', 'Play', 'MLBB', 'Severe', ' network ',' red ',' how ',' country ',' Indonesia ',' advanced ',' service ',' kayak ',' package ',' expensive ', ""]")</f>
        <v>['Telkomsel', 'Network', 'Down', 'Mulu', 'Please', 'Internet', 'Down', 'Mulu', 'Why', 'Play', 'MLBB', 'Severe', ' network ',' red ',' how ',' country ',' Indonesia ',' advanced ',' service ',' kayak ',' package ',' expensive ', "]</v>
      </c>
      <c r="D7459" s="3">
        <v>1.0</v>
      </c>
    </row>
    <row r="7460" ht="15.75" customHeight="1">
      <c r="A7460" s="1">
        <v>7923.0</v>
      </c>
      <c r="B7460" s="3" t="s">
        <v>7131</v>
      </c>
      <c r="C7460" s="3" t="str">
        <f>IFERROR(__xludf.DUMMYFUNCTION("GOOGLETRANSLATE(B7460,""id"",""en"")"),"['already', 'expensive', 'network', 'kya', 'taik', 'game', 'kga', 'login', 'durik', 'fix', 'customer', 'loyal']")</f>
        <v>['already', 'expensive', 'network', 'kya', 'taik', 'game', 'kga', 'login', 'durik', 'fix', 'customer', 'loyal']</v>
      </c>
      <c r="D7460" s="3">
        <v>1.0</v>
      </c>
    </row>
    <row r="7461" ht="15.75" customHeight="1">
      <c r="A7461" s="1">
        <v>7924.0</v>
      </c>
      <c r="B7461" s="3" t="s">
        <v>7132</v>
      </c>
      <c r="C7461" s="3" t="str">
        <f>IFERROR(__xludf.DUMMYFUNCTION("GOOGLETRANSLATE(B7461,""id"",""en"")"),"['meal', 'salary', 'blind', 'operator', 'Telkomsel', 'network', 'destroyed', 'package', 'dtaa', 'expensive', 'unclean']")</f>
        <v>['meal', 'salary', 'blind', 'operator', 'Telkomsel', 'network', 'destroyed', 'package', 'dtaa', 'expensive', 'unclean']</v>
      </c>
      <c r="D7461" s="3">
        <v>1.0</v>
      </c>
    </row>
    <row r="7462" ht="15.75" customHeight="1">
      <c r="A7462" s="1">
        <v>7925.0</v>
      </c>
      <c r="B7462" s="3" t="s">
        <v>7133</v>
      </c>
      <c r="C7462" s="3" t="str">
        <f>IFERROR(__xludf.DUMMYFUNCTION("GOOGLETRANSLATE(B7462,""id"",""en"")"),"['Help', 'price', 'quota', 'at home', 'day', 'thank', 'love', ""]")</f>
        <v>['Help', 'price', 'quota', 'at home', 'day', 'thank', 'love', "]</v>
      </c>
      <c r="D7462" s="3">
        <v>3.0</v>
      </c>
    </row>
    <row r="7463" ht="15.75" customHeight="1">
      <c r="A7463" s="1">
        <v>7926.0</v>
      </c>
      <c r="B7463" s="3" t="s">
        <v>7134</v>
      </c>
      <c r="C7463" s="3" t="str">
        <f>IFERROR(__xludf.DUMMYFUNCTION("GOOGLETRANSLATE(B7463,""id"",""en"")"),"['update', 'Telkomsel', 'difficult', 'buy', 'Package', 'Telkomsel', 'Network', 'Good', 'really', 'please', 'Telkomsel', 'patch', ' Keluahan ',' user ',' ']")</f>
        <v>['update', 'Telkomsel', 'difficult', 'buy', 'Package', 'Telkomsel', 'Network', 'Good', 'really', 'please', 'Telkomsel', 'patch', ' Keluahan ',' user ',' ']</v>
      </c>
      <c r="D7463" s="3">
        <v>2.0</v>
      </c>
    </row>
    <row r="7464" ht="15.75" customHeight="1">
      <c r="A7464" s="1">
        <v>7927.0</v>
      </c>
      <c r="B7464" s="3" t="s">
        <v>7135</v>
      </c>
      <c r="C7464" s="3" t="str">
        <f>IFERROR(__xludf.DUMMYFUNCTION("GOOGLETRANSLATE(B7464,""id"",""en"")"),"['Disappointed', 'Program', 'Call', 'Free', 'Minutes',' Application ',' Credit ',' Free ',' Msh ',' Minutes', 'Active', 'NOP', ' BGMN ',' Please ',' Explanation ',' Telkomsel ',' TKS ',' Confirmation ', ""]")</f>
        <v>['Disappointed', 'Program', 'Call', 'Free', 'Minutes',' Application ',' Credit ',' Free ',' Msh ',' Minutes', 'Active', 'NOP', ' BGMN ',' Please ',' Explanation ',' Telkomsel ',' TKS ',' Confirmation ', "]</v>
      </c>
      <c r="D7464" s="3">
        <v>3.0</v>
      </c>
    </row>
    <row r="7465" ht="15.75" customHeight="1">
      <c r="A7465" s="1">
        <v>7928.0</v>
      </c>
      <c r="B7465" s="3" t="s">
        <v>7136</v>
      </c>
      <c r="C7465" s="3" t="str">
        <f>IFERROR(__xludf.DUMMYFUNCTION("GOOGLETRANSLATE(B7465,""id"",""en"")"),"['Get', 'Package', 'Sakti', 'Thank you', 'complaints',' request ',' plus', 'Lock', 'Lock', 'Credit', 'Use', 'Internet', ' Outside ',' limit ',' kouta ',' customer ',' loss', 'use', 'internet', 'credit', 'intentional', 'comment', 'star', 'week', 'star' , '"&amp;"Full', 'Thank you', 'Sorry', ""]")</f>
        <v>['Get', 'Package', 'Sakti', 'Thank you', 'complaints',' request ',' plus', 'Lock', 'Lock', 'Credit', 'Use', 'Internet', ' Outside ',' limit ',' kouta ',' customer ',' loss', 'use', 'internet', 'credit', 'intentional', 'comment', 'star', 'week', 'star' , 'Full', 'Thank you', 'Sorry', "]</v>
      </c>
      <c r="D7465" s="3">
        <v>1.0</v>
      </c>
    </row>
    <row r="7466" ht="15.75" customHeight="1">
      <c r="A7466" s="1">
        <v>7929.0</v>
      </c>
      <c r="B7466" s="3" t="s">
        <v>7137</v>
      </c>
      <c r="C7466" s="3" t="str">
        <f>IFERROR(__xludf.DUMMYFUNCTION("GOOGLETRANSLATE(B7466,""id"",""en"")"),"['Internet', 'Sakti', 'Satisfied', '']")</f>
        <v>['Internet', 'Sakti', 'Satisfied', '']</v>
      </c>
      <c r="D7466" s="3">
        <v>5.0</v>
      </c>
    </row>
    <row r="7467" ht="15.75" customHeight="1">
      <c r="A7467" s="1">
        <v>7930.0</v>
      </c>
      <c r="B7467" s="3" t="s">
        <v>3332</v>
      </c>
      <c r="C7467" s="3" t="str">
        <f>IFERROR(__xludf.DUMMYFUNCTION("GOOGLETRANSLATE(B7467,""id"",""en"")"),"['good luck']")</f>
        <v>['good luck']</v>
      </c>
      <c r="D7467" s="3">
        <v>5.0</v>
      </c>
    </row>
    <row r="7468" ht="15.75" customHeight="1">
      <c r="A7468" s="1">
        <v>7931.0</v>
      </c>
      <c r="B7468" s="3" t="s">
        <v>7138</v>
      </c>
      <c r="C7468" s="3" t="str">
        <f>IFERROR(__xludf.DUMMYFUNCTION("GOOGLETRANSLATE(B7468,""id"",""en"")"),"['love', 'star', 'right', 'download', 'file', 'apk', 'speed', 'network', 'sampe', 'mb', 'distance', 'home', ' Tower ',' signal ',' Please ',' Telkomsel ',' fix it ',' Suapaya ',' users', 'Telkomsel', 'Disappointed']")</f>
        <v>['love', 'star', 'right', 'download', 'file', 'apk', 'speed', 'network', 'sampe', 'mb', 'distance', 'home', ' Tower ',' signal ',' Please ',' Telkomsel ',' fix it ',' Suapaya ',' users', 'Telkomsel', 'Disappointed']</v>
      </c>
      <c r="D7468" s="3">
        <v>3.0</v>
      </c>
    </row>
    <row r="7469" ht="15.75" customHeight="1">
      <c r="A7469" s="1">
        <v>7932.0</v>
      </c>
      <c r="B7469" s="3" t="s">
        <v>7139</v>
      </c>
      <c r="C7469" s="3" t="str">
        <f>IFERROR(__xludf.DUMMYFUNCTION("GOOGLETRANSLATE(B7469,""id"",""en"")"),"['Telkomsel', 'strange', 'bngt', 'oath', 'pulse', 'buy', 'quota', 'bizarre', 'already', 'quota', 'expensive', 'network', ' gajelas', 'complicated', 'complicated', 'ngeta', 'in', 'trmksh']")</f>
        <v>['Telkomsel', 'strange', 'bngt', 'oath', 'pulse', 'buy', 'quota', 'bizarre', 'already', 'quota', 'expensive', 'network', ' gajelas', 'complicated', 'complicated', 'ngeta', 'in', 'trmksh']</v>
      </c>
      <c r="D7469" s="3">
        <v>1.0</v>
      </c>
    </row>
    <row r="7470" ht="15.75" customHeight="1">
      <c r="A7470" s="1">
        <v>7933.0</v>
      </c>
      <c r="B7470" s="3" t="s">
        <v>7140</v>
      </c>
      <c r="C7470" s="3" t="str">
        <f>IFERROR(__xludf.DUMMYFUNCTION("GOOGLETRANSLATE(B7470,""id"",""en"")"),"['Telkomsel', 'failed', 'enter', 'enter', 'enter', 'please', 'fix', 'yaa', 'tired', 'enter', '']")</f>
        <v>['Telkomsel', 'failed', 'enter', 'enter', 'enter', 'please', 'fix', 'yaa', 'tired', 'enter', '']</v>
      </c>
      <c r="D7470" s="3">
        <v>2.0</v>
      </c>
    </row>
    <row r="7471" ht="15.75" customHeight="1">
      <c r="A7471" s="1">
        <v>7934.0</v>
      </c>
      <c r="B7471" s="3" t="s">
        <v>7141</v>
      </c>
      <c r="C7471" s="3" t="str">
        <f>IFERROR(__xludf.DUMMYFUNCTION("GOOGLETRANSLATE(B7471,""id"",""en"")"),"['according to', 'ads',' signal ',' strong ',' remote ',' city ',' signal ',' card ',' signal ',' weak ',' card ',' Hello ',' weak ',' dng ',' kuota ',' price ',' expensive ',' card ',' hello ',' pemguna ',' loyal ',' mandatory ',' buy ',' change ',' card"&amp;" ' , 'prioritize', 'cheap', 'because', 'need', 'use', 'card', 'Hello', 'user', 'card', 'Hello', 'Org', 'forced', ' utilize ',' Keseptan ',' in ',' strife ']")</f>
        <v>['according to', 'ads',' signal ',' strong ',' remote ',' city ',' signal ',' card ',' signal ',' weak ',' card ',' Hello ',' weak ',' dng ',' kuota ',' price ',' expensive ',' card ',' hello ',' pemguna ',' loyal ',' mandatory ',' buy ',' change ',' card ' , 'prioritize', 'cheap', 'because', 'need', 'use', 'card', 'Hello', 'user', 'card', 'Hello', 'Org', 'forced', ' utilize ',' Keseptan ',' in ',' strife ']</v>
      </c>
      <c r="D7471" s="3">
        <v>1.0</v>
      </c>
    </row>
    <row r="7472" ht="15.75" customHeight="1">
      <c r="A7472" s="1">
        <v>7935.0</v>
      </c>
      <c r="B7472" s="3" t="s">
        <v>7142</v>
      </c>
      <c r="C7472" s="3" t="str">
        <f>IFERROR(__xludf.DUMMYFUNCTION("GOOGLETRANSLATE(B7472,""id"",""en"")"),"['Love', 'star', 'NET', 'NET', 'Disconnect', 'heart', 'annoyed', 'Fortunately', 'Telkomsel', 'Udh', 'Bnyk', 'Related', ' "", 'account', 'UDH', 'Discard', 'Tong', 'garbage',""]")</f>
        <v>['Love', 'star', 'NET', 'NET', 'Disconnect', 'heart', 'annoyed', 'Fortunately', 'Telkomsel', 'Udh', 'Bnyk', 'Related', ' ", 'account', 'UDH', 'Discard', 'Tong', 'garbage',"]</v>
      </c>
      <c r="D7472" s="3">
        <v>2.0</v>
      </c>
    </row>
    <row r="7473" ht="15.75" customHeight="1">
      <c r="A7473" s="1">
        <v>7936.0</v>
      </c>
      <c r="B7473" s="3" t="s">
        <v>7143</v>
      </c>
      <c r="C7473" s="3" t="str">
        <f>IFERROR(__xludf.DUMMYFUNCTION("GOOGLETRANSLATE(B7473,""id"",""en"")"),"['number', 'blocked', 'repaired', 'mbak', 'nik', 'used', 'regis',' number ',' tried ',' nik ',' none ',' darling ',' The package ',' number ',' Registered ',' MyTelkomsel ',' Mb his', 'Disappointed']")</f>
        <v>['number', 'blocked', 'repaired', 'mbak', 'nik', 'used', 'regis',' number ',' tried ',' nik ',' none ',' darling ',' The package ',' number ',' Registered ',' MyTelkomsel ',' Mb his', 'Disappointed']</v>
      </c>
      <c r="D7473" s="3">
        <v>1.0</v>
      </c>
    </row>
    <row r="7474" ht="15.75" customHeight="1">
      <c r="A7474" s="1">
        <v>7937.0</v>
      </c>
      <c r="B7474" s="3" t="s">
        <v>7144</v>
      </c>
      <c r="C7474" s="3" t="str">
        <f>IFERROR(__xludf.DUMMYFUNCTION("GOOGLETRANSLATE(B7474,""id"",""en"")"),"['Network', 'tdak', 'stable', 'my area', 'replace', 'tdak', 'play', 'game', 'then', 'already', 'good', 'trus',' down ',' until ',' bodo ']")</f>
        <v>['Network', 'tdak', 'stable', 'my area', 'replace', 'tdak', 'play', 'game', 'then', 'already', 'good', 'trus',' down ',' until ',' bodo ']</v>
      </c>
      <c r="D7474" s="3">
        <v>1.0</v>
      </c>
    </row>
    <row r="7475" ht="15.75" customHeight="1">
      <c r="A7475" s="1">
        <v>7938.0</v>
      </c>
      <c r="B7475" s="3" t="s">
        <v>7145</v>
      </c>
      <c r="C7475" s="3" t="str">
        <f>IFERROR(__xludf.DUMMYFUNCTION("GOOGLETRANSLATE(B7475,""id"",""en"")"),"['Network', 'Telkomsel', 'Good', 'Normal', 'Loading', 'Sometimes', 'disconnected']")</f>
        <v>['Network', 'Telkomsel', 'Good', 'Normal', 'Loading', 'Sometimes', 'disconnected']</v>
      </c>
      <c r="D7475" s="3">
        <v>1.0</v>
      </c>
    </row>
    <row r="7476" ht="15.75" customHeight="1">
      <c r="A7476" s="1">
        <v>7939.0</v>
      </c>
      <c r="B7476" s="3" t="s">
        <v>7146</v>
      </c>
      <c r="C7476" s="3" t="str">
        <f>IFERROR(__xludf.DUMMYFUNCTION("GOOGLETRANSLATE(B7476,""id"",""en"")"),"['signal', 'Kenpa', 'connection', 'broke', 'game', 'ngelag', 'what', 'fix', '']")</f>
        <v>['signal', 'Kenpa', 'connection', 'broke', 'game', 'ngelag', 'what', 'fix', '']</v>
      </c>
      <c r="D7476" s="3">
        <v>1.0</v>
      </c>
    </row>
    <row r="7477" ht="15.75" customHeight="1">
      <c r="A7477" s="1">
        <v>7940.0</v>
      </c>
      <c r="B7477" s="3" t="s">
        <v>7147</v>
      </c>
      <c r="C7477" s="3" t="str">
        <f>IFERROR(__xludf.DUMMYFUNCTION("GOOGLETRANSLATE(B7477,""id"",""en"")"),"['Love', 'Bintang', 'because', 'BLM', 'Application', 'Klu', 'Not bad', 'Good']")</f>
        <v>['Love', 'Bintang', 'because', 'BLM', 'Application', 'Klu', 'Not bad', 'Good']</v>
      </c>
      <c r="D7477" s="3">
        <v>3.0</v>
      </c>
    </row>
    <row r="7478" ht="15.75" customHeight="1">
      <c r="A7478" s="1">
        <v>7941.0</v>
      </c>
      <c r="B7478" s="3" t="s">
        <v>7148</v>
      </c>
      <c r="C7478" s="3" t="str">
        <f>IFERROR(__xludf.DUMMYFUNCTION("GOOGLETRANSLATE(B7478,""id"",""en"")"),"['Package', 'Data', 'Internet', 'GB', 'Yesterday', 'Bonus',' Daily ',' Chek ',' MB ',' Bonus', 'MB', 'Out', ' Notif ',' Flash ',' Flash ',' Out ',' Browsing ',' Notif ',' Credit ',' Emergency ',' Kok ',' Click ',' Click ',' Click ',' Cancel ' , 'Road', 'a"&amp;"ppears',' SMS ',' package ',' emergency ',' Rp ',' minutes', 'tsel', 'sms',' tsel ',' active ',' apply ',' TGL ',' PKL ',' WIB ',' Payment ',' Fill ',' reset ',' pulse ',' disappointed ',' forced ',' owes', 'package', 'Msih']")</f>
        <v>['Package', 'Data', 'Internet', 'GB', 'Yesterday', 'Bonus',' Daily ',' Chek ',' MB ',' Bonus', 'MB', 'Out', ' Notif ',' Flash ',' Flash ',' Out ',' Browsing ',' Notif ',' Credit ',' Emergency ',' Kok ',' Click ',' Click ',' Click ',' Cancel ' , 'Road', 'appears',' SMS ',' package ',' emergency ',' Rp ',' minutes', 'tsel', 'sms',' tsel ',' active ',' apply ',' TGL ',' PKL ',' WIB ',' Payment ',' Fill ',' reset ',' pulse ',' disappointed ',' forced ',' owes', 'package', 'Msih']</v>
      </c>
      <c r="D7478" s="3">
        <v>2.0</v>
      </c>
    </row>
    <row r="7479" ht="15.75" customHeight="1">
      <c r="A7479" s="1">
        <v>7943.0</v>
      </c>
      <c r="B7479" s="3" t="s">
        <v>7149</v>
      </c>
      <c r="C7479" s="3" t="str">
        <f>IFERROR(__xludf.DUMMYFUNCTION("GOOGLETRANSLATE(B7479,""id"",""en"")"),"['fraud', 'seduce', 'sms',' told ',' download ',' pulse ',' thousand ',' right ',' download ',' pulse ',' forced ',' uninstall ',' ']")</f>
        <v>['fraud', 'seduce', 'sms',' told ',' download ',' pulse ',' thousand ',' right ',' download ',' pulse ',' forced ',' uninstall ',' ']</v>
      </c>
      <c r="D7479" s="3">
        <v>1.0</v>
      </c>
    </row>
    <row r="7480" ht="15.75" customHeight="1">
      <c r="A7480" s="1">
        <v>7944.0</v>
      </c>
      <c r="B7480" s="3" t="s">
        <v>7150</v>
      </c>
      <c r="C7480" s="3" t="str">
        <f>IFERROR(__xludf.DUMMYFUNCTION("GOOGLETRANSLATE(B7480,""id"",""en"")"),"['Disappointed', 'Telkomsel', 'Slalu', 'subscribe', 'quota', 'Telkomsel', 'card', 'quota', 'ANLIMITED', 'person', 'already', 'Anlimited', ' Please ',' Paketan ',' Adin ']")</f>
        <v>['Disappointed', 'Telkomsel', 'Slalu', 'subscribe', 'quota', 'Telkomsel', 'card', 'quota', 'ANLIMITED', 'person', 'already', 'Anlimited', ' Please ',' Paketan ',' Adin ']</v>
      </c>
      <c r="D7480" s="3">
        <v>1.0</v>
      </c>
    </row>
    <row r="7481" ht="15.75" customHeight="1">
      <c r="A7481" s="1">
        <v>7945.0</v>
      </c>
      <c r="B7481" s="3" t="s">
        <v>7151</v>
      </c>
      <c r="C7481" s="3" t="str">
        <f>IFERROR(__xludf.DUMMYFUNCTION("GOOGLETRANSLATE(B7481,""id"",""en"")"),"['Telkomsel', 'nga', 'quality', 'difficult', 'really', 'get', 'tower', 'tower', 'difficult', 'work', 'task', 'choose', ' love ',' urban ',' good ',' village ',' ugly ',' home ',' nga ',' city ',' TPI ',' signal ',' ugly ',' really ',' nga ' , 'Useful', 'r"&amp;"eally', 'already', 'that's',' expensive ',' already ',' expensive ',' net ',' nga ',' adequate ',' ugly ',' severe ',' Intention ',' Serve ',' Nga ',' ']")</f>
        <v>['Telkomsel', 'nga', 'quality', 'difficult', 'really', 'get', 'tower', 'tower', 'difficult', 'work', 'task', 'choose', ' love ',' urban ',' good ',' village ',' ugly ',' home ',' nga ',' city ',' TPI ',' signal ',' ugly ',' really ',' nga ' , 'Useful', 'really', 'already', 'that's',' expensive ',' already ',' expensive ',' net ',' nga ',' adequate ',' ugly ',' severe ',' Intention ',' Serve ',' Nga ',' ']</v>
      </c>
      <c r="D7481" s="3">
        <v>1.0</v>
      </c>
    </row>
    <row r="7482" ht="15.75" customHeight="1">
      <c r="A7482" s="1">
        <v>7946.0</v>
      </c>
      <c r="B7482" s="3" t="s">
        <v>7152</v>
      </c>
      <c r="C7482" s="3" t="str">
        <f>IFERROR(__xludf.DUMMYFUNCTION("GOOGLETRANSLATE(B7482,""id"",""en"")"),"['application', 'report', 'network', 'lag', 'sorry', 'system', 'ganguan', 'that's', 'application', 'org']")</f>
        <v>['application', 'report', 'network', 'lag', 'sorry', 'system', 'ganguan', 'that's', 'application', 'org']</v>
      </c>
      <c r="D7482" s="3">
        <v>1.0</v>
      </c>
    </row>
    <row r="7483" ht="15.75" customHeight="1">
      <c r="A7483" s="1">
        <v>7947.0</v>
      </c>
      <c r="B7483" s="3" t="s">
        <v>7153</v>
      </c>
      <c r="C7483" s="3" t="str">
        <f>IFERROR(__xludf.DUMMYFUNCTION("GOOGLETRANSLATE(B7483,""id"",""en"")"),"['Telkomsel', 'buy', 'pulse', 'abis', '']")</f>
        <v>['Telkomsel', 'buy', 'pulse', 'abis', '']</v>
      </c>
      <c r="D7483" s="3">
        <v>1.0</v>
      </c>
    </row>
    <row r="7484" ht="15.75" customHeight="1">
      <c r="A7484" s="1">
        <v>7948.0</v>
      </c>
      <c r="B7484" s="3" t="s">
        <v>7154</v>
      </c>
      <c r="C7484" s="3" t="str">
        <f>IFERROR(__xludf.DUMMYFUNCTION("GOOGLETRANSLATE(B7484,""id"",""en"")"),"['Telkomsel', 'network', 'taikkk', 'tsel', 'lively', 'network', 'internet', 'function', 'network', 'function', 'night', 'morning', ' Warasss', 'idiot']")</f>
        <v>['Telkomsel', 'network', 'taikkk', 'tsel', 'lively', 'network', 'internet', 'function', 'network', 'function', 'night', 'morning', ' Warasss', 'idiot']</v>
      </c>
      <c r="D7484" s="3">
        <v>5.0</v>
      </c>
    </row>
    <row r="7485" ht="15.75" customHeight="1">
      <c r="A7485" s="1">
        <v>7949.0</v>
      </c>
      <c r="B7485" s="3" t="s">
        <v>7155</v>
      </c>
      <c r="C7485" s="3" t="str">
        <f>IFERROR(__xludf.DUMMYFUNCTION("GOOGLETRANSLATE(B7485,""id"",""en"")"),"['No', 'Initial', 'App', 'Pas',' Quota ',' Out ',' Internet ',' Road ',' Kirain ',' Data ',' Credit ',' Cut "" Bad, 'system', 'please', 'classification', 'data', 'data', 'talk', 'talk', 'unite', 'smart', 'satisfied', '']")</f>
        <v>['No', 'Initial', 'App', 'Pas',' Quota ',' Out ',' Internet ',' Road ',' Kirain ',' Data ',' Credit ',' Cut " Bad, 'system', 'please', 'classification', 'data', 'data', 'talk', 'talk', 'unite', 'smart', 'satisfied', '']</v>
      </c>
      <c r="D7485" s="3">
        <v>1.0</v>
      </c>
    </row>
    <row r="7486" ht="15.75" customHeight="1">
      <c r="A7486" s="1">
        <v>7950.0</v>
      </c>
      <c r="B7486" s="3" t="s">
        <v>7156</v>
      </c>
      <c r="C7486" s="3" t="str">
        <f>IFERROR(__xludf.DUMMYFUNCTION("GOOGLETRANSLATE(B7486,""id"",""en"")"),"['Pay', 'expensive', 'network', 'slow', 'severe', 'according to', 'paid', '']")</f>
        <v>['Pay', 'expensive', 'network', 'slow', 'severe', 'according to', 'paid', '']</v>
      </c>
      <c r="D7486" s="3">
        <v>1.0</v>
      </c>
    </row>
    <row r="7487" ht="15.75" customHeight="1">
      <c r="A7487" s="1">
        <v>7951.0</v>
      </c>
      <c r="B7487" s="3" t="s">
        <v>7157</v>
      </c>
      <c r="C7487" s="3" t="str">
        <f>IFERROR(__xludf.DUMMYFUNCTION("GOOGLETRANSLATE(B7487,""id"",""en"")"),"['Restore', 'pulseku', 'use', 'pulse', 'emergency', 'run out', 'contents',' pulse ',' cut ',' pulse ',' emergency ',' steal ',' Credit ',' That's']")</f>
        <v>['Restore', 'pulseku', 'use', 'pulse', 'emergency', 'run out', 'contents',' pulse ',' cut ',' pulse ',' emergency ',' steal ',' Credit ',' That's']</v>
      </c>
      <c r="D7487" s="3">
        <v>1.0</v>
      </c>
    </row>
    <row r="7488" ht="15.75" customHeight="1">
      <c r="A7488" s="1">
        <v>7952.0</v>
      </c>
      <c r="B7488" s="3" t="s">
        <v>7158</v>
      </c>
      <c r="C7488" s="3" t="str">
        <f>IFERROR(__xludf.DUMMYFUNCTION("GOOGLETRANSLATE(B7488,""id"",""en"")"),"['buy', 'quota', 'disruption', 'system', 'jargan', 'network', 'setabilia', 'Please', ""]")</f>
        <v>['buy', 'quota', 'disruption', 'system', 'jargan', 'network', 'setabilia', 'Please', "]</v>
      </c>
      <c r="D7488" s="3">
        <v>3.0</v>
      </c>
    </row>
    <row r="7489" ht="15.75" customHeight="1">
      <c r="A7489" s="1">
        <v>7953.0</v>
      </c>
      <c r="B7489" s="3" t="s">
        <v>7159</v>
      </c>
      <c r="C7489" s="3" t="str">
        <f>IFERROR(__xludf.DUMMYFUNCTION("GOOGLETRANSLATE(B7489,""id"",""en"")"),"['Good', 'disappointing']")</f>
        <v>['Good', 'disappointing']</v>
      </c>
      <c r="D7489" s="3">
        <v>5.0</v>
      </c>
    </row>
    <row r="7490" ht="15.75" customHeight="1">
      <c r="A7490" s="1">
        <v>7954.0</v>
      </c>
      <c r="B7490" s="3" t="s">
        <v>7160</v>
      </c>
      <c r="C7490" s="3" t="str">
        <f>IFERROR(__xludf.DUMMYFUNCTION("GOOGLETRANSLATE(B7490,""id"",""en"")"),"['Please', 'Check', 'Signal', 'Dirah', 'Disruption', 'Slow', 'Dead', 'Karna', 'Tower', 'Disruption', 'Please', 'Check', ' Address', 'Sindangsari', 'Village', 'Sindangjaya', 'District', 'Cikalong', 'Tasikmalaya', 'Thank you']")</f>
        <v>['Please', 'Check', 'Signal', 'Dirah', 'Disruption', 'Slow', 'Dead', 'Karna', 'Tower', 'Disruption', 'Please', 'Check', ' Address', 'Sindangsari', 'Village', 'Sindangjaya', 'District', 'Cikalong', 'Tasikmalaya', 'Thank you']</v>
      </c>
      <c r="D7490" s="3">
        <v>5.0</v>
      </c>
    </row>
    <row r="7491" ht="15.75" customHeight="1">
      <c r="A7491" s="1">
        <v>7955.0</v>
      </c>
      <c r="B7491" s="3" t="s">
        <v>7161</v>
      </c>
      <c r="C7491" s="3" t="str">
        <f>IFERROR(__xludf.DUMMYFUNCTION("GOOGLETRANSLATE(B7491,""id"",""en"")"),"['Disappointed', 'Telkomsel', 'use', 'Telkomsel', 'Direct', 'essence', 'list', 'PSTN', 'Congratulations',' Package ',' Call ',' home ',' Hour ',' On ',' Apply ',' Date ',' PKL ',' WIB ',' Get ',' Package ',' MyTelkomsel ',' Credit ',' Pasa ',' Call ',' Ou"&amp;"t ' , 'use', 'package', 'used', 'mhon', 'dri', 'telkomsel', 'solution', 'thanks']")</f>
        <v>['Disappointed', 'Telkomsel', 'use', 'Telkomsel', 'Direct', 'essence', 'list', 'PSTN', 'Congratulations',' Package ',' Call ',' home ',' Hour ',' On ',' Apply ',' Date ',' PKL ',' WIB ',' Get ',' Package ',' MyTelkomsel ',' Credit ',' Pasa ',' Call ',' Out ' , 'use', 'package', 'used', 'mhon', 'dri', 'telkomsel', 'solution', 'thanks']</v>
      </c>
      <c r="D7491" s="3">
        <v>1.0</v>
      </c>
    </row>
    <row r="7492" ht="15.75" customHeight="1">
      <c r="A7492" s="1">
        <v>7956.0</v>
      </c>
      <c r="B7492" s="3" t="s">
        <v>7162</v>
      </c>
      <c r="C7492" s="3" t="str">
        <f>IFERROR(__xludf.DUMMYFUNCTION("GOOGLETRANSLATE(B7492,""id"",""en"")"),"['Network', 'slow', 'use', 'work', 'already', 'cave', 'replace', 'buy', 'package', 'cheap', '']")</f>
        <v>['Network', 'slow', 'use', 'work', 'already', 'cave', 'replace', 'buy', 'package', 'cheap', '']</v>
      </c>
      <c r="D7492" s="3">
        <v>1.0</v>
      </c>
    </row>
    <row r="7493" ht="15.75" customHeight="1">
      <c r="A7493" s="1">
        <v>7957.0</v>
      </c>
      <c r="B7493" s="3" t="s">
        <v>7163</v>
      </c>
      <c r="C7493" s="3" t="str">
        <f>IFERROR(__xludf.DUMMYFUNCTION("GOOGLETRANSLATE(B7493,""id"",""en"")"),"['Upgrade', 'Upgrade', 'Detinent', 'Data', 'Signal', 'Like', 'Ngadat', 'City', 'Rain', 'Leled', 'Deh']")</f>
        <v>['Upgrade', 'Upgrade', 'Detinent', 'Data', 'Signal', 'Like', 'Ngadat', 'City', 'Rain', 'Leled', 'Deh']</v>
      </c>
      <c r="D7493" s="3">
        <v>1.0</v>
      </c>
    </row>
    <row r="7494" ht="15.75" customHeight="1">
      <c r="A7494" s="1">
        <v>7958.0</v>
      </c>
      <c r="B7494" s="3" t="s">
        <v>7164</v>
      </c>
      <c r="C7494" s="3" t="str">
        <f>IFERROR(__xludf.DUMMYFUNCTION("GOOGLETRANSLATE(B7494,""id"",""en"")"),"['Love', 'star', 'because', 'expensive', 'expensive', 'price', 'quota', 'person', 'lgi', 'acti', 'quota', 'for a moment', ' ']")</f>
        <v>['Love', 'star', 'because', 'expensive', 'expensive', 'price', 'quota', 'person', 'lgi', 'acti', 'quota', 'for a moment', ' ']</v>
      </c>
      <c r="D7494" s="3">
        <v>4.0</v>
      </c>
    </row>
    <row r="7495" ht="15.75" customHeight="1">
      <c r="A7495" s="1">
        <v>7959.0</v>
      </c>
      <c r="B7495" s="3" t="s">
        <v>7165</v>
      </c>
      <c r="C7495" s="3" t="str">
        <f>IFERROR(__xludf.DUMMYFUNCTION("GOOGLETRANSLATE(B7495,""id"",""en"")"),"['Instant', 'users', 'Telkomsel', 'Good', 'ugly', 'really', 'family', 'cave', 'user', 'Telkomsel', 'moved', 'because' complaints', 'signal', 'leftover', 'cave', 'survive', 'cave', 'change', 'ehh', 'plump', 'telkomsel', 'trs',' signal ','.. ' , 'Dragus',' "&amp;"that's', 'users',' Telkomsel ',' Sad ',' quota ',' free ',' signal ',' ugly ',' mah ',' get ',' quota ',' Free ',' Yutub ',' Muter ',' ']")</f>
        <v>['Instant', 'users', 'Telkomsel', 'Good', 'ugly', 'really', 'family', 'cave', 'user', 'Telkomsel', 'moved', 'because' complaints', 'signal', 'leftover', 'cave', 'survive', 'cave', 'change', 'ehh', 'plump', 'telkomsel', 'trs',' signal ','.. ' , 'Dragus',' that's', 'users',' Telkomsel ',' Sad ',' quota ',' free ',' signal ',' ugly ',' mah ',' get ',' quota ',' Free ',' Yutub ',' Muter ',' ']</v>
      </c>
      <c r="D7495" s="3">
        <v>1.0</v>
      </c>
    </row>
    <row r="7496" ht="15.75" customHeight="1">
      <c r="A7496" s="1">
        <v>7960.0</v>
      </c>
      <c r="B7496" s="3" t="s">
        <v>7166</v>
      </c>
      <c r="C7496" s="3" t="str">
        <f>IFERROR(__xludf.DUMMYFUNCTION("GOOGLETRANSLATE(B7496,""id"",""en"")"),"['Network', 'like', 'ilang', 'Changed', 'Manjadi', '']")</f>
        <v>['Network', 'like', 'ilang', 'Changed', 'Manjadi', '']</v>
      </c>
      <c r="D7496" s="3">
        <v>1.0</v>
      </c>
    </row>
    <row r="7497" ht="15.75" customHeight="1">
      <c r="A7497" s="1">
        <v>7961.0</v>
      </c>
      <c r="B7497" s="3" t="s">
        <v>7167</v>
      </c>
      <c r="C7497" s="3" t="str">
        <f>IFERROR(__xludf.DUMMYFUNCTION("GOOGLETRANSLATE(B7497,""id"",""en"")"),"['Sia', 'vain', 'cave', 'buy', 'pulse', 'enter', 'Telkomsel', 'direct', 'suck', 'pulse', 'cave', 'cave', ' buy ',' quota ',' quota ',' cave ']")</f>
        <v>['Sia', 'vain', 'cave', 'buy', 'pulse', 'enter', 'Telkomsel', 'direct', 'suck', 'pulse', 'cave', 'cave', ' buy ',' quota ',' quota ',' cave ']</v>
      </c>
      <c r="D7497" s="3">
        <v>1.0</v>
      </c>
    </row>
    <row r="7498" ht="15.75" customHeight="1">
      <c r="A7498" s="1">
        <v>7962.0</v>
      </c>
      <c r="B7498" s="3" t="s">
        <v>7168</v>
      </c>
      <c r="C7498" s="3" t="str">
        <f>IFERROR(__xludf.DUMMYFUNCTION("GOOGLETRANSLATE(B7498,""id"",""en"")"),"['Maintain']")</f>
        <v>['Maintain']</v>
      </c>
      <c r="D7498" s="3">
        <v>5.0</v>
      </c>
    </row>
    <row r="7499" ht="15.75" customHeight="1">
      <c r="A7499" s="1">
        <v>7963.0</v>
      </c>
      <c r="B7499" s="3" t="s">
        <v>7169</v>
      </c>
      <c r="C7499" s="3" t="str">
        <f>IFERROR(__xludf.DUMMYFUNCTION("GOOGLETRANSLATE(B7499,""id"",""en"")"),"['', 'Telkomsel', 'thinking', 'users',' Anyway ',' guaranteed ',' satisfying ',' stay ',' exchange ',' Points', 'car', 'Yaris',' is difficult ']")</f>
        <v>['', 'Telkomsel', 'thinking', 'users',' Anyway ',' guaranteed ',' satisfying ',' stay ',' exchange ',' Points', 'car', 'Yaris',' is difficult ']</v>
      </c>
      <c r="D7499" s="3">
        <v>4.0</v>
      </c>
    </row>
    <row r="7500" ht="15.75" customHeight="1">
      <c r="A7500" s="1">
        <v>7964.0</v>
      </c>
      <c r="B7500" s="3" t="s">
        <v>7170</v>
      </c>
      <c r="C7500" s="3" t="str">
        <f>IFERROR(__xludf.DUMMYFUNCTION("GOOGLETRANSLATE(B7500,""id"",""en"")"),"['looks',' ugly ',' quality ',' information ',' crowded ',' love ',' star ',' honest ',' star ',' change ',' team ',' programmer ',' ']")</f>
        <v>['looks',' ugly ',' quality ',' information ',' crowded ',' love ',' star ',' honest ',' star ',' change ',' team ',' programmer ',' ']</v>
      </c>
      <c r="D7500" s="3">
        <v>2.0</v>
      </c>
    </row>
    <row r="7501" ht="15.75" customHeight="1">
      <c r="A7501" s="1">
        <v>7965.0</v>
      </c>
      <c r="B7501" s="3" t="s">
        <v>7171</v>
      </c>
      <c r="C7501" s="3" t="str">
        <f>IFERROR(__xludf.DUMMYFUNCTION("GOOGLETRANSLATE(B7501,""id"",""en"")"),"['Like', 'Telkomsel', 'Forgot', 'seconds', 'Credit', 'Direct', 'Sumpot', ""]")</f>
        <v>['Like', 'Telkomsel', 'Forgot', 'seconds', 'Credit', 'Direct', 'Sumpot', "]</v>
      </c>
      <c r="D7501" s="3">
        <v>1.0</v>
      </c>
    </row>
    <row r="7502" ht="15.75" customHeight="1">
      <c r="A7502" s="1">
        <v>7966.0</v>
      </c>
      <c r="B7502" s="3" t="s">
        <v>7172</v>
      </c>
      <c r="C7502" s="3" t="str">
        <f>IFERROR(__xludf.DUMMYFUNCTION("GOOGLETRANSLATE(B7502,""id"",""en"")"),"['Disorders', 'Exchange', 'Points', 'Come', 'Indonesia', 'Change', 'Operator']")</f>
        <v>['Disorders', 'Exchange', 'Points', 'Come', 'Indonesia', 'Change', 'Operator']</v>
      </c>
      <c r="D7502" s="3">
        <v>1.0</v>
      </c>
    </row>
    <row r="7503" ht="15.75" customHeight="1">
      <c r="A7503" s="1">
        <v>7967.0</v>
      </c>
      <c r="B7503" s="3" t="s">
        <v>7173</v>
      </c>
      <c r="C7503" s="3" t="str">
        <f>IFERROR(__xludf.DUMMYFUNCTION("GOOGLETRANSLATE(B7503,""id"",""en"")"),"['buy', 'package', 'according to', 'promo', 'pulse', 'pulse', ""]")</f>
        <v>['buy', 'package', 'according to', 'promo', 'pulse', 'pulse', "]</v>
      </c>
      <c r="D7503" s="3">
        <v>1.0</v>
      </c>
    </row>
    <row r="7504" ht="15.75" customHeight="1">
      <c r="A7504" s="1">
        <v>7968.0</v>
      </c>
      <c r="B7504" s="3" t="s">
        <v>7174</v>
      </c>
      <c r="C7504" s="3" t="str">
        <f>IFERROR(__xludf.DUMMYFUNCTION("GOOGLETRANSLATE(B7504,""id"",""en"")"),"['signal', 'ugly', 'provider', 'lbh', 'good', 'change', 'gpp', 'expensive', '']")</f>
        <v>['signal', 'ugly', 'provider', 'lbh', 'good', 'change', 'gpp', 'expensive', '']</v>
      </c>
      <c r="D7504" s="3">
        <v>1.0</v>
      </c>
    </row>
    <row r="7505" ht="15.75" customHeight="1">
      <c r="A7505" s="1">
        <v>7969.0</v>
      </c>
      <c r="B7505" s="3" t="s">
        <v>7175</v>
      </c>
      <c r="C7505" s="3" t="str">
        <f>IFERROR(__xludf.DUMMYFUNCTION("GOOGLETRANSLATE(B7505,""id"",""en"")"),"['', 'Telkomsel', 'kah', 'adds',' deployment ',' stability ',' network ',' telkomsel ',' hamlet ',' difficult ',' internet ',' biasaka ',' held ',' expansion ',' network ']")</f>
        <v>['', 'Telkomsel', 'kah', 'adds',' deployment ',' stability ',' network ',' telkomsel ',' hamlet ',' difficult ',' internet ',' biasaka ',' held ',' expansion ',' network ']</v>
      </c>
      <c r="D7505" s="3">
        <v>5.0</v>
      </c>
    </row>
    <row r="7506" ht="15.75" customHeight="1">
      <c r="A7506" s="1">
        <v>7970.0</v>
      </c>
      <c r="B7506" s="3" t="s">
        <v>7176</v>
      </c>
      <c r="C7506" s="3" t="str">
        <f>IFERROR(__xludf.DUMMYFUNCTION("GOOGLETRANSLATE(B7506,""id"",""en"")"),"['Because', 'UDH', 'Discard', 'Card', 'Signal', ""]")</f>
        <v>['Because', 'UDH', 'Discard', 'Card', 'Signal', "]</v>
      </c>
      <c r="D7506" s="3">
        <v>5.0</v>
      </c>
    </row>
    <row r="7507" ht="15.75" customHeight="1">
      <c r="A7507" s="1">
        <v>7971.0</v>
      </c>
      <c r="B7507" s="3" t="s">
        <v>7177</v>
      </c>
      <c r="C7507" s="3" t="str">
        <f>IFERROR(__xludf.DUMMYFUNCTION("GOOGLETRANSLATE(B7507,""id"",""en"")"),"['Come on', 'Telkomsel', 'Fix', 'Sousal', 'Gamer', 'Disappointed', 'Card', 'Telkomsel', 'Main', 'Game', 'Cook', 'yes' buy ',' card ',' comfortable ',' Telkomsel ',' come on ',' repaired ',' play ',' game ',' okay ',' okay ',' doang ',' ugly ',' fix ' , 'M"&amp;"in', '']")</f>
        <v>['Come on', 'Telkomsel', 'Fix', 'Sousal', 'Gamer', 'Disappointed', 'Card', 'Telkomsel', 'Main', 'Game', 'Cook', 'yes' buy ',' card ',' comfortable ',' Telkomsel ',' come on ',' repaired ',' play ',' game ',' okay ',' okay ',' doang ',' ugly ',' fix ' , 'Min', '']</v>
      </c>
      <c r="D7507" s="3">
        <v>5.0</v>
      </c>
    </row>
    <row r="7508" ht="15.75" customHeight="1">
      <c r="A7508" s="1">
        <v>7972.0</v>
      </c>
      <c r="B7508" s="3" t="s">
        <v>7178</v>
      </c>
      <c r="C7508" s="3" t="str">
        <f>IFERROR(__xludf.DUMMYFUNCTION("GOOGLETRANSLATE(B7508,""id"",""en"")"),"['application', 'contents',' quota ',' unl ',' can ',' processed ',' donlot ',' choose ',' unlimited ',' nyeselll ',' just ',' fill ',' Credit ',' Mending ',' Change ',' Operator ',' Stlah ',' Have ',' Ttap ',' Move ',' Operator ', ""]")</f>
        <v>['application', 'contents',' quota ',' unl ',' can ',' processed ',' donlot ',' choose ',' unlimited ',' nyeselll ',' just ',' fill ',' Credit ',' Mending ',' Change ',' Operator ',' Stlah ',' Have ',' Ttap ',' Move ',' Operator ', "]</v>
      </c>
      <c r="D7508" s="3">
        <v>1.0</v>
      </c>
    </row>
    <row r="7509" ht="15.75" customHeight="1">
      <c r="A7509" s="1">
        <v>7973.0</v>
      </c>
      <c r="B7509" s="3" t="s">
        <v>7179</v>
      </c>
      <c r="C7509" s="3" t="str">
        <f>IFERROR(__xludf.DUMMYFUNCTION("GOOGLETRANSLATE(B7509,""id"",""en"")"),"['disappointing', 'solution', 'Telkomsel', 'signal', 'good', 'speed', 'kb', 'package', 'expensive', 'signal', 'internet', 'ugly', ' ']")</f>
        <v>['disappointing', 'solution', 'Telkomsel', 'signal', 'good', 'speed', 'kb', 'package', 'expensive', 'signal', 'internet', 'ugly', ' ']</v>
      </c>
      <c r="D7509" s="3">
        <v>1.0</v>
      </c>
    </row>
    <row r="7510" ht="15.75" customHeight="1">
      <c r="A7510" s="1">
        <v>7974.0</v>
      </c>
      <c r="B7510" s="3" t="s">
        <v>7180</v>
      </c>
      <c r="C7510" s="3" t="str">
        <f>IFERROR(__xludf.DUMMYFUNCTION("GOOGLETRANSLATE(B7510,""id"",""en"")"),"['Telkomsel', 'already', 'Switch', 'cheap']")</f>
        <v>['Telkomsel', 'already', 'Switch', 'cheap']</v>
      </c>
      <c r="D7510" s="3">
        <v>1.0</v>
      </c>
    </row>
    <row r="7511" ht="15.75" customHeight="1">
      <c r="A7511" s="1">
        <v>7975.0</v>
      </c>
      <c r="B7511" s="3" t="s">
        <v>7181</v>
      </c>
      <c r="C7511" s="3" t="str">
        <f>IFERROR(__xludf.DUMMYFUNCTION("GOOGLETRANSLATE(B7511,""id"",""en"")"),"['love', 'star', 'quality', 'network', 'bad', 'kayak', 'kpipusat', 'job', 'employees', 'ngewes', ""]")</f>
        <v>['love', 'star', 'quality', 'network', 'bad', 'kayak', 'kpipusat', 'job', 'employees', 'ngewes', "]</v>
      </c>
      <c r="D7511" s="3">
        <v>1.0</v>
      </c>
    </row>
    <row r="7512" ht="15.75" customHeight="1">
      <c r="A7512" s="1">
        <v>7976.0</v>
      </c>
      <c r="B7512" s="3" t="s">
        <v>7182</v>
      </c>
      <c r="C7512" s="3" t="str">
        <f>IFERROR(__xludf.DUMMYFUNCTION("GOOGLETRANSLATE(B7512,""id"",""en"")"),"['Mmang', 'Telkomsel', 'Poor', 'Exchange', 'Points',' take ',' Bonus', 'Provide', 'Pakek', 'Pulse', 'Pulak', 'Points',' tired ',' contents', 'pulses',' dpat ',' point ',' exchange ',' pay ',' jugak ',' eee ',' odong ', ""]")</f>
        <v>['Mmang', 'Telkomsel', 'Poor', 'Exchange', 'Points',' take ',' Bonus', 'Provide', 'Pakek', 'Pulse', 'Pulak', 'Points',' tired ',' contents', 'pulses',' dpat ',' point ',' exchange ',' pay ',' jugak ',' eee ',' odong ', "]</v>
      </c>
      <c r="D7512" s="3">
        <v>1.0</v>
      </c>
    </row>
    <row r="7513" ht="15.75" customHeight="1">
      <c r="A7513" s="1">
        <v>7977.0</v>
      </c>
      <c r="B7513" s="3" t="s">
        <v>7183</v>
      </c>
      <c r="C7513" s="3" t="str">
        <f>IFERROR(__xludf.DUMMYFUNCTION("GOOGLETRANSLATE(B7513,""id"",""en"")"),"['Yesterday', 'contents',' pulse ',' buy ',' package ',' data ',' tensing ',' times', 'CBA', 'how', 'Telkomsel', 'disappointing', ' ']")</f>
        <v>['Yesterday', 'contents',' pulse ',' buy ',' package ',' data ',' tensing ',' times', 'CBA', 'how', 'Telkomsel', 'disappointing', ' ']</v>
      </c>
      <c r="D7513" s="3">
        <v>3.0</v>
      </c>
    </row>
    <row r="7514" ht="15.75" customHeight="1">
      <c r="A7514" s="1">
        <v>7978.0</v>
      </c>
      <c r="B7514" s="3" t="s">
        <v>7184</v>
      </c>
      <c r="C7514" s="3" t="str">
        <f>IFERROR(__xludf.DUMMYFUNCTION("GOOGLETRANSLATE(B7514,""id"",""en"")"),"['Sorry', 'kak', 'quota', 'free', 'ngak', 'klime', 'kak', 'weve', 'ngak', 'klime', 'already', 'sihh', ' Ngak ',' Adaain ',' PHP ',' Telkomsel ',' ']")</f>
        <v>['Sorry', 'kak', 'quota', 'free', 'ngak', 'klime', 'kak', 'weve', 'ngak', 'klime', 'already', 'sihh', ' Ngak ',' Adaain ',' PHP ',' Telkomsel ',' ']</v>
      </c>
      <c r="D7514" s="3">
        <v>2.0</v>
      </c>
    </row>
    <row r="7515" ht="15.75" customHeight="1">
      <c r="A7515" s="1">
        <v>7979.0</v>
      </c>
      <c r="B7515" s="3" t="s">
        <v>7185</v>
      </c>
      <c r="C7515" s="3" t="str">
        <f>IFERROR(__xludf.DUMMYFUNCTION("GOOGLETRANSLATE(B7515,""id"",""en"")"),"['Young', 'Purchase']")</f>
        <v>['Young', 'Purchase']</v>
      </c>
      <c r="D7515" s="3">
        <v>4.0</v>
      </c>
    </row>
    <row r="7516" ht="15.75" customHeight="1">
      <c r="A7516" s="1">
        <v>7980.0</v>
      </c>
      <c r="B7516" s="3" t="s">
        <v>7186</v>
      </c>
      <c r="C7516" s="3" t="str">
        <f>IFERROR(__xludf.DUMMYFUNCTION("GOOGLETRANSLATE(B7516,""id"",""en"")"),"['Please', 'Telkomsel', 'Register', 'Package', 'TPI', 'Pulse', 'Take', 'Already', 'Gmna']")</f>
        <v>['Please', 'Telkomsel', 'Register', 'Package', 'TPI', 'Pulse', 'Take', 'Already', 'Gmna']</v>
      </c>
      <c r="D7516" s="3">
        <v>1.0</v>
      </c>
    </row>
    <row r="7517" ht="15.75" customHeight="1">
      <c r="A7517" s="1">
        <v>7981.0</v>
      </c>
      <c r="B7517" s="3" t="s">
        <v>7187</v>
      </c>
      <c r="C7517" s="3" t="str">
        <f>IFERROR(__xludf.DUMMYFUNCTION("GOOGLETRANSLATE(B7517,""id"",""en"")"),"['Sorry', 'here', 'signal', 'Telkomsel', 'good', 'signal', 'open', 'medsos',' how ',' buy ',' package ',' expensive ',' ']")</f>
        <v>['Sorry', 'here', 'signal', 'Telkomsel', 'good', 'signal', 'open', 'medsos',' how ',' buy ',' package ',' expensive ',' ']</v>
      </c>
      <c r="D7517" s="3">
        <v>2.0</v>
      </c>
    </row>
    <row r="7518" ht="15.75" customHeight="1">
      <c r="A7518" s="1">
        <v>7982.0</v>
      </c>
      <c r="B7518" s="3" t="s">
        <v>7188</v>
      </c>
      <c r="C7518" s="3" t="str">
        <f>IFERROR(__xludf.DUMMYFUNCTION("GOOGLETRANSLATE(B7518,""id"",""en"")"),"['update', 'slow', 'expensive', 'price', 'package', 'service', 'that's',' download ',' play ',' game ',' like ',' ilang ',' signal ',' jumping ',' ping it ',' disappointed ',' service ',' pricing ',' customer ',' ']")</f>
        <v>['update', 'slow', 'expensive', 'price', 'package', 'service', 'that's',' download ',' play ',' game ',' like ',' ilang ',' signal ',' jumping ',' ping it ',' disappointed ',' service ',' pricing ',' customer ',' ']</v>
      </c>
      <c r="D7518" s="3">
        <v>1.0</v>
      </c>
    </row>
    <row r="7519" ht="15.75" customHeight="1">
      <c r="A7519" s="1">
        <v>7983.0</v>
      </c>
      <c r="B7519" s="3" t="s">
        <v>7189</v>
      </c>
      <c r="C7519" s="3" t="str">
        <f>IFERROR(__xludf.DUMMYFUNCTION("GOOGLETRANSLATE(B7519,""id"",""en"")"),"['Telkomsel', 'like', 'sucked', 'pulse', 'contents', 'reset', 'signal', 'Sumatra', 'go out']")</f>
        <v>['Telkomsel', 'like', 'sucked', 'pulse', 'contents', 'reset', 'signal', 'Sumatra', 'go out']</v>
      </c>
      <c r="D7519" s="3">
        <v>1.0</v>
      </c>
    </row>
    <row r="7520" ht="15.75" customHeight="1">
      <c r="A7520" s="1">
        <v>7984.0</v>
      </c>
      <c r="B7520" s="3" t="s">
        <v>7190</v>
      </c>
      <c r="C7520" s="3" t="str">
        <f>IFERROR(__xludf.DUMMYFUNCTION("GOOGLETRANSLATE(B7520,""id"",""en"")"),"['Easy', 'helped']")</f>
        <v>['Easy', 'helped']</v>
      </c>
      <c r="D7520" s="3">
        <v>4.0</v>
      </c>
    </row>
    <row r="7521" ht="15.75" customHeight="1">
      <c r="A7521" s="1">
        <v>7985.0</v>
      </c>
      <c r="B7521" s="3" t="s">
        <v>7191</v>
      </c>
      <c r="C7521" s="3" t="str">
        <f>IFERROR(__xludf.DUMMYFUNCTION("GOOGLETRANSLATE(B7521,""id"",""en"")"),"['If', 'My village', 'signal', 'Telkomsel', 'Change', 'Operator', 'Telkomsel', 'expensive', 'internet']")</f>
        <v>['If', 'My village', 'signal', 'Telkomsel', 'Change', 'Operator', 'Telkomsel', 'expensive', 'internet']</v>
      </c>
      <c r="D7521" s="3">
        <v>1.0</v>
      </c>
    </row>
    <row r="7522" ht="15.75" customHeight="1">
      <c r="A7522" s="1">
        <v>7986.0</v>
      </c>
      <c r="B7522" s="3" t="s">
        <v>7192</v>
      </c>
      <c r="C7522" s="3" t="str">
        <f>IFERROR(__xludf.DUMMYFUNCTION("GOOGLETRANSLATE(B7522,""id"",""en"")"),"['Sorry', 'MyTelkomsel', 'Forced', 'Uninstall', 'Ngeapain', 'Issible', 'Open', 'MyTelkomsel', 'Menu', 'Complete', 'APK', 'Menu', ' Complete ',' Discard ',' quota ', ""]")</f>
        <v>['Sorry', 'MyTelkomsel', 'Forced', 'Uninstall', 'Ngeapain', 'Issible', 'Open', 'MyTelkomsel', 'Menu', 'Complete', 'APK', 'Menu', ' Complete ',' Discard ',' quota ', "]</v>
      </c>
      <c r="D7522" s="3">
        <v>1.0</v>
      </c>
    </row>
    <row r="7523" ht="15.75" customHeight="1">
      <c r="A7523" s="1">
        <v>7987.0</v>
      </c>
      <c r="B7523" s="3" t="s">
        <v>7193</v>
      </c>
      <c r="C7523" s="3" t="str">
        <f>IFERROR(__xludf.DUMMYFUNCTION("GOOGLETRANSLATE(B7523,""id"",""en"")"),"['Steady', 'Continue', 'Mission', 'Missing', 'Child', 'Country', 'Master', 'Tehechnology', 'Era', 'Globalization', 'Child', 'Negeri', ' Understand ',' Telkomsel ',' Share ',' Family ',' Master ',' Dedicated ',' Negeri ']")</f>
        <v>['Steady', 'Continue', 'Mission', 'Missing', 'Child', 'Country', 'Master', 'Tehechnology', 'Era', 'Globalization', 'Child', 'Negeri', ' Understand ',' Telkomsel ',' Share ',' Family ',' Master ',' Dedicated ',' Negeri ']</v>
      </c>
      <c r="D7523" s="3">
        <v>5.0</v>
      </c>
    </row>
    <row r="7524" ht="15.75" customHeight="1">
      <c r="A7524" s="1">
        <v>7989.0</v>
      </c>
      <c r="B7524" s="3" t="s">
        <v>7194</v>
      </c>
      <c r="C7524" s="3" t="str">
        <f>IFERROR(__xludf.DUMMYFUNCTION("GOOGLETRANSLATE(B7524,""id"",""en"")"),"['okay', 'steady', 'Alhamdulillah', 'network', 'Telkomsel', 'stable', 'prayer', 'hope', 'lottery', 'exchange', 'point', 'Telkomsel', ' Win ',' Amin ',' Robbal ',' Alamin ', ""]")</f>
        <v>['okay', 'steady', 'Alhamdulillah', 'network', 'Telkomsel', 'stable', 'prayer', 'hope', 'lottery', 'exchange', 'point', 'Telkomsel', ' Win ',' Amin ',' Robbal ',' Alamin ', "]</v>
      </c>
      <c r="D7524" s="3">
        <v>5.0</v>
      </c>
    </row>
    <row r="7525" ht="15.75" customHeight="1">
      <c r="A7525" s="1">
        <v>7990.0</v>
      </c>
      <c r="B7525" s="3" t="s">
        <v>7195</v>
      </c>
      <c r="C7525" s="3" t="str">
        <f>IFERROR(__xludf.DUMMYFUNCTION("GOOGLETRANSLATE(B7525,""id"",""en"")"),"['gift', 'pdhl', 'me', 'exchange', 'point', 'win']")</f>
        <v>['gift', 'pdhl', 'me', 'exchange', 'point', 'win']</v>
      </c>
      <c r="D7525" s="3">
        <v>3.0</v>
      </c>
    </row>
    <row r="7526" ht="15.75" customHeight="1">
      <c r="A7526" s="1">
        <v>7992.0</v>
      </c>
      <c r="B7526" s="3" t="s">
        <v>7196</v>
      </c>
      <c r="C7526" s="3" t="str">
        <f>IFERROR(__xludf.DUMMYFUNCTION("GOOGLETRANSLATE(B7526,""id"",""en"")"),"['bqus', 'useful', 'really']")</f>
        <v>['bqus', 'useful', 'really']</v>
      </c>
      <c r="D7526" s="3">
        <v>5.0</v>
      </c>
    </row>
    <row r="7527" ht="15.75" customHeight="1">
      <c r="A7527" s="1">
        <v>7993.0</v>
      </c>
      <c r="B7527" s="3" t="s">
        <v>7197</v>
      </c>
      <c r="C7527" s="3" t="str">
        <f>IFERROR(__xludf.DUMMYFUNCTION("GOOGLETRANSLATE(B7527,""id"",""en"")"),"['Warning', 'ISI', 'Credit', 'Morning', 'Rp', 'Buy', 'Package', 'GB', 'IDR', 'Applicable', 'MyTelkomsel', 'Credit', ' Cutting ',' Out ',' Quota ',' Enter ',' Repaired ',' Quota ',' Enter ',' Fix ',' Bintang ',' Review ',' Thank you ']")</f>
        <v>['Warning', 'ISI', 'Credit', 'Morning', 'Rp', 'Buy', 'Package', 'GB', 'IDR', 'Applicable', 'MyTelkomsel', 'Credit', ' Cutting ',' Out ',' Quota ',' Enter ',' Repaired ',' Quota ',' Enter ',' Fix ',' Bintang ',' Review ',' Thank you ']</v>
      </c>
      <c r="D7527" s="3">
        <v>1.0</v>
      </c>
    </row>
    <row r="7528" ht="15.75" customHeight="1">
      <c r="A7528" s="1">
        <v>7994.0</v>
      </c>
      <c r="B7528" s="3" t="s">
        <v>7198</v>
      </c>
      <c r="C7528" s="3" t="str">
        <f>IFERROR(__xludf.DUMMYFUNCTION("GOOGLETRANSLATE(B7528,""id"",""en"")"),"['Lemot', 'paraahhhhh', 'price', 'expensive']")</f>
        <v>['Lemot', 'paraahhhhh', 'price', 'expensive']</v>
      </c>
      <c r="D7528" s="3">
        <v>1.0</v>
      </c>
    </row>
    <row r="7529" ht="15.75" customHeight="1">
      <c r="A7529" s="1">
        <v>7995.0</v>
      </c>
      <c r="B7529" s="3" t="s">
        <v>7199</v>
      </c>
      <c r="C7529" s="3" t="str">
        <f>IFERROR(__xludf.DUMMYFUNCTION("GOOGLETRANSLATE(B7529,""id"",""en"")"),"['', 'Telkomsel', 'help', 'easy', 'use', 'darling', 'gift']")</f>
        <v>['', 'Telkomsel', 'help', 'easy', 'use', 'darling', 'gift']</v>
      </c>
      <c r="D7529" s="3">
        <v>5.0</v>
      </c>
    </row>
    <row r="7530" ht="15.75" customHeight="1">
      <c r="A7530" s="1">
        <v>7996.0</v>
      </c>
      <c r="B7530" s="3" t="s">
        <v>7200</v>
      </c>
      <c r="C7530" s="3" t="str">
        <f>IFERROR(__xludf.DUMMYFUNCTION("GOOGLETRANSLATE(B7530,""id"",""en"")"),"['price', 'quota', 'economical', 'account', 'different', 'account', 'person', 'price', 'economical']")</f>
        <v>['price', 'quota', 'economical', 'account', 'different', 'account', 'person', 'price', 'economical']</v>
      </c>
      <c r="D7530" s="3">
        <v>4.0</v>
      </c>
    </row>
    <row r="7531" ht="15.75" customHeight="1">
      <c r="A7531" s="1">
        <v>7997.0</v>
      </c>
      <c r="B7531" s="3" t="s">
        <v>7201</v>
      </c>
      <c r="C7531" s="3" t="str">
        <f>IFERROR(__xludf.DUMMYFUNCTION("GOOGLETRANSLATE(B7531,""id"",""en"")"),"['Please', 'Tsel', 'Give', 'Paketan', 'Unlimited', 'Multimedia', 'Speed', 'Sousal', 'Reduced', 'Buy', 'Package', 'Combo', ' Sakti ',' quota ',' regular ',' run out ',' leftover ',' quota ',' multimedia ',' signal ',' game ',' online ',' pubgm ',' ugly ','"&amp;" that's' , 'Please', ""]")</f>
        <v>['Please', 'Tsel', 'Give', 'Paketan', 'Unlimited', 'Multimedia', 'Speed', 'Sousal', 'Reduced', 'Buy', 'Package', 'Combo', ' Sakti ',' quota ',' regular ',' run out ',' leftover ',' quota ',' multimedia ',' signal ',' game ',' online ',' pubgm ',' ugly ',' that's' , 'Please', "]</v>
      </c>
      <c r="D7531" s="3">
        <v>2.0</v>
      </c>
    </row>
    <row r="7532" ht="15.75" customHeight="1">
      <c r="A7532" s="1">
        <v>7998.0</v>
      </c>
      <c r="B7532" s="3" t="s">
        <v>7202</v>
      </c>
      <c r="C7532" s="3" t="str">
        <f>IFERROR(__xludf.DUMMYFUNCTION("GOOGLETRANSLATE(B7532,""id"",""en"")"),"['users', 'Telkomsel', 'easy', 'hopefully', 'help', 'explore', 'world', 'virtual', 'real', ""]")</f>
        <v>['users', 'Telkomsel', 'easy', 'hopefully', 'help', 'explore', 'world', 'virtual', 'real', "]</v>
      </c>
      <c r="D7532" s="3">
        <v>5.0</v>
      </c>
    </row>
    <row r="7533" ht="15.75" customHeight="1">
      <c r="A7533" s="1">
        <v>7999.0</v>
      </c>
      <c r="B7533" s="3" t="s">
        <v>7203</v>
      </c>
      <c r="C7533" s="3" t="str">
        <f>IFERROR(__xludf.DUMMYFUNCTION("GOOGLETRANSLATE(B7533,""id"",""en"")"),"['Application', 'artisan', 'Gotted', 'Credit', 'Enter', 'Application', 'Pulse', 'Direct', 'Lost', 'Buy', 'Package', 'Internet', ' Credit ',' Direct ',' missing ',' It's better ',' buy ',' ']")</f>
        <v>['Application', 'artisan', 'Gotted', 'Credit', 'Enter', 'Application', 'Pulse', 'Direct', 'Lost', 'Buy', 'Package', 'Internet', ' Credit ',' Direct ',' missing ',' It's better ',' buy ',' ']</v>
      </c>
      <c r="D7533" s="3">
        <v>1.0</v>
      </c>
    </row>
    <row r="7534" ht="15.75" customHeight="1">
      <c r="A7534" s="1">
        <v>8000.0</v>
      </c>
      <c r="B7534" s="3" t="s">
        <v>7204</v>
      </c>
      <c r="C7534" s="3" t="str">
        <f>IFERROR(__xludf.DUMMYFUNCTION("GOOGLETRANSLATE(B7534,""id"",""en"")"),"['Application', 'Cool']")</f>
        <v>['Application', 'Cool']</v>
      </c>
      <c r="D7534" s="3">
        <v>5.0</v>
      </c>
    </row>
    <row r="7535" ht="15.75" customHeight="1">
      <c r="A7535" s="1">
        <v>8001.0</v>
      </c>
      <c r="B7535" s="3" t="s">
        <v>7205</v>
      </c>
      <c r="C7535" s="3" t="str">
        <f>IFERROR(__xludf.DUMMYFUNCTION("GOOGLETRANSLATE(B7535,""id"",""en"")"),"['Hi', 'Sis',' updated ',' version ',' loading ',' checked ',' quota ',' leftover ',' pulse ',' info ',' blank ',' that's', ' times', 'application', 'normal', 'krna', 'my signal', 'maximum', 'application', 'dlm', 'benefits',' hopefully ',' my best friend "&amp;"',' wise ',' reviews' , 'Language', 'polite', 'your writing', 'reflects', 'Adabmu', ""]")</f>
        <v>['Hi', 'Sis',' updated ',' version ',' loading ',' checked ',' quota ',' leftover ',' pulse ',' info ',' blank ',' that's', ' times', 'application', 'normal', 'krna', 'my signal', 'maximum', 'application', 'dlm', 'benefits',' hopefully ',' my best friend ',' wise ',' reviews' , 'Language', 'polite', 'your writing', 'reflects', 'Adabmu', "]</v>
      </c>
      <c r="D7535" s="3">
        <v>3.0</v>
      </c>
    </row>
    <row r="7536" ht="15.75" customHeight="1">
      <c r="A7536" s="1">
        <v>8002.0</v>
      </c>
      <c r="B7536" s="3" t="s">
        <v>7206</v>
      </c>
      <c r="C7536" s="3" t="str">
        <f>IFERROR(__xludf.DUMMYFUNCTION("GOOGLETRANSLATE(B7536,""id"",""en"")"),"['', 'friend', 'top', 'heart', 'mnding', 'top', 'alpha', 'indo', 'buy', 'google', 'play', 'balance', 'payment ',' Telkomsel ',' cave ',' rb ',' ilang ',' top ',' transaction ',' fail ',' TPI ',' pulse ',' tetep ',' chick ',' udh ', 'Litu', 'Telkomsel', 'h"&amp;"elp', 'return', 'how', 'heart', 'money', 'missing', 'nyesek']")</f>
        <v>['', 'friend', 'top', 'heart', 'mnding', 'top', 'alpha', 'indo', 'buy', 'google', 'play', 'balance', 'payment ',' Telkomsel ',' cave ',' rb ',' ilang ',' top ',' transaction ',' fail ',' TPI ',' pulse ',' tetep ',' chick ',' udh ', 'Litu', 'Telkomsel', 'help', 'return', 'how', 'heart', 'money', 'missing', 'nyesek']</v>
      </c>
      <c r="D7536" s="3">
        <v>1.0</v>
      </c>
    </row>
    <row r="7537" ht="15.75" customHeight="1">
      <c r="A7537" s="1">
        <v>8003.0</v>
      </c>
      <c r="B7537" s="3" t="s">
        <v>7207</v>
      </c>
      <c r="C7537" s="3" t="str">
        <f>IFERROR(__xludf.DUMMYFUNCTION("GOOGLETRANSLATE(B7537,""id"",""en"")"),"['no', 'Karuan', 'the application', 'Pakek', 'application', 'easy', 'buy', 'choice', 'package', 'difficult', 'sampek', 'pulses',' Sucked ',' Reduced ',' Delete ',' ']")</f>
        <v>['no', 'Karuan', 'the application', 'Pakek', 'application', 'easy', 'buy', 'choice', 'package', 'difficult', 'sampek', 'pulses',' Sucked ',' Reduced ',' Delete ',' ']</v>
      </c>
      <c r="D7537" s="3">
        <v>1.0</v>
      </c>
    </row>
    <row r="7538" ht="15.75" customHeight="1">
      <c r="A7538" s="1">
        <v>8004.0</v>
      </c>
      <c r="B7538" s="3" t="s">
        <v>7208</v>
      </c>
      <c r="C7538" s="3" t="str">
        <f>IFERROR(__xludf.DUMMYFUNCTION("GOOGLETRANSLATE(B7538,""id"",""en"")"),"['Get', 'sms',' cheerful ',' thousand ',' GB ',' cave ',' contents', 'pulse', 'rbb', 'get', 'sms',' pulses', ' ckup ',' reduced ',' rupiah ',' okay ',' buy ',' rbb ',' pulse ',' total ',' pulse ',' thousand ',' right ',' search ',' promo ' , 'Paketannya',"&amp;" 'already', 'ngak', 'cheerful', ""]")</f>
        <v>['Get', 'sms',' cheerful ',' thousand ',' GB ',' cave ',' contents', 'pulse', 'rbb', 'get', 'sms',' pulses', ' ckup ',' reduced ',' rupiah ',' okay ',' buy ',' rbb ',' pulse ',' total ',' pulse ',' thousand ',' right ',' search ',' promo ' , 'Paketannya', 'already', 'ngak', 'cheerful', "]</v>
      </c>
      <c r="D7538" s="3">
        <v>1.0</v>
      </c>
    </row>
    <row r="7539" ht="15.75" customHeight="1">
      <c r="A7539" s="1">
        <v>8005.0</v>
      </c>
      <c r="B7539" s="3" t="s">
        <v>7209</v>
      </c>
      <c r="C7539" s="3" t="str">
        <f>IFERROR(__xludf.DUMMYFUNCTION("GOOGLETRANSLATE(B7539,""id"",""en"")"),"['Application', 'Help', 'Speed', 'Open', 'Application', 'Please', 'Enhanced']")</f>
        <v>['Application', 'Help', 'Speed', 'Open', 'Application', 'Please', 'Enhanced']</v>
      </c>
      <c r="D7539" s="3">
        <v>4.0</v>
      </c>
    </row>
    <row r="7540" ht="15.75" customHeight="1">
      <c r="A7540" s="1">
        <v>8006.0</v>
      </c>
      <c r="B7540" s="3" t="s">
        <v>7210</v>
      </c>
      <c r="C7540" s="3" t="str">
        <f>IFERROR(__xludf.DUMMYFUNCTION("GOOGLETRANSLATE(B7540,""id"",""en"")"),"['Disappointed', 'not', 'stable', 'really', 'contact', 'family', 'difficult', 'chatting', 'for a moment', 'connection', 'direct', 'disconnected', ' Connect ',' disconnected ',' disappointed ',' really ',' deh ']")</f>
        <v>['Disappointed', 'not', 'stable', 'really', 'contact', 'family', 'difficult', 'chatting', 'for a moment', 'connection', 'direct', 'disconnected', ' Connect ',' disconnected ',' disappointed ',' really ',' deh ']</v>
      </c>
      <c r="D7540" s="3">
        <v>2.0</v>
      </c>
    </row>
    <row r="7541" ht="15.75" customHeight="1">
      <c r="A7541" s="1">
        <v>8007.0</v>
      </c>
      <c r="B7541" s="3" t="s">
        <v>7211</v>
      </c>
      <c r="C7541" s="3" t="str">
        <f>IFERROR(__xludf.DUMMYFUNCTION("GOOGLETRANSLATE(B7541,""id"",""en"")"),"['Please', 'Fix', 'LGI', 'Network', 'Buy', 'PKET', 'DLAM', 'Application', 'FAILURE', 'FAILURE', 'DPET', 'SMS', ' Credit ',' PDAVY ',' Credit ',' Dri ',' Price ',' Package ',' haduhh ']")</f>
        <v>['Please', 'Fix', 'LGI', 'Network', 'Buy', 'PKET', 'DLAM', 'Application', 'FAILURE', 'FAILURE', 'DPET', 'SMS', ' Credit ',' PDAVY ',' Credit ',' Dri ',' Price ',' Package ',' haduhh ']</v>
      </c>
      <c r="D7541" s="3">
        <v>1.0</v>
      </c>
    </row>
    <row r="7542" ht="15.75" customHeight="1">
      <c r="A7542" s="1">
        <v>8008.0</v>
      </c>
      <c r="B7542" s="3" t="s">
        <v>7212</v>
      </c>
      <c r="C7542" s="3" t="str">
        <f>IFERROR(__xludf.DUMMYFUNCTION("GOOGLETRANSLATE(B7542,""id"",""en"")"),"['Assalamualaikum', 'Congratulations', 'Morning', 'Telkomsel', 'Please', 'Application', 'Error', 'Fix', 'Customer', 'Disappointed', ""]")</f>
        <v>['Assalamualaikum', 'Congratulations', 'Morning', 'Telkomsel', 'Please', 'Application', 'Error', 'Fix', 'Customer', 'Disappointed', "]</v>
      </c>
      <c r="D7542" s="3">
        <v>2.0</v>
      </c>
    </row>
    <row r="7543" ht="15.75" customHeight="1">
      <c r="A7543" s="1">
        <v>8009.0</v>
      </c>
      <c r="B7543" s="3" t="s">
        <v>7213</v>
      </c>
      <c r="C7543" s="3" t="str">
        <f>IFERROR(__xludf.DUMMYFUNCTION("GOOGLETRANSLATE(B7543,""id"",""en"")"),"['Package', 'quota', 'internet', 'expensive', 'expensive', 'bngt', 'ready', 'bli', 'already', 'dlu', 'good', 'really', ' JDI ',' subscription ',' RbU ',' Please ',' Sorry ',' Bngt ',' Skrng ',' mah ',' Sya ',' fill ',' fill ',' quota ',' Telkomsel ' , 'Sy"&amp;"a', 'fill', 'moved', 'neighbors', 'comfortable', 'cheap', 'Sya', 'ngeven', 'bngt', 'sma', 'telkosel', 'because' quota ',' expensive ',' expensive ',' sya ',' contents', 'contents',' pulse ',' jjur ',' sya ',' comfortable ',' high school ',' kombo ',' sakt"&amp;"i ' , 'RbU', 'Khpah', 'promo', 'Missing', 'Trima', 'Love']")</f>
        <v>['Package', 'quota', 'internet', 'expensive', 'expensive', 'bngt', 'ready', 'bli', 'already', 'dlu', 'good', 'really', ' JDI ',' subscription ',' RbU ',' Please ',' Sorry ',' Bngt ',' Skrng ',' mah ',' Sya ',' fill ',' fill ',' quota ',' Telkomsel ' , 'Sya', 'fill', 'moved', 'neighbors', 'comfortable', 'cheap', 'Sya', 'ngeven', 'bngt', 'sma', 'telkosel', 'because' quota ',' expensive ',' expensive ',' sya ',' contents', 'contents',' pulse ',' jjur ',' sya ',' comfortable ',' high school ',' kombo ',' sakti ' , 'RbU', 'Khpah', 'promo', 'Missing', 'Trima', 'Love']</v>
      </c>
      <c r="D7543" s="3">
        <v>1.0</v>
      </c>
    </row>
    <row r="7544" ht="15.75" customHeight="1">
      <c r="A7544" s="1">
        <v>8011.0</v>
      </c>
      <c r="B7544" s="3" t="s">
        <v>7214</v>
      </c>
      <c r="C7544" s="3" t="str">
        <f>IFERROR(__xludf.DUMMYFUNCTION("GOOGLETRANSLATE(B7544,""id"",""en"")"),"['Season', 'really', 'Telkomsel', 'kdang', 'signal', 'smooth', 'kaga', 'jdi', 'minute', 'mode', 'plane', 'smooth', ' Please, 'repaired', '']")</f>
        <v>['Season', 'really', 'Telkomsel', 'kdang', 'signal', 'smooth', 'kaga', 'jdi', 'minute', 'mode', 'plane', 'smooth', ' Please, 'repaired', '']</v>
      </c>
      <c r="D7544" s="3">
        <v>2.0</v>
      </c>
    </row>
    <row r="7545" ht="15.75" customHeight="1">
      <c r="A7545" s="1">
        <v>8012.0</v>
      </c>
      <c r="B7545" s="3" t="s">
        <v>7215</v>
      </c>
      <c r="C7545" s="3" t="str">
        <f>IFERROR(__xludf.DUMMYFUNCTION("GOOGLETRANSLATE(B7545,""id"",""en"")"),"['', 'Telkomsel', 'network', 'widest', 'biggest', 'emang', ""]")</f>
        <v>['', 'Telkomsel', 'network', 'widest', 'biggest', 'emang', "]</v>
      </c>
      <c r="D7545" s="3">
        <v>4.0</v>
      </c>
    </row>
    <row r="7546" ht="15.75" customHeight="1">
      <c r="A7546" s="1">
        <v>8013.0</v>
      </c>
      <c r="B7546" s="3" t="s">
        <v>7216</v>
      </c>
      <c r="C7546" s="3" t="str">
        <f>IFERROR(__xludf.DUMMYFUNCTION("GOOGLETRANSLATE(B7546,""id"",""en"")"),"['Good', 'help', 'users', 'Telkomsel']")</f>
        <v>['Good', 'help', 'users', 'Telkomsel']</v>
      </c>
      <c r="D7546" s="3">
        <v>4.0</v>
      </c>
    </row>
    <row r="7547" ht="15.75" customHeight="1">
      <c r="A7547" s="1">
        <v>8014.0</v>
      </c>
      <c r="B7547" s="3" t="s">
        <v>7217</v>
      </c>
      <c r="C7547" s="3" t="str">
        <f>IFERROR(__xludf.DUMMYFUNCTION("GOOGLETRANSLATE(B7547,""id"",""en"")"),"['interesting', 'easy', 'understand']")</f>
        <v>['interesting', 'easy', 'understand']</v>
      </c>
      <c r="D7547" s="3">
        <v>5.0</v>
      </c>
    </row>
    <row r="7548" ht="15.75" customHeight="1">
      <c r="A7548" s="1">
        <v>8015.0</v>
      </c>
      <c r="B7548" s="3" t="s">
        <v>7218</v>
      </c>
      <c r="C7548" s="3" t="str">
        <f>IFERROR(__xludf.DUMMYFUNCTION("GOOGLETRANSLATE(B7548,""id"",""en"")"),"['', 'ndak']")</f>
        <v>['', 'ndak']</v>
      </c>
      <c r="D7548" s="3">
        <v>5.0</v>
      </c>
    </row>
    <row r="7549" ht="15.75" customHeight="1">
      <c r="A7549" s="1">
        <v>8016.0</v>
      </c>
      <c r="B7549" s="3" t="s">
        <v>7219</v>
      </c>
      <c r="C7549" s="3" t="str">
        <f>IFERROR(__xludf.DUMMYFUNCTION("GOOGLETRANSLATE(B7549,""id"",""en"")"),"['Brtahun', 'use', 'Telkomsel', 'Maikin', 'here', 'signal', 'network', 'requested', 'Telkomsel', 'Dwakiri', 'as soon as', 'because' KLW ',' Fast ',' Acquired ',' Continue ',' Eat ',' Customer ',' Telkomsel ',' Bepindah ',' Kerain ',' Heart ']")</f>
        <v>['Brtahun', 'use', 'Telkomsel', 'Maikin', 'here', 'signal', 'network', 'requested', 'Telkomsel', 'Dwakiri', 'as soon as', 'because' KLW ',' Fast ',' Acquired ',' Continue ',' Eat ',' Customer ',' Telkomsel ',' Bepindah ',' Kerain ',' Heart ']</v>
      </c>
      <c r="D7549" s="3">
        <v>5.0</v>
      </c>
    </row>
    <row r="7550" ht="15.75" customHeight="1">
      <c r="A7550" s="1">
        <v>8017.0</v>
      </c>
      <c r="B7550" s="3" t="s">
        <v>7220</v>
      </c>
      <c r="C7550" s="3" t="str">
        <f>IFERROR(__xludf.DUMMYFUNCTION("GOOGLETRANSLATE(B7550,""id"",""en"")"),"['Credit', 'brushed', 'Telkomsel', 'Rb', 'Package', 'Kouta', 'Try', 'Please', 'Credit', 'Reduced', 'Rich', 'Gini', ' already ',' changed ',' rich ',' gini ',' name ',' thief ', ""]")</f>
        <v>['Credit', 'brushed', 'Telkomsel', 'Rb', 'Package', 'Kouta', 'Try', 'Please', 'Credit', 'Reduced', 'Rich', 'Gini', ' already ',' changed ',' rich ',' gini ',' name ',' thief ', "]</v>
      </c>
      <c r="D7550" s="3">
        <v>1.0</v>
      </c>
    </row>
    <row r="7551" ht="15.75" customHeight="1">
      <c r="A7551" s="1">
        <v>8019.0</v>
      </c>
      <c r="B7551" s="3" t="s">
        <v>7221</v>
      </c>
      <c r="C7551" s="3" t="str">
        <f>IFERROR(__xludf.DUMMYFUNCTION("GOOGLETRANSLATE(B7551,""id"",""en"")"),"['Help', 'leftover', 'pulse', 'quota', 'network', 'Please', 'lbh', 'enhanced', 'cool', 'really', '']")</f>
        <v>['Help', 'leftover', 'pulse', 'quota', 'network', 'Please', 'lbh', 'enhanced', 'cool', 'really', '']</v>
      </c>
      <c r="D7551" s="3">
        <v>5.0</v>
      </c>
    </row>
    <row r="7552" ht="15.75" customHeight="1">
      <c r="A7552" s="1">
        <v>8020.0</v>
      </c>
      <c r="B7552" s="3" t="s">
        <v>7222</v>
      </c>
      <c r="C7552" s="3" t="str">
        <f>IFERROR(__xludf.DUMMYFUNCTION("GOOGLETRANSLATE(B7552,""id"",""en"")"),"['Success', 'Telkomsel', 'Reach', 'Spacious', 'Telkomsel', 'smile']")</f>
        <v>['Success', 'Telkomsel', 'Reach', 'Spacious', 'Telkomsel', 'smile']</v>
      </c>
      <c r="D7552" s="3">
        <v>5.0</v>
      </c>
    </row>
    <row r="7553" ht="15.75" customHeight="1">
      <c r="A7553" s="1">
        <v>8021.0</v>
      </c>
      <c r="B7553" s="3" t="s">
        <v>7223</v>
      </c>
      <c r="C7553" s="3" t="str">
        <f>IFERROR(__xludf.DUMMYFUNCTION("GOOGLETRANSLATE(B7553,""id"",""en"")"),"['Quality', 'Signal', 'Telkomsel', 'Not bad', 'Good', 'right', 'Dead', 'Lights',' Direct ',' ilang ',' Kayak ',' swallowed ',' Earth ',' Indosat ',' Direct ',' laugh ',' see ',' Signal ',' Indosat ',' Nggk ',' that's ',' boss ',' Original ',' parahhhhhhhh"&amp;"hhhhhhhhhhhhhhhhhhhhhhhhhhhhhhhhhhhhhhhhhhhhhhhhhh")</f>
        <v>['Quality', 'Signal', 'Telkomsel', 'Not bad', 'Good', 'right', 'Dead', 'Lights',' Direct ',' ilang ',' Kayak ',' swallowed ',' Earth ',' Indosat ',' Direct ',' laugh ',' see ',' Signal ',' Indosat ',' Nggk ',' that's ',' boss ',' Original ',' parahhhhhhhhhhhhhhhhhhhhhhhhhhhhhhhhhhhhhhhhhhhhhhhhhhhhhhhhhh</v>
      </c>
      <c r="D7553" s="3">
        <v>1.0</v>
      </c>
    </row>
    <row r="7554" ht="15.75" customHeight="1">
      <c r="A7554" s="1">
        <v>8022.0</v>
      </c>
      <c r="B7554" s="3" t="s">
        <v>7224</v>
      </c>
      <c r="C7554" s="3" t="str">
        <f>IFERROR(__xludf.DUMMYFUNCTION("GOOGLETRANSLATE(B7554,""id"",""en"")"),"['Hello', 'Sis', 'Buy', 'Package', 'Internet', 'Cuman', 'Enter', 'Package', 'Internet', 'Kirakira', 'Kah', ""]")</f>
        <v>['Hello', 'Sis', 'Buy', 'Package', 'Internet', 'Cuman', 'Enter', 'Package', 'Internet', 'Kirakira', 'Kah', "]</v>
      </c>
      <c r="D7554" s="3">
        <v>3.0</v>
      </c>
    </row>
    <row r="7555" ht="15.75" customHeight="1">
      <c r="A7555" s="1">
        <v>8023.0</v>
      </c>
      <c r="B7555" s="3" t="s">
        <v>7225</v>
      </c>
      <c r="C7555" s="3" t="str">
        <f>IFERROR(__xludf.DUMMYFUNCTION("GOOGLETRANSLATE(B7555,""id"",""en"")"),"['Report', 'Min', 'Region', 'Ciamis',' West Java ',' West ',' remote ',' signal ',' difficult ',' internet ',' night ',' good ',' signal ',' noon ',' signal ',' please ',' min ',' fix ',' gadang ',' healthy ',' ']")</f>
        <v>['Report', 'Min', 'Region', 'Ciamis',' West Java ',' West ',' remote ',' signal ',' difficult ',' internet ',' night ',' good ',' signal ',' noon ',' signal ',' please ',' min ',' fix ',' gadang ',' healthy ',' ']</v>
      </c>
      <c r="D7555" s="3">
        <v>1.0</v>
      </c>
    </row>
    <row r="7556" ht="15.75" customHeight="1">
      <c r="A7556" s="1">
        <v>8024.0</v>
      </c>
      <c r="B7556" s="3" t="s">
        <v>7226</v>
      </c>
      <c r="C7556" s="3" t="str">
        <f>IFERROR(__xludf.DUMMYFUNCTION("GOOGLETRANSLATE(B7556,""id"",""en"")"),"['buy', 'quota', 'application', 'for', 'his writing', 'SUCCESS', 'enter', 'right', 'try', 'pulse', 'lose', 'Gatau', ' Where ',' card ',' used ',' data ']")</f>
        <v>['buy', 'quota', 'application', 'for', 'his writing', 'SUCCESS', 'enter', 'right', 'try', 'pulse', 'lose', 'Gatau', ' Where ',' card ',' used ',' data ']</v>
      </c>
      <c r="D7556" s="3">
        <v>1.0</v>
      </c>
    </row>
    <row r="7557" ht="15.75" customHeight="1">
      <c r="A7557" s="1">
        <v>8025.0</v>
      </c>
      <c r="B7557" s="3" t="s">
        <v>7227</v>
      </c>
      <c r="C7557" s="3" t="str">
        <f>IFERROR(__xludf.DUMMYFUNCTION("GOOGLETRANSLATE(B7557,""id"",""en"")"),"['Thank you', 'Telkomsel', 'application', 'help', 'community', 'rules', 'apply', 'apply', 'copun', 'point', 'Telkomsel']")</f>
        <v>['Thank you', 'Telkomsel', 'application', 'help', 'community', 'rules', 'apply', 'apply', 'copun', 'point', 'Telkomsel']</v>
      </c>
      <c r="D7557" s="3">
        <v>5.0</v>
      </c>
    </row>
    <row r="7558" ht="15.75" customHeight="1">
      <c r="A7558" s="1">
        <v>8026.0</v>
      </c>
      <c r="B7558" s="3" t="s">
        <v>7228</v>
      </c>
      <c r="C7558" s="3" t="str">
        <f>IFERROR(__xludf.DUMMYFUNCTION("GOOGLETRANSLATE(B7558,""id"",""en"")"),"['good', 'application', 'update', 'fast', 'slow', 'fit', 'open', 'application', 'network', 'please', 'mit', 'min', ' APK ',' Lemot ',' ']")</f>
        <v>['good', 'application', 'update', 'fast', 'slow', 'fit', 'open', 'application', 'network', 'please', 'mit', 'min', ' APK ',' Lemot ',' ']</v>
      </c>
      <c r="D7558" s="3">
        <v>4.0</v>
      </c>
    </row>
    <row r="7559" ht="15.75" customHeight="1">
      <c r="A7559" s="1">
        <v>8027.0</v>
      </c>
      <c r="B7559" s="3" t="s">
        <v>7229</v>
      </c>
      <c r="C7559" s="3" t="str">
        <f>IFERROR(__xludf.DUMMYFUNCTION("GOOGLETRANSLATE(B7559,""id"",""en"")"),"['promo', 'buy', 'difficult', 'turn', 'price', 'normal', 'direct', 'bought', 'easy', 'hahaha']")</f>
        <v>['promo', 'buy', 'difficult', 'turn', 'price', 'normal', 'direct', 'bought', 'easy', 'hahaha']</v>
      </c>
      <c r="D7559" s="3">
        <v>1.0</v>
      </c>
    </row>
    <row r="7560" ht="15.75" customHeight="1">
      <c r="A7560" s="1">
        <v>8028.0</v>
      </c>
      <c r="B7560" s="3" t="s">
        <v>7230</v>
      </c>
      <c r="C7560" s="3" t="str">
        <f>IFERROR(__xludf.DUMMYFUNCTION("GOOGLETRANSLATE(B7560,""id"",""en"")"),"['buy', 'package', 'night', 'Matiin', 'package', 'overslept', 'pulses',' cut ',' kayak ',' card ',' take ',' pulses', ' Diem ',' Package ',' Direct ',' Matiin ',' take ',' pulse ',' annoying ',' ']")</f>
        <v>['buy', 'package', 'night', 'Matiin', 'package', 'overslept', 'pulses',' cut ',' kayak ',' card ',' take ',' pulses', ' Diem ',' Package ',' Direct ',' Matiin ',' take ',' pulse ',' annoying ',' ']</v>
      </c>
      <c r="D7560" s="3">
        <v>1.0</v>
      </c>
    </row>
    <row r="7561" ht="15.75" customHeight="1">
      <c r="A7561" s="1">
        <v>8029.0</v>
      </c>
      <c r="B7561" s="3" t="s">
        <v>7231</v>
      </c>
      <c r="C7561" s="3" t="str">
        <f>IFERROR(__xludf.DUMMYFUNCTION("GOOGLETRANSLATE(B7561,""id"",""en"")"),"['promo', 'lost', 'determined', 'promo', 'lost', 'disappointed', 'telephone', 'promo', 'missing', 'told', 'move', 'card', ' postpaid']")</f>
        <v>['promo', 'lost', 'determined', 'promo', 'lost', 'disappointed', 'telephone', 'promo', 'missing', 'told', 'move', 'card', ' postpaid']</v>
      </c>
      <c r="D7561" s="3">
        <v>1.0</v>
      </c>
    </row>
    <row r="7562" ht="15.75" customHeight="1">
      <c r="A7562" s="1">
        <v>8030.0</v>
      </c>
      <c r="B7562" s="3" t="s">
        <v>7232</v>
      </c>
      <c r="C7562" s="3" t="str">
        <f>IFERROR(__xludf.DUMMYFUNCTION("GOOGLETRANSLATE(B7562,""id"",""en"")"),"['Mantap', 'Increase']")</f>
        <v>['Mantap', 'Increase']</v>
      </c>
      <c r="D7562" s="3">
        <v>5.0</v>
      </c>
    </row>
    <row r="7563" ht="15.75" customHeight="1">
      <c r="A7563" s="1">
        <v>8031.0</v>
      </c>
      <c r="B7563" s="3" t="s">
        <v>7233</v>
      </c>
      <c r="C7563" s="3" t="str">
        <f>IFERROR(__xludf.DUMMYFUNCTION("GOOGLETRANSLATE(B7563,""id"",""en"")"),"['network', 'Telkomsel', 'slow', 'please', 'repay', 'min']")</f>
        <v>['network', 'Telkomsel', 'slow', 'please', 'repay', 'min']</v>
      </c>
      <c r="D7563" s="3">
        <v>3.0</v>
      </c>
    </row>
    <row r="7564" ht="15.75" customHeight="1">
      <c r="A7564" s="1">
        <v>8032.0</v>
      </c>
      <c r="B7564" s="3" t="s">
        <v>7234</v>
      </c>
      <c r="C7564" s="3" t="str">
        <f>IFERROR(__xludf.DUMMYFUNCTION("GOOGLETRANSLATE(B7564,""id"",""en"")"),"['Speed', 'Network', 'Josssss', '']")</f>
        <v>['Speed', 'Network', 'Josssss', '']</v>
      </c>
      <c r="D7564" s="3">
        <v>5.0</v>
      </c>
    </row>
    <row r="7565" ht="15.75" customHeight="1">
      <c r="A7565" s="1">
        <v>8033.0</v>
      </c>
      <c r="B7565" s="3" t="s">
        <v>7235</v>
      </c>
      <c r="C7565" s="3" t="str">
        <f>IFERROR(__xludf.DUMMYFUNCTION("GOOGLETRANSLATE(B7565,""id"",""en"")"),"['Network', 'ilang', 'Mulu', 'Ngejin', 'Task', 'Online', 'run out', 'Main', 'game', 'report', 'AFK', ' UDH ',' Current ',' Kayak ',' Love ',' Bintang ', ""]")</f>
        <v>['Network', 'ilang', 'Mulu', 'Ngejin', 'Task', 'Online', 'run out', 'Main', 'game', 'report', 'AFK', ' UDH ',' Current ',' Kayak ',' Love ',' Bintang ', "]</v>
      </c>
      <c r="D7565" s="3">
        <v>1.0</v>
      </c>
    </row>
    <row r="7566" ht="15.75" customHeight="1">
      <c r="A7566" s="1">
        <v>8034.0</v>
      </c>
      <c r="B7566" s="3" t="s">
        <v>7236</v>
      </c>
      <c r="C7566" s="3" t="str">
        <f>IFERROR(__xludf.DUMMYFUNCTION("GOOGLETRANSLATE(B7566,""id"",""en"")"),"['pulse', 'missing', 'notification', 'yng', 'detailed', '']")</f>
        <v>['pulse', 'missing', 'notification', 'yng', 'detailed', '']</v>
      </c>
      <c r="D7566" s="3">
        <v>2.0</v>
      </c>
    </row>
    <row r="7567" ht="15.75" customHeight="1">
      <c r="A7567" s="1">
        <v>8035.0</v>
      </c>
      <c r="B7567" s="3" t="s">
        <v>7237</v>
      </c>
      <c r="C7567" s="3" t="str">
        <f>IFERROR(__xludf.DUMMYFUNCTION("GOOGLETRANSLATE(B7567,""id"",""en"")"),"['Service', 'SNGT', 'Good', 'Telkomsel', 'Ganguan', 'Network', 'Internet', 'Influential', 'work', 'repaired']")</f>
        <v>['Service', 'SNGT', 'Good', 'Telkomsel', 'Ganguan', 'Network', 'Internet', 'Influential', 'work', 'repaired']</v>
      </c>
      <c r="D7567" s="3">
        <v>4.0</v>
      </c>
    </row>
    <row r="7568" ht="15.75" customHeight="1">
      <c r="A7568" s="1">
        <v>8036.0</v>
      </c>
      <c r="B7568" s="3" t="s">
        <v>7238</v>
      </c>
      <c r="C7568" s="3" t="str">
        <f>IFERROR(__xludf.DUMMYFUNCTION("GOOGLETRANSLATE(B7568,""id"",""en"")"),"['Thank you', 'Telkomsel', 'Service', 'People', 'Indonesia', 'Hopefully', 'Jaya', 'Fast', 'Walking', 'Current', 'Tlaco', 'Indonesia', ' ']")</f>
        <v>['Thank you', 'Telkomsel', 'Service', 'People', 'Indonesia', 'Hopefully', 'Jaya', 'Fast', 'Walking', 'Current', 'Tlaco', 'Indonesia', ' ']</v>
      </c>
      <c r="D7568" s="3">
        <v>5.0</v>
      </c>
    </row>
    <row r="7569" ht="15.75" customHeight="1">
      <c r="A7569" s="1">
        <v>8037.0</v>
      </c>
      <c r="B7569" s="3" t="s">
        <v>7239</v>
      </c>
      <c r="C7569" s="3" t="str">
        <f>IFERROR(__xludf.DUMMYFUNCTION("GOOGLETRANSLATE(B7569,""id"",""en"")"),"['Game', 'here', 'strong', 'yrs', 'loyal', 'Telkomsel', 'skarang', 'sight', 'disappointed']")</f>
        <v>['Game', 'here', 'strong', 'yrs', 'loyal', 'Telkomsel', 'skarang', 'sight', 'disappointed']</v>
      </c>
      <c r="D7569" s="3">
        <v>1.0</v>
      </c>
    </row>
    <row r="7570" ht="15.75" customHeight="1">
      <c r="A7570" s="1">
        <v>8038.0</v>
      </c>
      <c r="B7570" s="3" t="s">
        <v>7240</v>
      </c>
      <c r="C7570" s="3" t="str">
        <f>IFERROR(__xludf.DUMMYFUNCTION("GOOGLETRANSLATE(B7570,""id"",""en"")"),"['Application', 'Update', 'Gajelas',' Buy ',' Quota ',' Direct ',' Dead ',' Dead ',' Plus', 'Refresh', 'reset', 'Many', ' time ',' clock ',' buy ',' quota ',' emang ',' strange ',' update ',' fix ',' good ',' usually ',' application ',' refresh ',' reset "&amp;"' , 'user', '']")</f>
        <v>['Application', 'Update', 'Gajelas',' Buy ',' Quota ',' Direct ',' Dead ',' Dead ',' Plus', 'Refresh', 'reset', 'Many', ' time ',' clock ',' buy ',' quota ',' emang ',' strange ',' update ',' fix ',' good ',' usually ',' application ',' refresh ',' reset ' , 'user', '']</v>
      </c>
      <c r="D7570" s="3">
        <v>1.0</v>
      </c>
    </row>
    <row r="7571" ht="15.75" customHeight="1">
      <c r="A7571" s="1">
        <v>8039.0</v>
      </c>
      <c r="B7571" s="3" t="s">
        <v>7241</v>
      </c>
      <c r="C7571" s="3" t="str">
        <f>IFERROR(__xludf.DUMMYFUNCTION("GOOGLETRANSLATE(B7571,""id"",""en"")"),"['Good', 'useful', 'Telkomsel', 'hope', 'success', 'trs', ""]")</f>
        <v>['Good', 'useful', 'Telkomsel', 'hope', 'success', 'trs', "]</v>
      </c>
      <c r="D7571" s="3">
        <v>5.0</v>
      </c>
    </row>
    <row r="7572" ht="15.75" customHeight="1">
      <c r="A7572" s="1">
        <v>8040.0</v>
      </c>
      <c r="B7572" s="3" t="s">
        <v>7242</v>
      </c>
      <c r="C7572" s="3" t="str">
        <f>IFERROR(__xludf.DUMMYFUNCTION("GOOGLETRANSLATE(B7572,""id"",""en"")"),"['Telkomsel', 'ugly', 'quality', 'its network', 'according to', 'slogan', 'Telkom', ""]")</f>
        <v>['Telkomsel', 'ugly', 'quality', 'its network', 'according to', 'slogan', 'Telkom', "]</v>
      </c>
      <c r="D7572" s="3">
        <v>2.0</v>
      </c>
    </row>
    <row r="7573" ht="15.75" customHeight="1">
      <c r="A7573" s="1">
        <v>8041.0</v>
      </c>
      <c r="B7573" s="3" t="s">
        <v>7243</v>
      </c>
      <c r="C7573" s="3" t="str">
        <f>IFERROR(__xludf.DUMMYFUNCTION("GOOGLETRANSLATE(B7573,""id"",""en"")"),"['woiii', 'Telkomsel', 'package', 'price', 'expensive', 'signal', 'please', 'fix', '']")</f>
        <v>['woiii', 'Telkomsel', 'package', 'price', 'expensive', 'signal', 'please', 'fix', '']</v>
      </c>
      <c r="D7573" s="3">
        <v>1.0</v>
      </c>
    </row>
    <row r="7574" ht="15.75" customHeight="1">
      <c r="A7574" s="1">
        <v>8042.0</v>
      </c>
      <c r="B7574" s="3" t="s">
        <v>7244</v>
      </c>
      <c r="C7574" s="3" t="str">
        <f>IFERROR(__xludf.DUMMYFUNCTION("GOOGLETRANSLATE(B7574,""id"",""en"")"),"['package', 'free', 'telephone', 'as much as',' apply ',' many years', 'since' App ',' upgrade ',' package ',' direct ',' ilang ']")</f>
        <v>['package', 'free', 'telephone', 'as much as',' apply ',' many years', 'since' App ',' upgrade ',' package ',' direct ',' ilang ']</v>
      </c>
      <c r="D7574" s="3">
        <v>1.0</v>
      </c>
    </row>
    <row r="7575" ht="15.75" customHeight="1">
      <c r="A7575" s="1">
        <v>8043.0</v>
      </c>
      <c r="B7575" s="3" t="s">
        <v>7245</v>
      </c>
      <c r="C7575" s="3" t="str">
        <f>IFERROR(__xludf.DUMMYFUNCTION("GOOGLETRANSLATE(B7575,""id"",""en"")"),"['Report', 'Min', 'Signal', 'Telkomsel', 'Hamlet', 'River', 'Charcoal', 'Bungosani', 'Bungo', 'Jambi', 'Experience', 'Disorders',' Date ',' Oktokber ',' Sampe ',' Oktokber ',' oath ',' Leg ',' Severe ',' Pingin ',' Change ',' Operator ',' Please ',' Check"&amp;" ',' Min ' , '']")</f>
        <v>['Report', 'Min', 'Signal', 'Telkomsel', 'Hamlet', 'River', 'Charcoal', 'Bungosani', 'Bungo', 'Jambi', 'Experience', 'Disorders',' Date ',' Oktokber ',' Sampe ',' Oktokber ',' oath ',' Leg ',' Severe ',' Pingin ',' Change ',' Operator ',' Please ',' Check ',' Min ' , '']</v>
      </c>
      <c r="D7575" s="3">
        <v>1.0</v>
      </c>
    </row>
    <row r="7576" ht="15.75" customHeight="1">
      <c r="A7576" s="1">
        <v>8044.0</v>
      </c>
      <c r="B7576" s="3" t="s">
        <v>7246</v>
      </c>
      <c r="C7576" s="3" t="str">
        <f>IFERROR(__xludf.DUMMYFUNCTION("GOOGLETRANSLATE(B7576,""id"",""en"")"),"['Network', 'bad', 'slow', 'severe', 'expensive', 'bapukkk', '']")</f>
        <v>['Network', 'bad', 'slow', 'severe', 'expensive', 'bapukkk', '']</v>
      </c>
      <c r="D7576" s="3">
        <v>1.0</v>
      </c>
    </row>
    <row r="7577" ht="15.75" customHeight="1">
      <c r="A7577" s="1">
        <v>8045.0</v>
      </c>
      <c r="B7577" s="3" t="s">
        <v>7247</v>
      </c>
      <c r="C7577" s="3" t="str">
        <f>IFERROR(__xludf.DUMMYFUNCTION("GOOGLETRANSLATE(B7577,""id"",""en"")"),"['Telkomsel', 'bosss', 'quota', 'expensive', 'network', 'slow', 'senggol', 'unlimited', 'tasty', 'watch', 'Tiktok', 'as soon as' Changed ',' unlimted ',' limit ',' looks', 'profit', 'gini', 'mending', 'indosat', 'cheap', 'kenceng', 'network', 'kek', 'Telk"&amp;"omsel' , 'Dgedrop', 'Mulu', 'Network', '']")</f>
        <v>['Telkomsel', 'bosss', 'quota', 'expensive', 'network', 'slow', 'senggol', 'unlimited', 'tasty', 'watch', 'Tiktok', 'as soon as' Changed ',' unlimted ',' limit ',' looks', 'profit', 'gini', 'mending', 'indosat', 'cheap', 'kenceng', 'network', 'kek', 'Telkomsel' , 'Dgedrop', 'Mulu', 'Network', '']</v>
      </c>
      <c r="D7577" s="3">
        <v>1.0</v>
      </c>
    </row>
    <row r="7578" ht="15.75" customHeight="1">
      <c r="A7578" s="1">
        <v>8046.0</v>
      </c>
      <c r="B7578" s="3" t="s">
        <v>7248</v>
      </c>
      <c r="C7578" s="3" t="str">
        <f>IFERROR(__xludf.DUMMYFUNCTION("GOOGLETRANSLATE(B7578,""id"",""en"")"),"['Points', 'Excited', 'Credit', 'NGK', 'Benefits', 'Points', 'Increases', 'exchanged', ""]")</f>
        <v>['Points', 'Excited', 'Credit', 'NGK', 'Benefits', 'Points', 'Increases', 'exchanged', "]</v>
      </c>
      <c r="D7578" s="3">
        <v>5.0</v>
      </c>
    </row>
    <row r="7579" ht="15.75" customHeight="1">
      <c r="A7579" s="1">
        <v>8047.0</v>
      </c>
      <c r="B7579" s="3" t="s">
        <v>7249</v>
      </c>
      <c r="C7579" s="3" t="str">
        <f>IFERROR(__xludf.DUMMYFUNCTION("GOOGLETRANSLATE(B7579,""id"",""en"")"),"['garbage', 'buy', 'kouta', 'expensive', 'network', 'kek', 'snail', '']")</f>
        <v>['garbage', 'buy', 'kouta', 'expensive', 'network', 'kek', 'snail', '']</v>
      </c>
      <c r="D7579" s="3">
        <v>1.0</v>
      </c>
    </row>
    <row r="7580" ht="15.75" customHeight="1">
      <c r="A7580" s="1">
        <v>8048.0</v>
      </c>
      <c r="B7580" s="3" t="s">
        <v>7250</v>
      </c>
      <c r="C7580" s="3" t="str">
        <f>IFERROR(__xludf.DUMMYFUNCTION("GOOGLETRANSLATE(B7580,""id"",""en"")"),"['network', 'Telkomsel', 'Aceh', 'disappointing', 'try', 'repairs',' tower ',' kek ',' gini ',' mending ',' KTA ',' Switch ',' The oprator ',' disappointing ',' Berthun ',' Sya ',' use ',' Telkomsel ',' TPI ',' destroyed ',' The network ', ""]")</f>
        <v>['network', 'Telkomsel', 'Aceh', 'disappointing', 'try', 'repairs',' tower ',' kek ',' gini ',' mending ',' KTA ',' Switch ',' The oprator ',' disappointing ',' Berthun ',' Sya ',' use ',' Telkomsel ',' TPI ',' destroyed ',' The network ', "]</v>
      </c>
      <c r="D7580" s="3">
        <v>1.0</v>
      </c>
    </row>
    <row r="7581" ht="15.75" customHeight="1">
      <c r="A7581" s="1">
        <v>8049.0</v>
      </c>
      <c r="B7581" s="3" t="s">
        <v>7251</v>
      </c>
      <c r="C7581" s="3" t="str">
        <f>IFERROR(__xludf.DUMMYFUNCTION("GOOGLETRANSLATE(B7581,""id"",""en"")"),"['service', 'slow', 'response', 'run out', 'application', 'waiting', 'visits',' serving ',' network ',' please ',' developer ',' service ',' Application ',' level ',' ']")</f>
        <v>['service', 'slow', 'response', 'run out', 'application', 'waiting', 'visits',' serving ',' network ',' please ',' developer ',' service ',' Application ',' level ',' ']</v>
      </c>
      <c r="D7581" s="3">
        <v>2.0</v>
      </c>
    </row>
    <row r="7582" ht="15.75" customHeight="1">
      <c r="A7582" s="1">
        <v>8050.0</v>
      </c>
      <c r="B7582" s="3" t="s">
        <v>7252</v>
      </c>
      <c r="C7582" s="3" t="str">
        <f>IFERROR(__xludf.DUMMYFUNCTION("GOOGLETRANSLATE(B7582,""id"",""en"")"),"['APK', 'good', 'disappointed', 'price', 'package', 'quota', 'bln', 'expensive', '']")</f>
        <v>['APK', 'good', 'disappointed', 'price', 'package', 'quota', 'bln', 'expensive', '']</v>
      </c>
      <c r="D7582" s="3">
        <v>4.0</v>
      </c>
    </row>
    <row r="7583" ht="15.75" customHeight="1">
      <c r="A7583" s="1">
        <v>8051.0</v>
      </c>
      <c r="B7583" s="3" t="s">
        <v>7253</v>
      </c>
      <c r="C7583" s="3" t="str">
        <f>IFERROR(__xludf.DUMMYFUNCTION("GOOGLETRANSLATE(B7583,""id"",""en"")"),"['Season', 'Deh', 'DRDLU', 'TSEL', 'The application', 'BSA', 'Asked', 'Support', 'device', 'competition', 'TPI', 'Males',' Mind Mind, 'Tselnya', 'Disappointed', '']")</f>
        <v>['Season', 'Deh', 'DRDLU', 'TSEL', 'The application', 'BSA', 'Asked', 'Support', 'device', 'competition', 'TPI', 'Males',' Mind Mind, 'Tselnya', 'Disappointed', '']</v>
      </c>
      <c r="D7583" s="3">
        <v>1.0</v>
      </c>
    </row>
    <row r="7584" ht="15.75" customHeight="1">
      <c r="A7584" s="1">
        <v>8052.0</v>
      </c>
      <c r="B7584" s="3" t="s">
        <v>7254</v>
      </c>
      <c r="C7584" s="3" t="str">
        <f>IFERROR(__xludf.DUMMYFUNCTION("GOOGLETRANSLATE(B7584,""id"",""en"")"),"['Region', 'Telkomsel', 'signal', 'signal', 'TPI', 'right', 'Play', 'Signal', 'Current', 'Please', 'repair', 'signal']")</f>
        <v>['Region', 'Telkomsel', 'signal', 'signal', 'TPI', 'right', 'Play', 'Signal', 'Current', 'Please', 'repair', 'signal']</v>
      </c>
      <c r="D7584" s="3">
        <v>2.0</v>
      </c>
    </row>
    <row r="7585" ht="15.75" customHeight="1">
      <c r="A7585" s="1">
        <v>8053.0</v>
      </c>
      <c r="B7585" s="3" t="s">
        <v>7255</v>
      </c>
      <c r="C7585" s="3" t="str">
        <f>IFERROR(__xludf.DUMMYFUNCTION("GOOGLETRANSLATE(B7585,""id"",""en"")"),"['Application', 'Good', 'Success']")</f>
        <v>['Application', 'Good', 'Success']</v>
      </c>
      <c r="D7585" s="3">
        <v>5.0</v>
      </c>
    </row>
    <row r="7586" ht="15.75" customHeight="1">
      <c r="A7586" s="1">
        <v>8054.0</v>
      </c>
      <c r="B7586" s="3" t="s">
        <v>7256</v>
      </c>
      <c r="C7586" s="3" t="str">
        <f>IFERROR(__xludf.DUMMYFUNCTION("GOOGLETRANSLATE(B7586,""id"",""en"")"),"['cave', 'already', 'use', 'Telkomsel', 'it's oversal', 'really', 'signal', 'Telkomsel', 'ugly', 'tower', 'mna', 'signal', ' empot ',' tan ',' cave ',' forced ',' use ',' card ',' card ',' indosat ',' smooth ',' bnget ',' signal ']")</f>
        <v>['cave', 'already', 'use', 'Telkomsel', 'it's oversal', 'really', 'signal', 'Telkomsel', 'ugly', 'tower', 'mna', 'signal', ' empot ',' tan ',' cave ',' forced ',' use ',' card ',' card ',' indosat ',' smooth ',' bnget ',' signal ']</v>
      </c>
      <c r="D7586" s="3">
        <v>1.0</v>
      </c>
    </row>
    <row r="7587" ht="15.75" customHeight="1">
      <c r="A7587" s="1">
        <v>8055.0</v>
      </c>
      <c r="B7587" s="3" t="s">
        <v>7257</v>
      </c>
      <c r="C7587" s="3" t="str">
        <f>IFERROR(__xludf.DUMMYFUNCTION("GOOGLETRANSLATE(B7587,""id"",""en"")"),"['Hopefully', 'Karna', 'Need', 'Learning', 'Online', 'Lecture', 'Online', 'Borrowing', 'Neighbors',' Scolded ',' Borrowing ',' Hape ',' Allah ',' Grancider ',' Heart ',' Telkomsel ',' Lottery ',' Sangata ',' Difficult ',' Saver ',' In the future ',' buy '"&amp;",' cellphone ',' Karna ',' Eat ' , 'difficult', 'Sibolga', 'Jln', 'Sibolga', 'Barus', 'Tapian', 'Nauli', ""]")</f>
        <v>['Hopefully', 'Karna', 'Need', 'Learning', 'Online', 'Lecture', 'Online', 'Borrowing', 'Neighbors',' Scolded ',' Borrowing ',' Hape ',' Allah ',' Grancider ',' Heart ',' Telkomsel ',' Lottery ',' Sangata ',' Difficult ',' Saver ',' In the future ',' buy ',' cellphone ',' Karna ',' Eat ' , 'difficult', 'Sibolga', 'Jln', 'Sibolga', 'Barus', 'Tapian', 'Nauli', "]</v>
      </c>
      <c r="D7587" s="3">
        <v>5.0</v>
      </c>
    </row>
    <row r="7588" ht="15.75" customHeight="1">
      <c r="A7588" s="1">
        <v>8056.0</v>
      </c>
      <c r="B7588" s="3" t="s">
        <v>7258</v>
      </c>
      <c r="C7588" s="3" t="str">
        <f>IFERROR(__xludf.DUMMYFUNCTION("GOOGLETRANSLATE(B7588,""id"",""en"")"),"['Card', 'Telkomsel', 'card', 'signal', 'good', 'used', 'Please', 'Telkomsel', 'card', 'right', 'kalok', 'error', ' Direct ',' Benerin ',' Biarin ',' Telkomsel ',' Painting ',' work ',' Becus', 'card', 'Hopefully', 'fast', 'go bankrupt', 'use']")</f>
        <v>['Card', 'Telkomsel', 'card', 'signal', 'good', 'used', 'Please', 'Telkomsel', 'card', 'right', 'kalok', 'error', ' Direct ',' Benerin ',' Biarin ',' Telkomsel ',' Painting ',' work ',' Becus', 'card', 'Hopefully', 'fast', 'go bankrupt', 'use']</v>
      </c>
      <c r="D7588" s="3">
        <v>1.0</v>
      </c>
    </row>
    <row r="7589" ht="15.75" customHeight="1">
      <c r="A7589" s="1">
        <v>8057.0</v>
      </c>
      <c r="B7589" s="3" t="s">
        <v>7259</v>
      </c>
      <c r="C7589" s="3" t="str">
        <f>IFERROR(__xludf.DUMMYFUNCTION("GOOGLETRANSLATE(B7589,""id"",""en"")"),"['customer', 'servicenya', 'difficult', 'contacted', 'bot', 'ngajuin', 'quiz', 'entertainment', 'idiot', 'etc.', 'all', 'platform', ' MyTelkomsel ',' Bot ',' GBLK ',' ']")</f>
        <v>['customer', 'servicenya', 'difficult', 'contacted', 'bot', 'ngajuin', 'quiz', 'entertainment', 'idiot', 'etc.', 'all', 'platform', ' MyTelkomsel ',' Bot ',' GBLK ',' ']</v>
      </c>
      <c r="D7589" s="3">
        <v>1.0</v>
      </c>
    </row>
    <row r="7590" ht="15.75" customHeight="1">
      <c r="A7590" s="1">
        <v>8058.0</v>
      </c>
      <c r="B7590" s="3" t="s">
        <v>7260</v>
      </c>
      <c r="C7590" s="3" t="str">
        <f>IFERROR(__xludf.DUMMYFUNCTION("GOOGLETRANSLATE(B7590,""id"",""en"")"),"['SMS', 'notification', 'leftover', 'quota', 'leftover', 'quota', 'omg', 'masuuuukkk', 'sms',' love ',' left ',' quota ',' koq ',' rich ',' play ',' trap ',' telkomsel ',' ngarep ',' really ',' customer ',' number ',' fill in ',' quota ',' no ',' maybe ' "&amp;", 'buy', 'quota', 'week', 'run out', 'imposes', 'sent', 'sms', 'love', 'leftover', 'quota', 'no', 'according to' Buru ',' contents', ""]")</f>
        <v>['SMS', 'notification', 'leftover', 'quota', 'leftover', 'quota', 'omg', 'masuuuukkk', 'sms',' love ',' left ',' quota ',' koq ',' rich ',' play ',' trap ',' telkomsel ',' ngarep ',' really ',' customer ',' number ',' fill in ',' quota ',' no ',' maybe ' , 'buy', 'quota', 'week', 'run out', 'imposes', 'sent', 'sms', 'love', 'leftover', 'quota', 'no', 'according to' Buru ',' contents', "]</v>
      </c>
      <c r="D7590" s="3">
        <v>1.0</v>
      </c>
    </row>
    <row r="7591" ht="15.75" customHeight="1">
      <c r="A7591" s="1">
        <v>8059.0</v>
      </c>
      <c r="B7591" s="3" t="s">
        <v>7261</v>
      </c>
      <c r="C7591" s="3" t="str">
        <f>IFERROR(__xludf.DUMMYFUNCTION("GOOGLETRANSLATE(B7591,""id"",""en"")"),"['WOI', 'Telkomsel', 'Network', 'Error', 'Disappointed', 'Disappointed', '']")</f>
        <v>['WOI', 'Telkomsel', 'Network', 'Error', 'Disappointed', 'Disappointed', '']</v>
      </c>
      <c r="D7591" s="3">
        <v>1.0</v>
      </c>
    </row>
    <row r="7592" ht="15.75" customHeight="1">
      <c r="A7592" s="1">
        <v>8060.0</v>
      </c>
      <c r="B7592" s="3" t="s">
        <v>7262</v>
      </c>
      <c r="C7592" s="3" t="str">
        <f>IFERROR(__xludf.DUMMYFUNCTION("GOOGLETRANSLATE(B7592,""id"",""en"")"),"['Sent']")</f>
        <v>['Sent']</v>
      </c>
      <c r="D7592" s="3">
        <v>3.0</v>
      </c>
    </row>
    <row r="7593" ht="15.75" customHeight="1">
      <c r="A7593" s="1">
        <v>8061.0</v>
      </c>
      <c r="B7593" s="3" t="s">
        <v>7263</v>
      </c>
      <c r="C7593" s="3" t="str">
        <f>IFERROR(__xludf.DUMMYFUNCTION("GOOGLETRANSLATE(B7593,""id"",""en"")"),"['Sorry', 'Kenpa', 'network', 'internet', 'here', 'slow', 'hope', 'Telkomsel', 'fix', 'sorry', 'love', 'star']")</f>
        <v>['Sorry', 'Kenpa', 'network', 'internet', 'here', 'slow', 'hope', 'Telkomsel', 'fix', 'sorry', 'love', 'star']</v>
      </c>
      <c r="D7593" s="3">
        <v>3.0</v>
      </c>
    </row>
    <row r="7594" ht="15.75" customHeight="1">
      <c r="A7594" s="1">
        <v>8062.0</v>
      </c>
      <c r="B7594" s="3" t="s">
        <v>7264</v>
      </c>
      <c r="C7594" s="3" t="str">
        <f>IFERROR(__xludf.DUMMYFUNCTION("GOOGLETRANSLATE(B7594,""id"",""en"")"),"['already', 'network', 'ugly', 'cheat', 'card', 'hello', 'bnyak', 'quota', 'waste', 'vain', 'prabyar', 'replace', ' card ',' prime ',' lazy ',' already ',' th ',' fix ',' user ',' annoyed ',' ']")</f>
        <v>['already', 'network', 'ugly', 'cheat', 'card', 'hello', 'bnyak', 'quota', 'waste', 'vain', 'prabyar', 'replace', ' card ',' prime ',' lazy ',' already ',' th ',' fix ',' user ',' annoyed ',' ']</v>
      </c>
      <c r="D7594" s="3">
        <v>1.0</v>
      </c>
    </row>
    <row r="7595" ht="15.75" customHeight="1">
      <c r="A7595" s="1">
        <v>8063.0</v>
      </c>
      <c r="B7595" s="3" t="s">
        <v>7265</v>
      </c>
      <c r="C7595" s="3" t="str">
        <f>IFERROR(__xludf.DUMMYFUNCTION("GOOGLETRANSLATE(B7595,""id"",""en"")"),"['access', 'application', 'free', 'alias', 'no', 'package', 'data']")</f>
        <v>['access', 'application', 'free', 'alias', 'no', 'package', 'data']</v>
      </c>
      <c r="D7595" s="3">
        <v>1.0</v>
      </c>
    </row>
    <row r="7596" ht="15.75" customHeight="1">
      <c r="A7596" s="1">
        <v>8064.0</v>
      </c>
      <c r="B7596" s="3" t="s">
        <v>7266</v>
      </c>
      <c r="C7596" s="3" t="str">
        <f>IFERROR(__xludf.DUMMYFUNCTION("GOOGLETRANSLATE(B7596,""id"",""en"")"),"['Help', 'in place', 'new', 'signal', 'difficult', 'bagemana', 'action', 'Telkomsel', ""]")</f>
        <v>['Help', 'in place', 'new', 'signal', 'difficult', 'bagemana', 'action', 'Telkomsel', "]</v>
      </c>
      <c r="D7596" s="3">
        <v>5.0</v>
      </c>
    </row>
    <row r="7597" ht="15.75" customHeight="1">
      <c r="A7597" s="1">
        <v>8065.0</v>
      </c>
      <c r="B7597" s="3" t="s">
        <v>7267</v>
      </c>
      <c r="C7597" s="3" t="str">
        <f>IFERROR(__xludf.DUMMYFUNCTION("GOOGLETRANSLATE(B7597,""id"",""en"")"),"['Hopefully', 'read', 'Developer', 'submit', 'complaints',' quota ',' expensive ',' compared to ',' got ',' CMA ',' a little ',' quota ',' representing ',' students', 'make', 'quota', 'online', 'please', 'cheap', 'price', 'pliss', ""]")</f>
        <v>['Hopefully', 'read', 'Developer', 'submit', 'complaints',' quota ',' expensive ',' compared to ',' got ',' CMA ',' a little ',' quota ',' representing ',' students', 'make', 'quota', 'online', 'please', 'cheap', 'price', 'pliss', "]</v>
      </c>
      <c r="D7597" s="3">
        <v>1.0</v>
      </c>
    </row>
    <row r="7598" ht="15.75" customHeight="1">
      <c r="A7598" s="1">
        <v>8066.0</v>
      </c>
      <c r="B7598" s="3" t="s">
        <v>7268</v>
      </c>
      <c r="C7598" s="3" t="str">
        <f>IFERROR(__xludf.DUMMYFUNCTION("GOOGLETRANSLATE(B7598,""id"",""en"")"),"['experience', 'buy', 'package', 'expensive', 'customer', 'check', 'card', '']")</f>
        <v>['experience', 'buy', 'package', 'expensive', 'customer', 'check', 'card', '']</v>
      </c>
      <c r="D7598" s="3">
        <v>5.0</v>
      </c>
    </row>
    <row r="7599" ht="15.75" customHeight="1">
      <c r="A7599" s="1">
        <v>8067.0</v>
      </c>
      <c r="B7599" s="3" t="s">
        <v>7269</v>
      </c>
      <c r="C7599" s="3" t="str">
        <f>IFERROR(__xludf.DUMMYFUNCTION("GOOGLETRANSLATE(B7599,""id"",""en"")"),"['Hopefully', 'Gift', 'Lottery', 'Exchange', 'Point', 'Post', 'Review', 'trmksh']")</f>
        <v>['Hopefully', 'Gift', 'Lottery', 'Exchange', 'Point', 'Post', 'Review', 'trmksh']</v>
      </c>
      <c r="D7599" s="3">
        <v>4.0</v>
      </c>
    </row>
    <row r="7600" ht="15.75" customHeight="1">
      <c r="A7600" s="1">
        <v>8068.0</v>
      </c>
      <c r="B7600" s="3" t="s">
        <v>3827</v>
      </c>
      <c r="C7600" s="3" t="str">
        <f>IFERROR(__xludf.DUMMYFUNCTION("GOOGLETRANSLATE(B7600,""id"",""en"")"),"['Help', 'makes it easy']")</f>
        <v>['Help', 'makes it easy']</v>
      </c>
      <c r="D7600" s="3">
        <v>5.0</v>
      </c>
    </row>
    <row r="7601" ht="15.75" customHeight="1">
      <c r="A7601" s="1">
        <v>8069.0</v>
      </c>
      <c r="B7601" s="3" t="s">
        <v>7270</v>
      </c>
      <c r="C7601" s="3" t="str">
        <f>IFERROR(__xludf.DUMMYFUNCTION("GOOGLETRANSLATE(B7601,""id"",""en"")"),"['Contents', 'package', 'why', 'use', 'pulse', 'sumps', 'really', 'signal', 'sucks']")</f>
        <v>['Contents', 'package', 'why', 'use', 'pulse', 'sumps', 'really', 'signal', 'sucks']</v>
      </c>
      <c r="D7601" s="3">
        <v>1.0</v>
      </c>
    </row>
    <row r="7602" ht="15.75" customHeight="1">
      <c r="A7602" s="1">
        <v>8070.0</v>
      </c>
      <c r="B7602" s="3" t="s">
        <v>7271</v>
      </c>
      <c r="C7602" s="3" t="str">
        <f>IFERROR(__xludf.DUMMYFUNCTION("GOOGLETRANSLATE(B7602,""id"",""en"")"),"['Good', 'hope', 'in the future', 'gift', '']")</f>
        <v>['Good', 'hope', 'in the future', 'gift', '']</v>
      </c>
      <c r="D7602" s="3">
        <v>4.0</v>
      </c>
    </row>
    <row r="7603" ht="15.75" customHeight="1">
      <c r="A7603" s="1">
        <v>8071.0</v>
      </c>
      <c r="B7603" s="3" t="s">
        <v>7272</v>
      </c>
      <c r="C7603" s="3" t="str">
        <f>IFERROR(__xludf.DUMMYFUNCTION("GOOGLETRANSLATE(B7603,""id"",""en"")"),"['Telkomsel', 'useful', 'internet', 'lag', 'play', 'mobile', 'legend', 'lose', 'because', 'leg', 'hurry', 'network', ' Telkomsel ',' Telkomsel ',' Useful ',' Mending ',' Pinda ',' Operator ',' Telkomsel ',' Emotion ',' Loss', 'Perdana', 'Telkomsel', 'Loss"&amp;"', ""]")</f>
        <v>['Telkomsel', 'useful', 'internet', 'lag', 'play', 'mobile', 'legend', 'lose', 'because', 'leg', 'hurry', 'network', ' Telkomsel ',' Telkomsel ',' Useful ',' Mending ',' Pinda ',' Operator ',' Telkomsel ',' Emotion ',' Loss', 'Perdana', 'Telkomsel', 'Loss', "]</v>
      </c>
      <c r="D7603" s="3">
        <v>1.0</v>
      </c>
    </row>
    <row r="7604" ht="15.75" customHeight="1">
      <c r="A7604" s="1">
        <v>8072.0</v>
      </c>
      <c r="B7604" s="3" t="s">
        <v>7273</v>
      </c>
      <c r="C7604" s="3" t="str">
        <f>IFERROR(__xludf.DUMMYFUNCTION("GOOGLETRANSLATE(B7604,""id"",""en"")"),"['Download', 'Application', 'Play', 'Game', 'Online', 'Open', 'Etc.', 'Login', 'Please', 'Repaired', 'Adek', 'Download', ' application', '']")</f>
        <v>['Download', 'Application', 'Play', 'Game', 'Online', 'Open', 'Etc.', 'Login', 'Please', 'Repaired', 'Adek', 'Download', ' application', '']</v>
      </c>
      <c r="D7604" s="3">
        <v>1.0</v>
      </c>
    </row>
    <row r="7605" ht="15.75" customHeight="1">
      <c r="A7605" s="1">
        <v>8073.0</v>
      </c>
      <c r="B7605" s="3" t="s">
        <v>7274</v>
      </c>
      <c r="C7605" s="3" t="str">
        <f>IFERROR(__xludf.DUMMYFUNCTION("GOOGLETRANSLATE(B7605,""id"",""en"")"),"['Rich', 'Complete', 'Purchase', 'Package', 'Combo', 'Sakti']")</f>
        <v>['Rich', 'Complete', 'Purchase', 'Package', 'Combo', 'Sakti']</v>
      </c>
      <c r="D7605" s="3">
        <v>5.0</v>
      </c>
    </row>
    <row r="7606" ht="15.75" customHeight="1">
      <c r="A7606" s="1">
        <v>8074.0</v>
      </c>
      <c r="B7606" s="3" t="s">
        <v>7275</v>
      </c>
      <c r="C7606" s="3" t="str">
        <f>IFERROR(__xludf.DUMMYFUNCTION("GOOGLETRANSLATE(B7606,""id"",""en"")"),"['Make', 'Telkomsel', 'signal', 'change', 'operator', 'biggest', 'signal', 'take care', 'padah', 'tower', 'home', 'disappointed']")</f>
        <v>['Make', 'Telkomsel', 'signal', 'change', 'operator', 'biggest', 'signal', 'take care', 'padah', 'tower', 'home', 'disappointed']</v>
      </c>
      <c r="D7606" s="3">
        <v>1.0</v>
      </c>
    </row>
    <row r="7607" ht="15.75" customHeight="1">
      <c r="A7607" s="1">
        <v>8075.0</v>
      </c>
      <c r="B7607" s="3" t="s">
        <v>7276</v>
      </c>
      <c r="C7607" s="3" t="str">
        <f>IFERROR(__xludf.DUMMYFUNCTION("GOOGLETRANSLATE(B7607,""id"",""en"")"),"['Telkomsel', 'bad', 'network', 'Error', 'then', '']")</f>
        <v>['Telkomsel', 'bad', 'network', 'Error', 'then', '']</v>
      </c>
      <c r="D7607" s="3">
        <v>1.0</v>
      </c>
    </row>
    <row r="7608" ht="15.75" customHeight="1">
      <c r="A7608" s="1">
        <v>8076.0</v>
      </c>
      <c r="B7608" s="3" t="s">
        <v>7277</v>
      </c>
      <c r="C7608" s="3" t="str">
        <f>IFERROR(__xludf.DUMMYFUNCTION("GOOGLETRANSLATE(B7608,""id"",""en"")"),"['It's easy', 'purchase', 'package', 'internet']")</f>
        <v>['It's easy', 'purchase', 'package', 'internet']</v>
      </c>
      <c r="D7608" s="3">
        <v>4.0</v>
      </c>
    </row>
    <row r="7609" ht="15.75" customHeight="1">
      <c r="A7609" s="1">
        <v>8077.0</v>
      </c>
      <c r="B7609" s="3" t="s">
        <v>7278</v>
      </c>
      <c r="C7609" s="3" t="str">
        <f>IFERROR(__xludf.DUMMYFUNCTION("GOOGLETRANSLATE(B7609,""id"",""en"")"),"['Good', 'like', '']")</f>
        <v>['Good', 'like', '']</v>
      </c>
      <c r="D7609" s="3">
        <v>5.0</v>
      </c>
    </row>
    <row r="7610" ht="15.75" customHeight="1">
      <c r="A7610" s="1">
        <v>8078.0</v>
      </c>
      <c r="B7610" s="3" t="s">
        <v>7279</v>
      </c>
      <c r="C7610" s="3" t="str">
        <f>IFERROR(__xludf.DUMMYFUNCTION("GOOGLETRANSLATE(B7610,""id"",""en"")"),"['Min', 'Please', 'Adin', 'Lock', 'Credit', 'Fill', 'Credit', 'Minutes',' Please ',' Min ',' User ',' Telkomsel ',' Gini ',' Comfortable ',' Please ',' Min ',' Respect ',' ']")</f>
        <v>['Min', 'Please', 'Adin', 'Lock', 'Credit', 'Fill', 'Credit', 'Minutes',' Please ',' Min ',' User ',' Telkomsel ',' Gini ',' Comfortable ',' Please ',' Min ',' Respect ',' ']</v>
      </c>
      <c r="D7610" s="3">
        <v>1.0</v>
      </c>
    </row>
    <row r="7611" ht="15.75" customHeight="1">
      <c r="A7611" s="1">
        <v>8079.0</v>
      </c>
      <c r="B7611" s="3" t="s">
        <v>7280</v>
      </c>
      <c r="C7611" s="3" t="str">
        <f>IFERROR(__xludf.DUMMYFUNCTION("GOOGLETRANSLATE(B7611,""id"",""en"")"),"['Disappointed', 'extend', 'active', 'Ajah', 'The reason', 'talk', 'DNG', 'operator', 'Telkom', 'charging', 'RB', 'extend', ' Until ',' operator ',' said ',' already ',' GTU ',' reply ',' Please ',' Sorry ',' already ',' Doang ', ""]")</f>
        <v>['Disappointed', 'extend', 'active', 'Ajah', 'The reason', 'talk', 'DNG', 'operator', 'Telkom', 'charging', 'RB', 'extend', ' Until ',' operator ',' said ',' already ',' GTU ',' reply ',' Please ',' Sorry ',' already ',' Doang ', "]</v>
      </c>
      <c r="D7611" s="3">
        <v>2.0</v>
      </c>
    </row>
    <row r="7612" ht="15.75" customHeight="1">
      <c r="A7612" s="1">
        <v>8080.0</v>
      </c>
      <c r="B7612" s="3" t="s">
        <v>7281</v>
      </c>
      <c r="C7612" s="3" t="str">
        <f>IFERROR(__xludf.DUMMYFUNCTION("GOOGLETRANSLATE(B7612,""id"",""en"")"),"['Telkomsel', 'fix', 'network', 'internet', 'Ternate', 'Main', 'Game', 'Online']")</f>
        <v>['Telkomsel', 'fix', 'network', 'internet', 'Ternate', 'Main', 'Game', 'Online']</v>
      </c>
      <c r="D7612" s="3">
        <v>2.0</v>
      </c>
    </row>
    <row r="7613" ht="15.75" customHeight="1">
      <c r="A7613" s="1">
        <v>8081.0</v>
      </c>
      <c r="B7613" s="3" t="s">
        <v>7282</v>
      </c>
      <c r="C7613" s="3" t="str">
        <f>IFERROR(__xludf.DUMMYFUNCTION("GOOGLETRANSLATE(B7613,""id"",""en"")"),"['buy', 'pulse', 'die', 'card', 'data', 'activated', 'package', 'anything', 'pulses',' reduced ',' network ',' bagan ',' already ',' that's', 'what', 'expensive', 'bad', 'Telkomsel', 'Anyway', 'what', 'already', 'already', 'Telkomsel', 'regret', 'mah' , '"&amp;"Auto', 'slowly', 'Leave', 'Telkomsel', 'Teros', 'Bad', 'Ruuukk', ""]")</f>
        <v>['buy', 'pulse', 'die', 'card', 'data', 'activated', 'package', 'anything', 'pulses',' reduced ',' network ',' bagan ',' already ',' that's', 'what', 'expensive', 'bad', 'Telkomsel', 'Anyway', 'what', 'already', 'already', 'Telkomsel', 'regret', 'mah' , 'Auto', 'slowly', 'Leave', 'Telkomsel', 'Teros', 'Bad', 'Ruuukk', "]</v>
      </c>
      <c r="D7613" s="3">
        <v>1.0</v>
      </c>
    </row>
    <row r="7614" ht="15.75" customHeight="1">
      <c r="A7614" s="1">
        <v>8082.0</v>
      </c>
      <c r="B7614" s="3" t="s">
        <v>7283</v>
      </c>
      <c r="C7614" s="3" t="str">
        <f>IFERROR(__xludf.DUMMYFUNCTION("GOOGLETRANSLATE(B7614,""id"",""en"")"),"['Provider', 'garbage', 'price', 'expensive', 'service', 'according to', 'expectation', 'bad', ""]")</f>
        <v>['Provider', 'garbage', 'price', 'expensive', 'service', 'according to', 'expectation', 'bad', "]</v>
      </c>
      <c r="D7614" s="3">
        <v>1.0</v>
      </c>
    </row>
    <row r="7615" ht="15.75" customHeight="1">
      <c r="A7615" s="1">
        <v>8083.0</v>
      </c>
      <c r="B7615" s="3" t="s">
        <v>7284</v>
      </c>
      <c r="C7615" s="3" t="str">
        <f>IFERROR(__xludf.DUMMYFUNCTION("GOOGLETRANSLATE(B7615,""id"",""en"")"),"['satisfying', 'happy']")</f>
        <v>['satisfying', 'happy']</v>
      </c>
      <c r="D7615" s="3">
        <v>5.0</v>
      </c>
    </row>
    <row r="7616" ht="15.75" customHeight="1">
      <c r="A7616" s="1">
        <v>8084.0</v>
      </c>
      <c r="B7616" s="3" t="s">
        <v>7285</v>
      </c>
      <c r="C7616" s="3" t="str">
        <f>IFERROR(__xludf.DUMMYFUNCTION("GOOGLETRANSLATE(B7616,""id"",""en"")"),"['Terbimah', 'Love', 'Telkomsel', 'number', 'Tetep', 'Service', 'Best']")</f>
        <v>['Terbimah', 'Love', 'Telkomsel', 'number', 'Tetep', 'Service', 'Best']</v>
      </c>
      <c r="D7616" s="3">
        <v>5.0</v>
      </c>
    </row>
    <row r="7617" ht="15.75" customHeight="1">
      <c r="A7617" s="1">
        <v>8085.0</v>
      </c>
      <c r="B7617" s="3" t="s">
        <v>7286</v>
      </c>
      <c r="C7617" s="3" t="str">
        <f>IFERROR(__xludf.DUMMYFUNCTION("GOOGLETRANSLATE(B7617,""id"",""en"")"),"['Please', 'Increase', 'Quality', 'Data', 'Thank you', 'Loading', 'application', 'OPPO', 'Close', 'Uninstall', 'Normal', 'Download', ' reset ',' thank you ']")</f>
        <v>['Please', 'Increase', 'Quality', 'Data', 'Thank you', 'Loading', 'application', 'OPPO', 'Close', 'Uninstall', 'Normal', 'Download', ' reset ',' thank you ']</v>
      </c>
      <c r="D7617" s="3">
        <v>4.0</v>
      </c>
    </row>
    <row r="7618" ht="15.75" customHeight="1">
      <c r="A7618" s="1">
        <v>8086.0</v>
      </c>
      <c r="B7618" s="3" t="s">
        <v>7287</v>
      </c>
      <c r="C7618" s="3" t="str">
        <f>IFERROR(__xludf.DUMMYFUNCTION("GOOGLETRANSLATE(B7618,""id"",""en"")"),"['Helpful', 'child', 'online', 'signal', 'thank', 'love', 'Telkomsel']")</f>
        <v>['Helpful', 'child', 'online', 'signal', 'thank', 'love', 'Telkomsel']</v>
      </c>
      <c r="D7618" s="3">
        <v>5.0</v>
      </c>
    </row>
    <row r="7619" ht="15.75" customHeight="1">
      <c r="A7619" s="1">
        <v>8087.0</v>
      </c>
      <c r="B7619" s="3" t="s">
        <v>7288</v>
      </c>
      <c r="C7619" s="3" t="str">
        <f>IFERROR(__xludf.DUMMYFUNCTION("GOOGLETRANSLATE(B7619,""id"",""en"")"),"['dear', 'as lucky', 'promo', 'cheap', 'please', 'promo', 'apk', 'kren', 'success', 'gan']")</f>
        <v>['dear', 'as lucky', 'promo', 'cheap', 'please', 'promo', 'apk', 'kren', 'success', 'gan']</v>
      </c>
      <c r="D7619" s="3">
        <v>5.0</v>
      </c>
    </row>
    <row r="7620" ht="15.75" customHeight="1">
      <c r="A7620" s="1">
        <v>8088.0</v>
      </c>
      <c r="B7620" s="3" t="s">
        <v>7289</v>
      </c>
      <c r="C7620" s="3" t="str">
        <f>IFERROR(__xludf.DUMMYFUNCTION("GOOGLETRANSLATE(B7620,""id"",""en"")"),"['my computer', 'expensive', 'network', 'Telkomsel', 'mainstay', 'disappointed', 'buy', 'package', 'expensive', 'network', 'slow', ""]")</f>
        <v>['my computer', 'expensive', 'network', 'Telkomsel', 'mainstay', 'disappointed', 'buy', 'package', 'expensive', 'network', 'slow', "]</v>
      </c>
      <c r="D7620" s="3">
        <v>1.0</v>
      </c>
    </row>
    <row r="7621" ht="15.75" customHeight="1">
      <c r="A7621" s="1">
        <v>8089.0</v>
      </c>
      <c r="B7621" s="3" t="s">
        <v>7290</v>
      </c>
      <c r="C7621" s="3" t="str">
        <f>IFERROR(__xludf.DUMMYFUNCTION("GOOGLETRANSLATE(B7621,""id"",""en"")"),"['signal', 'signal', 'good', 'price', 'package', 'internet', 'expensive', 'skrng', 'price', 'package', 'tetep', 'expensive', ' signal ',' chaotic ',' quota ',' pulse ',' lost ',' ntah ',' where ']")</f>
        <v>['signal', 'signal', 'good', 'price', 'package', 'internet', 'expensive', 'skrng', 'price', 'package', 'tetep', 'expensive', ' signal ',' chaotic ',' quota ',' pulse ',' lost ',' ntah ',' where ']</v>
      </c>
      <c r="D7621" s="3">
        <v>1.0</v>
      </c>
    </row>
    <row r="7622" ht="15.75" customHeight="1">
      <c r="A7622" s="1">
        <v>8090.0</v>
      </c>
      <c r="B7622" s="3" t="s">
        <v>7291</v>
      </c>
      <c r="C7622" s="3" t="str">
        <f>IFERROR(__xludf.DUMMYFUNCTION("GOOGLETRANSLATE(B7622,""id"",""en"")"),"['Signal', 'Sangaaaaaatttt', 'Saggaggaaaaatttt', 'Dahsayat', 'slow', 'package', 'expensive', 'TPI', 'network', 'smakin', 'Dahsat', 'Different', ' Dlu ',' ']")</f>
        <v>['Signal', 'Sangaaaaaatttt', 'Saggaggaaaaatttt', 'Dahsayat', 'slow', 'package', 'expensive', 'TPI', 'network', 'smakin', 'Dahsat', 'Different', ' Dlu ',' ']</v>
      </c>
      <c r="D7622" s="3">
        <v>1.0</v>
      </c>
    </row>
    <row r="7623" ht="15.75" customHeight="1">
      <c r="A7623" s="1">
        <v>8091.0</v>
      </c>
      <c r="B7623" s="3" t="s">
        <v>7292</v>
      </c>
      <c r="C7623" s="3" t="str">
        <f>IFERROR(__xludf.DUMMYFUNCTION("GOOGLETRANSLATE(B7623,""id"",""en"")"),"['Suggestion', 'Telkomsel', 'Sell', 'fried', 'Sis', 'according to', 'price', 'fried', 'rb', 'already', 'satisfied']")</f>
        <v>['Suggestion', 'Telkomsel', 'Sell', 'fried', 'Sis', 'according to', 'price', 'fried', 'rb', 'already', 'satisfied']</v>
      </c>
      <c r="D7623" s="3">
        <v>1.0</v>
      </c>
    </row>
    <row r="7624" ht="15.75" customHeight="1">
      <c r="A7624" s="1">
        <v>8092.0</v>
      </c>
      <c r="B7624" s="3" t="s">
        <v>7293</v>
      </c>
      <c r="C7624" s="3" t="str">
        <f>IFERROR(__xludf.DUMMYFUNCTION("GOOGLETRANSLATE(B7624,""id"",""en"")"),"['Covering', 'buy', 'package', 'Telkomsel', 'slow', 'exceed', 'forest', 'wilderness',' already ',' buy ',' rb ',' package ',' Level ',' emotions', 'test', 'class',' BUMN ',' Defeat ',' Private ',' kwkkwkwkw ']")</f>
        <v>['Covering', 'buy', 'package', 'Telkomsel', 'slow', 'exceed', 'forest', 'wilderness',' already ',' buy ',' rb ',' package ',' Level ',' emotions', 'test', 'class',' BUMN ',' Defeat ',' Private ',' kwkkwkwkw ']</v>
      </c>
      <c r="D7624" s="3">
        <v>1.0</v>
      </c>
    </row>
    <row r="7625" ht="15.75" customHeight="1">
      <c r="A7625" s="1">
        <v>8093.0</v>
      </c>
      <c r="B7625" s="3" t="s">
        <v>7294</v>
      </c>
      <c r="C7625" s="3" t="str">
        <f>IFERROR(__xludf.DUMMYFUNCTION("GOOGLETRANSLATE(B7625,""id"",""en"")"),"['Please', 'Fix', 'The Network', 'Disappointing', 'Network']")</f>
        <v>['Please', 'Fix', 'The Network', 'Disappointing', 'Network']</v>
      </c>
      <c r="D7625" s="3">
        <v>1.0</v>
      </c>
    </row>
    <row r="7626" ht="15.75" customHeight="1">
      <c r="A7626" s="1">
        <v>8094.0</v>
      </c>
      <c r="B7626" s="3" t="s">
        <v>7295</v>
      </c>
      <c r="C7626" s="3" t="str">
        <f>IFERROR(__xludf.DUMMYFUNCTION("GOOGLETRANSLATE(B7626,""id"",""en"")"),"['Telkomsel', 'yaa', 'his net', 'jump', 'jump', 'like', 'cut', 'pulse', 'knowledge', 'credit', 'activation', 'package', ' difficult ',' etc. ']")</f>
        <v>['Telkomsel', 'yaa', 'his net', 'jump', 'jump', 'like', 'cut', 'pulse', 'knowledge', 'credit', 'activation', 'package', ' difficult ',' etc. ']</v>
      </c>
      <c r="D7626" s="3">
        <v>1.0</v>
      </c>
    </row>
    <row r="7627" ht="15.75" customHeight="1">
      <c r="A7627" s="1">
        <v>8095.0</v>
      </c>
      <c r="B7627" s="3" t="s">
        <v>7296</v>
      </c>
      <c r="C7627" s="3" t="str">
        <f>IFERROR(__xludf.DUMMYFUNCTION("GOOGLETRANSLATE(B7627,""id"",""en"")"),"['Use', 'Data', 'Telkomsel', 'Sulawesi', 'North', 'Different', 'Regions', 'Games', 'Operators', 'Telkomsel', 'Region', 'Sulut']")</f>
        <v>['Use', 'Data', 'Telkomsel', 'Sulawesi', 'North', 'Different', 'Regions', 'Games', 'Operators', 'Telkomsel', 'Region', 'Sulut']</v>
      </c>
      <c r="D7627" s="3">
        <v>1.0</v>
      </c>
    </row>
    <row r="7628" ht="15.75" customHeight="1">
      <c r="A7628" s="1">
        <v>8096.0</v>
      </c>
      <c r="B7628" s="3" t="s">
        <v>7297</v>
      </c>
      <c r="C7628" s="3" t="str">
        <f>IFERROR(__xludf.DUMMYFUNCTION("GOOGLETRANSLATE(B7628,""id"",""en"")"),"['Cave', 'Customer', 'Promo', 'Good', 'Chat', 'Veronika', 'Useful', 'Ask', 'Connect', 'Bot', 'Delete', 'Telkomsel', ' ']")</f>
        <v>['Cave', 'Customer', 'Promo', 'Good', 'Chat', 'Veronika', 'Useful', 'Ask', 'Connect', 'Bot', 'Delete', 'Telkomsel', ' ']</v>
      </c>
      <c r="D7628" s="3">
        <v>1.0</v>
      </c>
    </row>
    <row r="7629" ht="15.75" customHeight="1">
      <c r="A7629" s="1">
        <v>8097.0</v>
      </c>
      <c r="B7629" s="3" t="s">
        <v>7298</v>
      </c>
      <c r="C7629" s="3" t="str">
        <f>IFERROR(__xludf.DUMMYFUNCTION("GOOGLETRANSLATE(B7629,""id"",""en"")"),"['Severe', 'Telkomsel', 'users',' Telkomsel ',' expenditure ',' RB ',' price ',' expensive ',' quality ',' down ',' sorry ',' next ',' Switch ',' Provider ',' Quality ',' Try ',' Telkomsel ',' Reflect ',' Father ',' Followed ',' Provider ',' Born ',' Need"&amp;" ',' Response ',' Bot ' , 'thanks', '']")</f>
        <v>['Severe', 'Telkomsel', 'users',' Telkomsel ',' expenditure ',' RB ',' price ',' expensive ',' quality ',' down ',' sorry ',' next ',' Switch ',' Provider ',' Quality ',' Try ',' Telkomsel ',' Reflect ',' Father ',' Followed ',' Provider ',' Born ',' Need ',' Response ',' Bot ' , 'thanks', '']</v>
      </c>
      <c r="D7629" s="3">
        <v>1.0</v>
      </c>
    </row>
    <row r="7630" ht="15.75" customHeight="1">
      <c r="A7630" s="1">
        <v>8098.0</v>
      </c>
      <c r="B7630" s="3" t="s">
        <v>7299</v>
      </c>
      <c r="C7630" s="3" t="str">
        <f>IFERROR(__xludf.DUMMYFUNCTION("GOOGLETRANSLATE(B7630,""id"",""en"")"),"['hope', 'service', 'telecommunications',' Indonesia ',' run ',' supports', 'ecosystem', 'world', 'digital', 'supports',' device ',' telecommunications', ' Thanks', 'Love', 'Erikson', 'Tampubolon', '']")</f>
        <v>['hope', 'service', 'telecommunications',' Indonesia ',' run ',' supports', 'ecosystem', 'world', 'digital', 'supports',' device ',' telecommunications', ' Thanks', 'Love', 'Erikson', 'Tampubolon', '']</v>
      </c>
      <c r="D7630" s="3">
        <v>5.0</v>
      </c>
    </row>
    <row r="7631" ht="15.75" customHeight="1">
      <c r="A7631" s="1">
        <v>8099.0</v>
      </c>
      <c r="B7631" s="3" t="s">
        <v>7300</v>
      </c>
      <c r="C7631" s="3" t="str">
        <f>IFERROR(__xludf.DUMMYFUNCTION("GOOGLETRANSLATE(B7631,""id"",""en"")"),"['Hopefully', 'useful', 'season', 'rich', 'gini', 'season', 'covid', 'hope', 'soon', 'finished', 'change', 'season', ' Happiness', 'Aamiin', ""]")</f>
        <v>['Hopefully', 'useful', 'season', 'rich', 'gini', 'season', 'covid', 'hope', 'soon', 'finished', 'change', 'season', ' Happiness', 'Aamiin', "]</v>
      </c>
      <c r="D7631" s="3">
        <v>4.0</v>
      </c>
    </row>
    <row r="7632" ht="15.75" customHeight="1">
      <c r="A7632" s="1">
        <v>8100.0</v>
      </c>
      <c r="B7632" s="3" t="s">
        <v>7301</v>
      </c>
      <c r="C7632" s="3" t="str">
        <f>IFERROR(__xludf.DUMMYFUNCTION("GOOGLETRANSLATE(B7632,""id"",""en"")"),"['NGGX', 'Download', 'anything', 'Open', 'NGGX', 'Nyampe', 'Clock', 'Package', 'Out', 'Ntah', 'Meaning']")</f>
        <v>['NGGX', 'Download', 'anything', 'Open', 'NGGX', 'Nyampe', 'Clock', 'Package', 'Out', 'Ntah', 'Meaning']</v>
      </c>
      <c r="D7632" s="3">
        <v>1.0</v>
      </c>
    </row>
    <row r="7633" ht="15.75" customHeight="1">
      <c r="A7633" s="1">
        <v>8101.0</v>
      </c>
      <c r="B7633" s="3" t="s">
        <v>7302</v>
      </c>
      <c r="C7633" s="3" t="str">
        <f>IFERROR(__xludf.DUMMYFUNCTION("GOOGLETRANSLATE(B7633,""id"",""en"")"),"['', 'Telkomsel', 'complicated', 'enter', 'complicated', 'sms', 'link', 'link', 'click', 'enter', 'enter']")</f>
        <v>['', 'Telkomsel', 'complicated', 'enter', 'complicated', 'sms', 'link', 'link', 'click', 'enter', 'enter']</v>
      </c>
      <c r="D7633" s="3">
        <v>1.0</v>
      </c>
    </row>
    <row r="7634" ht="15.75" customHeight="1">
      <c r="A7634" s="1">
        <v>8102.0</v>
      </c>
      <c r="B7634" s="3" t="s">
        <v>2445</v>
      </c>
      <c r="C7634" s="3" t="str">
        <f>IFERROR(__xludf.DUMMYFUNCTION("GOOGLETRANSLATE(B7634,""id"",""en"")"),"['beneficial']")</f>
        <v>['beneficial']</v>
      </c>
      <c r="D7634" s="3">
        <v>5.0</v>
      </c>
    </row>
    <row r="7635" ht="15.75" customHeight="1">
      <c r="A7635" s="1">
        <v>8103.0</v>
      </c>
      <c r="B7635" s="3" t="s">
        <v>7303</v>
      </c>
      <c r="C7635" s="3" t="str">
        <f>IFERROR(__xludf.DUMMYFUNCTION("GOOGLETRANSLATE(B7635,""id"",""en"")"),"['Disappointed', 'Event', 'Top', 'Mobile', 'Legend', 'Exchange', 'Point', 'Delete', 'Deliberate', 'Collecting', 'Point']")</f>
        <v>['Disappointed', 'Event', 'Top', 'Mobile', 'Legend', 'Exchange', 'Point', 'Delete', 'Deliberate', 'Collecting', 'Point']</v>
      </c>
      <c r="D7635" s="3">
        <v>1.0</v>
      </c>
    </row>
    <row r="7636" ht="15.75" customHeight="1">
      <c r="A7636" s="1">
        <v>8104.0</v>
      </c>
      <c r="B7636" s="3" t="s">
        <v>7304</v>
      </c>
      <c r="C7636" s="3" t="str">
        <f>IFERROR(__xludf.DUMMYFUNCTION("GOOGLETRANSLATE(B7636,""id"",""en"")"),"['contents',' pulse ',' run out ',' check ',' use ',' use ',' pay ',' data ',' package ',' data ',' plus', 'use', ' WiFi ',' Please ',' MyTelkomsel ',' Suck ',' Credit ',' ']")</f>
        <v>['contents',' pulse ',' run out ',' check ',' use ',' use ',' pay ',' data ',' package ',' data ',' plus', 'use', ' WiFi ',' Please ',' MyTelkomsel ',' Suck ',' Credit ',' ']</v>
      </c>
      <c r="D7636" s="3">
        <v>1.0</v>
      </c>
    </row>
    <row r="7637" ht="15.75" customHeight="1">
      <c r="A7637" s="1">
        <v>8105.0</v>
      </c>
      <c r="B7637" s="3" t="s">
        <v>7305</v>
      </c>
      <c r="C7637" s="3" t="str">
        <f>IFERROR(__xludf.DUMMYFUNCTION("GOOGLETRANSLATE(B7637,""id"",""en"")"),"['Signal', 'slow', 'watch', 'netflix', 'ehh', 'buffering', 'buy', 'package', 'please', 'increase', 'min', 'his speed', ' exciting ',' watch ',' muter ',' screen ',' hmmm ',' lemottt ',' see ',' disappointed ']")</f>
        <v>['Signal', 'slow', 'watch', 'netflix', 'ehh', 'buffering', 'buy', 'package', 'please', 'increase', 'min', 'his speed', ' exciting ',' watch ',' muter ',' screen ',' hmmm ',' lemottt ',' see ',' disappointed ']</v>
      </c>
      <c r="D7637" s="3">
        <v>1.0</v>
      </c>
    </row>
    <row r="7638" ht="15.75" customHeight="1">
      <c r="A7638" s="1">
        <v>8106.0</v>
      </c>
      <c r="B7638" s="3" t="s">
        <v>7306</v>
      </c>
      <c r="C7638" s="3" t="str">
        <f>IFERROR(__xludf.DUMMYFUNCTION("GOOGLETRANSLATE(B7638,""id"",""en"")"),"['network', 'lag', 'price', 'package', 'expensive', 'broken', 'gara', 'internet', 'telkomsel', 'lag', 'play', 'regret', ' buy ',' price ',' expensive ',' expensive ',' smooth ']")</f>
        <v>['network', 'lag', 'price', 'package', 'expensive', 'broken', 'gara', 'internet', 'telkomsel', 'lag', 'play', 'regret', ' buy ',' price ',' expensive ',' expensive ',' smooth ']</v>
      </c>
      <c r="D7638" s="3">
        <v>1.0</v>
      </c>
    </row>
    <row r="7639" ht="15.75" customHeight="1">
      <c r="A7639" s="1">
        <v>8107.0</v>
      </c>
      <c r="B7639" s="3" t="s">
        <v>7307</v>
      </c>
      <c r="C7639" s="3" t="str">
        <f>IFERROR(__xludf.DUMMYFUNCTION("GOOGLETRANSLATE(B7639,""id"",""en"")"),"['Update', 'APK', 'opened', 'told', 'update', 'LGI', 'Ujung', 'purpose', 'purpose', 'paan', ""]")</f>
        <v>['Update', 'APK', 'opened', 'told', 'update', 'LGI', 'Ujung', 'purpose', 'purpose', 'paan', "]</v>
      </c>
      <c r="D7639" s="3">
        <v>1.0</v>
      </c>
    </row>
    <row r="7640" ht="15.75" customHeight="1">
      <c r="A7640" s="1">
        <v>8108.0</v>
      </c>
      <c r="B7640" s="3" t="s">
        <v>7308</v>
      </c>
      <c r="C7640" s="3" t="str">
        <f>IFERROR(__xludf.DUMMYFUNCTION("GOOGLETRANSLATE(B7640,""id"",""en"")"),"['Network', 'Telkomsel', 'lamah', 'rich', 'no', 'already', 'package', 'already', 'expensive', 'network', 'down', 'then' ']")</f>
        <v>['Network', 'Telkomsel', 'lamah', 'rich', 'no', 'already', 'package', 'already', 'expensive', 'network', 'down', 'then' ']</v>
      </c>
      <c r="D7640" s="3">
        <v>1.0</v>
      </c>
    </row>
    <row r="7641" ht="15.75" customHeight="1">
      <c r="A7641" s="1">
        <v>8109.0</v>
      </c>
      <c r="B7641" s="3" t="s">
        <v>7309</v>
      </c>
      <c r="C7641" s="3" t="str">
        <f>IFERROR(__xludf.DUMMYFUNCTION("GOOGLETRANSLATE(B7641,""id"",""en"")"),"['price', 'package', 'wrote', 'promo', 'expensive', 'package', 'bbrp', 'week', 'buy', 'package', 'call', 'a month', ' rb ',' a week ',' wrote ',' description ',' promo ',' price ',' that's', 'promo']")</f>
        <v>['price', 'package', 'wrote', 'promo', 'expensive', 'package', 'bbrp', 'week', 'buy', 'package', 'call', 'a month', ' rb ',' a week ',' wrote ',' description ',' promo ',' price ',' that's', 'promo']</v>
      </c>
      <c r="D7641" s="3">
        <v>1.0</v>
      </c>
    </row>
    <row r="7642" ht="15.75" customHeight="1">
      <c r="A7642" s="1">
        <v>8110.0</v>
      </c>
      <c r="B7642" s="3" t="s">
        <v>7310</v>
      </c>
      <c r="C7642" s="3" t="str">
        <f>IFERROR(__xludf.DUMMYFUNCTION("GOOGLETRANSLATE(B7642,""id"",""en"")"),"['user', 'enjoy', 'service', 'data', 'cheap', 'save', 'promo', 'price', 'data', 'cheap', ""]")</f>
        <v>['user', 'enjoy', 'service', 'data', 'cheap', 'save', 'promo', 'price', 'data', 'cheap', "]</v>
      </c>
      <c r="D7642" s="3">
        <v>5.0</v>
      </c>
    </row>
    <row r="7643" ht="15.75" customHeight="1">
      <c r="A7643" s="1">
        <v>8111.0</v>
      </c>
      <c r="B7643" s="3" t="s">
        <v>7311</v>
      </c>
      <c r="C7643" s="3" t="str">
        <f>IFERROR(__xludf.DUMMYFUNCTION("GOOGLETRANSLATE(B7643,""id"",""en"")"),"['annoyed', 'fraud', 'cutting', 'pulse', 'star', 'Telkomsel', 'hope', 'fix', 'rules',' lock ',' data ',' users', ' Companies', 'Telkomsel', 'protect', 'users',' individual ',' Telkomsel ',' hold ',' lottery ',' limit ',' location ',' Anis', 'Baswedan', 'W"&amp;"atching' , 'Bertautung', 'entry', 'region', 'forest', 'Jakarta', 'cost', ""]")</f>
        <v>['annoyed', 'fraud', 'cutting', 'pulse', 'star', 'Telkomsel', 'hope', 'fix', 'rules',' lock ',' data ',' users', ' Companies', 'Telkomsel', 'protect', 'users',' individual ',' Telkomsel ',' hold ',' lottery ',' limit ',' location ',' Anis', 'Baswedan', 'Watching' , 'Bertautung', 'entry', 'region', 'forest', 'Jakarta', 'cost', "]</v>
      </c>
      <c r="D7643" s="3">
        <v>3.0</v>
      </c>
    </row>
    <row r="7644" ht="15.75" customHeight="1">
      <c r="A7644" s="1">
        <v>8112.0</v>
      </c>
      <c r="B7644" s="3" t="s">
        <v>7312</v>
      </c>
      <c r="C7644" s="3" t="str">
        <f>IFERROR(__xludf.DUMMYFUNCTION("GOOGLETRANSLATE(B7644,""id"",""en"")"),"['service', 'content', 'SMS', 'active', 'automatic', 'stop', 'disable it', 'annoying', 'user', 'Telkomsel', 'send', 'thank', ' List ',' contact ']")</f>
        <v>['service', 'content', 'SMS', 'active', 'automatic', 'stop', 'disable it', 'annoying', 'user', 'Telkomsel', 'send', 'thank', ' List ',' contact ']</v>
      </c>
      <c r="D7644" s="3">
        <v>1.0</v>
      </c>
    </row>
    <row r="7645" ht="15.75" customHeight="1">
      <c r="A7645" s="1">
        <v>8113.0</v>
      </c>
      <c r="B7645" s="3" t="s">
        <v>7313</v>
      </c>
      <c r="C7645" s="3" t="str">
        <f>IFERROR(__xludf.DUMMYFUNCTION("GOOGLETRANSLATE(B7645,""id"",""en"")"),"['Steady', 'Application', 'Increases', 'Service', 'Telkomsel', 'Slalu', 'Dihati', 'Customer', 'Move', 'Heart', ""]")</f>
        <v>['Steady', 'Application', 'Increases', 'Service', 'Telkomsel', 'Slalu', 'Dihati', 'Customer', 'Move', 'Heart', "]</v>
      </c>
      <c r="D7645" s="3">
        <v>5.0</v>
      </c>
    </row>
    <row r="7646" ht="15.75" customHeight="1">
      <c r="A7646" s="1">
        <v>8114.0</v>
      </c>
      <c r="B7646" s="3" t="s">
        <v>7314</v>
      </c>
      <c r="C7646" s="3" t="str">
        <f>IFERROR(__xludf.DUMMYFUNCTION("GOOGLETRANSLATE(B7646,""id"",""en"")"),"['Increase', 'The Network', 'Leet']")</f>
        <v>['Increase', 'The Network', 'Leet']</v>
      </c>
      <c r="D7646" s="3">
        <v>1.0</v>
      </c>
    </row>
    <row r="7647" ht="15.75" customHeight="1">
      <c r="A7647" s="1">
        <v>8115.0</v>
      </c>
      <c r="B7647" s="3" t="s">
        <v>7315</v>
      </c>
      <c r="C7647" s="3" t="str">
        <f>IFERROR(__xludf.DUMMYFUNCTION("GOOGLETRANSLATE(B7647,""id"",""en"")"),"['Telkomsel', 'Network', 'garbage', 'Kirain', 'Fix', 'Good', 'Reverse', 'Trash']")</f>
        <v>['Telkomsel', 'Network', 'garbage', 'Kirain', 'Fix', 'Good', 'Reverse', 'Trash']</v>
      </c>
      <c r="D7647" s="3">
        <v>1.0</v>
      </c>
    </row>
    <row r="7648" ht="15.75" customHeight="1">
      <c r="A7648" s="1">
        <v>8116.0</v>
      </c>
      <c r="B7648" s="3" t="s">
        <v>7316</v>
      </c>
      <c r="C7648" s="3" t="str">
        <f>IFERROR(__xludf.DUMMYFUNCTION("GOOGLETRANSLATE(B7648,""id"",""en"")"),"['MyTelkomsel', 'makes it easy', 'purchase', 'package', 'internet']")</f>
        <v>['MyTelkomsel', 'makes it easy', 'purchase', 'package', 'internet']</v>
      </c>
      <c r="D7648" s="3">
        <v>5.0</v>
      </c>
    </row>
    <row r="7649" ht="15.75" customHeight="1">
      <c r="A7649" s="1">
        <v>8117.0</v>
      </c>
      <c r="B7649" s="3" t="s">
        <v>7317</v>
      </c>
      <c r="C7649" s="3" t="str">
        <f>IFERROR(__xludf.DUMMYFUNCTION("GOOGLETRANSLATE(B7649,""id"",""en"")"),"['application', 'bad', 'promo', 'package', 'internet', 'cheap', 'bought']")</f>
        <v>['application', 'bad', 'promo', 'package', 'internet', 'cheap', 'bought']</v>
      </c>
      <c r="D7649" s="3">
        <v>1.0</v>
      </c>
    </row>
    <row r="7650" ht="15.75" customHeight="1">
      <c r="A7650" s="1">
        <v>8118.0</v>
      </c>
      <c r="B7650" s="3" t="s">
        <v>7318</v>
      </c>
      <c r="C7650" s="3" t="str">
        <f>IFERROR(__xludf.DUMMYFUNCTION("GOOGLETRANSLATE(B7650,""id"",""en"")"),"['package', 'expensive', 'signal', 'slow', 'admin', 'tlol', 'ask', 'oath', 'Telkomsel', 'his brain', 'Dimna', 'harm', ' People ',' Mending ',' Demand ',' Ajh ',' Ama ',' People ']")</f>
        <v>['package', 'expensive', 'signal', 'slow', 'admin', 'tlol', 'ask', 'oath', 'Telkomsel', 'his brain', 'Dimna', 'harm', ' People ',' Mending ',' Demand ',' Ajh ',' Ama ',' People ']</v>
      </c>
      <c r="D7650" s="3">
        <v>1.0</v>
      </c>
    </row>
    <row r="7651" ht="15.75" customHeight="1">
      <c r="A7651" s="1">
        <v>8119.0</v>
      </c>
      <c r="B7651" s="3" t="s">
        <v>7319</v>
      </c>
      <c r="C7651" s="3" t="str">
        <f>IFERROR(__xludf.DUMMYFUNCTION("GOOGLETRANSLATE(B7651,""id"",""en"")"),"['Network', 'Telkomsel', 'Severe', 'Internet', 'Different', 'Hello', 'Sympathy', 'Use', 'Hello', 'Internet', 'Current', 'Use', ' sympathy ',' slow ',' nauzubillah ']")</f>
        <v>['Network', 'Telkomsel', 'Severe', 'Internet', 'Different', 'Hello', 'Sympathy', 'Use', 'Hello', 'Internet', 'Current', 'Use', ' sympathy ',' slow ',' nauzubillah ']</v>
      </c>
      <c r="D7651" s="3">
        <v>1.0</v>
      </c>
    </row>
    <row r="7652" ht="15.75" customHeight="1">
      <c r="A7652" s="1">
        <v>8120.0</v>
      </c>
      <c r="B7652" s="3" t="s">
        <v>7320</v>
      </c>
      <c r="C7652" s="3" t="str">
        <f>IFERROR(__xludf.DUMMYFUNCTION("GOOGLETRANSLATE(B7652,""id"",""en"")"),"['opportunity', 'grabbing', 'gifts',' Collect ',' Points', 'Redeem', 'according to', 'coupon', 'prize', 'Lots',' user ',' chance ',' LBH ',' Win ',' TRIMS ',' Telkomsel ']")</f>
        <v>['opportunity', 'grabbing', 'gifts',' Collect ',' Points', 'Redeem', 'according to', 'coupon', 'prize', 'Lots',' user ',' chance ',' LBH ',' Win ',' TRIMS ',' Telkomsel ']</v>
      </c>
      <c r="D7652" s="3">
        <v>5.0</v>
      </c>
    </row>
    <row r="7653" ht="15.75" customHeight="1">
      <c r="A7653" s="1">
        <v>8121.0</v>
      </c>
      <c r="B7653" s="3" t="s">
        <v>7321</v>
      </c>
      <c r="C7653" s="3" t="str">
        <f>IFERROR(__xludf.DUMMYFUNCTION("GOOGLETRANSLATE(B7653,""id"",""en"")"),"['Date', 'September', 'October', 'buy', 'package', 'data', 'notif', 'sorry', 'ganguan', 'system', 'knp', 'card', ' Buy ',' Package ',' MyTelkomsel ',' Recommended ',' Date ',' September ',' Buy ',' Package ',' Disruption ',' Disruption ']")</f>
        <v>['Date', 'September', 'October', 'buy', 'package', 'data', 'notif', 'sorry', 'ganguan', 'system', 'knp', 'card', ' Buy ',' Package ',' MyTelkomsel ',' Recommended ',' Date ',' September ',' Buy ',' Package ',' Disruption ',' Disruption ']</v>
      </c>
      <c r="D7653" s="3">
        <v>1.0</v>
      </c>
    </row>
    <row r="7654" ht="15.75" customHeight="1">
      <c r="A7654" s="1">
        <v>8122.0</v>
      </c>
      <c r="B7654" s="3" t="s">
        <v>7322</v>
      </c>
      <c r="C7654" s="3" t="str">
        <f>IFERROR(__xludf.DUMMYFUNCTION("GOOGLETRANSLATE(B7654,""id"",""en"")"),"['Help', 'good', 'price', 'package', 'data', 'cheap', 'area', 'answerarat', 'hrhe']")</f>
        <v>['Help', 'good', 'price', 'package', 'data', 'cheap', 'area', 'answerarat', 'hrhe']</v>
      </c>
      <c r="D7654" s="3">
        <v>4.0</v>
      </c>
    </row>
    <row r="7655" ht="15.75" customHeight="1">
      <c r="A7655" s="1">
        <v>8123.0</v>
      </c>
      <c r="B7655" s="3" t="s">
        <v>7323</v>
      </c>
      <c r="C7655" s="3" t="str">
        <f>IFERROR(__xludf.DUMMYFUNCTION("GOOGLETRANSLATE(B7655,""id"",""en"")"),"['pulse', 'underlights', 'package', 'telephone', 'quota', 'please', 'Telkomsel', 'detrimental', 'user']")</f>
        <v>['pulse', 'underlights', 'package', 'telephone', 'quota', 'please', 'Telkomsel', 'detrimental', 'user']</v>
      </c>
      <c r="D7655" s="3">
        <v>1.0</v>
      </c>
    </row>
    <row r="7656" ht="15.75" customHeight="1">
      <c r="A7656" s="1">
        <v>8124.0</v>
      </c>
      <c r="B7656" s="3" t="s">
        <v>7324</v>
      </c>
      <c r="C7656" s="3" t="str">
        <f>IFERROR(__xludf.DUMMYFUNCTION("GOOGLETRANSLATE(B7656,""id"",""en"")"),"['pulp', 'beh.', 'signal', 'sell', 'open', 'game', 'open', 'fishing line', 'provider', '']")</f>
        <v>['pulp', 'beh.', 'signal', 'sell', 'open', 'game', 'open', 'fishing line', 'provider', '']</v>
      </c>
      <c r="D7656" s="3">
        <v>1.0</v>
      </c>
    </row>
    <row r="7657" ht="15.75" customHeight="1">
      <c r="A7657" s="1">
        <v>8125.0</v>
      </c>
      <c r="B7657" s="3" t="s">
        <v>7325</v>
      </c>
      <c r="C7657" s="3" t="str">
        <f>IFERROR(__xludf.DUMMYFUNCTION("GOOGLETRANSLATE(B7657,""id"",""en"")"),"['The application', 'promo', 'interesting', 'easy', 'access it', 'Trima', 'love', 'MyTelkomsel', '']")</f>
        <v>['The application', 'promo', 'interesting', 'easy', 'access it', 'Trima', 'love', 'MyTelkomsel', '']</v>
      </c>
      <c r="D7657" s="3">
        <v>5.0</v>
      </c>
    </row>
    <row r="7658" ht="15.75" customHeight="1">
      <c r="A7658" s="1">
        <v>8126.0</v>
      </c>
      <c r="B7658" s="3" t="s">
        <v>7326</v>
      </c>
      <c r="C7658" s="3" t="str">
        <f>IFERROR(__xludf.DUMMYFUNCTION("GOOGLETRANSLATE(B7658,""id"",""en"")"),"['credit', 'Telkomsel', 'missing', 'ngak', 'muter', 'muter', 'card', 'waste', 'number', '']")</f>
        <v>['credit', 'Telkomsel', 'missing', 'ngak', 'muter', 'muter', 'card', 'waste', 'number', '']</v>
      </c>
      <c r="D7658" s="3">
        <v>1.0</v>
      </c>
    </row>
    <row r="7659" ht="15.75" customHeight="1">
      <c r="A7659" s="1">
        <v>8127.0</v>
      </c>
      <c r="B7659" s="3" t="s">
        <v>7327</v>
      </c>
      <c r="C7659" s="3" t="str">
        <f>IFERROR(__xludf.DUMMYFUNCTION("GOOGLETRANSLATE(B7659,""id"",""en"")"),"['Application', 'Like', 'Consumers', 'Mrs. "",' Advertisements ',' Nalar ',' Spy ',' Consumers ',' Deceived ',' Please ',' Cerna ',' Review ',' thank you', '']")</f>
        <v>['Application', 'Like', 'Consumers', 'Mrs. ",' Advertisements ',' Nalar ',' Spy ',' Consumers ',' Deceived ',' Please ',' Cerna ',' Review ',' thank you', '']</v>
      </c>
      <c r="D7659" s="3">
        <v>3.0</v>
      </c>
    </row>
    <row r="7660" ht="15.75" customHeight="1">
      <c r="A7660" s="1">
        <v>8128.0</v>
      </c>
      <c r="B7660" s="3" t="s">
        <v>7328</v>
      </c>
      <c r="C7660" s="3" t="str">
        <f>IFERROR(__xludf.DUMMYFUNCTION("GOOGLETRANSLATE(B7660,""id"",""en"")"),"['application', 'makes it easy', 'users', 'Telkomsel', 'leftover', 'pulse', 'leftover', 'quota', 'features', 'features', 'in it', 'informative']")</f>
        <v>['application', 'makes it easy', 'users', 'Telkomsel', 'leftover', 'pulse', 'leftover', 'quota', 'features', 'features', 'in it', 'informative']</v>
      </c>
      <c r="D7660" s="3">
        <v>5.0</v>
      </c>
    </row>
    <row r="7661" ht="15.75" customHeight="1">
      <c r="A7661" s="1">
        <v>8129.0</v>
      </c>
      <c r="B7661" s="3" t="s">
        <v>7329</v>
      </c>
      <c r="C7661" s="3" t="str">
        <f>IFERROR(__xludf.DUMMYFUNCTION("GOOGLETRANSLATE(B7661,""id"",""en"")"),"['jaesanya', 'application', 'tlong', 'increase', 'cook', 'enter', 'apk', 'input', 'trs']")</f>
        <v>['jaesanya', 'application', 'tlong', 'increase', 'cook', 'enter', 'apk', 'input', 'trs']</v>
      </c>
      <c r="D7661" s="3">
        <v>3.0</v>
      </c>
    </row>
    <row r="7662" ht="15.75" customHeight="1">
      <c r="A7662" s="1">
        <v>8130.0</v>
      </c>
      <c r="B7662" s="3" t="s">
        <v>7330</v>
      </c>
      <c r="C7662" s="3" t="str">
        <f>IFERROR(__xludf.DUMMYFUNCTION("GOOGLETRANSLATE(B7662,""id"",""en"")"),"['Information', 'convenience', 'in', 'use', 'Increases', 'Develop', 'Service', 'Etc.']")</f>
        <v>['Information', 'convenience', 'in', 'use', 'Increases', 'Develop', 'Service', 'Etc.']</v>
      </c>
      <c r="D7662" s="3">
        <v>5.0</v>
      </c>
    </row>
    <row r="7663" ht="15.75" customHeight="1">
      <c r="A7663" s="1">
        <v>8131.0</v>
      </c>
      <c r="B7663" s="3" t="s">
        <v>7331</v>
      </c>
      <c r="C7663" s="3" t="str">
        <f>IFERROR(__xludf.DUMMYFUNCTION("GOOGLETRANSLATE(B7663,""id"",""en"")"),"['Good', 'prize', 'Helpful']")</f>
        <v>['Good', 'prize', 'Helpful']</v>
      </c>
      <c r="D7663" s="3">
        <v>5.0</v>
      </c>
    </row>
    <row r="7664" ht="15.75" customHeight="1">
      <c r="A7664" s="1">
        <v>8132.0</v>
      </c>
      <c r="B7664" s="3" t="s">
        <v>7332</v>
      </c>
      <c r="C7664" s="3" t="str">
        <f>IFERROR(__xludf.DUMMYFUNCTION("GOOGLETRANSLATE(B7664,""id"",""en"")"),"['beginner']")</f>
        <v>['beginner']</v>
      </c>
      <c r="D7664" s="3">
        <v>3.0</v>
      </c>
    </row>
    <row r="7665" ht="15.75" customHeight="1">
      <c r="A7665" s="1">
        <v>8133.0</v>
      </c>
      <c r="B7665" s="3" t="s">
        <v>7333</v>
      </c>
      <c r="C7665" s="3" t="str">
        <f>IFERROR(__xludf.DUMMYFUNCTION("GOOGLETRANSLATE(B7665,""id"",""en"")"),"['APPK', 'Good', 'salvaced', 'fast', 'price', 'package', 'cheap', 'cheap']")</f>
        <v>['APPK', 'Good', 'salvaced', 'fast', 'price', 'package', 'cheap', 'cheap']</v>
      </c>
      <c r="D7665" s="3">
        <v>5.0</v>
      </c>
    </row>
    <row r="7666" ht="15.75" customHeight="1">
      <c r="A7666" s="1">
        <v>8134.0</v>
      </c>
      <c r="B7666" s="3" t="s">
        <v>7334</v>
      </c>
      <c r="C7666" s="3" t="str">
        <f>IFERROR(__xludf.DUMMYFUNCTION("GOOGLETRANSLATE(B7666,""id"",""en"")"),"['network', 'TER', 'LEG', 'INDONESIA', 'Package', 'Most expensive', 'World', 'No' Telkomsel ']")</f>
        <v>['network', 'TER', 'LEG', 'INDONESIA', 'Package', 'Most expensive', 'World', 'No' Telkomsel ']</v>
      </c>
      <c r="D7666" s="3">
        <v>1.0</v>
      </c>
    </row>
    <row r="7667" ht="15.75" customHeight="1">
      <c r="A7667" s="1">
        <v>8135.0</v>
      </c>
      <c r="B7667" s="3" t="s">
        <v>7335</v>
      </c>
      <c r="C7667" s="3" t="str">
        <f>IFERROR(__xludf.DUMMYFUNCTION("GOOGLETRANSLATE(B7667,""id"",""en"")"),"['Telkomsel', 'Yahuuudd', 'Jarngan', 'Leet', 'WiFi', 'Nion', 'Taraaa', 'Card', 'Raying', 'Buy', 'Products',' Telkombi ',' improve ',' laa ',' network ',' name ',' doang ',' contents', 'empty']")</f>
        <v>['Telkomsel', 'Yahuuudd', 'Jarngan', 'Leet', 'WiFi', 'Nion', 'Taraaa', 'Card', 'Raying', 'Buy', 'Products',' Telkombi ',' improve ',' laa ',' network ',' name ',' doang ',' contents', 'empty']</v>
      </c>
      <c r="D7667" s="3">
        <v>1.0</v>
      </c>
    </row>
    <row r="7668" ht="15.75" customHeight="1">
      <c r="A7668" s="1">
        <v>8136.0</v>
      </c>
      <c r="B7668" s="3" t="s">
        <v>7336</v>
      </c>
      <c r="C7668" s="3" t="str">
        <f>IFERROR(__xludf.DUMMYFUNCTION("GOOGLETRANSLATE(B7668,""id"",""en"")"),"['Helping', 'Control', 'Package', 'Data', 'Diverse', 'Gift', 'Interesting', '']")</f>
        <v>['Helping', 'Control', 'Package', 'Data', 'Diverse', 'Gift', 'Interesting', '']</v>
      </c>
      <c r="D7668" s="3">
        <v>5.0</v>
      </c>
    </row>
    <row r="7669" ht="15.75" customHeight="1">
      <c r="A7669" s="1">
        <v>8137.0</v>
      </c>
      <c r="B7669" s="3" t="s">
        <v>7337</v>
      </c>
      <c r="C7669" s="3" t="str">
        <f>IFERROR(__xludf.DUMMYFUNCTION("GOOGLETRANSLATE(B7669,""id"",""en"")"),"['Network', 'Telkomsel', 'Kek', 'pig']")</f>
        <v>['Network', 'Telkomsel', 'Kek', 'pig']</v>
      </c>
      <c r="D7669" s="3">
        <v>1.0</v>
      </c>
    </row>
    <row r="7670" ht="15.75" customHeight="1">
      <c r="A7670" s="1">
        <v>8138.0</v>
      </c>
      <c r="B7670" s="3" t="s">
        <v>7338</v>
      </c>
      <c r="C7670" s="3" t="str">
        <f>IFERROR(__xludf.DUMMYFUNCTION("GOOGLETRANSLATE(B7670,""id"",""en"")"),"['woy', 'no', 'use', 'Indonesia', 'yaa', 'waste', 'buy', 'pulse', 'fast', 'safe', 'application', 'disorder', ' Buy ',' pulse ',' application ',' ']")</f>
        <v>['woy', 'no', 'use', 'Indonesia', 'yaa', 'waste', 'buy', 'pulse', 'fast', 'safe', 'application', 'disorder', ' Buy ',' pulse ',' application ',' ']</v>
      </c>
      <c r="D7670" s="3">
        <v>1.0</v>
      </c>
    </row>
    <row r="7671" ht="15.75" customHeight="1">
      <c r="A7671" s="1">
        <v>8139.0</v>
      </c>
      <c r="B7671" s="3" t="s">
        <v>7339</v>
      </c>
      <c r="C7671" s="3" t="str">
        <f>IFERROR(__xludf.DUMMYFUNCTION("GOOGLETRANSLATE(B7671,""id"",""en"")"),"['Disappointed', 'times',' check ',' like ',' muter ',' mulu ',' gajelas', 'open', 'reset', 'ttp', 'sometimes',' gamau ',' ',' package ',' GRTZ ',' because ',' difficult ',' checkin ',' daily ',' Cancel ',' hmmm ']")</f>
        <v>['Disappointed', 'times',' check ',' like ',' muter ',' mulu ',' gajelas', 'open', 'reset', 'ttp', 'sometimes',' gamau ',' ',' package ',' GRTZ ',' because ',' difficult ',' checkin ',' daily ',' Cancel ',' hmmm ']</v>
      </c>
      <c r="D7671" s="3">
        <v>3.0</v>
      </c>
    </row>
    <row r="7672" ht="15.75" customHeight="1">
      <c r="A7672" s="1">
        <v>8140.0</v>
      </c>
      <c r="B7672" s="3" t="s">
        <v>7340</v>
      </c>
      <c r="C7672" s="3" t="str">
        <f>IFERROR(__xludf.DUMMYFUNCTION("GOOGLETRANSLATE(B7672,""id"",""en"")"),"['KLI', 'Register', 'Telkomsel', 'APK', 'KNPA', 'Writing', 'Please', 'Input', 'Number', 'Telkomsel', 'PDHL', 'Udh', ' BNR ',' number ',' Telkomsel ']")</f>
        <v>['KLI', 'Register', 'Telkomsel', 'APK', 'KNPA', 'Writing', 'Please', 'Input', 'Number', 'Telkomsel', 'PDHL', 'Udh', ' BNR ',' number ',' Telkomsel ']</v>
      </c>
      <c r="D7672" s="3">
        <v>1.0</v>
      </c>
    </row>
    <row r="7673" ht="15.75" customHeight="1">
      <c r="A7673" s="1">
        <v>8141.0</v>
      </c>
      <c r="B7673" s="3" t="s">
        <v>7341</v>
      </c>
      <c r="C7673" s="3" t="str">
        <f>IFERROR(__xludf.DUMMYFUNCTION("GOOGLETRANSLATE(B7673,""id"",""en"")"),"['Signal', 'Telkomsel', 'Worst', 'World']")</f>
        <v>['Signal', 'Telkomsel', 'Worst', 'World']</v>
      </c>
      <c r="D7673" s="3">
        <v>1.0</v>
      </c>
    </row>
    <row r="7674" ht="15.75" customHeight="1">
      <c r="A7674" s="1">
        <v>8143.0</v>
      </c>
      <c r="B7674" s="3" t="s">
        <v>7342</v>
      </c>
      <c r="C7674" s="3" t="str">
        <f>IFERROR(__xludf.DUMMYFUNCTION("GOOGLETRANSLATE(B7674,""id"",""en"")"),"['WOI', 'Director', 'Manager', 'Telkomsel', 'Pulse', 'Lost', 'Sucked', 'Please', 'Restore', 'Easy', 'Buy', 'Credit', ' package ',' pay ',' bill ',' check ',' quota ',' exchange ',' point ',' gift ',' pulse ',' easy ',' missing ', ""]")</f>
        <v>['WOI', 'Director', 'Manager', 'Telkomsel', 'Pulse', 'Lost', 'Sucked', 'Please', 'Restore', 'Easy', 'Buy', 'Credit', ' package ',' pay ',' bill ',' check ',' quota ',' exchange ',' point ',' gift ',' pulse ',' easy ',' missing ', "]</v>
      </c>
      <c r="D7674" s="3">
        <v>1.0</v>
      </c>
    </row>
    <row r="7675" ht="15.75" customHeight="1">
      <c r="A7675" s="1">
        <v>8144.0</v>
      </c>
      <c r="B7675" s="3" t="s">
        <v>7343</v>
      </c>
      <c r="C7675" s="3" t="str">
        <f>IFERROR(__xludf.DUMMYFUNCTION("GOOGLETRANSLATE(B7675,""id"",""en"")"),"['', 'Telkomsel', 'okay', 'promo', 'promopun', 'quota', 'cheap', 'fun', 'quota', 'emergency', 'pay', 'exciting', 'lottery ',' Points', 'prizes',' main ',' car ',' until ',' given ',' sustenance ',' Telkomsel ', ""]")</f>
        <v>['', 'Telkomsel', 'okay', 'promo', 'promopun', 'quota', 'cheap', 'fun', 'quota', 'emergency', 'pay', 'exciting', 'lottery ',' Points', 'prizes',' main ',' car ',' until ',' given ',' sustenance ',' Telkomsel ', "]</v>
      </c>
      <c r="D7675" s="3">
        <v>5.0</v>
      </c>
    </row>
    <row r="7676" ht="15.75" customHeight="1">
      <c r="A7676" s="1">
        <v>8145.0</v>
      </c>
      <c r="B7676" s="3" t="s">
        <v>7344</v>
      </c>
      <c r="C7676" s="3" t="str">
        <f>IFERROR(__xludf.DUMMYFUNCTION("GOOGLETRANSLATE(B7676,""id"",""en"")"),"['application', 'yng', 'like', 'because' makes it easier ',' buy ',' kouta ',' etc. ',' success', ""]")</f>
        <v>['application', 'yng', 'like', 'because' makes it easier ',' buy ',' kouta ',' etc. ',' success', "]</v>
      </c>
      <c r="D7676" s="3">
        <v>5.0</v>
      </c>
    </row>
    <row r="7677" ht="15.75" customHeight="1">
      <c r="A7677" s="1">
        <v>8146.0</v>
      </c>
      <c r="B7677" s="3" t="s">
        <v>7345</v>
      </c>
      <c r="C7677" s="3" t="str">
        <f>IFERROR(__xludf.DUMMYFUNCTION("GOOGLETRANSLATE(B7677,""id"",""en"")"),"['please', 'Telkomsel', 'suck', 'pulse', 'forgiveness',' intention ',' contents', 'package', 'night', 'hr', 'contents',' package ',' night ',' HR ',' please ',' Janganderas', 'really', 'suck']")</f>
        <v>['please', 'Telkomsel', 'suck', 'pulse', 'forgiveness',' intention ',' contents', 'package', 'night', 'hr', 'contents',' package ',' night ',' HR ',' please ',' Janganderas', 'really', 'suck']</v>
      </c>
      <c r="D7677" s="3">
        <v>1.0</v>
      </c>
    </row>
    <row r="7678" ht="15.75" customHeight="1">
      <c r="A7678" s="1">
        <v>8147.0</v>
      </c>
      <c r="B7678" s="3" t="s">
        <v>7346</v>
      </c>
      <c r="C7678" s="3" t="str">
        <f>IFERROR(__xludf.DUMMYFUNCTION("GOOGLETRANSLATE(B7678,""id"",""en"")"),"['Thank you', 'Telkomsel', 'Increase', 'Satisfied', 'Telkomsel']")</f>
        <v>['Thank you', 'Telkomsel', 'Increase', 'Satisfied', 'Telkomsel']</v>
      </c>
      <c r="D7678" s="3">
        <v>5.0</v>
      </c>
    </row>
    <row r="7679" ht="15.75" customHeight="1">
      <c r="A7679" s="1">
        <v>8148.0</v>
      </c>
      <c r="B7679" s="3" t="s">
        <v>7347</v>
      </c>
      <c r="C7679" s="3" t="str">
        <f>IFERROR(__xludf.DUMMYFUNCTION("GOOGLETRANSLATE(B7679,""id"",""en"")"),"['Good', 'customers',' Telkomsel ',' Yesterday ',' many years', 'subscribers',' APL ',' disappointing ',' reluctant ',' download ',' smg ',' useful ',' ']")</f>
        <v>['Good', 'customers',' Telkomsel ',' Yesterday ',' many years', 'subscribers',' APL ',' disappointing ',' reluctant ',' download ',' smg ',' useful ',' ']</v>
      </c>
      <c r="D7679" s="3">
        <v>4.0</v>
      </c>
    </row>
    <row r="7680" ht="15.75" customHeight="1">
      <c r="A7680" s="1">
        <v>8149.0</v>
      </c>
      <c r="B7680" s="3" t="s">
        <v>7348</v>
      </c>
      <c r="C7680" s="3" t="str">
        <f>IFERROR(__xludf.DUMMYFUNCTION("GOOGLETRANSLATE(B7680,""id"",""en"")"),"['signal', 'Telkomsel', 'slow', 'lose', 'signal', 'right', 'stop', 'use', 'Telkomsel', 'strong', 'internet', 'gini', ' Buy ',' Package ',' Telkomsel ',' Mending ',' Use ',' ']")</f>
        <v>['signal', 'Telkomsel', 'slow', 'lose', 'signal', 'right', 'stop', 'use', 'Telkomsel', 'strong', 'internet', 'gini', ' Buy ',' Package ',' Telkomsel ',' Mending ',' Use ',' ']</v>
      </c>
      <c r="D7680" s="3">
        <v>1.0</v>
      </c>
    </row>
    <row r="7681" ht="15.75" customHeight="1">
      <c r="A7681" s="1">
        <v>8150.0</v>
      </c>
      <c r="B7681" s="3" t="s">
        <v>7349</v>
      </c>
      <c r="C7681" s="3" t="str">
        <f>IFERROR(__xludf.DUMMYFUNCTION("GOOGLETRANSLATE(B7681,""id"",""en"")"),"['Telkomsel', 'bad', 'expensive', 'signal', 'rotten', 'embarrassing', 'reliable']")</f>
        <v>['Telkomsel', 'bad', 'expensive', 'signal', 'rotten', 'embarrassing', 'reliable']</v>
      </c>
      <c r="D7681" s="3">
        <v>1.0</v>
      </c>
    </row>
    <row r="7682" ht="15.75" customHeight="1">
      <c r="A7682" s="1">
        <v>8151.0</v>
      </c>
      <c r="B7682" s="3" t="s">
        <v>7350</v>
      </c>
      <c r="C7682" s="3" t="str">
        <f>IFERROR(__xludf.DUMMYFUNCTION("GOOGLETRANSLATE(B7682,""id"",""en"")"),"['Telkomsel', 'Network', 'Worst', 'Indonesia']")</f>
        <v>['Telkomsel', 'Network', 'Worst', 'Indonesia']</v>
      </c>
      <c r="D7682" s="3">
        <v>1.0</v>
      </c>
    </row>
    <row r="7683" ht="15.75" customHeight="1">
      <c r="A7683" s="1">
        <v>8152.0</v>
      </c>
      <c r="B7683" s="3" t="s">
        <v>7351</v>
      </c>
      <c r="C7683" s="3" t="str">
        <f>IFERROR(__xludf.DUMMYFUNCTION("GOOGLETRANSLATE(B7683,""id"",""en"")"),"['Claim', 'Pulse', 'Ribet', 'Email', 'Chat', 'Kelarin', 'UDH', 'Balance', 'Nga', 'Credit', 'Nga', 'Add', ' Wait ',' Ribet ',' Kya ',' Money ',' Millions', 'Just Wait', 'Unreg', 'Cio', 'Bye', 'Bye']")</f>
        <v>['Claim', 'Pulse', 'Ribet', 'Email', 'Chat', 'Kelarin', 'UDH', 'Balance', 'Nga', 'Credit', 'Nga', 'Add', ' Wait ',' Ribet ',' Kya ',' Money ',' Millions', 'Just Wait', 'Unreg', 'Cio', 'Bye', 'Bye']</v>
      </c>
      <c r="D7683" s="3">
        <v>1.0</v>
      </c>
    </row>
    <row r="7684" ht="15.75" customHeight="1">
      <c r="A7684" s="1">
        <v>8153.0</v>
      </c>
      <c r="B7684" s="3" t="s">
        <v>7352</v>
      </c>
      <c r="C7684" s="3" t="str">
        <f>IFERROR(__xludf.DUMMYFUNCTION("GOOGLETRANSLATE(B7684,""id"",""en"")"),"['Bad', 'Region', 'East']")</f>
        <v>['Bad', 'Region', 'East']</v>
      </c>
      <c r="D7684" s="3">
        <v>1.0</v>
      </c>
    </row>
    <row r="7685" ht="15.75" customHeight="1">
      <c r="A7685" s="1">
        <v>8154.0</v>
      </c>
      <c r="B7685" s="3" t="s">
        <v>7353</v>
      </c>
      <c r="C7685" s="3" t="str">
        <f>IFERROR(__xludf.DUMMYFUNCTION("GOOGLETRANSLATE(B7685,""id"",""en"")"),"['Check', 'JRANKAN', 'JATIM', 'MMPG', 'BNOY', 'PKEK', 'JRINGAN', 'Customer', 'Disappointed', 'Move', 'Provider', 'aikit', ' suggestion', '']")</f>
        <v>['Check', 'JRANKAN', 'JATIM', 'MMPG', 'BNOY', 'PKEK', 'JRINGAN', 'Customer', 'Disappointed', 'Move', 'Provider', 'aikit', ' suggestion', '']</v>
      </c>
      <c r="D7685" s="3">
        <v>1.0</v>
      </c>
    </row>
    <row r="7686" ht="15.75" customHeight="1">
      <c r="A7686" s="1">
        <v>8155.0</v>
      </c>
      <c r="B7686" s="3" t="s">
        <v>7354</v>
      </c>
      <c r="C7686" s="3" t="str">
        <f>IFERROR(__xludf.DUMMYFUNCTION("GOOGLETRANSLATE(B7686,""id"",""en"")"),"['Woy', 'Telkomsel', 'cable', 'break up', 'cave', 'play', 'pub', 'ngelag', 'mulu', 'signal', 'good', 'open', ' slow ',' really ']")</f>
        <v>['Woy', 'Telkomsel', 'cable', 'break up', 'cave', 'play', 'pub', 'ngelag', 'mulu', 'signal', 'good', 'open', ' slow ',' really ']</v>
      </c>
      <c r="D7686" s="3">
        <v>1.0</v>
      </c>
    </row>
    <row r="7687" ht="15.75" customHeight="1">
      <c r="A7687" s="1">
        <v>8156.0</v>
      </c>
      <c r="B7687" s="3" t="s">
        <v>7355</v>
      </c>
      <c r="C7687" s="3" t="str">
        <f>IFERROR(__xludf.DUMMYFUNCTION("GOOGLETRANSLATE(B7687,""id"",""en"")"),"['bapuk', 'signal', 'dri', 'dlu', 'sympathy', 'good', 'threat', 'signal']")</f>
        <v>['bapuk', 'signal', 'dri', 'dlu', 'sympathy', 'good', 'threat', 'signal']</v>
      </c>
      <c r="D7687" s="3">
        <v>1.0</v>
      </c>
    </row>
    <row r="7688" ht="15.75" customHeight="1">
      <c r="A7688" s="1">
        <v>8158.0</v>
      </c>
      <c r="B7688" s="3" t="s">
        <v>7356</v>
      </c>
      <c r="C7688" s="3" t="str">
        <f>IFERROR(__xludf.DUMMYFUNCTION("GOOGLETRANSLATE(B7688,""id"",""en"")"),"['please', 'Telkomsel', 'network', 'fix', 'user', 'card', 'Telkomsel', 'lag', 'play', 'game', 'emang', 'package', ' Telkom ',' cheap ',' search ',' money ',' easy ',' peket ',' buy ',' free ',' please ',' repair ',' network ',' maximize ',' please ' , 'Ho"&amp;"pefully', 'response']")</f>
        <v>['please', 'Telkomsel', 'network', 'fix', 'user', 'card', 'Telkomsel', 'lag', 'play', 'game', 'emang', 'package', ' Telkom ',' cheap ',' search ',' money ',' easy ',' peket ',' buy ',' free ',' please ',' repair ',' network ',' maximize ',' please ' , 'Hopefully', 'response']</v>
      </c>
      <c r="D7688" s="3">
        <v>1.0</v>
      </c>
    </row>
    <row r="7689" ht="15.75" customHeight="1">
      <c r="A7689" s="1">
        <v>8159.0</v>
      </c>
      <c r="B7689" s="3" t="s">
        <v>7357</v>
      </c>
      <c r="C7689" s="3" t="str">
        <f>IFERROR(__xludf.DUMMYFUNCTION("GOOGLETRANSLATE(B7689,""id"",""en"")"),"['signal', 'already', 'good', 'direct', 'bad', ""]")</f>
        <v>['signal', 'already', 'good', 'direct', 'bad', "]</v>
      </c>
      <c r="D7689" s="3">
        <v>5.0</v>
      </c>
    </row>
    <row r="7690" ht="15.75" customHeight="1">
      <c r="A7690" s="1">
        <v>8160.0</v>
      </c>
      <c r="B7690" s="3" t="s">
        <v>7358</v>
      </c>
      <c r="C7690" s="3" t="str">
        <f>IFERROR(__xludf.DUMMYFUNCTION("GOOGLETRANSLATE(B7690,""id"",""en"")"),"['application', 'mAh', 'network', 'bother', 'tasty', 'troublesome', 'user', 'trima', 'love']")</f>
        <v>['application', 'mAh', 'network', 'bother', 'tasty', 'troublesome', 'user', 'trima', 'love']</v>
      </c>
      <c r="D7690" s="3">
        <v>1.0</v>
      </c>
    </row>
    <row r="7691" ht="15.75" customHeight="1">
      <c r="A7691" s="1">
        <v>8161.0</v>
      </c>
      <c r="B7691" s="3" t="s">
        <v>7359</v>
      </c>
      <c r="C7691" s="3" t="str">
        <f>IFERROR(__xludf.DUMMYFUNCTION("GOOGLETRANSLATE(B7691,""id"",""en"")"),"['Application', 'Baguus', 'help']")</f>
        <v>['Application', 'Baguus', 'help']</v>
      </c>
      <c r="D7691" s="3">
        <v>5.0</v>
      </c>
    </row>
    <row r="7692" ht="15.75" customHeight="1">
      <c r="A7692" s="1">
        <v>8162.0</v>
      </c>
      <c r="B7692" s="3" t="s">
        <v>7360</v>
      </c>
      <c r="C7692" s="3" t="str">
        <f>IFERROR(__xludf.DUMMYFUNCTION("GOOGLETRANSLATE(B7692,""id"",""en"")"),"['Star', 'money', 'talk']")</f>
        <v>['Star', 'money', 'talk']</v>
      </c>
      <c r="D7692" s="3">
        <v>5.0</v>
      </c>
    </row>
    <row r="7693" ht="15.75" customHeight="1">
      <c r="A7693" s="1">
        <v>8163.0</v>
      </c>
      <c r="B7693" s="3" t="s">
        <v>7361</v>
      </c>
      <c r="C7693" s="3" t="str">
        <f>IFERROR(__xludf.DUMMYFUNCTION("GOOGLETRANSLATE(B7693,""id"",""en"")"),"['Network', 'ugly', 'card', 'expensive', 'signal', 'concerning', 'already', 'buy', 'expensive', 'quota', 'signal', 'according to' price', '']")</f>
        <v>['Network', 'ugly', 'card', 'expensive', 'signal', 'concerning', 'already', 'buy', 'expensive', 'quota', 'signal', 'according to' price', '']</v>
      </c>
      <c r="D7693" s="3">
        <v>1.0</v>
      </c>
    </row>
    <row r="7694" ht="15.75" customHeight="1">
      <c r="A7694" s="1">
        <v>8164.0</v>
      </c>
      <c r="B7694" s="3" t="s">
        <v>7362</v>
      </c>
      <c r="C7694" s="3" t="str">
        <f>IFERROR(__xludf.DUMMYFUNCTION("GOOGLETRANSLATE(B7694,""id"",""en"")"),"['Application', 'Okay', '']")</f>
        <v>['Application', 'Okay', '']</v>
      </c>
      <c r="D7694" s="3">
        <v>5.0</v>
      </c>
    </row>
    <row r="7695" ht="15.75" customHeight="1">
      <c r="A7695" s="1">
        <v>8165.0</v>
      </c>
      <c r="B7695" s="3" t="s">
        <v>7363</v>
      </c>
      <c r="C7695" s="3" t="str">
        <f>IFERROR(__xludf.DUMMYFUNCTION("GOOGLETRANSLATE(B7695,""id"",""en"")"),"['Price', 'here', 'Mending', 'Focusin', 'Sousal', 'here', 'Leet', 'Price', 'Quality', '']")</f>
        <v>['Price', 'here', 'Mending', 'Focusin', 'Sousal', 'here', 'Leet', 'Price', 'Quality', '']</v>
      </c>
      <c r="D7695" s="3">
        <v>1.0</v>
      </c>
    </row>
    <row r="7696" ht="15.75" customHeight="1">
      <c r="A7696" s="1">
        <v>8166.0</v>
      </c>
      <c r="B7696" s="3" t="s">
        <v>7364</v>
      </c>
      <c r="C7696" s="3" t="str">
        <f>IFERROR(__xludf.DUMMYFUNCTION("GOOGLETRANSLATE(B7696,""id"",""en"")"),"['', 'PERRH', 'Win', 'Lottery', 'Hepi']")</f>
        <v>['', 'PERRH', 'Win', 'Lottery', 'Hepi']</v>
      </c>
      <c r="D7696" s="3">
        <v>4.0</v>
      </c>
    </row>
    <row r="7697" ht="15.75" customHeight="1">
      <c r="A7697" s="1">
        <v>8167.0</v>
      </c>
      <c r="B7697" s="3" t="s">
        <v>7365</v>
      </c>
      <c r="C7697" s="3" t="str">
        <f>IFERROR(__xludf.DUMMYFUNCTION("GOOGLETRANSLATE(B7697,""id"",""en"")"),"['Network', 'Telkomsel', 'skg', 'andelin', 'rich', 'dlu', 'play', 'game', 'soak', 'lag', 'price', 'packetan', ' expensive ',' according to ',' quality ',' network ',' ']")</f>
        <v>['Network', 'Telkomsel', 'skg', 'andelin', 'rich', 'dlu', 'play', 'game', 'soak', 'lag', 'price', 'packetan', ' expensive ',' according to ',' quality ',' network ',' ']</v>
      </c>
      <c r="D7697" s="3">
        <v>3.0</v>
      </c>
    </row>
    <row r="7698" ht="15.75" customHeight="1">
      <c r="A7698" s="1">
        <v>8168.0</v>
      </c>
      <c r="B7698" s="3" t="s">
        <v>7366</v>
      </c>
      <c r="C7698" s="3" t="str">
        <f>IFERROR(__xludf.DUMMYFUNCTION("GOOGLETRANSLATE(B7698,""id"",""en"")"),"['Simple', 'safe', 'trusted']")</f>
        <v>['Simple', 'safe', 'trusted']</v>
      </c>
      <c r="D7698" s="3">
        <v>5.0</v>
      </c>
    </row>
    <row r="7699" ht="15.75" customHeight="1">
      <c r="A7699" s="1">
        <v>8169.0</v>
      </c>
      <c r="B7699" s="3" t="s">
        <v>7367</v>
      </c>
      <c r="C7699" s="3" t="str">
        <f>IFERROR(__xludf.DUMMYFUNCTION("GOOGLETRANSLATE(B7699,""id"",""en"")"),"['signal', 'good', 'sampe', 'split', 'play', 'game', 'trutama', 'game', 'free', 'fire', 'huh', 'face', ' founder ',' Telkom ',' wanted ',' paint ',' red ',' please ',' Telkom ',' fast ',' fast ',' closed ',' factory ', ""]")</f>
        <v>['signal', 'good', 'sampe', 'split', 'play', 'game', 'trutama', 'game', 'free', 'fire', 'huh', 'face', ' founder ',' Telkom ',' wanted ',' paint ',' red ',' please ',' Telkom ',' fast ',' fast ',' closed ',' factory ', "]</v>
      </c>
      <c r="D7699" s="3">
        <v>1.0</v>
      </c>
    </row>
    <row r="7700" ht="15.75" customHeight="1">
      <c r="A7700" s="1">
        <v>8170.0</v>
      </c>
      <c r="B7700" s="3" t="s">
        <v>7368</v>
      </c>
      <c r="C7700" s="3" t="str">
        <f>IFERROR(__xludf.DUMMYFUNCTION("GOOGLETRANSLATE(B7700,""id"",""en"")"),"['price', 'quota', 'expensive', 'network', 'buurruukkk', 'disappointed', 'Telkomsel', ""]")</f>
        <v>['price', 'quota', 'expensive', 'network', 'buurruukkk', 'disappointed', 'Telkomsel', "]</v>
      </c>
      <c r="D7700" s="3">
        <v>1.0</v>
      </c>
    </row>
    <row r="7701" ht="15.75" customHeight="1">
      <c r="A7701" s="1">
        <v>8171.0</v>
      </c>
      <c r="B7701" s="3" t="s">
        <v>7369</v>
      </c>
      <c r="C7701" s="3" t="str">
        <f>IFERROR(__xludf.DUMMYFUNCTION("GOOGLETRANSLATE(B7701,""id"",""en"")"),"['Tissue', 'Telkomsel', 'here', 'kacaw', 'users', 'Telkomsel', 'regret', 'network', 'please', 'fix', 'user', 'bngt']")</f>
        <v>['Tissue', 'Telkomsel', 'here', 'kacaw', 'users', 'Telkomsel', 'regret', 'network', 'please', 'fix', 'user', 'bngt']</v>
      </c>
      <c r="D7701" s="3">
        <v>1.0</v>
      </c>
    </row>
    <row r="7702" ht="15.75" customHeight="1">
      <c r="A7702" s="1">
        <v>8172.0</v>
      </c>
      <c r="B7702" s="3" t="s">
        <v>7370</v>
      </c>
      <c r="C7702" s="3" t="str">
        <f>IFERROR(__xludf.DUMMYFUNCTION("GOOGLETRANSLATE(B7702,""id"",""en"")"),"['Tide', 'wifi', 'home', 'use', 'family', 'neighbor', 'ngambit', 'pairs',' wifi ',' bankrupt ',' bought ',' produck ',' Telkomsel ',' produknya ',' strangling ',' rich ',' softened ',' buy ',' package ',' internet ',' expensive ',' buy ',' package ',' int"&amp;"ernet ',' colleague ' , 'colleague', 'mending', 'pairs',' wifi ',' replace ',' card ',' sympathy ',' cheap ',' bankrupt ',' deceit ',' squeeze ',' Telkomsel ',' ']")</f>
        <v>['Tide', 'wifi', 'home', 'use', 'family', 'neighbor', 'ngambit', 'pairs',' wifi ',' bankrupt ',' bought ',' produck ',' Telkomsel ',' produknya ',' strangling ',' rich ',' softened ',' buy ',' package ',' internet ',' expensive ',' buy ',' package ',' internet ',' colleague ' , 'colleague', 'mending', 'pairs',' wifi ',' replace ',' card ',' sympathy ',' cheap ',' bankrupt ',' deceit ',' squeeze ',' Telkomsel ',' ']</v>
      </c>
      <c r="D7702" s="3">
        <v>1.0</v>
      </c>
    </row>
    <row r="7703" ht="15.75" customHeight="1">
      <c r="A7703" s="1">
        <v>8173.0</v>
      </c>
      <c r="B7703" s="3" t="s">
        <v>7371</v>
      </c>
      <c r="C7703" s="3" t="str">
        <f>IFERROR(__xludf.DUMMYFUNCTION("GOOGLETRANSLATE(B7703,""id"",""en"")"),"['strange', 'apps', 'download', 'reset', 'use', 'check', 'run out', 'check', 'donload']")</f>
        <v>['strange', 'apps', 'download', 'reset', 'use', 'check', 'run out', 'check', 'donload']</v>
      </c>
      <c r="D7703" s="3">
        <v>1.0</v>
      </c>
    </row>
    <row r="7704" ht="15.75" customHeight="1">
      <c r="A7704" s="1">
        <v>8174.0</v>
      </c>
      <c r="B7704" s="3" t="s">
        <v>7372</v>
      </c>
      <c r="C7704" s="3" t="str">
        <f>IFERROR(__xludf.DUMMYFUNCTION("GOOGLETRANSLATE(B7704,""id"",""en"")"),"['little', 'little', 'update', 'update', 'little', 'little', 'developer', 'job', 'update', ""]")</f>
        <v>['little', 'little', 'update', 'update', 'little', 'little', 'developer', 'job', 'update', "]</v>
      </c>
      <c r="D7704" s="3">
        <v>5.0</v>
      </c>
    </row>
    <row r="7705" ht="15.75" customHeight="1">
      <c r="A7705" s="1">
        <v>8175.0</v>
      </c>
      <c r="B7705" s="3" t="s">
        <v>7373</v>
      </c>
      <c r="C7705" s="3" t="str">
        <f>IFERROR(__xludf.DUMMYFUNCTION("GOOGLETRANSLATE(B7705,""id"",""en"")"),"['', 'really', 'network', 'no', 'slow']")</f>
        <v>['', 'really', 'network', 'no', 'slow']</v>
      </c>
      <c r="D7705" s="3">
        <v>5.0</v>
      </c>
    </row>
    <row r="7706" ht="15.75" customHeight="1">
      <c r="A7706" s="1">
        <v>8176.0</v>
      </c>
      <c r="B7706" s="3" t="s">
        <v>7374</v>
      </c>
      <c r="C7706" s="3" t="str">
        <f>IFERROR(__xludf.DUMMYFUNCTION("GOOGLETRANSLATE(B7706,""id"",""en"")"),"['move', 'card', 'Hello', 'signal', 'sad', ""]")</f>
        <v>['move', 'card', 'Hello', 'signal', 'sad', "]</v>
      </c>
      <c r="D7706" s="3">
        <v>1.0</v>
      </c>
    </row>
    <row r="7707" ht="15.75" customHeight="1">
      <c r="A7707" s="1">
        <v>8177.0</v>
      </c>
      <c r="B7707" s="3" t="s">
        <v>7375</v>
      </c>
      <c r="C7707" s="3" t="str">
        <f>IFERROR(__xludf.DUMMYFUNCTION("GOOGLETRANSLATE(B7707,""id"",""en"")"),"['Telkomsel', 'job', 'Features', 'Uncomfortable', 'Cupu', 'Try', 'Feature', 'Gnggu']")</f>
        <v>['Telkomsel', 'job', 'Features', 'Uncomfortable', 'Cupu', 'Try', 'Feature', 'Gnggu']</v>
      </c>
      <c r="D7707" s="3">
        <v>1.0</v>
      </c>
    </row>
    <row r="7708" ht="15.75" customHeight="1">
      <c r="A7708" s="1">
        <v>8178.0</v>
      </c>
      <c r="B7708" s="3" t="s">
        <v>7376</v>
      </c>
      <c r="C7708" s="3" t="str">
        <f>IFERROR(__xludf.DUMMYFUNCTION("GOOGLETRANSLATE(B7708,""id"",""en"")"),"['application', 'junk', 'buy', 'package', 'call', 'package', 'call', 'country', 'how', 'Telkomsel', 'buy', 'provide', ' Calls', 'Minutes',' Telkomsel ',' What ',' Operators', 'Fixed', 'Telkomsel', 'Thinking', 'Money', 'then']")</f>
        <v>['application', 'junk', 'buy', 'package', 'call', 'package', 'call', 'country', 'how', 'Telkomsel', 'buy', 'provide', ' Calls', 'Minutes',' Telkomsel ',' What ',' Operators', 'Fixed', 'Telkomsel', 'Thinking', 'Money', 'then']</v>
      </c>
      <c r="D7708" s="3">
        <v>1.0</v>
      </c>
    </row>
    <row r="7709" ht="15.75" customHeight="1">
      <c r="A7709" s="1">
        <v>8179.0</v>
      </c>
      <c r="B7709" s="3" t="s">
        <v>7377</v>
      </c>
      <c r="C7709" s="3" t="str">
        <f>IFERROR(__xludf.DUMMYFUNCTION("GOOGLETRANSLATE(B7709,""id"",""en"")"),"['error', 'click', 'package', 'data', 'notification', 'package', 'uda', 'enter', 'until', 'click', 'see', 'kgk', ' Cut ',' Cut ',' Sampe ',' Enchant ',' Sampe ',' Cut ',' Buy ',' Package ',' Direct ',' Cut ',' Walo ',' Wait ',' Enter ' , 'Paketannya', 'fi"&amp;"ll in', 'pulse', 'notification', 'Cut', 'pulses',' tamarind ',' apes', 'right', 'missing', 'money', 'packetan', ' ']")</f>
        <v>['error', 'click', 'package', 'data', 'notification', 'package', 'uda', 'enter', 'until', 'click', 'see', 'kgk', ' Cut ',' Cut ',' Sampe ',' Enchant ',' Sampe ',' Cut ',' Buy ',' Package ',' Direct ',' Cut ',' Walo ',' Wait ',' Enter ' , 'Paketannya', 'fill in', 'pulse', 'notification', 'Cut', 'pulses',' tamarind ',' apes', 'right', 'missing', 'money', 'packetan', ' ']</v>
      </c>
      <c r="D7709" s="3">
        <v>5.0</v>
      </c>
    </row>
    <row r="7710" ht="15.75" customHeight="1">
      <c r="A7710" s="1">
        <v>8180.0</v>
      </c>
      <c r="B7710" s="3" t="s">
        <v>7378</v>
      </c>
      <c r="C7710" s="3" t="str">
        <f>IFERROR(__xludf.DUMMYFUNCTION("GOOGLETRANSLATE(B7710,""id"",""en"")"),"['Signal', 'Severe', 'Transaction', 'Thinking', 'Times', 'Telkomsel']")</f>
        <v>['Signal', 'Severe', 'Transaction', 'Thinking', 'Times', 'Telkomsel']</v>
      </c>
      <c r="D7710" s="3">
        <v>1.0</v>
      </c>
    </row>
    <row r="7711" ht="15.75" customHeight="1">
      <c r="A7711" s="1">
        <v>8181.0</v>
      </c>
      <c r="B7711" s="3" t="s">
        <v>7379</v>
      </c>
      <c r="C7711" s="3" t="str">
        <f>IFERROR(__xludf.DUMMYFUNCTION("GOOGLETRANSLATE(B7711,""id"",""en"")"),"['Sis', 'buy', 'package', 'pulse', 'sufficient', 'leftover', 'pulses', 'sufficient', '']")</f>
        <v>['Sis', 'buy', 'package', 'pulse', 'sufficient', 'leftover', 'pulses', 'sufficient', '']</v>
      </c>
      <c r="D7711" s="3">
        <v>2.0</v>
      </c>
    </row>
    <row r="7712" ht="15.75" customHeight="1">
      <c r="A7712" s="1">
        <v>8182.0</v>
      </c>
      <c r="B7712" s="3" t="s">
        <v>7380</v>
      </c>
      <c r="C7712" s="3" t="str">
        <f>IFERROR(__xludf.DUMMYFUNCTION("GOOGLETRANSLATE(B7712,""id"",""en"")"),"['', 'Telkomsel', 'good', 'promo', 'klu', 'quota', 'remaining', 'active', 'scorched', 'paid', 'customer', 'extend', 'active ',' buy ',' quota ',' ']")</f>
        <v>['', 'Telkomsel', 'good', 'promo', 'klu', 'quota', 'remaining', 'active', 'scorched', 'paid', 'customer', 'extend', 'active ',' buy ',' quota ',' ']</v>
      </c>
      <c r="D7712" s="3">
        <v>4.0</v>
      </c>
    </row>
    <row r="7713" ht="15.75" customHeight="1">
      <c r="A7713" s="1">
        <v>8183.0</v>
      </c>
      <c r="B7713" s="3" t="s">
        <v>7381</v>
      </c>
      <c r="C7713" s="3" t="str">
        <f>IFERROR(__xludf.DUMMYFUNCTION("GOOGLETRANSLATE(B7713,""id"",""en"")"),"['', 'Telkomsel', 'feature', 'offer', 'making it easier', 'customers',' hope ',' always', 'enhanced', 'innovation', 'always',' a step ',' advanced ',' Provider ']")</f>
        <v>['', 'Telkomsel', 'feature', 'offer', 'making it easier', 'customers',' hope ',' always', 'enhanced', 'innovation', 'always',' a step ',' advanced ',' Provider ']</v>
      </c>
      <c r="D7713" s="3">
        <v>5.0</v>
      </c>
    </row>
    <row r="7714" ht="15.75" customHeight="1">
      <c r="A7714" s="1">
        <v>8184.0</v>
      </c>
      <c r="B7714" s="3" t="s">
        <v>7382</v>
      </c>
      <c r="C7714" s="3" t="str">
        <f>IFERROR(__xludf.DUMMYFUNCTION("GOOGLETRANSLATE(B7714,""id"",""en"")"),"['Love', 'Bintang', 'Yahh', 'Girim', 'Review', 'yahh', 'APK', 'ugly', 'login', 'chat', 'cs',' help ',' Login ',' friend ',' Mending ',' Application ',' Download ',' Loss', 'Detinent', 'Quota']")</f>
        <v>['Love', 'Bintang', 'Yahh', 'Girim', 'Review', 'yahh', 'APK', 'ugly', 'login', 'chat', 'cs',' help ',' Login ',' friend ',' Mending ',' Application ',' Download ',' Loss', 'Detinent', 'Quota']</v>
      </c>
      <c r="D7714" s="3">
        <v>1.0</v>
      </c>
    </row>
    <row r="7715" ht="15.75" customHeight="1">
      <c r="A7715" s="1">
        <v>8185.0</v>
      </c>
      <c r="B7715" s="3" t="s">
        <v>7383</v>
      </c>
      <c r="C7715" s="3" t="str">
        <f>IFERROR(__xludf.DUMMYFUNCTION("GOOGLETRANSLATE(B7715,""id"",""en"")"),"['Heah', 'oath', 'Telkomsel', 'ugly', 'really', 'signal', 'right', 'night', 'plis',' fix ',' network ',' internet ',' Lost ',' fast ',' signal ',' Indosat ',' Paketan ',' Not bad ',' expensive ',' loss', ""]")</f>
        <v>['Heah', 'oath', 'Telkomsel', 'ugly', 'really', 'signal', 'right', 'night', 'plis',' fix ',' network ',' internet ',' Lost ',' fast ',' signal ',' Indosat ',' Paketan ',' Not bad ',' expensive ',' loss', "]</v>
      </c>
      <c r="D7715" s="3">
        <v>3.0</v>
      </c>
    </row>
    <row r="7716" ht="15.75" customHeight="1">
      <c r="A7716" s="1">
        <v>8186.0</v>
      </c>
      <c r="B7716" s="3" t="s">
        <v>7384</v>
      </c>
      <c r="C7716" s="3" t="str">
        <f>IFERROR(__xludf.DUMMYFUNCTION("GOOGLETRANSLATE(B7716,""id"",""en"")"),"['Telkomsel', 'area', 'lag', 'network', 'good', 'gang', 'rasmi', 'deli', 'serdang', 'emotion', 'already', 'buy', ' expensive ',' package ',' network ',' good ']")</f>
        <v>['Telkomsel', 'area', 'lag', 'network', 'good', 'gang', 'rasmi', 'deli', 'serdang', 'emotion', 'already', 'buy', ' expensive ',' package ',' network ',' good ']</v>
      </c>
      <c r="D7716" s="3">
        <v>1.0</v>
      </c>
    </row>
    <row r="7717" ht="15.75" customHeight="1">
      <c r="A7717" s="1">
        <v>8187.0</v>
      </c>
      <c r="B7717" s="3" t="s">
        <v>7385</v>
      </c>
      <c r="C7717" s="3" t="str">
        <f>IFERROR(__xludf.DUMMYFUNCTION("GOOGLETRANSLATE(B7717,""id"",""en"")"),"['Betah', 'use', 'Telkomsel', 'package', 'change', 'change', 'notification', 'limit', 'minimal', 'package', 'change', 'extend', ' Please, 'Conkkwen', '']")</f>
        <v>['Betah', 'use', 'Telkomsel', 'package', 'change', 'change', 'notification', 'limit', 'minimal', 'package', 'change', 'extend', ' Please, 'Conkkwen', '']</v>
      </c>
      <c r="D7717" s="3">
        <v>1.0</v>
      </c>
    </row>
    <row r="7718" ht="15.75" customHeight="1">
      <c r="A7718" s="1">
        <v>8188.0</v>
      </c>
      <c r="B7718" s="3" t="s">
        <v>7386</v>
      </c>
      <c r="C7718" s="3" t="str">
        <f>IFERROR(__xludf.DUMMYFUNCTION("GOOGLETRANSLATE(B7718,""id"",""en"")"),"['sucked', 'pulse', 'package', 'quota', 'run out', 'forget', 'die', 'data', 'suck', 'pulse', 'main', 'stopped', ' connection ',' internet ',' quota ',' run out ',' given ',' notification ',' approval ',' use ',' pulse ',' quota ',' run out ',' approved ',"&amp;"' decide ' , 'connection', 'internet', 'connected', 'pulse', 'sumps',' really ',' a minute ',' rb ',' lost ',' just ',' facebookan ',' doank ',' ']")</f>
        <v>['sucked', 'pulse', 'package', 'quota', 'run out', 'forget', 'die', 'data', 'suck', 'pulse', 'main', 'stopped', ' connection ',' internet ',' quota ',' run out ',' given ',' notification ',' approval ',' use ',' pulse ',' quota ',' run out ',' approved ',' decide ' , 'connection', 'internet', 'connected', 'pulse', 'sumps',' really ',' a minute ',' rb ',' lost ',' just ',' facebookan ',' doank ',' ']</v>
      </c>
      <c r="D7718" s="3">
        <v>4.0</v>
      </c>
    </row>
    <row r="7719" ht="15.75" customHeight="1">
      <c r="A7719" s="1">
        <v>8189.0</v>
      </c>
      <c r="B7719" s="3" t="s">
        <v>7387</v>
      </c>
      <c r="C7719" s="3" t="str">
        <f>IFERROR(__xludf.DUMMYFUNCTION("GOOGLETRANSLATE(B7719,""id"",""en"")"),"['please', 'Telkomsel', 'quota', 'study', 'Mending', 'Change', 'quota', 'skrg', 'sudh', 'ptm', 'learn', 'everyunia', ' reduced ',' please ',' quota ',' study ',' bsa ',' access', 'link', 'link', 'absent', 'activity', 'learn', 'teach', 'hope' , 'responded'"&amp;", 'Telkomsel', 'and also', 'forward', 'Telkomsel']")</f>
        <v>['please', 'Telkomsel', 'quota', 'study', 'Mending', 'Change', 'quota', 'skrg', 'sudh', 'ptm', 'learn', 'everyunia', ' reduced ',' please ',' quota ',' study ',' bsa ',' access', 'link', 'link', 'absent', 'activity', 'learn', 'teach', 'hope' , 'responded', 'Telkomsel', 'and also', 'forward', 'Telkomsel']</v>
      </c>
      <c r="D7719" s="3">
        <v>3.0</v>
      </c>
    </row>
    <row r="7720" ht="15.75" customHeight="1">
      <c r="A7720" s="1">
        <v>8190.0</v>
      </c>
      <c r="B7720" s="3" t="s">
        <v>7388</v>
      </c>
      <c r="C7720" s="3" t="str">
        <f>IFERROR(__xludf.DUMMYFUNCTION("GOOGLETRANSLATE(B7720,""id"",""en"")"),"['setting', 'key', 'data', 'telephone', 'sms',' service ',' contents', 'reset', 'pulse', 'deadly', 'data', 'data', ' Credit ',' Safe ',' Lost ',' Settings', 'Thanks']")</f>
        <v>['setting', 'key', 'data', 'telephone', 'sms',' service ',' contents', 'reset', 'pulse', 'deadly', 'data', 'data', ' Credit ',' Safe ',' Lost ',' Settings', 'Thanks']</v>
      </c>
      <c r="D7720" s="3">
        <v>4.0</v>
      </c>
    </row>
    <row r="7721" ht="15.75" customHeight="1">
      <c r="A7721" s="1">
        <v>8191.0</v>
      </c>
      <c r="B7721" s="3" t="s">
        <v>7389</v>
      </c>
      <c r="C7721" s="3" t="str">
        <f>IFERROR(__xludf.DUMMYFUNCTION("GOOGLETRANSLATE(B7721,""id"",""en"")"),"['Credit', 'sucked']")</f>
        <v>['Credit', 'sucked']</v>
      </c>
      <c r="D7721" s="3">
        <v>2.0</v>
      </c>
    </row>
    <row r="7722" ht="15.75" customHeight="1">
      <c r="A7722" s="1">
        <v>8192.0</v>
      </c>
      <c r="B7722" s="3" t="s">
        <v>7390</v>
      </c>
      <c r="C7722" s="3" t="str">
        <f>IFERROR(__xludf.DUMMYFUNCTION("GOOGLETRANSLATE(B7722,""id"",""en"")"),"['Package', 'collapsed', 'little', 'Telkomsel', '']")</f>
        <v>['Package', 'collapsed', 'little', 'Telkomsel', '']</v>
      </c>
      <c r="D7722" s="3">
        <v>3.0</v>
      </c>
    </row>
    <row r="7723" ht="15.75" customHeight="1">
      <c r="A7723" s="1">
        <v>8193.0</v>
      </c>
      <c r="B7723" s="3" t="s">
        <v>7391</v>
      </c>
      <c r="C7723" s="3" t="str">
        <f>IFERROR(__xludf.DUMMYFUNCTION("GOOGLETRANSLATE(B7723,""id"",""en"")"),"['Package', 'expensive', 'TPI', 'Sinyal', 'Bad', 'Try', 'Manager', 'Telkomsel', 'Live', 'Region', 'Telkomsel', 'work', ' Haru ',' internet ',' please ',' fix ',' signal ',' payroll ',' service ',' signal ',' worth ',' price ',' quota ']")</f>
        <v>['Package', 'expensive', 'TPI', 'Sinyal', 'Bad', 'Try', 'Manager', 'Telkomsel', 'Live', 'Region', 'Telkomsel', 'work', ' Haru ',' internet ',' please ',' fix ',' signal ',' payroll ',' service ',' signal ',' worth ',' price ',' quota ']</v>
      </c>
      <c r="D7723" s="3">
        <v>2.0</v>
      </c>
    </row>
    <row r="7724" ht="15.75" customHeight="1">
      <c r="A7724" s="1">
        <v>8194.0</v>
      </c>
      <c r="B7724" s="3" t="s">
        <v>7392</v>
      </c>
      <c r="C7724" s="3" t="str">
        <f>IFERROR(__xludf.DUMMYFUNCTION("GOOGLETRANSLATE(B7724,""id"",""en"")"),"['Good', 'like', 'Increase', '']")</f>
        <v>['Good', 'like', 'Increase', '']</v>
      </c>
      <c r="D7724" s="3">
        <v>5.0</v>
      </c>
    </row>
    <row r="7725" ht="15.75" customHeight="1">
      <c r="A7725" s="1">
        <v>8195.0</v>
      </c>
      <c r="B7725" s="3" t="s">
        <v>7393</v>
      </c>
      <c r="C7725" s="3" t="str">
        <f>IFERROR(__xludf.DUMMYFUNCTION("GOOGLETRANSLATE(B7725,""id"",""en"")"),"['Please', 'Telkomsel', 'pulse', 'run out', 'so', 'kouta', 'please', 'enlightenment']")</f>
        <v>['Please', 'Telkomsel', 'pulse', 'run out', 'so', 'kouta', 'please', 'enlightenment']</v>
      </c>
      <c r="D7725" s="3">
        <v>3.0</v>
      </c>
    </row>
    <row r="7726" ht="15.75" customHeight="1">
      <c r="A7726" s="1">
        <v>8196.0</v>
      </c>
      <c r="B7726" s="3" t="s">
        <v>2222</v>
      </c>
      <c r="C7726" s="3" t="str">
        <f>IFERROR(__xludf.DUMMYFUNCTION("GOOGLETRANSLATE(B7726,""id"",""en"")"),"['Satisfied', 'Telkomsel']")</f>
        <v>['Satisfied', 'Telkomsel']</v>
      </c>
      <c r="D7726" s="3">
        <v>5.0</v>
      </c>
    </row>
    <row r="7727" ht="15.75" customHeight="1">
      <c r="A7727" s="1">
        <v>8197.0</v>
      </c>
      <c r="B7727" s="3" t="s">
        <v>7394</v>
      </c>
      <c r="C7727" s="3" t="str">
        <f>IFERROR(__xludf.DUMMYFUNCTION("GOOGLETRANSLATE(B7727,""id"",""en"")"),"['network', 'internet', 'sanget', 'slow', 'buy', 'quota', 'price', 'expensive', 'satisfaction', 'slow', 'sakarang']")</f>
        <v>['network', 'internet', 'sanget', 'slow', 'buy', 'quota', 'price', 'expensive', 'satisfaction', 'slow', 'sakarang']</v>
      </c>
      <c r="D7727" s="3">
        <v>1.0</v>
      </c>
    </row>
    <row r="7728" ht="15.75" customHeight="1">
      <c r="A7728" s="1">
        <v>8198.0</v>
      </c>
      <c r="B7728" s="3" t="s">
        <v>7395</v>
      </c>
      <c r="C7728" s="3" t="str">
        <f>IFERROR(__xludf.DUMMYFUNCTION("GOOGLETRANSLATE(B7728,""id"",""en"")"),"['price', 'package', 'expensive', 'compared to', 'provider', 'package', 'game', 'GB', 'play', 'game', 'alternating', 'coakes',' Mlah ',' quota ',' regular ',' original ',' quota ',' games', 'kyed', 'high school', 'complain', 'answered', 'processed', 'proc"&amp;"ess',' taik ' , '']")</f>
        <v>['price', 'package', 'expensive', 'compared to', 'provider', 'package', 'game', 'GB', 'play', 'game', 'alternating', 'coakes',' Mlah ',' quota ',' regular ',' original ',' quota ',' games', 'kyed', 'high school', 'complain', 'answered', 'processed', 'process',' taik ' , '']</v>
      </c>
      <c r="D7728" s="3">
        <v>1.0</v>
      </c>
    </row>
    <row r="7729" ht="15.75" customHeight="1">
      <c r="A7729" s="1">
        <v>8199.0</v>
      </c>
      <c r="B7729" s="3" t="s">
        <v>7396</v>
      </c>
      <c r="C7729" s="3" t="str">
        <f>IFERROR(__xludf.DUMMYFUNCTION("GOOGLETRANSLATE(B7729,""id"",""en"")"),"['Help', 'signal', 'Telkomsel', 'friend', 'good', 'signal', 'qualified', 'hit', 'report', 'Telkomsel', ""]")</f>
        <v>['Help', 'signal', 'Telkomsel', 'friend', 'good', 'signal', 'qualified', 'hit', 'report', 'Telkomsel', "]</v>
      </c>
      <c r="D7729" s="3">
        <v>2.0</v>
      </c>
    </row>
    <row r="7730" ht="15.75" customHeight="1">
      <c r="A7730" s="1">
        <v>8200.0</v>
      </c>
      <c r="B7730" s="3" t="s">
        <v>7397</v>
      </c>
      <c r="C7730" s="3" t="str">
        <f>IFERROR(__xludf.DUMMYFUNCTION("GOOGLETRANSLATE(B7730,""id"",""en"")"),"['Please', 'min', 'love', 'Telkomsel', 'please', 'fix', 'signal', 'border', 'Gorontalo', 'Central Sulawesi', 'buy', 'packetan', ' expensive ',' signal ',' ugly ',' bngt ',' severe ',' deh ',' ']")</f>
        <v>['Please', 'min', 'love', 'Telkomsel', 'please', 'fix', 'signal', 'border', 'Gorontalo', 'Central Sulawesi', 'buy', 'packetan', ' expensive ',' signal ',' ugly ',' bngt ',' severe ',' deh ',' ']</v>
      </c>
      <c r="D7730" s="3">
        <v>1.0</v>
      </c>
    </row>
    <row r="7731" ht="15.75" customHeight="1">
      <c r="A7731" s="1">
        <v>8201.0</v>
      </c>
      <c r="B7731" s="3" t="s">
        <v>7398</v>
      </c>
      <c r="C7731" s="3" t="str">
        <f>IFERROR(__xludf.DUMMYFUNCTION("GOOGLETRANSLATE(B7731,""id"",""en"")"),"['Omgt', 'confirm', 'reply', 'times', '']")</f>
        <v>['Omgt', 'confirm', 'reply', 'times', '']</v>
      </c>
      <c r="D7731" s="3">
        <v>5.0</v>
      </c>
    </row>
    <row r="7732" ht="15.75" customHeight="1">
      <c r="A7732" s="1">
        <v>8202.0</v>
      </c>
      <c r="B7732" s="3" t="s">
        <v>7399</v>
      </c>
      <c r="C7732" s="3" t="str">
        <f>IFERROR(__xludf.DUMMYFUNCTION("GOOGLETRANSLATE(B7732,""id"",""en"")"),"['Signal', 'Telkomsel', 'Ancur', 'Ancuran', 'Region', 'City', 'Signal', 'Stable', 'Nelfon', 'Difficult', 'Gunain', 'Aksea', ' Internet ',' Telkomsel ',' Severe ',' Network ']")</f>
        <v>['Signal', 'Telkomsel', 'Ancur', 'Ancuran', 'Region', 'City', 'Signal', 'Stable', 'Nelfon', 'Difficult', 'Gunain', 'Aksea', ' Internet ',' Telkomsel ',' Severe ',' Network ']</v>
      </c>
      <c r="D7732" s="3">
        <v>1.0</v>
      </c>
    </row>
    <row r="7733" ht="15.75" customHeight="1">
      <c r="A7733" s="1">
        <v>8203.0</v>
      </c>
      <c r="B7733" s="3" t="s">
        <v>7400</v>
      </c>
      <c r="C7733" s="3" t="str">
        <f>IFERROR(__xludf.DUMMYFUNCTION("GOOGLETRANSLATE(B7733,""id"",""en"")"),"['application', 'complete', 'information', 'related', 'Telkomsel', 'help', 'customers', 'Telkomsel', 'good', 'thank you', ""]")</f>
        <v>['application', 'complete', 'information', 'related', 'Telkomsel', 'help', 'customers', 'Telkomsel', 'good', 'thank you', "]</v>
      </c>
      <c r="D7733" s="3">
        <v>5.0</v>
      </c>
    </row>
    <row r="7734" ht="15.75" customHeight="1">
      <c r="A7734" s="1">
        <v>8204.0</v>
      </c>
      <c r="B7734" s="3" t="s">
        <v>7401</v>
      </c>
      <c r="C7734" s="3" t="str">
        <f>IFERROR(__xludf.DUMMYFUNCTION("GOOGLETRANSLATE(B7734,""id"",""en"")"),"['best', 'application']")</f>
        <v>['best', 'application']</v>
      </c>
      <c r="D7734" s="3">
        <v>5.0</v>
      </c>
    </row>
    <row r="7735" ht="15.75" customHeight="1">
      <c r="A7735" s="1">
        <v>8205.0</v>
      </c>
      <c r="B7735" s="3" t="s">
        <v>7402</v>
      </c>
      <c r="C7735" s="3" t="str">
        <f>IFERROR(__xludf.DUMMYFUNCTION("GOOGLETRANSLATE(B7735,""id"",""en"")"),"['easy', 'hopefully', 'help', 'network', 'this is', 'Telkomsel', 'bad', ""]")</f>
        <v>['easy', 'hopefully', 'help', 'network', 'this is', 'Telkomsel', 'bad', "]</v>
      </c>
      <c r="D7735" s="3">
        <v>1.0</v>
      </c>
    </row>
    <row r="7736" ht="15.75" customHeight="1">
      <c r="A7736" s="1">
        <v>8206.0</v>
      </c>
      <c r="B7736" s="3" t="s">
        <v>7403</v>
      </c>
      <c r="C7736" s="3" t="str">
        <f>IFERROR(__xludf.DUMMYFUNCTION("GOOGLETRANSLATE(B7736,""id"",""en"")"),"['Card', 'Hello', 'Pay', 'Quotes', 'Pay', 'Pay', 'Tel', '']")</f>
        <v>['Card', 'Hello', 'Pay', 'Quotes', 'Pay', 'Pay', 'Tel', '']</v>
      </c>
      <c r="D7736" s="3">
        <v>4.0</v>
      </c>
    </row>
    <row r="7737" ht="15.75" customHeight="1">
      <c r="A7737" s="1">
        <v>8207.0</v>
      </c>
      <c r="B7737" s="3" t="s">
        <v>7404</v>
      </c>
      <c r="C7737" s="3" t="str">
        <f>IFERROR(__xludf.DUMMYFUNCTION("GOOGLETRANSLATE(B7737,""id"",""en"")"),"['signal', 'repaired', 'bad', 'stable', 'Selawain', 'shop', 'Telkomsel', 'world', 'rural', 'building', 'strong', 'signal', ' Fight ',' Telkomsel ']")</f>
        <v>['signal', 'repaired', 'bad', 'stable', 'Selawain', 'shop', 'Telkomsel', 'world', 'rural', 'building', 'strong', 'signal', ' Fight ',' Telkomsel ']</v>
      </c>
      <c r="D7737" s="3">
        <v>5.0</v>
      </c>
    </row>
    <row r="7738" ht="15.75" customHeight="1">
      <c r="A7738" s="1">
        <v>8208.0</v>
      </c>
      <c r="B7738" s="3" t="s">
        <v>7405</v>
      </c>
      <c r="C7738" s="3" t="str">
        <f>IFERROR(__xludf.DUMMYFUNCTION("GOOGLETRANSLATE(B7738,""id"",""en"")"),"['Telkomsel', 'upgrade', 'payment', 'via', 'Gopay', 'already', 'pulse', 'already', 'shopee', 'pay', 'pay attention', 'save', ' Credit ',' habit ',' quota ',' abis', 'pulses',' directly ',' Ludes', 'please', 'Admunya', 'Read', 'comment']")</f>
        <v>['Telkomsel', 'upgrade', 'payment', 'via', 'Gopay', 'already', 'pulse', 'already', 'shopee', 'pay', 'pay attention', 'save', ' Credit ',' habit ',' quota ',' abis', 'pulses',' directly ',' Ludes', 'please', 'Admunya', 'Read', 'comment']</v>
      </c>
      <c r="D7738" s="3">
        <v>2.0</v>
      </c>
    </row>
    <row r="7739" ht="15.75" customHeight="1">
      <c r="A7739" s="1">
        <v>8209.0</v>
      </c>
      <c r="B7739" s="3" t="s">
        <v>7406</v>
      </c>
      <c r="C7739" s="3" t="str">
        <f>IFERROR(__xludf.DUMMYFUNCTION("GOOGLETRANSLATE(B7739,""id"",""en"")"),"['signal', 'ugly', 'yrs',' Telkomsel ',' good ',' add ',' threat ',' signal ',' good ',' sinynya ',' expensive ',' doang ',' signal ',' BURIK ']")</f>
        <v>['signal', 'ugly', 'yrs',' Telkomsel ',' good ',' add ',' threat ',' signal ',' good ',' sinynya ',' expensive ',' doang ',' signal ',' BURIK ']</v>
      </c>
      <c r="D7739" s="3">
        <v>1.0</v>
      </c>
    </row>
    <row r="7740" ht="15.75" customHeight="1">
      <c r="A7740" s="1">
        <v>8211.0</v>
      </c>
      <c r="B7740" s="3" t="s">
        <v>7407</v>
      </c>
      <c r="C7740" s="3" t="str">
        <f>IFERROR(__xludf.DUMMYFUNCTION("GOOGLETRANSLATE(B7740,""id"",""en"")"),"['hope', 'number', 'sms',' fraud ',' sms', 'is',' disturbing ',' customer ',' blocking ',' Telkomsel ',' disturbing ',' convenience ',' ']")</f>
        <v>['hope', 'number', 'sms',' fraud ',' sms', 'is',' disturbing ',' customer ',' blocking ',' Telkomsel ',' disturbing ',' convenience ',' ']</v>
      </c>
      <c r="D7740" s="3">
        <v>5.0</v>
      </c>
    </row>
    <row r="7741" ht="15.75" customHeight="1">
      <c r="A7741" s="1">
        <v>8212.0</v>
      </c>
      <c r="B7741" s="3" t="s">
        <v>7408</v>
      </c>
      <c r="C7741" s="3" t="str">
        <f>IFERROR(__xludf.DUMMYFUNCTION("GOOGLETRANSLATE(B7741,""id"",""en"")"),"['Service', 'Increase', 'bee', 'friendly', 'caring', 'economical', 'customer', 'reduce', 'Quality', 'quantytas']")</f>
        <v>['Service', 'Increase', 'bee', 'friendly', 'caring', 'economical', 'customer', 'reduce', 'Quality', 'quantytas']</v>
      </c>
      <c r="D7741" s="3">
        <v>5.0</v>
      </c>
    </row>
    <row r="7742" ht="15.75" customHeight="1">
      <c r="A7742" s="1">
        <v>8213.0</v>
      </c>
      <c r="B7742" s="3" t="s">
        <v>7409</v>
      </c>
      <c r="C7742" s="3" t="str">
        <f>IFERROR(__xludf.DUMMYFUNCTION("GOOGLETRANSLATE(B7742,""id"",""en"")"),"['Telkomsh', 'Brasa', 'ngajakin', 'talking', 'rude', 'network', 'udeh', 'package', 'expensive', 'here', 'quality', 'internet', ' "", 'ugly', 'update', 'application', 'MyTelkomsel', 'network', 'internet', 'hahaha', 'shame', 'Telkomsel',""]")</f>
        <v>['Telkomsh', 'Brasa', 'ngajakin', 'talking', 'rude', 'network', 'udeh', 'package', 'expensive', 'here', 'quality', 'internet', ' ", 'ugly', 'update', 'application', 'MyTelkomsel', 'network', 'internet', 'hahaha', 'shame', 'Telkomsel',"]</v>
      </c>
      <c r="D7742" s="3">
        <v>1.0</v>
      </c>
    </row>
    <row r="7743" ht="15.75" customHeight="1">
      <c r="A7743" s="1">
        <v>8214.0</v>
      </c>
      <c r="B7743" s="3" t="s">
        <v>7410</v>
      </c>
      <c r="C7743" s="3" t="str">
        <f>IFERROR(__xludf.DUMMYFUNCTION("GOOGLETRANSLATE(B7743,""id"",""en"")"),"['finished', 'contact', 'repair', 'host', 'transmitter', 'signal', 'area', 'affected', 'really', 'disappointing', 'service', 'Telkomsel']")</f>
        <v>['finished', 'contact', 'repair', 'host', 'transmitter', 'signal', 'area', 'affected', 'really', 'disappointing', 'service', 'Telkomsel']</v>
      </c>
      <c r="D7743" s="3">
        <v>1.0</v>
      </c>
    </row>
    <row r="7744" ht="15.75" customHeight="1">
      <c r="A7744" s="1">
        <v>8215.0</v>
      </c>
      <c r="B7744" s="3" t="s">
        <v>7411</v>
      </c>
      <c r="C7744" s="3" t="str">
        <f>IFERROR(__xludf.DUMMYFUNCTION("GOOGLETRANSLATE(B7744,""id"",""en"")"),"['buy', 'kouta', 'giga', 'max', 'silver', 'payment', 'code', 'redeem', 'enter', '']")</f>
        <v>['buy', 'kouta', 'giga', 'max', 'silver', 'payment', 'code', 'redeem', 'enter', '']</v>
      </c>
      <c r="D7744" s="3">
        <v>1.0</v>
      </c>
    </row>
    <row r="7745" ht="15.75" customHeight="1">
      <c r="A7745" s="1">
        <v>8216.0</v>
      </c>
      <c r="B7745" s="3" t="s">
        <v>7412</v>
      </c>
      <c r="C7745" s="3" t="str">
        <f>IFERROR(__xludf.DUMMYFUNCTION("GOOGLETRANSLATE(B7745,""id"",""en"")"),"['Tissue', 'Telkomsel', 'UDH', 'Damaged', 'open', 'application', 'loaded', 'low', 'quota', 'reduce']")</f>
        <v>['Tissue', 'Telkomsel', 'UDH', 'Damaged', 'open', 'application', 'loaded', 'low', 'quota', 'reduce']</v>
      </c>
      <c r="D7745" s="3">
        <v>1.0</v>
      </c>
    </row>
    <row r="7746" ht="15.75" customHeight="1">
      <c r="A7746" s="1">
        <v>8217.0</v>
      </c>
      <c r="B7746" s="3" t="s">
        <v>7413</v>
      </c>
      <c r="C7746" s="3" t="str">
        <f>IFERROR(__xludf.DUMMYFUNCTION("GOOGLETRANSLATE(B7746,""id"",""en"")"),"['Accelerates', 'Network', 'Game', 'Delicious']")</f>
        <v>['Accelerates', 'Network', 'Game', 'Delicious']</v>
      </c>
      <c r="D7746" s="3">
        <v>5.0</v>
      </c>
    </row>
    <row r="7747" ht="15.75" customHeight="1">
      <c r="A7747" s="1">
        <v>8218.0</v>
      </c>
      <c r="B7747" s="3" t="s">
        <v>7414</v>
      </c>
      <c r="C7747" s="3" t="str">
        <f>IFERROR(__xludf.DUMMYFUNCTION("GOOGLETRANSLATE(B7747,""id"",""en"")"),"['convenience', 'in', 'service', 'application', 'charging', 'plz', ""]")</f>
        <v>['convenience', 'in', 'service', 'application', 'charging', 'plz', "]</v>
      </c>
      <c r="D7747" s="3">
        <v>5.0</v>
      </c>
    </row>
    <row r="7748" ht="15.75" customHeight="1">
      <c r="A7748" s="1">
        <v>8219.0</v>
      </c>
      <c r="B7748" s="3" t="s">
        <v>7415</v>
      </c>
      <c r="C7748" s="3" t="str">
        <f>IFERROR(__xludf.DUMMYFUNCTION("GOOGLETRANSLATE(B7748,""id"",""en"")"),"['network', 'Telkomsel', 'bad', 'signal', 'lost', 'ugly', 'quota', 'expensive', 'network', 'ugly']")</f>
        <v>['network', 'Telkomsel', 'bad', 'signal', 'lost', 'ugly', 'quota', 'expensive', 'network', 'ugly']</v>
      </c>
      <c r="D7748" s="3">
        <v>1.0</v>
      </c>
    </row>
    <row r="7749" ht="15.75" customHeight="1">
      <c r="A7749" s="1">
        <v>8220.0</v>
      </c>
      <c r="B7749" s="3" t="s">
        <v>7416</v>
      </c>
      <c r="C7749" s="3" t="str">
        <f>IFERROR(__xludf.DUMMYFUNCTION("GOOGLETRANSLATE(B7749,""id"",""en"")"),"['', 'APK', 'difficult', 'open', 'APK', 'please', 'repaired', 'service', '']")</f>
        <v>['', 'APK', 'difficult', 'open', 'APK', 'please', 'repaired', 'service', '']</v>
      </c>
      <c r="D7749" s="3">
        <v>2.0</v>
      </c>
    </row>
    <row r="7750" ht="15.75" customHeight="1">
      <c r="A7750" s="1">
        <v>8221.0</v>
      </c>
      <c r="B7750" s="3" t="s">
        <v>7417</v>
      </c>
      <c r="C7750" s="3" t="str">
        <f>IFERROR(__xludf.DUMMYFUNCTION("GOOGLETRANSLATE(B7750,""id"",""en"")"),"['Kasi', 'star', 'Taik', 'Telkomsel', 'slow', 'users',' Telkomsel ',' knpa ',' skrg ',' ksini ',' threat ',' network ',' pigs', 'bankrupt', 'closed', 'style', 'xan', 'udh', 'expensive', 'buy', 'package', 'week', 'network', 'cam', 'pepek' , 'Pulak', '']")</f>
        <v>['Kasi', 'star', 'Taik', 'Telkomsel', 'slow', 'users',' Telkomsel ',' knpa ',' skrg ',' ksini ',' threat ',' network ',' pigs', 'bankrupt', 'closed', 'style', 'xan', 'udh', 'expensive', 'buy', 'package', 'week', 'network', 'cam', 'pepek' , 'Pulak', '']</v>
      </c>
      <c r="D7750" s="3">
        <v>1.0</v>
      </c>
    </row>
    <row r="7751" ht="15.75" customHeight="1">
      <c r="A7751" s="1">
        <v>8222.0</v>
      </c>
      <c r="B7751" s="3" t="s">
        <v>7418</v>
      </c>
      <c r="C7751" s="3" t="str">
        <f>IFERROR(__xludf.DUMMYFUNCTION("GOOGLETRANSLATE(B7751,""id"",""en"")"),"['What', 'Telkomsel', 'UDH', 'Times',' Provider ',' Yesterday ',' Nephew ',' Use ',' Package ',' Phone ',' Limit ',' Use ',' pulses', 'sucked', 'run out', 'warning', 'warning', 'late', 'really', '']")</f>
        <v>['What', 'Telkomsel', 'UDH', 'Times',' Provider ',' Yesterday ',' Nephew ',' Use ',' Package ',' Phone ',' Limit ',' Use ',' pulses', 'sucked', 'run out', 'warning', 'warning', 'late', 'really', '']</v>
      </c>
      <c r="D7751" s="3">
        <v>1.0</v>
      </c>
    </row>
    <row r="7752" ht="15.75" customHeight="1">
      <c r="A7752" s="1">
        <v>8223.0</v>
      </c>
      <c r="B7752" s="3" t="s">
        <v>7419</v>
      </c>
      <c r="C7752" s="3" t="str">
        <f>IFERROR(__xludf.DUMMYFUNCTION("GOOGLETRANSLATE(B7752,""id"",""en"")"),"['Telkomsel', 'Network', 'Internet', 'Worst', 'Region', 'Makassar', 'Package', 'Expensive', 'Season', 'Very', 'This ""]")</f>
        <v>['Telkomsel', 'Network', 'Internet', 'Worst', 'Region', 'Makassar', 'Package', 'Expensive', 'Season', 'Very', 'This "]</v>
      </c>
      <c r="D7752" s="3">
        <v>1.0</v>
      </c>
    </row>
    <row r="7753" ht="15.75" customHeight="1">
      <c r="A7753" s="1">
        <v>8224.0</v>
      </c>
      <c r="B7753" s="3" t="s">
        <v>7420</v>
      </c>
      <c r="C7753" s="3" t="str">
        <f>IFERROR(__xludf.DUMMYFUNCTION("GOOGLETRANSLATE(B7753,""id"",""en"")"),"['', 'signal', 'sympathy', 'partner', 'ilang', 'number', 'open', 'application', 'partner', 'muter', 'do', 'buy', 'already ', 'move location', '']")</f>
        <v>['', 'signal', 'sympathy', 'partner', 'ilang', 'number', 'open', 'application', 'partner', 'muter', 'do', 'buy', 'already ', 'move location', '']</v>
      </c>
      <c r="D7753" s="3">
        <v>4.0</v>
      </c>
    </row>
    <row r="7754" ht="15.75" customHeight="1">
      <c r="A7754" s="1">
        <v>8225.0</v>
      </c>
      <c r="B7754" s="3" t="s">
        <v>7421</v>
      </c>
      <c r="C7754" s="3" t="str">
        <f>IFERROR(__xludf.DUMMYFUNCTION("GOOGLETRANSLATE(B7754,""id"",""en"")"),"['SMS', 'use', 'pulse', 'truncated', 'usage', 'internet', 'non', 'package', 'check', 'pulse', 'truncated', 'use', ' WiFi ',' network ',' data ',' active ',' use ',' number ',' Telkomsel ',' ']")</f>
        <v>['SMS', 'use', 'pulse', 'truncated', 'usage', 'internet', 'non', 'package', 'check', 'pulse', 'truncated', 'use', ' WiFi ',' network ',' data ',' active ',' use ',' number ',' Telkomsel ',' ']</v>
      </c>
      <c r="D7754" s="3">
        <v>1.0</v>
      </c>
    </row>
    <row r="7755" ht="15.75" customHeight="1">
      <c r="A7755" s="1">
        <v>8226.0</v>
      </c>
      <c r="B7755" s="3" t="s">
        <v>7422</v>
      </c>
      <c r="C7755" s="3" t="str">
        <f>IFERROR(__xludf.DUMMYFUNCTION("GOOGLETRANSLATE(B7755,""id"",""en"")"),"['sick', 'heart', 'ngeleg', 'then', 'play', 'games',' kayak ',' signal ',' lucky ',' gedek ',' TPI ',' TPI ',' Heart ',' user ',' please ',' repaired ',' signal ', ""]")</f>
        <v>['sick', 'heart', 'ngeleg', 'then', 'play', 'games',' kayak ',' signal ',' lucky ',' gedek ',' TPI ',' TPI ',' Heart ',' user ',' please ',' repaired ',' signal ', "]</v>
      </c>
      <c r="D7755" s="3">
        <v>1.0</v>
      </c>
    </row>
    <row r="7756" ht="15.75" customHeight="1">
      <c r="A7756" s="1">
        <v>8227.0</v>
      </c>
      <c r="B7756" s="3" t="s">
        <v>7423</v>
      </c>
      <c r="C7756" s="3" t="str">
        <f>IFERROR(__xludf.DUMMYFUNCTION("GOOGLETRANSLATE(B7756,""id"",""en"")"),"['Telkom', 'Package', 'GB', 'Pay', 'Coin', 'Credit', 'Search', 'Money', 'Try', 'Scam', 'Rich', 'Gini', ' disappointed ',' buy ',' package ',' emergency ',' billed ',' ampe ',' pulse ',' ilang ',' mending ',' replace ',' card ',' at home ',' Telkomsel ' , "&amp;"'signal', 'tetep', 'change', 'fed up', 'Telkomsel']")</f>
        <v>['Telkom', 'Package', 'GB', 'Pay', 'Coin', 'Credit', 'Search', 'Money', 'Try', 'Scam', 'Rich', 'Gini', ' disappointed ',' buy ',' package ',' emergency ',' billed ',' ampe ',' pulse ',' ilang ',' mending ',' replace ',' card ',' at home ',' Telkomsel ' , 'signal', 'tetep', 'change', 'fed up', 'Telkomsel']</v>
      </c>
      <c r="D7756" s="3">
        <v>1.0</v>
      </c>
    </row>
    <row r="7757" ht="15.75" customHeight="1">
      <c r="A7757" s="1">
        <v>8228.0</v>
      </c>
      <c r="B7757" s="3" t="s">
        <v>7424</v>
      </c>
      <c r="C7757" s="3" t="str">
        <f>IFERROR(__xludf.DUMMYFUNCTION("GOOGLETRANSLATE(B7757,""id"",""en"")"),"['Shoken', 'points']")</f>
        <v>['Shoken', 'points']</v>
      </c>
      <c r="D7757" s="3">
        <v>2.0</v>
      </c>
    </row>
    <row r="7758" ht="15.75" customHeight="1">
      <c r="A7758" s="1">
        <v>8229.0</v>
      </c>
      <c r="B7758" s="3" t="s">
        <v>7425</v>
      </c>
      <c r="C7758" s="3" t="str">
        <f>IFERROR(__xludf.DUMMYFUNCTION("GOOGLETRANSLATE(B7758,""id"",""en"")"),"['Addin', 'Min', 'Top', 'Game', 'ATW', 'NGGA', 'Points', 'Tuker', 'Vocer', 'Game']")</f>
        <v>['Addin', 'Min', 'Top', 'Game', 'ATW', 'NGGA', 'Points', 'Tuker', 'Vocer', 'Game']</v>
      </c>
      <c r="D7758" s="3">
        <v>4.0</v>
      </c>
    </row>
    <row r="7759" ht="15.75" customHeight="1">
      <c r="A7759" s="1">
        <v>8230.0</v>
      </c>
      <c r="B7759" s="3" t="s">
        <v>7426</v>
      </c>
      <c r="C7759" s="3" t="str">
        <f>IFERROR(__xludf.DUMMYFUNCTION("GOOGLETRANSLATE(B7759,""id"",""en"")"),"['Signal', 'finished', 'repaired', 'min', 'package', 'expensive', 'signal', 'slow']")</f>
        <v>['Signal', 'finished', 'repaired', 'min', 'package', 'expensive', 'signal', 'slow']</v>
      </c>
      <c r="D7759" s="3">
        <v>2.0</v>
      </c>
    </row>
    <row r="7760" ht="15.75" customHeight="1">
      <c r="A7760" s="1">
        <v>8231.0</v>
      </c>
      <c r="B7760" s="3" t="s">
        <v>7427</v>
      </c>
      <c r="C7760" s="3" t="str">
        <f>IFERROR(__xludf.DUMMYFUNCTION("GOOGLETRANSLATE(B7760,""id"",""en"")"),"['Network', 'Telkom', 'Region', 'Malang', 'ugly', 'really', 'right', 'play', 'pubg', ""]")</f>
        <v>['Network', 'Telkom', 'Region', 'Malang', 'ugly', 'really', 'right', 'play', 'pubg', "]</v>
      </c>
      <c r="D7760" s="3">
        <v>1.0</v>
      </c>
    </row>
    <row r="7761" ht="15.75" customHeight="1">
      <c r="A7761" s="1">
        <v>8232.0</v>
      </c>
      <c r="B7761" s="3" t="s">
        <v>7428</v>
      </c>
      <c r="C7761" s="3" t="str">
        <f>IFERROR(__xludf.DUMMYFUNCTION("GOOGLETRANSLATE(B7761,""id"",""en"")"),"['Network', 'evenly', 'Indonesia', 'application', 'easy', 'easy']")</f>
        <v>['Network', 'evenly', 'Indonesia', 'application', 'easy', 'easy']</v>
      </c>
      <c r="D7761" s="3">
        <v>5.0</v>
      </c>
    </row>
    <row r="7762" ht="15.75" customHeight="1">
      <c r="A7762" s="1">
        <v>8233.0</v>
      </c>
      <c r="B7762" s="3" t="s">
        <v>7429</v>
      </c>
      <c r="C7762" s="3" t="str">
        <f>IFERROR(__xludf.DUMMYFUNCTION("GOOGLETRANSLATE(B7762,""id"",""en"")"),"['Shame', 'buy', 'pulse', 'tuker', 'point', 'ngk', 'get', 'prize', ""]")</f>
        <v>['Shame', 'buy', 'pulse', 'tuker', 'point', 'ngk', 'get', 'prize', "]</v>
      </c>
      <c r="D7762" s="3">
        <v>4.0</v>
      </c>
    </row>
    <row r="7763" ht="15.75" customHeight="1">
      <c r="A7763" s="1">
        <v>8234.0</v>
      </c>
      <c r="B7763" s="3" t="s">
        <v>7430</v>
      </c>
      <c r="C7763" s="3" t="str">
        <f>IFERROR(__xludf.DUMMYFUNCTION("GOOGLETRANSLATE(B7763,""id"",""en"")"),"['buy', 'package', 'emergency', 'pulse', 'cut', 'repayment', 'package', 'emergency', '']")</f>
        <v>['buy', 'package', 'emergency', 'pulse', 'cut', 'repayment', 'package', 'emergency', '']</v>
      </c>
      <c r="D7763" s="3">
        <v>2.0</v>
      </c>
    </row>
    <row r="7764" ht="15.75" customHeight="1">
      <c r="A7764" s="1">
        <v>8235.0</v>
      </c>
      <c r="B7764" s="3" t="s">
        <v>2299</v>
      </c>
      <c r="C7764" s="3" t="str">
        <f>IFERROR(__xludf.DUMMYFUNCTION("GOOGLETRANSLATE(B7764,""id"",""en"")"),"['Application', 'Help']")</f>
        <v>['Application', 'Help']</v>
      </c>
      <c r="D7764" s="3">
        <v>5.0</v>
      </c>
    </row>
    <row r="7765" ht="15.75" customHeight="1">
      <c r="A7765" s="1">
        <v>8236.0</v>
      </c>
      <c r="B7765" s="3" t="s">
        <v>7431</v>
      </c>
      <c r="C7765" s="3" t="str">
        <f>IFERROR(__xludf.DUMMYFUNCTION("GOOGLETRANSLATE(B7765,""id"",""en"")"),"['Telkomsel', 'slow', 'application', 'opened', 'loadiiing', 'road', 'please', 'donk', 'fix', 'quality', 'internet', 'already', ' buy ',' expensive ',' leftover ',' tens', 'loading', 'trs',' already ',' run out ',' use ',' signal ',' like ',' missing ',' '"&amp;"]")</f>
        <v>['Telkomsel', 'slow', 'application', 'opened', 'loadiiing', 'road', 'please', 'donk', 'fix', 'quality', 'internet', 'already', ' buy ',' expensive ',' leftover ',' tens', 'loading', 'trs',' already ',' run out ',' use ',' signal ',' like ',' missing ',' ']</v>
      </c>
      <c r="D7765" s="3">
        <v>1.0</v>
      </c>
    </row>
    <row r="7766" ht="15.75" customHeight="1">
      <c r="A7766" s="1">
        <v>8238.0</v>
      </c>
      <c r="B7766" s="3" t="s">
        <v>7432</v>
      </c>
      <c r="C7766" s="3" t="str">
        <f>IFERROR(__xludf.DUMMYFUNCTION("GOOGLETRANSLATE(B7766,""id"",""en"")"),"['method', 'payment', 'limited', 'alternative', 'payment', 'pulse', 'debit', 'Mandiri', 'instant', 'error', ""]")</f>
        <v>['method', 'payment', 'limited', 'alternative', 'payment', 'pulse', 'debit', 'Mandiri', 'instant', 'error', "]</v>
      </c>
      <c r="D7766" s="3">
        <v>2.0</v>
      </c>
    </row>
    <row r="7767" ht="15.75" customHeight="1">
      <c r="A7767" s="1">
        <v>8239.0</v>
      </c>
      <c r="B7767" s="3" t="s">
        <v>7433</v>
      </c>
      <c r="C7767" s="3" t="str">
        <f>IFERROR(__xludf.DUMMYFUNCTION("GOOGLETRANSLATE(B7767,""id"",""en"")"),"['Network', 'Telkomsel', 'Good', 'Please', 'Overcome']")</f>
        <v>['Network', 'Telkomsel', 'Good', 'Please', 'Overcome']</v>
      </c>
      <c r="D7767" s="3">
        <v>5.0</v>
      </c>
    </row>
    <row r="7768" ht="15.75" customHeight="1">
      <c r="A7768" s="1">
        <v>8240.0</v>
      </c>
      <c r="B7768" s="3" t="s">
        <v>7434</v>
      </c>
      <c r="C7768" s="3" t="str">
        <f>IFERROR(__xludf.DUMMYFUNCTION("GOOGLETRANSLATE(B7768,""id"",""en"")"),"['Install', 'already', 'direct', 'disorder', 'system', 'the application']")</f>
        <v>['Install', 'already', 'direct', 'disorder', 'system', 'the application']</v>
      </c>
      <c r="D7768" s="3">
        <v>3.0</v>
      </c>
    </row>
    <row r="7769" ht="15.75" customHeight="1">
      <c r="A7769" s="1">
        <v>8241.0</v>
      </c>
      <c r="B7769" s="3" t="s">
        <v>7435</v>
      </c>
      <c r="C7769" s="3" t="str">
        <f>IFERROR(__xludf.DUMMYFUNCTION("GOOGLETRANSLATE(B7769,""id"",""en"")"),"['please', 'package', 'price', 'expensive', 'quality', 'good', 'package', 'price', 'expensive', 'signal', 'play', 'game', ' Forest ',' Signal ',' Males', 'Buy', 'Package', 'Telkomsel']")</f>
        <v>['please', 'package', 'price', 'expensive', 'quality', 'good', 'package', 'price', 'expensive', 'signal', 'play', 'game', ' Forest ',' Signal ',' Males', 'Buy', 'Package', 'Telkomsel']</v>
      </c>
      <c r="D7769" s="3">
        <v>1.0</v>
      </c>
    </row>
    <row r="7770" ht="15.75" customHeight="1">
      <c r="A7770" s="1">
        <v>8242.0</v>
      </c>
      <c r="B7770" s="3" t="s">
        <v>7436</v>
      </c>
      <c r="C7770" s="3" t="str">
        <f>IFERROR(__xludf.DUMMYFUNCTION("GOOGLETRANSLATE(B7770,""id"",""en"")"),"['Try', 'given', 'good', 'love', ""]")</f>
        <v>['Try', 'given', 'good', 'love', "]</v>
      </c>
      <c r="D7770" s="3">
        <v>4.0</v>
      </c>
    </row>
    <row r="7771" ht="15.75" customHeight="1">
      <c r="A7771" s="1">
        <v>8243.0</v>
      </c>
      <c r="B7771" s="3" t="s">
        <v>7437</v>
      </c>
      <c r="C7771" s="3" t="str">
        <f>IFERROR(__xludf.DUMMYFUNCTION("GOOGLETRANSLATE(B7771,""id"",""en"")"),"['company', 'provider', 'service', 'internet', 'access', 'speed', 'internet', 'potatoes']")</f>
        <v>['company', 'provider', 'service', 'internet', 'access', 'speed', 'internet', 'potatoes']</v>
      </c>
      <c r="D7771" s="3">
        <v>1.0</v>
      </c>
    </row>
    <row r="7772" ht="15.75" customHeight="1">
      <c r="A7772" s="1">
        <v>8244.0</v>
      </c>
      <c r="B7772" s="3" t="s">
        <v>7438</v>
      </c>
      <c r="C7772" s="3" t="str">
        <f>IFERROR(__xludf.DUMMYFUNCTION("GOOGLETRANSLATE(B7772,""id"",""en"")"),"['user', 'test', 'application', 'love', 'star', 'yaaa']")</f>
        <v>['user', 'test', 'application', 'love', 'star', 'yaaa']</v>
      </c>
      <c r="D7772" s="3">
        <v>3.0</v>
      </c>
    </row>
    <row r="7773" ht="15.75" customHeight="1">
      <c r="A7773" s="1">
        <v>8245.0</v>
      </c>
      <c r="B7773" s="3" t="s">
        <v>7439</v>
      </c>
      <c r="C7773" s="3" t="str">
        <f>IFERROR(__xludf.DUMMYFUNCTION("GOOGLETRANSLATE(B7773,""id"",""en"")"),"['kyk', 'pulse', 'rb', 'lost', 'buy', 'quota', 'apk', 'quota', 'main', 'buy', 'quota', 'doang', ' LGI ',' please ',' system ',' repaired ', ""]")</f>
        <v>['kyk', 'pulse', 'rb', 'lost', 'buy', 'quota', 'apk', 'quota', 'main', 'buy', 'quota', 'doang', ' LGI ',' please ',' system ',' repaired ', "]</v>
      </c>
      <c r="D7773" s="3">
        <v>1.0</v>
      </c>
    </row>
    <row r="7774" ht="15.75" customHeight="1">
      <c r="A7774" s="1">
        <v>8246.0</v>
      </c>
      <c r="B7774" s="3" t="s">
        <v>7440</v>
      </c>
      <c r="C7774" s="3" t="str">
        <f>IFERROR(__xludf.DUMMYFUNCTION("GOOGLETRANSLATE(B7774,""id"",""en"")"),"['woi', 'admin', 'telkom', 'you', 'kek', 'ajg', 'tissue', 'telkom', 'gini', 'bngst', 'yesterday', 'buy', ' Quota ',' GB ',' Network ',' right ',' Open ',' Application ',' Kek ',' YouTube ',' quota ',' internet ',' anjg ']")</f>
        <v>['woi', 'admin', 'telkom', 'you', 'kek', 'ajg', 'tissue', 'telkom', 'gini', 'bngst', 'yesterday', 'buy', ' Quota ',' GB ',' Network ',' right ',' Open ',' Application ',' Kek ',' YouTube ',' quota ',' internet ',' anjg ']</v>
      </c>
      <c r="D7774" s="3">
        <v>1.0</v>
      </c>
    </row>
    <row r="7775" ht="15.75" customHeight="1">
      <c r="A7775" s="1">
        <v>8247.0</v>
      </c>
      <c r="B7775" s="3" t="s">
        <v>7441</v>
      </c>
      <c r="C7775" s="3" t="str">
        <f>IFERROR(__xludf.DUMMYFUNCTION("GOOGLETRANSLATE(B7775,""id"",""en"")"),"['Help', 'charging', 'pulse', 'nda', 'promo', 'point', 'nda', 'nda', 'gift', 'number']")</f>
        <v>['Help', 'charging', 'pulse', 'nda', 'promo', 'point', 'nda', 'nda', 'gift', 'number']</v>
      </c>
      <c r="D7775" s="3">
        <v>5.0</v>
      </c>
    </row>
    <row r="7776" ht="15.75" customHeight="1">
      <c r="A7776" s="1">
        <v>8248.0</v>
      </c>
      <c r="B7776" s="3" t="s">
        <v>7442</v>
      </c>
      <c r="C7776" s="3" t="str">
        <f>IFERROR(__xludf.DUMMYFUNCTION("GOOGLETRANSLATE(B7776,""id"",""en"")"),"['Telkomsel', 'signal', 'Kenceng', 'Severe', 'Gini', 'Area', 'Mojokerto', 'Hard', 'Play', 'Game', 'Watch', 'YouTube', ' strange ',' signal ',' full ',' slow ',' polll ',' cux ',' sllu ',' emotion ',' network ', ""]")</f>
        <v>['Telkomsel', 'signal', 'Kenceng', 'Severe', 'Gini', 'Area', 'Mojokerto', 'Hard', 'Play', 'Game', 'Watch', 'YouTube', ' strange ',' signal ',' full ',' slow ',' polll ',' cux ',' sllu ',' emotion ',' network ', "]</v>
      </c>
      <c r="D7776" s="3">
        <v>1.0</v>
      </c>
    </row>
    <row r="7777" ht="15.75" customHeight="1">
      <c r="A7777" s="1">
        <v>8250.0</v>
      </c>
      <c r="B7777" s="3" t="s">
        <v>7443</v>
      </c>
      <c r="C7777" s="3" t="str">
        <f>IFERROR(__xludf.DUMMYFUNCTION("GOOGLETRANSLATE(B7777,""id"",""en"")"),"['', 'Telkomsel', 'service', 'easy', 'in', 'selection', 'leader', 'quota', 'promo', 'quota', 'interesting', 'user', 'application ',' Telkomsel ',' Hopefully ',' in the future ',' Telkomsel ',' as good ',' success', 'in the future']")</f>
        <v>['', 'Telkomsel', 'service', 'easy', 'in', 'selection', 'leader', 'quota', 'promo', 'quota', 'interesting', 'user', 'application ',' Telkomsel ',' Hopefully ',' in the future ',' Telkomsel ',' as good ',' success', 'in the future']</v>
      </c>
      <c r="D7777" s="3">
        <v>5.0</v>
      </c>
    </row>
    <row r="7778" ht="15.75" customHeight="1">
      <c r="A7778" s="1">
        <v>8251.0</v>
      </c>
      <c r="B7778" s="3" t="s">
        <v>7444</v>
      </c>
      <c r="C7778" s="3" t="str">
        <f>IFERROR(__xludf.DUMMYFUNCTION("GOOGLETRANSLATE(B7778,""id"",""en"")"),"['Like', 'Pakek', 'Application', 'Liat', 'Rates',' Data ',' Liat ',' Remnant ',' Credit ',' Check ',' Data ',' Lottery ',' Prizes', 'Points',' Litu ']")</f>
        <v>['Like', 'Pakek', 'Application', 'Liat', 'Rates',' Data ',' Liat ',' Remnant ',' Credit ',' Check ',' Data ',' Lottery ',' Prizes', 'Points',' Litu ']</v>
      </c>
      <c r="D7778" s="3">
        <v>5.0</v>
      </c>
    </row>
    <row r="7779" ht="15.75" customHeight="1">
      <c r="A7779" s="1">
        <v>8252.0</v>
      </c>
      <c r="B7779" s="3" t="s">
        <v>7445</v>
      </c>
      <c r="C7779" s="3" t="str">
        <f>IFERROR(__xludf.DUMMYFUNCTION("GOOGLETRANSLATE(B7779,""id"",""en"")"),"['hopefully it is blessed']")</f>
        <v>['hopefully it is blessed']</v>
      </c>
      <c r="D7779" s="3">
        <v>5.0</v>
      </c>
    </row>
    <row r="7780" ht="15.75" customHeight="1">
      <c r="A7780" s="1">
        <v>8253.0</v>
      </c>
      <c r="B7780" s="3" t="s">
        <v>7446</v>
      </c>
      <c r="C7780" s="3" t="str">
        <f>IFERROR(__xludf.DUMMYFUNCTION("GOOGLETRANSLATE(B7780,""id"",""en"")"),"['', 'Telkomsel', 'Help', 'bother', 'buy', 'pulse', 'quota', 'check', 'leftover', 'pulse', 'quota']")</f>
        <v>['', 'Telkomsel', 'Help', 'bother', 'buy', 'pulse', 'quota', 'check', 'leftover', 'pulse', 'quota']</v>
      </c>
      <c r="D7780" s="3">
        <v>4.0</v>
      </c>
    </row>
    <row r="7781" ht="15.75" customHeight="1">
      <c r="A7781" s="1">
        <v>8254.0</v>
      </c>
      <c r="B7781" s="3" t="s">
        <v>7447</v>
      </c>
      <c r="C7781" s="3" t="str">
        <f>IFERROR(__xludf.DUMMYFUNCTION("GOOGLETRANSLATE(B7781,""id"",""en"")"),"['Uda', 'use', 'Inter', 'Indihome', 'Masi', 'Leg', 'Play', 'Game', 'Provider', 'Sok', 'Sok', 'Kasi', ' Price ',' expensive ',' quality ',' zero ']")</f>
        <v>['Uda', 'use', 'Inter', 'Indihome', 'Masi', 'Leg', 'Play', 'Game', 'Provider', 'Sok', 'Sok', 'Kasi', ' Price ',' expensive ',' quality ',' zero ']</v>
      </c>
      <c r="D7781" s="3">
        <v>1.0</v>
      </c>
    </row>
    <row r="7782" ht="15.75" customHeight="1">
      <c r="A7782" s="1">
        <v>8255.0</v>
      </c>
      <c r="B7782" s="3" t="s">
        <v>7448</v>
      </c>
      <c r="C7782" s="3" t="str">
        <f>IFERROR(__xludf.DUMMYFUNCTION("GOOGLETRANSLATE(B7782,""id"",""en"")"),"['Telkomsel', 'Help', 'The network', 'spacious', 'Collaborate', 'Terbimah', 'Love', 'Telkomsel', ""]")</f>
        <v>['Telkomsel', 'Help', 'The network', 'spacious', 'Collaborate', 'Terbimah', 'Love', 'Telkomsel', "]</v>
      </c>
      <c r="D7782" s="3">
        <v>5.0</v>
      </c>
    </row>
    <row r="7783" ht="15.75" customHeight="1">
      <c r="A7783" s="1">
        <v>8256.0</v>
      </c>
      <c r="B7783" s="3" t="s">
        <v>7449</v>
      </c>
      <c r="C7783" s="3" t="str">
        <f>IFERROR(__xludf.DUMMYFUNCTION("GOOGLETRANSLATE(B7783,""id"",""en"")"),"['Apps', 'Useful', 'Village', 'Line', 'Telkomsel', 'Stable']")</f>
        <v>['Apps', 'Useful', 'Village', 'Line', 'Telkomsel', 'Stable']</v>
      </c>
      <c r="D7783" s="3">
        <v>5.0</v>
      </c>
    </row>
    <row r="7784" ht="15.75" customHeight="1">
      <c r="A7784" s="1">
        <v>8257.0</v>
      </c>
      <c r="B7784" s="3" t="s">
        <v>7450</v>
      </c>
      <c r="C7784" s="3" t="str">
        <f>IFERROR(__xludf.DUMMYFUNCTION("GOOGLETRANSLATE(B7784,""id"",""en"")"),"['APK', 'good', 'see', 'already', 'good']")</f>
        <v>['APK', 'good', 'see', 'already', 'good']</v>
      </c>
      <c r="D7784" s="3">
        <v>5.0</v>
      </c>
    </row>
    <row r="7785" ht="15.75" customHeight="1">
      <c r="A7785" s="1">
        <v>8258.0</v>
      </c>
      <c r="B7785" s="3" t="s">
        <v>7451</v>
      </c>
      <c r="C7785" s="3" t="str">
        <f>IFERROR(__xludf.DUMMYFUNCTION("GOOGLETRANSLATE(B7785,""id"",""en"")"),"['Ribet', 'really', 'check', 'quota', 'internet']")</f>
        <v>['Ribet', 'really', 'check', 'quota', 'internet']</v>
      </c>
      <c r="D7785" s="3">
        <v>1.0</v>
      </c>
    </row>
    <row r="7786" ht="15.75" customHeight="1">
      <c r="A7786" s="1">
        <v>8259.0</v>
      </c>
      <c r="B7786" s="3" t="s">
        <v>7452</v>
      </c>
      <c r="C7786" s="3" t="str">
        <f>IFERROR(__xludf.DUMMYFUNCTION("GOOGLETRANSLATE(B7786,""id"",""en"")"),"['APK', 'good', 'easy', 'quota', 'in', 'reduced', 'APK', 'handy', 'see', 'unjudged', 'emang', 'good', ' huhuuuuuu ']")</f>
        <v>['APK', 'good', 'easy', 'quota', 'in', 'reduced', 'APK', 'handy', 'see', 'unjudged', 'emang', 'good', ' huhuuuuuu ']</v>
      </c>
      <c r="D7786" s="3">
        <v>5.0</v>
      </c>
    </row>
    <row r="7787" ht="15.75" customHeight="1">
      <c r="A7787" s="1">
        <v>8260.0</v>
      </c>
      <c r="B7787" s="3" t="s">
        <v>7453</v>
      </c>
      <c r="C7787" s="3" t="str">
        <f>IFERROR(__xludf.DUMMYFUNCTION("GOOGLETRANSLATE(B7787,""id"",""en"")"),"['', 'Ngak', 'Kyk', 'Skrg', 'Force', 'Close', 'Nougat', ""]")</f>
        <v>['', 'Ngak', 'Kyk', 'Skrg', 'Force', 'Close', 'Nougat', "]</v>
      </c>
      <c r="D7787" s="3">
        <v>4.0</v>
      </c>
    </row>
    <row r="7788" ht="15.75" customHeight="1">
      <c r="A7788" s="1">
        <v>8261.0</v>
      </c>
      <c r="B7788" s="3" t="s">
        <v>7454</v>
      </c>
      <c r="C7788" s="3" t="str">
        <f>IFERROR(__xludf.DUMMYFUNCTION("GOOGLETRANSLATE(B7788,""id"",""en"")"),"['User', 'already', 'Telkomsel', 'THN', 'KNP', 'may', 'here', 'signal', 'Tower', 'Dri', 'RMH', 'Ditammad', ' skrg ',' apk ',' used ',' smartphone ',' trtuu ',' kompotibel ',' hrs', 'gnti', 'severe', '']")</f>
        <v>['User', 'already', 'Telkomsel', 'THN', 'KNP', 'may', 'here', 'signal', 'Tower', 'Dri', 'RMH', 'Ditammad', ' skrg ',' apk ',' used ',' smartphone ',' trtuu ',' kompotibel ',' hrs', 'gnti', 'severe', '']</v>
      </c>
      <c r="D7788" s="3">
        <v>2.0</v>
      </c>
    </row>
    <row r="7789" ht="15.75" customHeight="1">
      <c r="A7789" s="1">
        <v>8262.0</v>
      </c>
      <c r="B7789" s="3" t="s">
        <v>7455</v>
      </c>
      <c r="C7789" s="3" t="str">
        <f>IFERROR(__xludf.DUMMYFUNCTION("GOOGLETRANSLATE(B7789,""id"",""en"")"),"['Please', 'buy', 'Package', 'MB', 'Credit', 'Cut', 'Pas',' Monitor ',' Data ',' Credit ',' Cut ',' Paketan ',' active']")</f>
        <v>['Please', 'buy', 'Package', 'MB', 'Credit', 'Cut', 'Pas',' Monitor ',' Data ',' Credit ',' Cut ',' Paketan ',' active']</v>
      </c>
      <c r="D7789" s="3">
        <v>1.0</v>
      </c>
    </row>
    <row r="7790" ht="15.75" customHeight="1">
      <c r="A7790" s="1">
        <v>8263.0</v>
      </c>
      <c r="B7790" s="3" t="s">
        <v>7456</v>
      </c>
      <c r="C7790" s="3" t="str">
        <f>IFERROR(__xludf.DUMMYFUNCTION("GOOGLETRANSLATE(B7790,""id"",""en"")"),"['app', 'good', 'input', 'please', 'use', 'space', 'storage', 'check', 'total', 'storage', 'app', 'GB', ' Game ',' Next to ',' App ',' Game ',' Thank you ',' Hopefully ',' Help ', ""]")</f>
        <v>['app', 'good', 'input', 'please', 'use', 'space', 'storage', 'check', 'total', 'storage', 'app', 'GB', ' Game ',' Next to ',' App ',' Game ',' Thank you ',' Hopefully ',' Help ', "]</v>
      </c>
      <c r="D7790" s="3">
        <v>4.0</v>
      </c>
    </row>
    <row r="7791" ht="15.75" customHeight="1">
      <c r="A7791" s="1">
        <v>8264.0</v>
      </c>
      <c r="B7791" s="3" t="s">
        <v>7457</v>
      </c>
      <c r="C7791" s="3" t="str">
        <f>IFERROR(__xludf.DUMMYFUNCTION("GOOGLETRANSLATE(B7791,""id"",""en"")"),"['BYK', 'Corruption', 'Credit', 'ilang', 'quota', 'SMS', 'pay off', 'package', 'emergency', 'strange', 'please', 'donk', ' repaired ',' system ',' error ',' jdi ',' buy ',' pulse ',' byk ',' ditelkomsel ',' likes', 'abis',' mulu ',' paketan ',' tpi ' , 'C"&amp;"redit', 'Sumpot', ""]")</f>
        <v>['BYK', 'Corruption', 'Credit', 'ilang', 'quota', 'SMS', 'pay off', 'package', 'emergency', 'strange', 'please', 'donk', ' repaired ',' system ',' error ',' jdi ',' buy ',' pulse ',' byk ',' ditelkomsel ',' likes', 'abis',' mulu ',' paketan ',' tpi ' , 'Credit', 'Sumpot', "]</v>
      </c>
      <c r="D7791" s="3">
        <v>1.0</v>
      </c>
    </row>
    <row r="7792" ht="15.75" customHeight="1">
      <c r="A7792" s="1">
        <v>8265.0</v>
      </c>
      <c r="B7792" s="3" t="s">
        <v>2069</v>
      </c>
      <c r="C7792" s="3" t="str">
        <f>IFERROR(__xludf.DUMMYFUNCTION("GOOGLETRANSLATE(B7792,""id"",""en"")"),"['young']")</f>
        <v>['young']</v>
      </c>
      <c r="D7792" s="3">
        <v>5.0</v>
      </c>
    </row>
    <row r="7793" ht="15.75" customHeight="1">
      <c r="A7793" s="1">
        <v>8266.0</v>
      </c>
      <c r="B7793" s="3" t="s">
        <v>7458</v>
      </c>
      <c r="C7793" s="3" t="str">
        <f>IFERROR(__xludf.DUMMYFUNCTION("GOOGLETRANSLATE(B7793,""id"",""en"")"),"['PKET', 'specifically', 'game', 'kog', 'poke', 'yaa', 'dapet', 'pket', 'game', 'GB', 'TPI', 'please', ' help']")</f>
        <v>['PKET', 'specifically', 'game', 'kog', 'poke', 'yaa', 'dapet', 'pket', 'game', 'GB', 'TPI', 'please', ' help']</v>
      </c>
      <c r="D7793" s="3">
        <v>1.0</v>
      </c>
    </row>
    <row r="7794" ht="15.75" customHeight="1">
      <c r="A7794" s="1">
        <v>8267.0</v>
      </c>
      <c r="B7794" s="3" t="s">
        <v>7459</v>
      </c>
      <c r="C7794" s="3" t="str">
        <f>IFERROR(__xludf.DUMMYFUNCTION("GOOGLETRANSLATE(B7794,""id"",""en"")"),"['users',' Provider ',' Telkomsel ',' Select ',' Telkomsel ',' Karna ',' Quality ',' Signal ',' Good ',' Sunday ',' October ',' Network ',' Stable ',' Region ',' City ',' Bekasi ',' Disturbing ',' Activities', 'WiFi', 'Indihome', 'Please', 'Resolved', 'De"&amp;"velopment', 'Improvement', 'System' , 'thank you', '']")</f>
        <v>['users',' Provider ',' Telkomsel ',' Select ',' Telkomsel ',' Karna ',' Quality ',' Signal ',' Good ',' Sunday ',' October ',' Network ',' Stable ',' Region ',' City ',' Bekasi ',' Disturbing ',' Activities', 'WiFi', 'Indihome', 'Please', 'Resolved', 'Development', 'Improvement', 'System' , 'thank you', '']</v>
      </c>
      <c r="D7794" s="3">
        <v>2.0</v>
      </c>
    </row>
    <row r="7795" ht="15.75" customHeight="1">
      <c r="A7795" s="1">
        <v>8268.0</v>
      </c>
      <c r="B7795" s="3" t="s">
        <v>7460</v>
      </c>
      <c r="C7795" s="3" t="str">
        <f>IFERROR(__xludf.DUMMYFUNCTION("GOOGLETRANSLATE(B7795,""id"",""en"")"),"['donlod', 'the application', 'Telkomsel', 'already', 'percent', 'errorrhnaaaaalaaaaah' errorr ',' signal ',' ugly ',' perknaan ',' already ',' hello ',' It's', 'user', 'Tsel', 'already', 'Berun', 'Ksini', 'Disappointed', 'Ajjah', 'Langeyah', 'Heavy', 'He"&amp;"art', 'Move', 'Heart' , '']")</f>
        <v>['donlod', 'the application', 'Telkomsel', 'already', 'percent', 'errorrhnaaaaalaaaaah' errorr ',' signal ',' ugly ',' perknaan ',' already ',' hello ',' It's', 'user', 'Tsel', 'already', 'Berun', 'Ksini', 'Disappointed', 'Ajjah', 'Langeyah', 'Heavy', 'Heart', 'Move', 'Heart' , '']</v>
      </c>
      <c r="D7795" s="3">
        <v>1.0</v>
      </c>
    </row>
    <row r="7796" ht="15.75" customHeight="1">
      <c r="A7796" s="1">
        <v>8269.0</v>
      </c>
      <c r="B7796" s="3" t="s">
        <v>7461</v>
      </c>
      <c r="C7796" s="3" t="str">
        <f>IFERROR(__xludf.DUMMYFUNCTION("GOOGLETRANSLATE(B7796,""id"",""en"")"),"['easy', 'buy', 'package', 'gift', 'point', 'reward', '']")</f>
        <v>['easy', 'buy', 'package', 'gift', 'point', 'reward', '']</v>
      </c>
      <c r="D7796" s="3">
        <v>5.0</v>
      </c>
    </row>
    <row r="7797" ht="15.75" customHeight="1">
      <c r="A7797" s="1">
        <v>8270.0</v>
      </c>
      <c r="B7797" s="3" t="s">
        <v>7462</v>
      </c>
      <c r="C7797" s="3" t="str">
        <f>IFERROR(__xludf.DUMMYFUNCTION("GOOGLETRANSLATE(B7797,""id"",""en"")"),"['buy', 'package', 'GB', 'GB', 'bonus', 'Disney', 'Hotstar', 'proof', 'eat', 'quota', ""]")</f>
        <v>['buy', 'package', 'GB', 'GB', 'bonus', 'Disney', 'Hotstar', 'proof', 'eat', 'quota', "]</v>
      </c>
      <c r="D7797" s="3">
        <v>2.0</v>
      </c>
    </row>
    <row r="7798" ht="15.75" customHeight="1">
      <c r="A7798" s="1">
        <v>8271.0</v>
      </c>
      <c r="B7798" s="3" t="s">
        <v>7463</v>
      </c>
      <c r="C7798" s="3" t="str">
        <f>IFERROR(__xludf.DUMMYFUNCTION("GOOGLETRANSLATE(B7798,""id"",""en"")"),"['Okay', 'good', 'like']")</f>
        <v>['Okay', 'good', 'like']</v>
      </c>
      <c r="D7798" s="3">
        <v>5.0</v>
      </c>
    </row>
    <row r="7799" ht="15.75" customHeight="1">
      <c r="A7799" s="1">
        <v>8272.0</v>
      </c>
      <c r="B7799" s="3" t="s">
        <v>7464</v>
      </c>
      <c r="C7799" s="3" t="str">
        <f>IFERROR(__xludf.DUMMYFUNCTION("GOOGLETRANSLATE(B7799,""id"",""en"")"),"['signal', 'Telkom', 'ugly', 'really', 'area', 'Lampung', 'already', 'price', 'package', 'expensive', 'signal', 'ugly', ' Proud of ',' Telkomsel ',' ']")</f>
        <v>['signal', 'Telkom', 'ugly', 'really', 'area', 'Lampung', 'already', 'price', 'package', 'expensive', 'signal', 'ugly', ' Proud of ',' Telkomsel ',' ']</v>
      </c>
      <c r="D7799" s="3">
        <v>1.0</v>
      </c>
    </row>
    <row r="7800" ht="15.75" customHeight="1">
      <c r="A7800" s="1">
        <v>8273.0</v>
      </c>
      <c r="B7800" s="3" t="s">
        <v>7465</v>
      </c>
      <c r="C7800" s="3" t="str">
        <f>IFERROR(__xludf.DUMMYFUNCTION("GOOGLETRANSLATE(B7800,""id"",""en"")"),"['Min', 'Make', 'Karru', 'Telkomsel', 'Package', 'expensive', 'Tetanga', 'No matter', 'Package', 'cheap', 'promo', 'supress',' Dieal ',' cheap ',' package ',' ']")</f>
        <v>['Min', 'Make', 'Karru', 'Telkomsel', 'Package', 'expensive', 'Tetanga', 'No matter', 'Package', 'cheap', 'promo', 'supress',' Dieal ',' cheap ',' package ',' ']</v>
      </c>
      <c r="D7800" s="3">
        <v>5.0</v>
      </c>
    </row>
    <row r="7801" ht="15.75" customHeight="1">
      <c r="A7801" s="1">
        <v>8274.0</v>
      </c>
      <c r="B7801" s="3" t="s">
        <v>7466</v>
      </c>
      <c r="C7801" s="3" t="str">
        <f>IFERROR(__xludf.DUMMYFUNCTION("GOOGLETRANSLATE(B7801,""id"",""en"")"),"['Disappointed', 'Notif', 'Transaction', 'Know', 'Transaction', 'Credit', 'Cut "",' ']")</f>
        <v>['Disappointed', 'Notif', 'Transaction', 'Know', 'Transaction', 'Credit', 'Cut ",' ']</v>
      </c>
      <c r="D7801" s="3">
        <v>1.0</v>
      </c>
    </row>
    <row r="7802" ht="15.75" customHeight="1">
      <c r="A7802" s="1">
        <v>8275.0</v>
      </c>
      <c r="B7802" s="3" t="s">
        <v>7467</v>
      </c>
      <c r="C7802" s="3" t="str">
        <f>IFERROR(__xludf.DUMMYFUNCTION("GOOGLETRANSLATE(B7802,""id"",""en"")"),"['That's',' Donk ',' Notification ',' Send ',' Customer ',' Towards', 'Package', 'Data', 'Out', 'Customer', 'Package', 'Data', ' Buy ',' Star ',' Bintang ',' Moga ',' Success', ""]")</f>
        <v>['That's',' Donk ',' Notification ',' Send ',' Customer ',' Towards', 'Package', 'Data', 'Out', 'Customer', 'Package', 'Data', ' Buy ',' Star ',' Bintang ',' Moga ',' Success', "]</v>
      </c>
      <c r="D7802" s="3">
        <v>5.0</v>
      </c>
    </row>
    <row r="7803" ht="15.75" customHeight="1">
      <c r="A7803" s="1">
        <v>8276.0</v>
      </c>
      <c r="B7803" s="3" t="s">
        <v>7468</v>
      </c>
      <c r="C7803" s="3" t="str">
        <f>IFERROR(__xludf.DUMMYFUNCTION("GOOGLETRANSLATE(B7803,""id"",""en"")"),"['expensive', 'quota', 'quota', 'slalu', 'buy', 'omitted', '']")</f>
        <v>['expensive', 'quota', 'quota', 'slalu', 'buy', 'omitted', '']</v>
      </c>
      <c r="D7803" s="3">
        <v>1.0</v>
      </c>
    </row>
    <row r="7804" ht="15.75" customHeight="1">
      <c r="A7804" s="1">
        <v>8277.0</v>
      </c>
      <c r="B7804" s="3" t="s">
        <v>7469</v>
      </c>
      <c r="C7804" s="3" t="str">
        <f>IFERROR(__xludf.DUMMYFUNCTION("GOOGLETRANSLATE(B7804,""id"",""en"")"),"['Purchase', 'Package', 'Data', 'Activization', 'Repeated', 'reset', ""]")</f>
        <v>['Purchase', 'Package', 'Data', 'Activization', 'Repeated', 'reset', "]</v>
      </c>
      <c r="D7804" s="3">
        <v>1.0</v>
      </c>
    </row>
    <row r="7805" ht="15.75" customHeight="1">
      <c r="A7805" s="1">
        <v>8278.0</v>
      </c>
      <c r="B7805" s="3" t="s">
        <v>7470</v>
      </c>
      <c r="C7805" s="3" t="str">
        <f>IFERROR(__xludf.DUMMYFUNCTION("GOOGLETRANSLATE(B7805,""id"",""en"")"),"['lacks', 'payment', 'mbanking', 'or', 'trnaser', 'bank', 'try', 'kasi', 'star', '']")</f>
        <v>['lacks', 'payment', 'mbanking', 'or', 'trnaser', 'bank', 'try', 'kasi', 'star', '']</v>
      </c>
      <c r="D7805" s="3">
        <v>3.0</v>
      </c>
    </row>
    <row r="7806" ht="15.75" customHeight="1">
      <c r="A7806" s="1">
        <v>8279.0</v>
      </c>
      <c r="B7806" s="3" t="s">
        <v>7471</v>
      </c>
      <c r="C7806" s="3" t="str">
        <f>IFERROR(__xludf.DUMMYFUNCTION("GOOGLETRANSLATE(B7806,""id"",""en"")"),"['solution', 'person', 'difficulty', 'search', 'access', 'communication', '']")</f>
        <v>['solution', 'person', 'difficulty', 'search', 'access', 'communication', '']</v>
      </c>
      <c r="D7806" s="3">
        <v>5.0</v>
      </c>
    </row>
    <row r="7807" ht="15.75" customHeight="1">
      <c r="A7807" s="1">
        <v>8280.0</v>
      </c>
      <c r="B7807" s="3" t="s">
        <v>7472</v>
      </c>
      <c r="C7807" s="3" t="str">
        <f>IFERROR(__xludf.DUMMYFUNCTION("GOOGLETRANSLATE(B7807,""id"",""en"")"),"['package', 'quota', 'beg', 'expensive', 'class', 'medium', 'package', 'affordable', 'range', 'Gede', ""]")</f>
        <v>['package', 'quota', 'beg', 'expensive', 'class', 'medium', 'package', 'affordable', 'range', 'Gede', "]</v>
      </c>
      <c r="D7807" s="3">
        <v>5.0</v>
      </c>
    </row>
    <row r="7808" ht="15.75" customHeight="1">
      <c r="A7808" s="1">
        <v>8281.0</v>
      </c>
      <c r="B7808" s="3" t="s">
        <v>7473</v>
      </c>
      <c r="C7808" s="3" t="str">
        <f>IFERROR(__xludf.DUMMYFUNCTION("GOOGLETRANSLATE(B7808,""id"",""en"")"),"['Sorry', 'address',' DESESA ',' Padang ',' Leban ',' Kec ',' Tanjung ',' Kemuning ',' Kab ',' Kaur ',' Signal ',' Telkomsel ',' Kayak ',' army ',' at home ',' signal ',' Gunain ',' Profider ',' Please ',' Dibntu ']")</f>
        <v>['Sorry', 'address',' DESESA ',' Padang ',' Leban ',' Kec ',' Tanjung ',' Kemuning ',' Kab ',' Kaur ',' Signal ',' Telkomsel ',' Kayak ',' army ',' at home ',' signal ',' Gunain ',' Profider ',' Please ',' Dibntu ']</v>
      </c>
      <c r="D7808" s="3">
        <v>2.0</v>
      </c>
    </row>
    <row r="7809" ht="15.75" customHeight="1">
      <c r="A7809" s="1">
        <v>8282.0</v>
      </c>
      <c r="B7809" s="3" t="s">
        <v>7474</v>
      </c>
      <c r="C7809" s="3" t="str">
        <f>IFERROR(__xludf.DUMMYFUNCTION("GOOGLETRANSLATE(B7809,""id"",""en"")"),"['update', 'smooth', 'open', 'application']")</f>
        <v>['update', 'smooth', 'open', 'application']</v>
      </c>
      <c r="D7809" s="3">
        <v>3.0</v>
      </c>
    </row>
    <row r="7810" ht="15.75" customHeight="1">
      <c r="A7810" s="1">
        <v>8283.0</v>
      </c>
      <c r="B7810" s="3" t="s">
        <v>7475</v>
      </c>
      <c r="C7810" s="3" t="str">
        <f>IFERROR(__xludf.DUMMYFUNCTION("GOOGLETRANSLATE(B7810,""id"",""en"")"),"['signal', 'Telkomsel', 'ugly', 'daily', 'forced', 'use', 'wifi', 'tri', 'smooth', 'annoying', 'pdhl', 'price', ' quotes', 'cheap', '']")</f>
        <v>['signal', 'Telkomsel', 'ugly', 'daily', 'forced', 'use', 'wifi', 'tri', 'smooth', 'annoying', 'pdhl', 'price', ' quotes', 'cheap', '']</v>
      </c>
      <c r="D7810" s="3">
        <v>2.0</v>
      </c>
    </row>
    <row r="7811" ht="15.75" customHeight="1">
      <c r="A7811" s="1">
        <v>8284.0</v>
      </c>
      <c r="B7811" s="3" t="s">
        <v>7476</v>
      </c>
      <c r="C7811" s="3" t="str">
        <f>IFERROR(__xludf.DUMMYFUNCTION("GOOGLETRANSLATE(B7811,""id"",""en"")"),"['Please', 'offer', 'Package', 'users',' Telkomsel ',' Customized ',' Package ',' Offered ',' Example ',' User ',' Buy ',' Package ',' Call ',' Minutes', 'Price', 'Offered', 'Telkomsel', 'User', 'Buy', 'Price', 'Package', 'Change', 'Please', 'Consider', '"&amp;"The Reasons' , 'thank you', '']")</f>
        <v>['Please', 'offer', 'Package', 'users',' Telkomsel ',' Customized ',' Package ',' Offered ',' Example ',' User ',' Buy ',' Package ',' Call ',' Minutes', 'Price', 'Offered', 'Telkomsel', 'User', 'Buy', 'Price', 'Package', 'Change', 'Please', 'Consider', 'The Reasons' , 'thank you', '']</v>
      </c>
      <c r="D7811" s="3">
        <v>5.0</v>
      </c>
    </row>
    <row r="7812" ht="15.75" customHeight="1">
      <c r="A7812" s="1">
        <v>8285.0</v>
      </c>
      <c r="B7812" s="3" t="s">
        <v>7477</v>
      </c>
      <c r="C7812" s="3" t="str">
        <f>IFERROR(__xludf.DUMMYFUNCTION("GOOGLETRANSLATE(B7812,""id"",""en"")"),"['balance', 'activation', 'package', 'notification', 'pulse', 'screen', 'shoot', 'save', '']")</f>
        <v>['balance', 'activation', 'package', 'notification', 'pulse', 'screen', 'shoot', 'save', '']</v>
      </c>
      <c r="D7812" s="3">
        <v>1.0</v>
      </c>
    </row>
    <row r="7813" ht="15.75" customHeight="1">
      <c r="A7813" s="1">
        <v>8287.0</v>
      </c>
      <c r="B7813" s="3" t="s">
        <v>7478</v>
      </c>
      <c r="C7813" s="3" t="str">
        <f>IFERROR(__xludf.DUMMYFUNCTION("GOOGLETRANSLATE(B7813,""id"",""en"")"),"['BOSQ', 'Program', 'Gifts',' Exchange ',' Points', 'Years',' Exchange ',' Points', 'Get', 'Klau', 'Nnti', 'Addin', ' Stars', 'Jdi', '']")</f>
        <v>['BOSQ', 'Program', 'Gifts',' Exchange ',' Points', 'Years',' Exchange ',' Points', 'Get', 'Klau', 'Nnti', 'Addin', ' Stars', 'Jdi', '']</v>
      </c>
      <c r="D7813" s="3">
        <v>2.0</v>
      </c>
    </row>
    <row r="7814" ht="15.75" customHeight="1">
      <c r="A7814" s="1">
        <v>8288.0</v>
      </c>
      <c r="B7814" s="3" t="s">
        <v>7479</v>
      </c>
      <c r="C7814" s="3" t="str">
        <f>IFERROR(__xludf.DUMMYFUNCTION("GOOGLETRANSLATE(B7814,""id"",""en"")"),"['Severe', 'Telkomsel', 'expensive', 'price', 'package', 'data', 'internet', 'ngandalin', 'buy', 'package', 'data', 'promoan', ' fast ',' apply ',' promo ',' check ',' free ',' quota ',' nyampe ',' already ',' active ',' free ',' quota ',' base ',' cheate"&amp;"r ' , 'Telkomsel', 'package', 'data', 'run out', 'steal', 'pulse', 'noh', 'kayak', 'protect', 'pulse', 'package', 'data', ' run out ',' steal ',' pulse ',' settings', 'application', 'Please', 'update', 'setting', 'MyTelkomsel']")</f>
        <v>['Severe', 'Telkomsel', 'expensive', 'price', 'package', 'data', 'internet', 'ngandalin', 'buy', 'package', 'data', 'promoan', ' fast ',' apply ',' promo ',' check ',' free ',' quota ',' nyampe ',' already ',' active ',' free ',' quota ',' base ',' cheater ' , 'Telkomsel', 'package', 'data', 'run out', 'steal', 'pulse', 'noh', 'kayak', 'protect', 'pulse', 'package', 'data', ' run out ',' steal ',' pulse ',' settings', 'application', 'Please', 'update', 'setting', 'MyTelkomsel']</v>
      </c>
      <c r="D7814" s="3">
        <v>1.0</v>
      </c>
    </row>
    <row r="7815" ht="15.75" customHeight="1">
      <c r="A7815" s="1">
        <v>8289.0</v>
      </c>
      <c r="B7815" s="3" t="s">
        <v>7480</v>
      </c>
      <c r="C7815" s="3" t="str">
        <f>IFERROR(__xludf.DUMMYFUNCTION("GOOGLETRANSLATE(B7815,""id"",""en"")"),"['Knp', 'Login', 'MyTelkomsel', 'Credit', 'Children', 'Credit', 'Knp', 'GTU', 'Login', 'MyTelkomsel', 'Credit', 'Children', ' Knp ',' Kek ',' GTU ',' ']")</f>
        <v>['Knp', 'Login', 'MyTelkomsel', 'Credit', 'Children', 'Credit', 'Knp', 'GTU', 'Login', 'MyTelkomsel', 'Credit', 'Children', ' Knp ',' Kek ',' GTU ',' ']</v>
      </c>
      <c r="D7815" s="3">
        <v>2.0</v>
      </c>
    </row>
    <row r="7816" ht="15.75" customHeight="1">
      <c r="A7816" s="1">
        <v>8290.0</v>
      </c>
      <c r="B7816" s="3" t="s">
        <v>7481</v>
      </c>
      <c r="C7816" s="3" t="str">
        <f>IFERROR(__xludf.DUMMYFUNCTION("GOOGLETRANSLATE(B7816,""id"",""en"")"),"['Woy', 'told', 'People', 'Confirm', 'Media', 'You', 'Fix', 'Network', 'Easy', 'Access',' Media ',' Confirm ',' Complaints', 'Network', 'Leet', 'Severe', 'Have', 'Confirm', 'Media', 'Coment', 'Need', 'Minutes',' Enter ',' coment ', ""]")</f>
        <v>['Woy', 'told', 'People', 'Confirm', 'Media', 'You', 'Fix', 'Network', 'Easy', 'Access',' Media ',' Confirm ',' Complaints', 'Network', 'Leet', 'Severe', 'Have', 'Confirm', 'Media', 'Coment', 'Need', 'Minutes',' Enter ',' coment ', "]</v>
      </c>
      <c r="D7816" s="3">
        <v>1.0</v>
      </c>
    </row>
    <row r="7817" ht="15.75" customHeight="1">
      <c r="A7817" s="1">
        <v>8291.0</v>
      </c>
      <c r="B7817" s="3" t="s">
        <v>7482</v>
      </c>
      <c r="C7817" s="3" t="str">
        <f>IFERROR(__xludf.DUMMYFUNCTION("GOOGLETRANSLATE(B7817,""id"",""en"")"),"['expensive', 'slow']")</f>
        <v>['expensive', 'slow']</v>
      </c>
      <c r="D7817" s="3">
        <v>1.0</v>
      </c>
    </row>
    <row r="7818" ht="15.75" customHeight="1">
      <c r="A7818" s="1">
        <v>8292.0</v>
      </c>
      <c r="B7818" s="3" t="s">
        <v>7483</v>
      </c>
      <c r="C7818" s="3" t="str">
        <f>IFERROR(__xludf.DUMMYFUNCTION("GOOGLETRANSLATE(B7818,""id"",""en"")"),"['Update', 'NDK', 'Gini', 'Application', 'Code', 'Verification', 'Via', 'SMS', 'Link', 'Kadaruars',' NDK ',' Recommended ',' Application ',' Help ']")</f>
        <v>['Update', 'NDK', 'Gini', 'Application', 'Code', 'Verification', 'Via', 'SMS', 'Link', 'Kadaruars',' NDK ',' Recommended ',' Application ',' Help ']</v>
      </c>
      <c r="D7818" s="3">
        <v>1.0</v>
      </c>
    </row>
    <row r="7819" ht="15.75" customHeight="1">
      <c r="A7819" s="1">
        <v>8293.0</v>
      </c>
      <c r="B7819" s="3" t="s">
        <v>7484</v>
      </c>
      <c r="C7819" s="3" t="str">
        <f>IFERROR(__xludf.DUMMYFUNCTION("GOOGLETRANSLATE(B7819,""id"",""en"")"),"['Sorry', 'UPGRET', 'Application', 'Enter', 'MHN', 'Help', '']")</f>
        <v>['Sorry', 'UPGRET', 'Application', 'Enter', 'MHN', 'Help', '']</v>
      </c>
      <c r="D7819" s="3">
        <v>5.0</v>
      </c>
    </row>
    <row r="7820" ht="15.75" customHeight="1">
      <c r="A7820" s="1">
        <v>8294.0</v>
      </c>
      <c r="B7820" s="3" t="s">
        <v>7485</v>
      </c>
      <c r="C7820" s="3" t="str">
        <f>IFERROR(__xludf.DUMMYFUNCTION("GOOGLETRANSLATE(B7820,""id"",""en"")"),"['Signal', 'Connection', 'Internet', 'Good', 'Sometimes',' Bad ',' Connection ',' Internet ',' Suggestion ',' Telkomsel ',' Feature ',' Lock ',' Credit ',' Karna ',' Buy ',' Package ',' Internet ',' Only ',' Network ',' Down ',' Forgot ',' Mensets', 'Only"&amp;"', 'Device', 'Automatic' , 'Credit', 'drained', 'suggestion', 'as' Coustumer', '']")</f>
        <v>['Signal', 'Connection', 'Internet', 'Good', 'Sometimes',' Bad ',' Connection ',' Internet ',' Suggestion ',' Telkomsel ',' Feature ',' Lock ',' Credit ',' Karna ',' Buy ',' Package ',' Internet ',' Only ',' Network ',' Down ',' Forgot ',' Mensets', 'Only', 'Device', 'Automatic' , 'Credit', 'drained', 'suggestion', 'as' Coustumer', '']</v>
      </c>
      <c r="D7820" s="3">
        <v>5.0</v>
      </c>
    </row>
    <row r="7821" ht="15.75" customHeight="1">
      <c r="A7821" s="1">
        <v>8295.0</v>
      </c>
      <c r="B7821" s="3" t="s">
        <v>1550</v>
      </c>
      <c r="C7821" s="3" t="str">
        <f>IFERROR(__xludf.DUMMYFUNCTION("GOOGLETRANSLATE(B7821,""id"",""en"")"),"['enter']")</f>
        <v>['enter']</v>
      </c>
      <c r="D7821" s="3">
        <v>1.0</v>
      </c>
    </row>
    <row r="7822" ht="15.75" customHeight="1">
      <c r="A7822" s="1">
        <v>8296.0</v>
      </c>
      <c r="B7822" s="3" t="s">
        <v>7486</v>
      </c>
      <c r="C7822" s="3" t="str">
        <f>IFERROR(__xludf.DUMMYFUNCTION("GOOGLETRANSLATE(B7822,""id"",""en"")"),"['Syaa', 'ask', 'card', 'lost', 'card', 'mhon', 'help', 'information', 'talking', 'grapali', 'closest']")</f>
        <v>['Syaa', 'ask', 'card', 'lost', 'card', 'mhon', 'help', 'information', 'talking', 'grapali', 'closest']</v>
      </c>
      <c r="D7822" s="3">
        <v>2.0</v>
      </c>
    </row>
    <row r="7823" ht="15.75" customHeight="1">
      <c r="A7823" s="1">
        <v>8297.0</v>
      </c>
      <c r="B7823" s="3" t="s">
        <v>7487</v>
      </c>
      <c r="C7823" s="3" t="str">
        <f>IFERROR(__xludf.DUMMYFUNCTION("GOOGLETRANSLATE(B7823,""id"",""en"")"),"['update', 'application', 'latest', 'Telkomsel', 'update', 'buy', 'quota', 'continuous',' appears', 'Tunian', 'system', 'disorder', ' Please ',' Try ',' Minutes', 'Credit', 'Adequate', 'Application', 'Mobile', 'Please', 'The Info']")</f>
        <v>['update', 'application', 'latest', 'Telkomsel', 'update', 'buy', 'quota', 'continuous',' appears', 'Tunian', 'system', 'disorder', ' Please ',' Try ',' Minutes', 'Credit', 'Adequate', 'Application', 'Mobile', 'Please', 'The Info']</v>
      </c>
      <c r="D7823" s="3">
        <v>1.0</v>
      </c>
    </row>
    <row r="7824" ht="15.75" customHeight="1">
      <c r="A7824" s="1">
        <v>8298.0</v>
      </c>
      <c r="B7824" s="3" t="s">
        <v>7488</v>
      </c>
      <c r="C7824" s="3" t="str">
        <f>IFERROR(__xludf.DUMMYFUNCTION("GOOGLETRANSLATE(B7824,""id"",""en"")"),"['TOP', 'Credit', 'enter', 'Doang', 'already', 'Confirm', 'Ribet', 'Taik', ""]")</f>
        <v>['TOP', 'Credit', 'enter', 'Doang', 'already', 'Confirm', 'Ribet', 'Taik', "]</v>
      </c>
      <c r="D7824" s="3">
        <v>1.0</v>
      </c>
    </row>
    <row r="7825" ht="15.75" customHeight="1">
      <c r="A7825" s="1">
        <v>8299.0</v>
      </c>
      <c r="B7825" s="3" t="s">
        <v>7489</v>
      </c>
      <c r="C7825" s="3" t="str">
        <f>IFERROR(__xludf.DUMMYFUNCTION("GOOGLETRANSLATE(B7825,""id"",""en"")"),"['Overall', 'Satisfied', 'Features',' Point ',' Gamification ',' Useful ',' Litu ',' Reward ',' Interesting ',' Page ',' Redem ',' Bug ',' BTW ',' criticism ',' BKN ',' Dropping ',' Mobile ',' Dev ',' Telkom ',' Group ',' Hopefully ',' Fix ']")</f>
        <v>['Overall', 'Satisfied', 'Features',' Point ',' Gamification ',' Useful ',' Litu ',' Reward ',' Interesting ',' Page ',' Redem ',' Bug ',' BTW ',' criticism ',' BKN ',' Dropping ',' Mobile ',' Dev ',' Telkom ',' Group ',' Hopefully ',' Fix ']</v>
      </c>
      <c r="D7825" s="3">
        <v>5.0</v>
      </c>
    </row>
    <row r="7826" ht="15.75" customHeight="1">
      <c r="A7826" s="1">
        <v>8300.0</v>
      </c>
      <c r="B7826" s="3" t="s">
        <v>7490</v>
      </c>
      <c r="C7826" s="3" t="str">
        <f>IFERROR(__xludf.DUMMYFUNCTION("GOOGLETRANSLATE(B7826,""id"",""en"")"),"['Quality', 'down', 'area', 'city', 'ugly', 'network', 'stable', 'broke', 'already', 'expensive', 'tmbahh', 'stable', ' not clear']")</f>
        <v>['Quality', 'down', 'area', 'city', 'ugly', 'network', 'stable', 'broke', 'already', 'expensive', 'tmbahh', 'stable', ' not clear']</v>
      </c>
      <c r="D7826" s="3">
        <v>1.0</v>
      </c>
    </row>
    <row r="7827" ht="15.75" customHeight="1">
      <c r="A7827" s="1">
        <v>8301.0</v>
      </c>
      <c r="B7827" s="3" t="s">
        <v>7491</v>
      </c>
      <c r="C7827" s="3" t="str">
        <f>IFERROR(__xludf.DUMMYFUNCTION("GOOGLETRANSLATE(B7827,""id"",""en"")"),"['Please', 'fix', 'system', 'quota', 'night', 'wait', 'hours',' active ',' quota ',' night ',' hours', 'active', ' Even then ',' restart ',' Menon ',' Activate ',' Mode ',' Plane ']")</f>
        <v>['Please', 'fix', 'system', 'quota', 'night', 'wait', 'hours',' active ',' quota ',' night ',' hours', 'active', ' Even then ',' restart ',' Menon ',' Activate ',' Mode ',' Plane ']</v>
      </c>
      <c r="D7827" s="3">
        <v>3.0</v>
      </c>
    </row>
    <row r="7828" ht="15.75" customHeight="1">
      <c r="A7828" s="1">
        <v>8302.0</v>
      </c>
      <c r="B7828" s="3" t="s">
        <v>7492</v>
      </c>
      <c r="C7828" s="3" t="str">
        <f>IFERROR(__xludf.DUMMYFUNCTION("GOOGLETRANSLATE(B7828,""id"",""en"")"),"['hrga', 'package', 'expensive', 'network', 'kek', 'junk', 'yes',' play ',' game ',' crash ',' maximize ',' dlu ',' network ',' psang ',' price ',' expensive ',' comparable ',' high school ',' brand ',' koar ',' claim ',' pling ',' fast ']")</f>
        <v>['hrga', 'package', 'expensive', 'network', 'kek', 'junk', 'yes',' play ',' game ',' crash ',' maximize ',' dlu ',' network ',' psang ',' price ',' expensive ',' comparable ',' high school ',' brand ',' koar ',' claim ',' pling ',' fast ']</v>
      </c>
      <c r="D7828" s="3">
        <v>3.0</v>
      </c>
    </row>
    <row r="7829" ht="15.75" customHeight="1">
      <c r="A7829" s="1">
        <v>8303.0</v>
      </c>
      <c r="B7829" s="3" t="s">
        <v>7493</v>
      </c>
      <c r="C7829" s="3" t="str">
        <f>IFERROR(__xludf.DUMMYFUNCTION("GOOGLETRANSLATE(B7829,""id"",""en"")"),"['sorry', 'life', 'city', 'quota', 'regular', 'Telkomsel', 'used', 'tetring', 'muter', 'right', 'list', 'package', ' Speaking ',' ']")</f>
        <v>['sorry', 'life', 'city', 'quota', 'regular', 'Telkomsel', 'used', 'tetring', 'muter', 'right', 'list', 'package', ' Speaking ',' ']</v>
      </c>
      <c r="D7829" s="3">
        <v>1.0</v>
      </c>
    </row>
    <row r="7830" ht="15.75" customHeight="1">
      <c r="A7830" s="1">
        <v>8304.0</v>
      </c>
      <c r="B7830" s="3" t="s">
        <v>7494</v>
      </c>
      <c r="C7830" s="3" t="str">
        <f>IFERROR(__xludf.DUMMYFUNCTION("GOOGLETRANSLATE(B7830,""id"",""en"")"),"['signal', 'network', 'internet', 'missing', 'appears', 'missing', 'appears']")</f>
        <v>['signal', 'network', 'internet', 'missing', 'appears', 'missing', 'appears']</v>
      </c>
      <c r="D7830" s="3">
        <v>4.0</v>
      </c>
    </row>
    <row r="7831" ht="15.75" customHeight="1">
      <c r="A7831" s="1">
        <v>8305.0</v>
      </c>
      <c r="B7831" s="3" t="s">
        <v>7495</v>
      </c>
      <c r="C7831" s="3" t="str">
        <f>IFERROR(__xludf.DUMMYFUNCTION("GOOGLETRANSLATE(B7831,""id"",""en"")"),"['Telkomsel', 'wants',' network ',' ugly ',' already ',' subscribe ',' drop ',' intensity ',' net ',' versusah ',' network ',' safe ',' ']")</f>
        <v>['Telkomsel', 'wants',' network ',' ugly ',' already ',' subscribe ',' drop ',' intensity ',' net ',' versusah ',' network ',' safe ',' ']</v>
      </c>
      <c r="D7831" s="3">
        <v>1.0</v>
      </c>
    </row>
    <row r="7832" ht="15.75" customHeight="1">
      <c r="A7832" s="1">
        <v>8306.0</v>
      </c>
      <c r="B7832" s="3" t="s">
        <v>7496</v>
      </c>
      <c r="C7832" s="3" t="str">
        <f>IFERROR(__xludf.DUMMYFUNCTION("GOOGLETRANSLATE(B7832,""id"",""en"")"),"['Star', 'Network', 'Good', 'Network', 'Leet', 'KB', 'KB', 'Range', 'Tired', 'Heart', ""]")</f>
        <v>['Star', 'Network', 'Good', 'Network', 'Leet', 'KB', 'KB', 'Range', 'Tired', 'Heart', "]</v>
      </c>
      <c r="D7832" s="3">
        <v>1.0</v>
      </c>
    </row>
    <row r="7833" ht="15.75" customHeight="1">
      <c r="A7833" s="1">
        <v>8307.0</v>
      </c>
      <c r="B7833" s="3" t="s">
        <v>7497</v>
      </c>
      <c r="C7833" s="3" t="str">
        <f>IFERROR(__xludf.DUMMYFUNCTION("GOOGLETRANSLATE(B7833,""id"",""en"")"),"['poor', 'dead', 'lights', 'network', 'direct', 'ilang', 'Telkomsel', '']")</f>
        <v>['poor', 'dead', 'lights', 'network', 'direct', 'ilang', 'Telkomsel', '']</v>
      </c>
      <c r="D7833" s="3">
        <v>1.0</v>
      </c>
    </row>
    <row r="7834" ht="15.75" customHeight="1">
      <c r="A7834" s="1">
        <v>8308.0</v>
      </c>
      <c r="B7834" s="3" t="s">
        <v>7498</v>
      </c>
      <c r="C7834" s="3" t="str">
        <f>IFERROR(__xludf.DUMMYFUNCTION("GOOGLETRANSLATE(B7834,""id"",""en"")"),"['chat', 'Live', 'Veronika', 'given', 'instructions',' check ',' quota ',' think ',' smart ',' please ',' Robot ',' Live ',' Chat ',' developed ',' consumer ',' gaguna ',' really ',' rich ',' dlu ',' chat ',' direct ',' mending ',' rich ',' deh ',' deh ' "&amp;", 'Gausah', 'use', 'robot']")</f>
        <v>['chat', 'Live', 'Veronika', 'given', 'instructions',' check ',' quota ',' think ',' smart ',' please ',' Robot ',' Live ',' Chat ',' developed ',' consumer ',' gaguna ',' really ',' rich ',' dlu ',' chat ',' direct ',' mending ',' rich ',' deh ',' deh ' , 'Gausah', 'use', 'robot']</v>
      </c>
      <c r="D7834" s="3">
        <v>1.0</v>
      </c>
    </row>
    <row r="7835" ht="15.75" customHeight="1">
      <c r="A7835" s="1">
        <v>8309.0</v>
      </c>
      <c r="B7835" s="3" t="s">
        <v>7499</v>
      </c>
      <c r="C7835" s="3" t="str">
        <f>IFERROR(__xludf.DUMMYFUNCTION("GOOGLETRANSLATE(B7835,""id"",""en"")"),"['KNPA', 'Network', 'Telkomsel', 'KNPA', 'Telkomsel', 'Pakek', 'Data', 'Open', 'Data', 'Bukak']")</f>
        <v>['KNPA', 'Network', 'Telkomsel', 'KNPA', 'Telkomsel', 'Pakek', 'Data', 'Open', 'Data', 'Bukak']</v>
      </c>
      <c r="D7835" s="3">
        <v>1.0</v>
      </c>
    </row>
    <row r="7836" ht="15.75" customHeight="1">
      <c r="A7836" s="1">
        <v>8310.0</v>
      </c>
      <c r="B7836" s="3" t="s">
        <v>7500</v>
      </c>
      <c r="C7836" s="3" t="str">
        <f>IFERROR(__xludf.DUMMYFUNCTION("GOOGLETRANSLATE(B7836,""id"",""en"")"),"['application', 'good', 'network', 'maximum']")</f>
        <v>['application', 'good', 'network', 'maximum']</v>
      </c>
      <c r="D7836" s="3">
        <v>5.0</v>
      </c>
    </row>
    <row r="7837" ht="15.75" customHeight="1">
      <c r="A7837" s="1">
        <v>8311.0</v>
      </c>
      <c r="B7837" s="3" t="s">
        <v>7501</v>
      </c>
      <c r="C7837" s="3" t="str">
        <f>IFERROR(__xludf.DUMMYFUNCTION("GOOGLETRANSLATE(B7837,""id"",""en"")"),"['Wear', 'pulse', 'Rp', 'access',' internet ',' non ',' package ',' means', 'have', 'quota', 'internet', 'pulses',' drained ',' basic ',' operator ']")</f>
        <v>['Wear', 'pulse', 'Rp', 'access',' internet ',' non ',' package ',' means', 'have', 'quota', 'internet', 'pulses',' drained ',' basic ',' operator ']</v>
      </c>
      <c r="D7837" s="3">
        <v>1.0</v>
      </c>
    </row>
    <row r="7838" ht="15.75" customHeight="1">
      <c r="A7838" s="1">
        <v>8312.0</v>
      </c>
      <c r="B7838" s="3" t="s">
        <v>7502</v>
      </c>
      <c r="C7838" s="3" t="str">
        <f>IFERROR(__xludf.DUMMYFUNCTION("GOOGLETRANSLATE(B7838,""id"",""en"")"),"['Cool', 'Cool', 'Price', 'Cheap', 'Use', 'Fast']")</f>
        <v>['Cool', 'Cool', 'Price', 'Cheap', 'Use', 'Fast']</v>
      </c>
      <c r="D7838" s="3">
        <v>5.0</v>
      </c>
    </row>
    <row r="7839" ht="15.75" customHeight="1">
      <c r="A7839" s="1">
        <v>8313.0</v>
      </c>
      <c r="B7839" s="3" t="s">
        <v>7503</v>
      </c>
      <c r="C7839" s="3" t="str">
        <f>IFERROR(__xludf.DUMMYFUNCTION("GOOGLETRANSLATE(B7839,""id"",""en"")"),"['Please', 'Telkomsel', 'improve', 'network', 'data', 'and', 'call', 'area', 'Sumatra', 'North', 'exact', 'Deli', ' Serdang ',' complex ',' Rorinata ',' Stage ',' Development ',' Original ',' Society ',' Seketu ',' Disappointed ',' Switch ',' Operator ','"&amp;" Please ',' Action ' , 'continue', 'Telkomsel', 'area', 'thank', 'love', ""]")</f>
        <v>['Please', 'Telkomsel', 'improve', 'network', 'data', 'and', 'call', 'area', 'Sumatra', 'North', 'exact', 'Deli', ' Serdang ',' complex ',' Rorinata ',' Stage ',' Development ',' Original ',' Society ',' Seketu ',' Disappointed ',' Switch ',' Operator ',' Please ',' Action ' , 'continue', 'Telkomsel', 'area', 'thank', 'love', "]</v>
      </c>
      <c r="D7839" s="3">
        <v>3.0</v>
      </c>
    </row>
    <row r="7840" ht="15.75" customHeight="1">
      <c r="A7840" s="1">
        <v>8314.0</v>
      </c>
      <c r="B7840" s="3" t="s">
        <v>7504</v>
      </c>
      <c r="C7840" s="3" t="str">
        <f>IFERROR(__xludf.DUMMYFUNCTION("GOOGLETRANSLATE(B7840,""id"",""en"")"),"['package', 'quota', 'hope', 'enthusiasts', '']")</f>
        <v>['package', 'quota', 'hope', 'enthusiasts', '']</v>
      </c>
      <c r="D7840" s="3">
        <v>5.0</v>
      </c>
    </row>
    <row r="7841" ht="15.75" customHeight="1">
      <c r="A7841" s="1">
        <v>8315.0</v>
      </c>
      <c r="B7841" s="3" t="s">
        <v>7505</v>
      </c>
      <c r="C7841" s="3" t="str">
        <f>IFERROR(__xludf.DUMMYFUNCTION("GOOGLETRANSLATE(B7841,""id"",""en"")"),"['Main', 'Game', 'Network', 'ugly', 'Severe', 'Kejangetan', 'Telkomsel', 'Proud', 'Banggain', 'Karna', 'Network', 'Good', ' Speed ​​',' stable ',' this', 'Bad', 'Ngejalanin', 'Curing', 'Telkomsel', 'Network', 'bad', 'disappointing', 'users',' Telkomsel ',"&amp;"' sorry ' , 'Telkomsel', 'satisfying', 'speed', 'network', 'network']")</f>
        <v>['Main', 'Game', 'Network', 'ugly', 'Severe', 'Kejangetan', 'Telkomsel', 'Proud', 'Banggain', 'Karna', 'Network', 'Good', ' Speed ​​',' stable ',' this', 'Bad', 'Ngejalanin', 'Curing', 'Telkomsel', 'Network', 'bad', 'disappointing', 'users',' Telkomsel ',' sorry ' , 'Telkomsel', 'satisfying', 'speed', 'network', 'network']</v>
      </c>
      <c r="D7841" s="3">
        <v>1.0</v>
      </c>
    </row>
    <row r="7842" ht="15.75" customHeight="1">
      <c r="A7842" s="1">
        <v>8316.0</v>
      </c>
      <c r="B7842" s="3" t="s">
        <v>7506</v>
      </c>
      <c r="C7842" s="3" t="str">
        <f>IFERROR(__xludf.DUMMYFUNCTION("GOOGLETRANSLATE(B7842,""id"",""en"")"),"['Network', 'Telkomsel', 'ugly', 'Gara', 'Gara', 'network', 'Telkomsel', 'task', 'send', 'task', 'smooth', 'network', ' Axis', 'Please', 'improvement', '']")</f>
        <v>['Network', 'Telkomsel', 'ugly', 'Gara', 'Gara', 'network', 'Telkomsel', 'task', 'send', 'task', 'smooth', 'network', ' Axis', 'Please', 'improvement', '']</v>
      </c>
      <c r="D7842" s="3">
        <v>1.0</v>
      </c>
    </row>
    <row r="7843" ht="15.75" customHeight="1">
      <c r="A7843" s="1">
        <v>8317.0</v>
      </c>
      <c r="B7843" s="3" t="s">
        <v>7507</v>
      </c>
      <c r="C7843" s="3" t="str">
        <f>IFERROR(__xludf.DUMMYFUNCTION("GOOGLETRANSLATE(B7843,""id"",""en"")"),"['Signal', 'Network', 'Telkomsel', 'Bad', 'Please', 'Fix', 'Bosss']")</f>
        <v>['Signal', 'Network', 'Telkomsel', 'Bad', 'Please', 'Fix', 'Bosss']</v>
      </c>
      <c r="D7843" s="3">
        <v>3.0</v>
      </c>
    </row>
    <row r="7844" ht="15.75" customHeight="1">
      <c r="A7844" s="1">
        <v>8318.0</v>
      </c>
      <c r="B7844" s="3" t="s">
        <v>7508</v>
      </c>
      <c r="C7844" s="3" t="str">
        <f>IFERROR(__xludf.DUMMYFUNCTION("GOOGLETRANSLATE(B7844,""id"",""en"")"),"['Purchase', 'package', 'leftover', 'credit', 'sufficient', 'balance', 'exceed', 'price', 'package', 'buy', ""]")</f>
        <v>['Purchase', 'package', 'leftover', 'credit', 'sufficient', 'balance', 'exceed', 'price', 'package', 'buy', "]</v>
      </c>
      <c r="D7844" s="3">
        <v>1.0</v>
      </c>
    </row>
    <row r="7845" ht="15.75" customHeight="1">
      <c r="A7845" s="1">
        <v>8319.0</v>
      </c>
      <c r="B7845" s="3" t="s">
        <v>7509</v>
      </c>
      <c r="C7845" s="3" t="str">
        <f>IFERROR(__xludf.DUMMYFUNCTION("GOOGLETRANSLATE(B7845,""id"",""en"")"),"['Please', 'Network', 'launch', 'buy', 'quota', 'expensive', 'network', 'jingan', 'already', 'good', 'love', 'bntang', ' ',' Jringan ',' Addh ',' Parahh ',' swear ']")</f>
        <v>['Please', 'Network', 'launch', 'buy', 'quota', 'expensive', 'network', 'jingan', 'already', 'good', 'love', 'bntang', ' ',' Jringan ',' Addh ',' Parahh ',' swear ']</v>
      </c>
      <c r="D7845" s="3">
        <v>1.0</v>
      </c>
    </row>
    <row r="7846" ht="15.75" customHeight="1">
      <c r="A7846" s="1">
        <v>8320.0</v>
      </c>
      <c r="B7846" s="3" t="s">
        <v>7510</v>
      </c>
      <c r="C7846" s="3" t="str">
        <f>IFERROR(__xludf.DUMMYFUNCTION("GOOGLETRANSLATE(B7846,""id"",""en"")"),"['Telkomsel', 'pulse', 'Makai', 'sucked', 'astaghfirullah', 'customer', 'annoyed', 'deh', 'permissure', 'users',' telkomsel ',' subscribe ',' package ',' DLLN ',' use ',' say ',' fell ',' prayer ',' orng ',' hurt ',' really ',' panacea ']")</f>
        <v>['Telkomsel', 'pulse', 'Makai', 'sucked', 'astaghfirullah', 'customer', 'annoyed', 'deh', 'permissure', 'users',' telkomsel ',' subscribe ',' package ',' DLLN ',' use ',' say ',' fell ',' prayer ',' orng ',' hurt ',' really ',' panacea ']</v>
      </c>
      <c r="D7846" s="3">
        <v>5.0</v>
      </c>
    </row>
    <row r="7847" ht="15.75" customHeight="1">
      <c r="A7847" s="1">
        <v>8321.0</v>
      </c>
      <c r="B7847" s="3" t="s">
        <v>7511</v>
      </c>
      <c r="C7847" s="3" t="str">
        <f>IFERROR(__xludf.DUMMYFUNCTION("GOOGLETRANSLATE(B7847,""id"",""en"")"),"['Network', 'Telkomsel', 'disappointing', '']")</f>
        <v>['Network', 'Telkomsel', 'disappointing', '']</v>
      </c>
      <c r="D7847" s="3">
        <v>1.0</v>
      </c>
    </row>
    <row r="7848" ht="15.75" customHeight="1">
      <c r="A7848" s="1">
        <v>8322.0</v>
      </c>
      <c r="B7848" s="3" t="s">
        <v>7512</v>
      </c>
      <c r="C7848" s="3" t="str">
        <f>IFERROR(__xludf.DUMMYFUNCTION("GOOGLETRANSLATE(B7848,""id"",""en"")"),"['Satisfied', 'Satisfied', 'Chackin', 'Daily', 'Hadianya', 'Package', 'Data', 'Internet', 'Like', 'Discount', 'Vocer', 'CASKBEAK', ' Because ',' Useful ',' Please ',' Understand ',' Citizens', 'Indonesia', 'Hadia', 'Radem', 'Chackin', 'Useful', 'Intereste"&amp;"d', 'Login', 'Daily' , 'Reduced', 'Call', 'Chackin', 'Hadia', 'Redem', 'Change', 'Package', 'Data', 'Internet', 'Interested', 'Login', 'Daily', ' Increases', 'Thank you', '']")</f>
        <v>['Satisfied', 'Satisfied', 'Chackin', 'Daily', 'Hadianya', 'Package', 'Data', 'Internet', 'Like', 'Discount', 'Vocer', 'CASKBEAK', ' Because ',' Useful ',' Please ',' Understand ',' Citizens', 'Indonesia', 'Hadia', 'Radem', 'Chackin', 'Useful', 'Interested', 'Login', 'Daily' , 'Reduced', 'Call', 'Chackin', 'Hadia', 'Redem', 'Change', 'Package', 'Data', 'Internet', 'Interested', 'Login', 'Daily', ' Increases', 'Thank you', '']</v>
      </c>
      <c r="D7848" s="3">
        <v>1.0</v>
      </c>
    </row>
    <row r="7849" ht="15.75" customHeight="1">
      <c r="A7849" s="1">
        <v>8323.0</v>
      </c>
      <c r="B7849" s="3" t="s">
        <v>7513</v>
      </c>
      <c r="C7849" s="3" t="str">
        <f>IFERROR(__xludf.DUMMYFUNCTION("GOOGLETRANSLATE(B7849,""id"",""en"")"),"['Please', 'The network', 'expanded', 'DRMH', 'signal', 'Enk', 'skrg', 'ilang', 'Embossed', ""]")</f>
        <v>['Please', 'The network', 'expanded', 'DRMH', 'signal', 'Enk', 'skrg', 'ilang', 'Embossed', "]</v>
      </c>
      <c r="D7849" s="3">
        <v>3.0</v>
      </c>
    </row>
    <row r="7850" ht="15.75" customHeight="1">
      <c r="A7850" s="1">
        <v>8324.0</v>
      </c>
      <c r="B7850" s="3" t="s">
        <v>7514</v>
      </c>
      <c r="C7850" s="3" t="str">
        <f>IFERROR(__xludf.DUMMYFUNCTION("GOOGLETRANSLATE(B7850,""id"",""en"")"),"['access', 'fast', 'need', 'charging', 'pulse', 'package', 'data', '']")</f>
        <v>['access', 'fast', 'need', 'charging', 'pulse', 'package', 'data', '']</v>
      </c>
      <c r="D7850" s="3">
        <v>5.0</v>
      </c>
    </row>
    <row r="7851" ht="15.75" customHeight="1">
      <c r="A7851" s="1">
        <v>8325.0</v>
      </c>
      <c r="B7851" s="3" t="s">
        <v>7515</v>
      </c>
      <c r="C7851" s="3" t="str">
        <f>IFERROR(__xludf.DUMMYFUNCTION("GOOGLETRANSLATE(B7851,""id"",""en"")"),"['Please', 'Telkomsel', 'Network', 'Telkomsel', 'Lemott', 'Really', 'Rich', 'Keong', 'Slow', 'Loading', 'Uda', 'Pay', ' expensive ',' service ',' satisfying ',' delicious', 'moved', 'network', 'disorder', 'please', 'Telkomsel', 'special', 'sumatra', 'sout"&amp;"h']")</f>
        <v>['Please', 'Telkomsel', 'Network', 'Telkomsel', 'Lemott', 'Really', 'Rich', 'Keong', 'Slow', 'Loading', 'Uda', 'Pay', ' expensive ',' service ',' satisfying ',' delicious', 'moved', 'network', 'disorder', 'please', 'Telkomsel', 'special', 'sumatra', 'south']</v>
      </c>
      <c r="D7851" s="3">
        <v>1.0</v>
      </c>
    </row>
    <row r="7852" ht="15.75" customHeight="1">
      <c r="A7852" s="1">
        <v>8326.0</v>
      </c>
      <c r="B7852" s="3" t="s">
        <v>7516</v>
      </c>
      <c r="C7852" s="3" t="str">
        <f>IFERROR(__xludf.DUMMYFUNCTION("GOOGLETRANSLATE(B7852,""id"",""en"")"),"['Please', 'Customize', 'Quality', 'Price', 'Package', 'Price', 'Package', 'Expensive', 'The Network', 'Slow', 'Asked', 'Very']")</f>
        <v>['Please', 'Customize', 'Quality', 'Price', 'Package', 'Price', 'Package', 'Expensive', 'The Network', 'Slow', 'Asked', 'Very']</v>
      </c>
      <c r="D7852" s="3">
        <v>1.0</v>
      </c>
    </row>
    <row r="7853" ht="15.75" customHeight="1">
      <c r="A7853" s="1">
        <v>8327.0</v>
      </c>
      <c r="B7853" s="3" t="s">
        <v>7517</v>
      </c>
      <c r="C7853" s="3" t="str">
        <f>IFERROR(__xludf.DUMMYFUNCTION("GOOGLETRANSLATE(B7853,""id"",""en"")"),"['Forced', 'Reduce', 'Karna', 'Service', 'Membli', 'Package', 'Data', 'Wear', 'Payment', 'Credit', 'Sudh', 'Please', ' Fix ',' Service ',' Purchase ',' Package ',' Data ',' Application ']")</f>
        <v>['Forced', 'Reduce', 'Karna', 'Service', 'Membli', 'Package', 'Data', 'Wear', 'Payment', 'Credit', 'Sudh', 'Please', ' Fix ',' Service ',' Purchase ',' Package ',' Data ',' Application ']</v>
      </c>
      <c r="D7853" s="3">
        <v>2.0</v>
      </c>
    </row>
    <row r="7854" ht="15.75" customHeight="1">
      <c r="A7854" s="1">
        <v>8328.0</v>
      </c>
      <c r="B7854" s="3" t="s">
        <v>7518</v>
      </c>
      <c r="C7854" s="3" t="str">
        <f>IFERROR(__xludf.DUMMYFUNCTION("GOOGLETRANSLATE(B7854,""id"",""en"")"),"['sanget', 'disappointed', 'network', 'Telkomsel', 'network', 'widest', 'TPI', 'Jariganx', 'stable', 'already', 'price', 'package', ' expensive ',' net ',' stable ',' kasi ',' star ',' deh ']")</f>
        <v>['sanget', 'disappointed', 'network', 'Telkomsel', 'network', 'widest', 'TPI', 'Jariganx', 'stable', 'already', 'price', 'package', ' expensive ',' net ',' stable ',' kasi ',' star ',' deh ']</v>
      </c>
      <c r="D7854" s="3">
        <v>1.0</v>
      </c>
    </row>
    <row r="7855" ht="15.75" customHeight="1">
      <c r="A7855" s="1">
        <v>8329.0</v>
      </c>
      <c r="B7855" s="3" t="s">
        <v>7519</v>
      </c>
      <c r="C7855" s="3" t="str">
        <f>IFERROR(__xludf.DUMMYFUNCTION("GOOGLETRANSLATE(B7855,""id"",""en"")"),"['application', 'poor', 'buy', 'quota', 'expensive', 'signal', 'internet', 'lemott', 'quality', 'here', 'poor', 'Telkomsel', ' ']")</f>
        <v>['application', 'poor', 'buy', 'quota', 'expensive', 'signal', 'internet', 'lemott', 'quality', 'here', 'poor', 'Telkomsel', ' ']</v>
      </c>
      <c r="D7855" s="3">
        <v>1.0</v>
      </c>
    </row>
    <row r="7856" ht="15.75" customHeight="1">
      <c r="A7856" s="1">
        <v>8330.0</v>
      </c>
      <c r="B7856" s="3" t="s">
        <v>7520</v>
      </c>
      <c r="C7856" s="3" t="str">
        <f>IFERROR(__xludf.DUMMYFUNCTION("GOOGLETRANSLATE(B7856,""id"",""en"")"),"['enek', 'quality', 'Jaringa', 'Telkomsel', 'Lumet', 'Telkomsel', 'use', 'mask', 'times',' kerena ',' use ',' mask ',' Quality ',' network ',' skat ',' due to ',' mask ',' replace ',' ']")</f>
        <v>['enek', 'quality', 'Jaringa', 'Telkomsel', 'Lumet', 'Telkomsel', 'use', 'mask', 'times',' kerena ',' use ',' mask ',' Quality ',' network ',' skat ',' due to ',' mask ',' replace ',' ']</v>
      </c>
      <c r="D7856" s="3">
        <v>1.0</v>
      </c>
    </row>
    <row r="7857" ht="15.75" customHeight="1">
      <c r="A7857" s="1">
        <v>8331.0</v>
      </c>
      <c r="B7857" s="3" t="s">
        <v>8</v>
      </c>
      <c r="C7857" s="3" t="str">
        <f>IFERROR(__xludf.DUMMYFUNCTION("GOOGLETRANSLATE(B7857,""id"",""en"")"),"['application']")</f>
        <v>['application']</v>
      </c>
      <c r="D7857" s="3">
        <v>4.0</v>
      </c>
    </row>
    <row r="7858" ht="15.75" customHeight="1">
      <c r="A7858" s="1">
        <v>8332.0</v>
      </c>
      <c r="B7858" s="3" t="s">
        <v>7521</v>
      </c>
      <c r="C7858" s="3" t="str">
        <f>IFERROR(__xludf.DUMMYFUNCTION("GOOGLETRANSLATE(B7858,""id"",""en"")"),"['Please', 'Network', 'Region', 'Kecmatan', 'Kampar', 'Kabupaten', 'Kampar', 'Province', 'Riau', 'Fix', 'Nge', 'lag', ' network ',' stable ']")</f>
        <v>['Please', 'Network', 'Region', 'Kecmatan', 'Kampar', 'Kabupaten', 'Kampar', 'Province', 'Riau', 'Fix', 'Nge', 'lag', ' network ',' stable ']</v>
      </c>
      <c r="D7858" s="3">
        <v>3.0</v>
      </c>
    </row>
    <row r="7859" ht="15.75" customHeight="1">
      <c r="A7859" s="1">
        <v>8333.0</v>
      </c>
      <c r="B7859" s="3" t="s">
        <v>7522</v>
      </c>
      <c r="C7859" s="3" t="str">
        <f>IFERROR(__xludf.DUMMYFUNCTION("GOOGLETRANSLATE(B7859,""id"",""en"")"),"['Jozzz', 'package', 'cheap', 'internet', 'wuzzzz']")</f>
        <v>['Jozzz', 'package', 'cheap', 'internet', 'wuzzzz']</v>
      </c>
      <c r="D7859" s="3">
        <v>5.0</v>
      </c>
    </row>
    <row r="7860" ht="15.75" customHeight="1">
      <c r="A7860" s="1">
        <v>8334.0</v>
      </c>
      <c r="B7860" s="3" t="s">
        <v>7523</v>
      </c>
      <c r="C7860" s="3" t="str">
        <f>IFERROR(__xludf.DUMMYFUNCTION("GOOGLETRANSLATE(B7860,""id"",""en"")"),"['Please', 'exchanges',' Telkomsel ',' Points', 'Points',' Double ',' Exchange ',' NGK ',' Capa ',' Nge ',' Click ',' Points', ' Until ',' hundreds', ""]")</f>
        <v>['Please', 'exchanges',' Telkomsel ',' Points', 'Points',' Double ',' Exchange ',' NGK ',' Capa ',' Nge ',' Click ',' Points', ' Until ',' hundreds', "]</v>
      </c>
      <c r="D7860" s="3">
        <v>2.0</v>
      </c>
    </row>
    <row r="7861" ht="15.75" customHeight="1">
      <c r="A7861" s="1">
        <v>8335.0</v>
      </c>
      <c r="B7861" s="3" t="s">
        <v>7524</v>
      </c>
      <c r="C7861" s="3" t="str">
        <f>IFERROR(__xludf.DUMMYFUNCTION("GOOGLETRANSLATE(B7861,""id"",""en"")"),"['Alhamdulillah', 'Telkomsel', 'Current', 'Jaya']")</f>
        <v>['Alhamdulillah', 'Telkomsel', 'Current', 'Jaya']</v>
      </c>
      <c r="D7861" s="3">
        <v>5.0</v>
      </c>
    </row>
    <row r="7862" ht="15.75" customHeight="1">
      <c r="A7862" s="1">
        <v>8336.0</v>
      </c>
      <c r="B7862" s="3" t="s">
        <v>7525</v>
      </c>
      <c r="C7862" s="3" t="str">
        <f>IFERROR(__xludf.DUMMYFUNCTION("GOOGLETRANSLATE(B7862,""id"",""en"")"),"['Network', 'stable', 'Place', 'Fifty', 'City', 'Sumatran', 'West', 'Network', 'Lost', 'Embossed', 'Please', 'Repaired', ' already ',' package ',' expensive ',' network ',' stable ',' sampe ',' tens', 'dtk', 'telkomsel', 'low', 'response', 'complaint', 's"&amp;"evere' , 'Change', 'user', 'loyal', 'Telkomsel']")</f>
        <v>['Network', 'stable', 'Place', 'Fifty', 'City', 'Sumatran', 'West', 'Network', 'Lost', 'Embossed', 'Please', 'Repaired', ' already ',' package ',' expensive ',' network ',' stable ',' sampe ',' tens', 'dtk', 'telkomsel', 'low', 'response', 'complaint', 'severe' , 'Change', 'user', 'loyal', 'Telkomsel']</v>
      </c>
      <c r="D7862" s="3">
        <v>1.0</v>
      </c>
    </row>
    <row r="7863" ht="15.75" customHeight="1">
      <c r="A7863" s="1">
        <v>8337.0</v>
      </c>
      <c r="B7863" s="3" t="s">
        <v>7526</v>
      </c>
      <c r="C7863" s="3" t="str">
        <f>IFERROR(__xludf.DUMMYFUNCTION("GOOGLETRANSLATE(B7863,""id"",""en"")"),"['price', 'package', 'expensive', 'signal', 'bad', 'Telkomsel', 'okay', 'ping', 'stable', 'signal', 'fullbar', 'open', ' Snap ',' loading ',' play ',' ms', 'stable', 'download', 'file', 'dapet', 'kbps',' dapet ',' kbps', 'already', 'thank you' , 'Good', '"&amp;"Red', 'Slumping', '']")</f>
        <v>['price', 'package', 'expensive', 'signal', 'bad', 'Telkomsel', 'okay', 'ping', 'stable', 'signal', 'fullbar', 'open', ' Snap ',' loading ',' play ',' ms', 'stable', 'download', 'file', 'dapet', 'kbps',' dapet ',' kbps', 'already', 'thank you' , 'Good', 'Red', 'Slumping', '']</v>
      </c>
      <c r="D7863" s="3">
        <v>1.0</v>
      </c>
    </row>
    <row r="7864" ht="15.75" customHeight="1">
      <c r="A7864" s="1">
        <v>8338.0</v>
      </c>
      <c r="B7864" s="3" t="s">
        <v>7527</v>
      </c>
      <c r="C7864" s="3" t="str">
        <f>IFERROR(__xludf.DUMMYFUNCTION("GOOGLETRANSLATE(B7864,""id"",""en"")"),"['bad', 'network', 'MB', 'sec', 'play', 'ngelag', 'recconect', 'open', 'COC', 'reconnect', 'bullak', 'open', ' Sometimes', 'Nggk', 'strong', 'bad', 'network', 'Telkomsel', 'Please', 'explanation', 'thank', 'love', ""]")</f>
        <v>['bad', 'network', 'MB', 'sec', 'play', 'ngelag', 'recconect', 'open', 'COC', 'reconnect', 'bullak', 'open', ' Sometimes', 'Nggk', 'strong', 'bad', 'network', 'Telkomsel', 'Please', 'explanation', 'thank', 'love', "]</v>
      </c>
      <c r="D7864" s="3">
        <v>1.0</v>
      </c>
    </row>
    <row r="7865" ht="15.75" customHeight="1">
      <c r="A7865" s="1">
        <v>8339.0</v>
      </c>
      <c r="B7865" s="3" t="s">
        <v>7528</v>
      </c>
      <c r="C7865" s="3" t="str">
        <f>IFERROR(__xludf.DUMMYFUNCTION("GOOGLETRANSLATE(B7865,""id"",""en"")"),"['', 'deliberate', 'replace', 'card', 'SIM', 'Telkomsel', 'direct', 'run out', 'credit', 'rb', 'count', 'second', 'Telkomsel ',' ']")</f>
        <v>['', 'deliberate', 'replace', 'card', 'SIM', 'Telkomsel', 'direct', 'run out', 'credit', 'rb', 'count', 'second', 'Telkomsel ',' ']</v>
      </c>
      <c r="D7865" s="3">
        <v>1.0</v>
      </c>
    </row>
    <row r="7866" ht="15.75" customHeight="1">
      <c r="A7866" s="1">
        <v>8340.0</v>
      </c>
      <c r="B7866" s="3" t="s">
        <v>7529</v>
      </c>
      <c r="C7866" s="3" t="str">
        <f>IFERROR(__xludf.DUMMYFUNCTION("GOOGLETRANSLATE(B7866,""id"",""en"")"),"['The application', 'good', 'choice', 'package', 'internet', 'ugly', 'suggestion', 'already', 'one', 'quota', 'main', 'that's']")</f>
        <v>['The application', 'good', 'choice', 'package', 'internet', 'ugly', 'suggestion', 'already', 'one', 'quota', 'main', 'that's']</v>
      </c>
      <c r="D7866" s="3">
        <v>1.0</v>
      </c>
    </row>
    <row r="7867" ht="15.75" customHeight="1">
      <c r="A7867" s="1">
        <v>8341.0</v>
      </c>
      <c r="B7867" s="3" t="s">
        <v>7530</v>
      </c>
      <c r="C7867" s="3" t="str">
        <f>IFERROR(__xludf.DUMMYFUNCTION("GOOGLETRANSLATE(B7867,""id"",""en"")"),"['', 'star', 'DLU', 'NNT', 'Addin', 'Telkomsel', 'Sometimes',' Error ',' Lom ',' Claim ',' Ehh ',' Udh ',' Considered ',' automatic ',' Hnya ',' Signed ',' check ',' Dayli ',' ktanya ',' udh ',' trlalu ',' sring ',' hhmmm ',' scorched ',' deh ', 'quota', "&amp;"'free', 'hope', 'hope', 'telkomsel', 'lbih', 'front', 'pay attention', 'bsa', 'buy', 'package', 'price', 'condition ',' little ',' okeyyy ',' good ',' Luck ',' Telkomsel ']")</f>
        <v>['', 'star', 'DLU', 'NNT', 'Addin', 'Telkomsel', 'Sometimes',' Error ',' Lom ',' Claim ',' Ehh ',' Udh ',' Considered ',' automatic ',' Hnya ',' Signed ',' check ',' Dayli ',' ktanya ',' udh ',' trlalu ',' sring ',' hhmmm ',' scorched ',' deh ', 'quota', 'free', 'hope', 'hope', 'telkomsel', 'lbih', 'front', 'pay attention', 'bsa', 'buy', 'package', 'price', 'condition ',' little ',' okeyyy ',' good ',' Luck ',' Telkomsel ']</v>
      </c>
      <c r="D7867" s="3">
        <v>4.0</v>
      </c>
    </row>
    <row r="7868" ht="15.75" customHeight="1">
      <c r="A7868" s="1">
        <v>8342.0</v>
      </c>
      <c r="B7868" s="3" t="s">
        <v>7531</v>
      </c>
      <c r="C7868" s="3" t="str">
        <f>IFERROR(__xludf.DUMMYFUNCTION("GOOGLETRANSLATE(B7868,""id"",""en"")"),"['Dapet', 'SMS', 'Kyak', 'Gini', 'Operator', 'Telkomsel', 'Paying', 'Package', 'Emergency', 'Please', 'Charging', 'Credit', ' Payment ',' automatic ',' Hallo ',' Mas ',' Mbak ',' Honest ',' No ',' Minjam ',' Package ',' Emergency ',' told "", 'Getting', '"&amp;"Please' , 'no', 'Gini', 'Nipu', ""]")</f>
        <v>['Dapet', 'SMS', 'Kyak', 'Gini', 'Operator', 'Telkomsel', 'Paying', 'Package', 'Emergency', 'Please', 'Charging', 'Credit', ' Payment ',' automatic ',' Hallo ',' Mas ',' Mbak ',' Honest ',' No ',' Minjam ',' Package ',' Emergency ',' told ", 'Getting', 'Please' , 'no', 'Gini', 'Nipu', "]</v>
      </c>
      <c r="D7868" s="3">
        <v>1.0</v>
      </c>
    </row>
    <row r="7869" ht="15.75" customHeight="1">
      <c r="A7869" s="1">
        <v>8343.0</v>
      </c>
      <c r="B7869" s="3" t="s">
        <v>7532</v>
      </c>
      <c r="C7869" s="3" t="str">
        <f>IFERROR(__xludf.DUMMYFUNCTION("GOOGLETRANSLATE(B7869,""id"",""en"")"),"['Network', 'Region', 'Fix', 'Tel', 'Chat', 'Email', ""]")</f>
        <v>['Network', 'Region', 'Fix', 'Tel', 'Chat', 'Email', "]</v>
      </c>
      <c r="D7869" s="3">
        <v>2.0</v>
      </c>
    </row>
    <row r="7870" ht="15.75" customHeight="1">
      <c r="A7870" s="1">
        <v>8344.0</v>
      </c>
      <c r="B7870" s="3" t="s">
        <v>7533</v>
      </c>
      <c r="C7870" s="3" t="str">
        <f>IFERROR(__xludf.DUMMYFUNCTION("GOOGLETRANSLATE(B7870,""id"",""en"")"),"['contents',' pulse ',' open ',' app ',' sumps', 'hilarious',' udh ',' that's', 'cave', 'owe', 'package', 'put it', ' Cut ',' leftover ',' debt ',' little ',' right ',' moon ',' cut ',' udh ',' so ',' cut ',' dri ',' the rest ', ""]")</f>
        <v>['contents',' pulse ',' open ',' app ',' sumps', 'hilarious',' udh ',' that's', 'cave', 'owe', 'package', 'put it', ' Cut ',' leftover ',' debt ',' little ',' right ',' moon ',' cut ',' udh ',' so ',' cut ',' dri ',' the rest ', "]</v>
      </c>
      <c r="D7870" s="3">
        <v>1.0</v>
      </c>
    </row>
    <row r="7871" ht="15.75" customHeight="1">
      <c r="A7871" s="1">
        <v>8345.0</v>
      </c>
      <c r="B7871" s="3" t="s">
        <v>7534</v>
      </c>
      <c r="C7871" s="3" t="str">
        <f>IFERROR(__xludf.DUMMYFUNCTION("GOOGLETRANSLATE(B7871,""id"",""en"")"),"['Wear', 'pulse', 'access',' internet ',' non ',' package ',' blind ',' eyes', 'Telkomsel', 'package', 'pulses',' swallow ',' ']")</f>
        <v>['Wear', 'pulse', 'access',' internet ',' non ',' package ',' blind ',' eyes', 'Telkomsel', 'package', 'pulses',' swallow ',' ']</v>
      </c>
      <c r="D7871" s="3">
        <v>1.0</v>
      </c>
    </row>
    <row r="7872" ht="15.75" customHeight="1">
      <c r="A7872" s="1">
        <v>8346.0</v>
      </c>
      <c r="B7872" s="3" t="s">
        <v>7535</v>
      </c>
      <c r="C7872" s="3" t="str">
        <f>IFERROR(__xludf.DUMMYFUNCTION("GOOGLETRANSLATE(B7872,""id"",""en"")"),"['Telkomsel', 'Canal', 'experience', 'obstacles', 'network']")</f>
        <v>['Telkomsel', 'Canal', 'experience', 'obstacles', 'network']</v>
      </c>
      <c r="D7872" s="3">
        <v>2.0</v>
      </c>
    </row>
    <row r="7873" ht="15.75" customHeight="1">
      <c r="A7873" s="1">
        <v>8347.0</v>
      </c>
      <c r="B7873" s="3" t="s">
        <v>7536</v>
      </c>
      <c r="C7873" s="3" t="str">
        <f>IFERROR(__xludf.DUMMYFUNCTION("GOOGLETRANSLATE(B7873,""id"",""en"")"),"['Telkomsel', 'slow', 'really', 'buy', 'package', 'internet', 'difficult', 'enter', 'enter', 'package']")</f>
        <v>['Telkomsel', 'slow', 'really', 'buy', 'package', 'internet', 'difficult', 'enter', 'enter', 'package']</v>
      </c>
      <c r="D7873" s="3">
        <v>1.0</v>
      </c>
    </row>
    <row r="7874" ht="15.75" customHeight="1">
      <c r="A7874" s="1">
        <v>8348.0</v>
      </c>
      <c r="B7874" s="3" t="s">
        <v>7537</v>
      </c>
      <c r="C7874" s="3" t="str">
        <f>IFERROR(__xludf.DUMMYFUNCTION("GOOGLETRANSLATE(B7874,""id"",""en"")"),"['buy', 'quota', 'TPI', 'run out', 'quota', 'ngapangapain', 'donow', 'rare', 'watch', 'rare', 'realize', 'rampok', ' ']")</f>
        <v>['buy', 'quota', 'TPI', 'run out', 'quota', 'ngapangapain', 'donow', 'rare', 'watch', 'rare', 'realize', 'rampok', ' ']</v>
      </c>
      <c r="D7874" s="3">
        <v>1.0</v>
      </c>
    </row>
    <row r="7875" ht="15.75" customHeight="1">
      <c r="A7875" s="1">
        <v>8349.0</v>
      </c>
      <c r="B7875" s="3" t="s">
        <v>7538</v>
      </c>
      <c r="C7875" s="3" t="str">
        <f>IFERROR(__xludf.DUMMYFUNCTION("GOOGLETRANSLATE(B7875,""id"",""en"")"),"['buy', 'package', 'try', 'times', 'connection', '']")</f>
        <v>['buy', 'package', 'try', 'times', 'connection', '']</v>
      </c>
      <c r="D7875" s="3">
        <v>1.0</v>
      </c>
    </row>
    <row r="7876" ht="15.75" customHeight="1">
      <c r="A7876" s="1">
        <v>8350.0</v>
      </c>
      <c r="B7876" s="3" t="s">
        <v>7539</v>
      </c>
      <c r="C7876" s="3" t="str">
        <f>IFERROR(__xludf.DUMMYFUNCTION("GOOGLETRANSLATE(B7876,""id"",""en"")"),"['The application', 'slow', 'entered', 'already', 'so', 'buy', 'package', 'difficult', 'really', 'method', 'payment']")</f>
        <v>['The application', 'slow', 'entered', 'already', 'so', 'buy', 'package', 'difficult', 'really', 'method', 'payment']</v>
      </c>
      <c r="D7876" s="3">
        <v>2.0</v>
      </c>
    </row>
    <row r="7877" ht="15.75" customHeight="1">
      <c r="A7877" s="1">
        <v>8351.0</v>
      </c>
      <c r="B7877" s="3" t="s">
        <v>7540</v>
      </c>
      <c r="C7877" s="3" t="str">
        <f>IFERROR(__xludf.DUMMYFUNCTION("GOOGLETRANSLATE(B7877,""id"",""en"")"),"['Tekkomsel', 'contents',' pulse ',' sucked ',' minutes', 'contents',' pulse ',' buy ',' package ',' watch ',' suck ',' stay ',' thousand ',' so ',' bemer ',' bemer ',' card ',' telkomsel ',' sekalinlagi ',' sound ',' sucked ',' stop ',' subscribe ',' get"&amp;" ',' chat ' , 'SMS', 'Ggak', 'know']")</f>
        <v>['Tekkomsel', 'contents',' pulse ',' sucked ',' minutes', 'contents',' pulse ',' buy ',' package ',' watch ',' suck ',' stay ',' thousand ',' so ',' bemer ',' bemer ',' card ',' telkomsel ',' sekalinlagi ',' sound ',' sucked ',' stop ',' subscribe ',' get ',' chat ' , 'SMS', 'Ggak', 'know']</v>
      </c>
      <c r="D7877" s="3">
        <v>1.0</v>
      </c>
    </row>
    <row r="7878" ht="15.75" customHeight="1">
      <c r="A7878" s="1">
        <v>8352.0</v>
      </c>
      <c r="B7878" s="3" t="s">
        <v>7541</v>
      </c>
      <c r="C7878" s="3" t="str">
        <f>IFERROR(__xludf.DUMMYFUNCTION("GOOGLETRANSLATE(B7878,""id"",""en"")"),"['intentionally', 'love', 'star', 'number', 'Login', 'Link', 'Sent', 'SMS', 'Valid', 'Telkomsel', 'Bad', 'Service', ' disappointed']")</f>
        <v>['intentionally', 'love', 'star', 'number', 'Login', 'Link', 'Sent', 'SMS', 'Valid', 'Telkomsel', 'Bad', 'Service', ' disappointed']</v>
      </c>
      <c r="D7878" s="3">
        <v>5.0</v>
      </c>
    </row>
    <row r="7879" ht="15.75" customHeight="1">
      <c r="A7879" s="1">
        <v>8353.0</v>
      </c>
      <c r="B7879" s="3" t="s">
        <v>7542</v>
      </c>
      <c r="C7879" s="3" t="str">
        <f>IFERROR(__xludf.DUMMYFUNCTION("GOOGLETRANSLATE(B7879,""id"",""en"")"),"['Please', 'Telkomsel', 'just', 'win', 'expensive', 'Doank', 'signal', 'all day', 'clock', 'afternoon', 'signal', 'normal', ' Sometimes', 'slow', 'really', 'woi']")</f>
        <v>['Please', 'Telkomsel', 'just', 'win', 'expensive', 'Doank', 'signal', 'all day', 'clock', 'afternoon', 'signal', 'normal', ' Sometimes', 'slow', 'really', 'woi']</v>
      </c>
      <c r="D7879" s="3">
        <v>1.0</v>
      </c>
    </row>
    <row r="7880" ht="15.75" customHeight="1">
      <c r="A7880" s="1">
        <v>8354.0</v>
      </c>
      <c r="B7880" s="3" t="s">
        <v>7543</v>
      </c>
      <c r="C7880" s="3" t="str">
        <f>IFERROR(__xludf.DUMMYFUNCTION("GOOGLETRANSLATE(B7880,""id"",""en"")"),"['Try', 'cheap', 'Interet', 'mys']")</f>
        <v>['Try', 'cheap', 'Interet', 'mys']</v>
      </c>
      <c r="D7880" s="3">
        <v>1.0</v>
      </c>
    </row>
    <row r="7881" ht="15.75" customHeight="1">
      <c r="A7881" s="1">
        <v>8355.0</v>
      </c>
      <c r="B7881" s="3" t="s">
        <v>7544</v>
      </c>
      <c r="C7881" s="3" t="str">
        <f>IFERROR(__xludf.DUMMYFUNCTION("GOOGLETRANSLATE(B7881,""id"",""en"")"),"['coin', 'tired', 'managing', 'coin', 'exchange', 'coin', 'bkn', 'krna', 'network', 'gnti', 'card', 'mcm', ' mna ',' lbih ',' expensive ',' ttap ',' use ',' telkomsel ',' pny ',' blm ',' prnh ',' gnti ',' card ',' because 'network' , 'bwh', 'card', 'lbh',"&amp;" 'expensive', 'telkomsel', 'udh', 'brkali', 'delete', 'install', 'mrasa', 'brguna', 'brt years',' use ',' Telkomsel ',' know ',' prah ',' surprise ',' Telkomsel ',' jdi ',' essence ',' brtahan ',' cma ',' jingan ',' hmmm ', ""]")</f>
        <v>['coin', 'tired', 'managing', 'coin', 'exchange', 'coin', 'bkn', 'krna', 'network', 'gnti', 'card', 'mcm', ' mna ',' lbih ',' expensive ',' ttap ',' use ',' telkomsel ',' pny ',' blm ',' prnh ',' gnti ',' card ',' because 'network' , 'bwh', 'card', 'lbh', 'expensive', 'telkomsel', 'udh', 'brkali', 'delete', 'install', 'mrasa', 'brguna', 'brt years',' use ',' Telkomsel ',' know ',' prah ',' surprise ',' Telkomsel ',' jdi ',' essence ',' brtahan ',' cma ',' jingan ',' hmmm ', "]</v>
      </c>
      <c r="D7881" s="3">
        <v>1.0</v>
      </c>
    </row>
    <row r="7882" ht="15.75" customHeight="1">
      <c r="A7882" s="1">
        <v>8356.0</v>
      </c>
      <c r="B7882" s="3" t="s">
        <v>7545</v>
      </c>
      <c r="C7882" s="3" t="str">
        <f>IFERROR(__xludf.DUMMYFUNCTION("GOOGLETRANSLATE(B7882,""id"",""en"")"),"['Your Network', 'getting', 'Sikett', 'Medan', 'Tengok', 'ugly', 'Kalii', 'Gosah', 'Thinking', 'Flatish', 'Thinking', 'Kek', ' force ',' times', 'Cool', 'accepted', 'person', 'kalok', 'advanced', 'technology', 'looks',' consumer ',' pay ',' expensive ',' "&amp;"expensive ' , 'price', 'package', 'compared to', 'provider', 'quality', 'gajelas', 'shy', 'provider', ""]")</f>
        <v>['Your Network', 'getting', 'Sikett', 'Medan', 'Tengok', 'ugly', 'Kalii', 'Gosah', 'Thinking', 'Flatish', 'Thinking', 'Kek', ' force ',' times', 'Cool', 'accepted', 'person', 'kalok', 'advanced', 'technology', 'looks',' consumer ',' pay ',' expensive ',' expensive ' , 'price', 'package', 'compared to', 'provider', 'quality', 'gajelas', 'shy', 'provider', "]</v>
      </c>
      <c r="D7882" s="3">
        <v>1.0</v>
      </c>
    </row>
    <row r="7883" ht="15.75" customHeight="1">
      <c r="A7883" s="1">
        <v>8357.0</v>
      </c>
      <c r="B7883" s="3" t="s">
        <v>7546</v>
      </c>
      <c r="C7883" s="3" t="str">
        <f>IFERROR(__xludf.DUMMYFUNCTION("GOOGLETRANSLATE(B7883,""id"",""en"")"),"['Reting', 'Star', 'Lower', 'Star', 'Application', 'The network', 'Lemot', 'Reach', 'Lestzed', 'Region', ""]")</f>
        <v>['Reting', 'Star', 'Lower', 'Star', 'Application', 'The network', 'Lemot', 'Reach', 'Lestzed', 'Region', "]</v>
      </c>
      <c r="D7883" s="3">
        <v>1.0</v>
      </c>
    </row>
    <row r="7884" ht="15.75" customHeight="1">
      <c r="A7884" s="1">
        <v>8358.0</v>
      </c>
      <c r="B7884" s="3" t="s">
        <v>7547</v>
      </c>
      <c r="C7884" s="3" t="str">
        <f>IFERROR(__xludf.DUMMYFUNCTION("GOOGLETRANSLATE(B7884,""id"",""en"")"),"['Please', 'Price', 'Package', 'Internet', 'Telkomsel', 'Colorin', 'Expensive', 'Sometimes', 'Sinyl', 'Sush', 'Night']")</f>
        <v>['Please', 'Price', 'Package', 'Internet', 'Telkomsel', 'Colorin', 'Expensive', 'Sometimes', 'Sinyl', 'Sush', 'Night']</v>
      </c>
      <c r="D7884" s="3">
        <v>4.0</v>
      </c>
    </row>
    <row r="7885" ht="15.75" customHeight="1">
      <c r="A7885" s="1">
        <v>8359.0</v>
      </c>
      <c r="B7885" s="3" t="s">
        <v>7548</v>
      </c>
      <c r="C7885" s="3" t="str">
        <f>IFERROR(__xludf.DUMMYFUNCTION("GOOGLETRANSLATE(B7885,""id"",""en"")"),"['Please', 'fix', 'signal', 'city', 'like', 'earth', 'signal', 'down', 'sometimes',' edge ',' sometimes', 'sometimes',' Please ',' fix ',' signal ',' interfere ',' ']")</f>
        <v>['Please', 'fix', 'signal', 'city', 'like', 'earth', 'signal', 'down', 'sometimes',' edge ',' sometimes', 'sometimes',' Please ',' fix ',' signal ',' interfere ',' ']</v>
      </c>
      <c r="D7885" s="3">
        <v>1.0</v>
      </c>
    </row>
    <row r="7886" ht="15.75" customHeight="1">
      <c r="A7886" s="1">
        <v>8360.0</v>
      </c>
      <c r="B7886" s="3" t="s">
        <v>7549</v>
      </c>
      <c r="C7886" s="3" t="str">
        <f>IFERROR(__xludf.DUMMYFUNCTION("GOOGLETRANSLATE(B7886,""id"",""en"")"),"['Disappointed', 'Severe', 'Quality', 'Telkomsel', 'Signal', 'Telkomsel', 'Worth', 'Acungi', 'Thumb', 'Connection', 'Stable', 'Pokonya', ' Champion ',' really ',' skrng ',' quality ',' downhill ',' severe ',' disappointed ',' ']")</f>
        <v>['Disappointed', 'Severe', 'Quality', 'Telkomsel', 'Signal', 'Telkomsel', 'Worth', 'Acungi', 'Thumb', 'Connection', 'Stable', 'Pokonya', ' Champion ',' really ',' skrng ',' quality ',' downhill ',' severe ',' disappointed ',' ']</v>
      </c>
      <c r="D7886" s="3">
        <v>1.0</v>
      </c>
    </row>
    <row r="7887" ht="15.75" customHeight="1">
      <c r="A7887" s="1">
        <v>8361.0</v>
      </c>
      <c r="B7887" s="3" t="s">
        <v>7550</v>
      </c>
      <c r="C7887" s="3" t="str">
        <f>IFERROR(__xludf.DUMMYFUNCTION("GOOGLETRANSLATE(B7887,""id"",""en"")"),"['network', 'Telkomsel', 'here', 'chaotic', 'play', 'game', 'online', 'ping it', 'red', 'LTE', 'signal', 'full', ' streaming ',' youtuban ',' buffering ',' mulu ',' download ',' really ',' signal ',' feel ',' ']")</f>
        <v>['network', 'Telkomsel', 'here', 'chaotic', 'play', 'game', 'online', 'ping it', 'red', 'LTE', 'signal', 'full', ' streaming ',' youtuban ',' buffering ',' mulu ',' download ',' really ',' signal ',' feel ',' ']</v>
      </c>
      <c r="D7887" s="3">
        <v>1.0</v>
      </c>
    </row>
    <row r="7888" ht="15.75" customHeight="1">
      <c r="A7888" s="1">
        <v>8362.0</v>
      </c>
      <c r="B7888" s="3" t="s">
        <v>7551</v>
      </c>
      <c r="C7888" s="3" t="str">
        <f>IFERROR(__xludf.DUMMYFUNCTION("GOOGLETRANSLATE(B7888,""id"",""en"")"),"['easy', 'understand', 'easy', 'travel', 'application']")</f>
        <v>['easy', 'understand', 'easy', 'travel', 'application']</v>
      </c>
      <c r="D7888" s="3">
        <v>1.0</v>
      </c>
    </row>
    <row r="7889" ht="15.75" customHeight="1">
      <c r="A7889" s="1">
        <v>8363.0</v>
      </c>
      <c r="B7889" s="3" t="s">
        <v>7552</v>
      </c>
      <c r="C7889" s="3" t="str">
        <f>IFERROR(__xludf.DUMMYFUNCTION("GOOGLETRANSLATE(B7889,""id"",""en"")"),"['Admin', 'Bintang', 'Reduce', 'Paketan', 'Daily', 'Weekly', 'Combo', 'Sakti', 'Price', '']")</f>
        <v>['Admin', 'Bintang', 'Reduce', 'Paketan', 'Daily', 'Weekly', 'Combo', 'Sakti', 'Price', '']</v>
      </c>
      <c r="D7889" s="3">
        <v>2.0</v>
      </c>
    </row>
    <row r="7890" ht="15.75" customHeight="1">
      <c r="A7890" s="1">
        <v>8364.0</v>
      </c>
      <c r="B7890" s="3" t="s">
        <v>7553</v>
      </c>
      <c r="C7890" s="3" t="str">
        <f>IFERROR(__xludf.DUMMYFUNCTION("GOOGLETRANSLATE(B7890,""id"",""en"")"),"['Please', 'yaaa', 'the application', 'buy', 'package', 'fast', 'ilang', 'that's', 'the application', 'help', ""]")</f>
        <v>['Please', 'yaaa', 'the application', 'buy', 'package', 'fast', 'ilang', 'that's', 'the application', 'help', "]</v>
      </c>
      <c r="D7890" s="3">
        <v>5.0</v>
      </c>
    </row>
    <row r="7891" ht="15.75" customHeight="1">
      <c r="A7891" s="1">
        <v>8365.0</v>
      </c>
      <c r="B7891" s="3" t="s">
        <v>7554</v>
      </c>
      <c r="C7891" s="3" t="str">
        <f>IFERROR(__xludf.DUMMYFUNCTION("GOOGLETRANSLATE(B7891,""id"",""en"")"),"['satisfied', '']")</f>
        <v>['satisfied', '']</v>
      </c>
      <c r="D7891" s="3">
        <v>5.0</v>
      </c>
    </row>
    <row r="7892" ht="15.75" customHeight="1">
      <c r="A7892" s="1">
        <v>8366.0</v>
      </c>
      <c r="B7892" s="3" t="s">
        <v>7555</v>
      </c>
      <c r="C7892" s="3" t="str">
        <f>IFERROR(__xludf.DUMMYFUNCTION("GOOGLETRANSLATE(B7892,""id"",""en"")"),"['disappointing', 'signal', 'weak', 'lost', 'mna', 'package', 'jga', 'expensive']")</f>
        <v>['disappointing', 'signal', 'weak', 'lost', 'mna', 'package', 'jga', 'expensive']</v>
      </c>
      <c r="D7892" s="3">
        <v>1.0</v>
      </c>
    </row>
    <row r="7893" ht="15.75" customHeight="1">
      <c r="A7893" s="1">
        <v>8367.0</v>
      </c>
      <c r="B7893" s="3" t="s">
        <v>7556</v>
      </c>
      <c r="C7893" s="3" t="str">
        <f>IFERROR(__xludf.DUMMYFUNCTION("GOOGLETRANSLATE(B7893,""id"",""en"")"),"['signal', 'boss',' date ',' October ',' coordinating ',' error ',' Telkomsel ',' error ',' smpai ',' comment ',' ttp ',' error ',' package ',' expensive ',' signal ',' according to ',' disappointed ',' Telkomsel ',' turn ',' comment ',' bales', 'robot', "&amp;"'disappointed', 'disappointed']")</f>
        <v>['signal', 'boss',' date ',' October ',' coordinating ',' error ',' Telkomsel ',' error ',' smpai ',' comment ',' ttp ',' error ',' package ',' expensive ',' signal ',' according to ',' disappointed ',' Telkomsel ',' turn ',' comment ',' bales', 'robot', 'disappointed', 'disappointed']</v>
      </c>
      <c r="D7893" s="3">
        <v>1.0</v>
      </c>
    </row>
    <row r="7894" ht="15.75" customHeight="1">
      <c r="A7894" s="1">
        <v>8368.0</v>
      </c>
      <c r="B7894" s="3" t="s">
        <v>7557</v>
      </c>
      <c r="C7894" s="3" t="str">
        <f>IFERROR(__xludf.DUMMYFUNCTION("GOOGLETRANSLATE(B7894,""id"",""en"")"),"['Internet', 'unlimited', 'FUP', 'steady', 'quota', 'price', 'relative', 'affordable']")</f>
        <v>['Internet', 'unlimited', 'FUP', 'steady', 'quota', 'price', 'relative', 'affordable']</v>
      </c>
      <c r="D7894" s="3">
        <v>5.0</v>
      </c>
    </row>
    <row r="7895" ht="15.75" customHeight="1">
      <c r="A7895" s="1">
        <v>8369.0</v>
      </c>
      <c r="B7895" s="3" t="s">
        <v>7558</v>
      </c>
      <c r="C7895" s="3" t="str">
        <f>IFERROR(__xludf.DUMMYFUNCTION("GOOGLETRANSLATE(B7895,""id"",""en"")"),"['subscription', 'Telkomsel', 'network', 'strong']")</f>
        <v>['subscription', 'Telkomsel', 'network', 'strong']</v>
      </c>
      <c r="D7895" s="3">
        <v>5.0</v>
      </c>
    </row>
    <row r="7896" ht="15.75" customHeight="1">
      <c r="A7896" s="1">
        <v>8370.0</v>
      </c>
      <c r="B7896" s="3" t="s">
        <v>7559</v>
      </c>
      <c r="C7896" s="3" t="str">
        <f>IFERROR(__xludf.DUMMYFUNCTION("GOOGLETRANSLATE(B7896,""id"",""en"")"),"['Disappointed', 'Points',' Lost ',' Reedeem ',' Points', 'Signal', 'Telkomsel', 'Severe', 'Telkomsel', 'Network', 'Rely on', 'Region', ' ']")</f>
        <v>['Disappointed', 'Points',' Lost ',' Reedeem ',' Points', 'Signal', 'Telkomsel', 'Severe', 'Telkomsel', 'Network', 'Rely on', 'Region', ' ']</v>
      </c>
      <c r="D7896" s="3">
        <v>3.0</v>
      </c>
    </row>
    <row r="7897" ht="15.75" customHeight="1">
      <c r="A7897" s="1">
        <v>8371.0</v>
      </c>
      <c r="B7897" s="3" t="s">
        <v>7560</v>
      </c>
      <c r="C7897" s="3" t="str">
        <f>IFERROR(__xludf.DUMMYFUNCTION("GOOGLETRANSLATE(B7897,""id"",""en"")"),"['signal', 'stable', 'play', 'game', 'red', 'features',' Daily ',' chek ',' error ',' chek ',' detrimental ',' Telkomsel ',' price ',' package ',' expensive ',' cook ',' kyk ',' pakek ',' card ',' cheap ']")</f>
        <v>['signal', 'stable', 'play', 'game', 'red', 'features',' Daily ',' chek ',' error ',' chek ',' detrimental ',' Telkomsel ',' price ',' package ',' expensive ',' cook ',' kyk ',' pakek ',' card ',' cheap ']</v>
      </c>
      <c r="D7897" s="3">
        <v>1.0</v>
      </c>
    </row>
    <row r="7898" ht="15.75" customHeight="1">
      <c r="A7898" s="1">
        <v>8372.0</v>
      </c>
      <c r="B7898" s="3" t="s">
        <v>7561</v>
      </c>
      <c r="C7898" s="3" t="str">
        <f>IFERROR(__xludf.DUMMYFUNCTION("GOOGLETRANSLATE(B7898,""id"",""en"")"),"['Help', 'network', 'Telkomsel', 'slow', 'please', 'fix', 'thank', 'love', ""]")</f>
        <v>['Help', 'network', 'Telkomsel', 'slow', 'please', 'fix', 'thank', 'love', "]</v>
      </c>
      <c r="D7898" s="3">
        <v>5.0</v>
      </c>
    </row>
    <row r="7899" ht="15.75" customHeight="1">
      <c r="A7899" s="1">
        <v>8373.0</v>
      </c>
      <c r="B7899" s="3" t="s">
        <v>7562</v>
      </c>
      <c r="C7899" s="3" t="str">
        <f>IFERROR(__xludf.DUMMYFUNCTION("GOOGLETRANSLATE(B7899,""id"",""en"")"),"['pay', 'bill', 'pay', 'Attach', 'screenshot', 'proof', 'payment', 'bill', 'tekomsel', 'hello']")</f>
        <v>['pay', 'bill', 'pay', 'Attach', 'screenshot', 'proof', 'payment', 'bill', 'tekomsel', 'hello']</v>
      </c>
      <c r="D7899" s="3">
        <v>1.0</v>
      </c>
    </row>
    <row r="7900" ht="15.75" customHeight="1">
      <c r="A7900" s="1">
        <v>8374.0</v>
      </c>
      <c r="B7900" s="3" t="s">
        <v>7563</v>
      </c>
      <c r="C7900" s="3" t="str">
        <f>IFERROR(__xludf.DUMMYFUNCTION("GOOGLETRANSLATE(B7900,""id"",""en"")"),"['Service', 'Telkomsel']")</f>
        <v>['Service', 'Telkomsel']</v>
      </c>
      <c r="D7900" s="3">
        <v>5.0</v>
      </c>
    </row>
    <row r="7901" ht="15.75" customHeight="1">
      <c r="A7901" s="1">
        <v>8375.0</v>
      </c>
      <c r="B7901" s="3" t="s">
        <v>7564</v>
      </c>
      <c r="C7901" s="3" t="str">
        <f>IFERROR(__xludf.DUMMYFUNCTION("GOOGLETRANSLATE(B7901,""id"",""en"")"),"['network', 'Telkomsel', 'network', 'Indonesia', 'here', 'network', 'invited', 'cooperation', 'pandemic', 'all-round', 'online', 'online' Ask ', the' network ',' good ',' smooth ',' ngelag ',' quota ',' expensive ']")</f>
        <v>['network', 'Telkomsel', 'network', 'Indonesia', 'here', 'network', 'invited', 'cooperation', 'pandemic', 'all-round', 'online', 'online' Ask ', the' network ',' good ',' smooth ',' ngelag ',' quota ',' expensive ']</v>
      </c>
      <c r="D7901" s="3">
        <v>1.0</v>
      </c>
    </row>
    <row r="7902" ht="15.75" customHeight="1">
      <c r="A7902" s="1">
        <v>8376.0</v>
      </c>
      <c r="B7902" s="3" t="s">
        <v>7565</v>
      </c>
      <c r="C7902" s="3" t="str">
        <f>IFERROR(__xludf.DUMMYFUNCTION("GOOGLETRANSLATE(B7902,""id"",""en"")"),"['Klen', 'Kayak', 'Trying', 'Best', 'Appreciated', 'Do It', 'Rating', 'Ksih', 'Bintang', 'Network', 'bggsd', 'buy', ' Data ',' kagak ',' kepake ',' ajg ',' mmng ',' already ',' mending ',' closed ',' ajg ', ""]")</f>
        <v>['Klen', 'Kayak', 'Trying', 'Best', 'Appreciated', 'Do It', 'Rating', 'Ksih', 'Bintang', 'Network', 'bggsd', 'buy', ' Data ',' kagak ',' kepake ',' ajg ',' mmng ',' already ',' mending ',' closed ',' ajg ', "]</v>
      </c>
      <c r="D7902" s="3">
        <v>1.0</v>
      </c>
    </row>
    <row r="7903" ht="15.75" customHeight="1">
      <c r="A7903" s="1">
        <v>8377.0</v>
      </c>
      <c r="B7903" s="3" t="s">
        <v>7566</v>
      </c>
      <c r="C7903" s="3" t="str">
        <f>IFERROR(__xludf.DUMMYFUNCTION("GOOGLETRANSLATE(B7903,""id"",""en"")"),"['Please', 'love', 'price', 'cheap', 'card']")</f>
        <v>['Please', 'love', 'price', 'cheap', 'card']</v>
      </c>
      <c r="D7903" s="3">
        <v>5.0</v>
      </c>
    </row>
    <row r="7904" ht="15.75" customHeight="1">
      <c r="A7904" s="1">
        <v>8378.0</v>
      </c>
      <c r="B7904" s="3" t="s">
        <v>7567</v>
      </c>
      <c r="C7904" s="3" t="str">
        <f>IFERROR(__xludf.DUMMYFUNCTION("GOOGLETRANSLATE(B7904,""id"",""en"")"),"['friend', 'Telkomsel', 'the network', 'already', 'chaotic', 'searching', 'difficult', 'playing', 'game', 'sleep', 'buy', 'the package', ' expensive']")</f>
        <v>['friend', 'Telkomsel', 'the network', 'already', 'chaotic', 'searching', 'difficult', 'playing', 'game', 'sleep', 'buy', 'the package', ' expensive']</v>
      </c>
      <c r="D7904" s="3">
        <v>1.0</v>
      </c>
    </row>
    <row r="7905" ht="15.75" customHeight="1">
      <c r="A7905" s="1">
        <v>8379.0</v>
      </c>
      <c r="B7905" s="3" t="s">
        <v>7568</v>
      </c>
      <c r="C7905" s="3" t="str">
        <f>IFERROR(__xludf.DUMMYFUNCTION("GOOGLETRANSLATE(B7905,""id"",""en"")"),"['company', 'biggest', 'quality', 'network', 'bad', 'ilang', 'nelgi', 'sometimes',' alternating ',' nelfon ',' operator ',' Solution ',' right ',' network ',' resty ',' work ',' motorcycle taxi ',' online ',' network ',' stable ',' speed ',' down ',' get "&amp;"',' orders' ]")</f>
        <v>['company', 'biggest', 'quality', 'network', 'bad', 'ilang', 'nelgi', 'sometimes',' alternating ',' nelfon ',' operator ',' Solution ',' right ',' network ',' resty ',' work ',' motorcycle taxi ',' online ',' network ',' stable ',' speed ',' down ',' get ',' orders' ]</v>
      </c>
      <c r="D7905" s="3">
        <v>1.0</v>
      </c>
    </row>
    <row r="7906" ht="15.75" customHeight="1">
      <c r="A7906" s="1">
        <v>8380.0</v>
      </c>
      <c r="B7906" s="3" t="s">
        <v>7569</v>
      </c>
      <c r="C7906" s="3" t="str">
        <f>IFERROR(__xludf.DUMMYFUNCTION("GOOGLETRANSLATE(B7906,""id"",""en"")"),"['Sorry', 'understand', 'application', 'deh']")</f>
        <v>['Sorry', 'understand', 'application', 'deh']</v>
      </c>
      <c r="D7906" s="3">
        <v>3.0</v>
      </c>
    </row>
    <row r="7907" ht="15.75" customHeight="1">
      <c r="A7907" s="1">
        <v>8381.0</v>
      </c>
      <c r="B7907" s="3" t="s">
        <v>7570</v>
      </c>
      <c r="C7907" s="3" t="str">
        <f>IFERROR(__xludf.DUMMYFUNCTION("GOOGLETRANSLATE(B7907,""id"",""en"")"),"['', 'times',' please ',' help ',' stop ',' ultrusion ',' geogle ',' music ',' premium ',' ngk ',' help ',' burdened ',' pay ',' ']")</f>
        <v>['', 'times',' please ',' help ',' stop ',' ultrusion ',' geogle ',' music ',' premium ',' ngk ',' help ',' burdened ',' pay ',' ']</v>
      </c>
      <c r="D7907" s="3">
        <v>1.0</v>
      </c>
    </row>
    <row r="7908" ht="15.75" customHeight="1">
      <c r="A7908" s="1">
        <v>8382.0</v>
      </c>
      <c r="B7908" s="3" t="s">
        <v>7571</v>
      </c>
      <c r="C7908" s="3" t="str">
        <f>IFERROR(__xludf.DUMMYFUNCTION("GOOGLETRANSLATE(B7908,""id"",""en"")"),"['Good', 'happy', 'package', 'FUP', 'Mimin', 'please', 'package', 'sacin', 'price', 'full', 'quota', 'main', ' Hoping ',' Useful ',' Plis', 'Telkomsel', '']")</f>
        <v>['Good', 'happy', 'package', 'FUP', 'Mimin', 'please', 'package', 'sacin', 'price', 'full', 'quota', 'main', ' Hoping ',' Useful ',' Plis', 'Telkomsel', '']</v>
      </c>
      <c r="D7908" s="3">
        <v>4.0</v>
      </c>
    </row>
    <row r="7909" ht="15.75" customHeight="1">
      <c r="A7909" s="1">
        <v>8383.0</v>
      </c>
      <c r="B7909" s="3" t="s">
        <v>7572</v>
      </c>
      <c r="C7909" s="3" t="str">
        <f>IFERROR(__xludf.DUMMYFUNCTION("GOOGLETRANSLATE(B7909,""id"",""en"")"),"['Telkomsel', 'disappointing', 'connection', 'internet', 'destroyed', 'melting', 'clock', 'maen', 'game', 'online', 'connection', 'disappear', ' quality ',' worth ',' price ',' expensive ',' doang ',' quality ',' network ',' ugly ',' ']")</f>
        <v>['Telkomsel', 'disappointing', 'connection', 'internet', 'destroyed', 'melting', 'clock', 'maen', 'game', 'online', 'connection', 'disappear', ' quality ',' worth ',' price ',' expensive ',' doang ',' quality ',' network ',' ugly ',' ']</v>
      </c>
      <c r="D7909" s="3">
        <v>1.0</v>
      </c>
    </row>
    <row r="7910" ht="15.75" customHeight="1">
      <c r="A7910" s="1">
        <v>8384.0</v>
      </c>
      <c r="B7910" s="3" t="s">
        <v>7573</v>
      </c>
      <c r="C7910" s="3" t="str">
        <f>IFERROR(__xludf.DUMMYFUNCTION("GOOGLETRANSLATE(B7910,""id"",""en"")"),"['pulse', 'ilang', 'date', 'Oct', 'believe']")</f>
        <v>['pulse', 'ilang', 'date', 'Oct', 'believe']</v>
      </c>
      <c r="D7910" s="3">
        <v>1.0</v>
      </c>
    </row>
    <row r="7911" ht="15.75" customHeight="1">
      <c r="A7911" s="1">
        <v>8385.0</v>
      </c>
      <c r="B7911" s="3" t="s">
        <v>1344</v>
      </c>
      <c r="C7911" s="3" t="str">
        <f>IFERROR(__xludf.DUMMYFUNCTION("GOOGLETRANSLATE(B7911,""id"",""en"")"),"['Good', 'application']")</f>
        <v>['Good', 'application']</v>
      </c>
      <c r="D7911" s="3">
        <v>5.0</v>
      </c>
    </row>
    <row r="7912" ht="15.75" customHeight="1">
      <c r="A7912" s="1">
        <v>8386.0</v>
      </c>
      <c r="B7912" s="3" t="s">
        <v>7574</v>
      </c>
      <c r="C7912" s="3" t="str">
        <f>IFERROR(__xludf.DUMMYFUNCTION("GOOGLETRANSLATE(B7912,""id"",""en"")"),"['easy', 'suggestion', 'application', 'opened', 'quota', 'run out', 'pulse', 'lost', 'buy', 'quota', 'internet', 'reliable', ' signal ',' Speed ​​',' KB ',' PEAH ']")</f>
        <v>['easy', 'suggestion', 'application', 'opened', 'quota', 'run out', 'pulse', 'lost', 'buy', 'quota', 'internet', 'reliable', ' signal ',' Speed ​​',' KB ',' PEAH ']</v>
      </c>
      <c r="D7912" s="3">
        <v>3.0</v>
      </c>
    </row>
    <row r="7913" ht="15.75" customHeight="1">
      <c r="A7913" s="1">
        <v>8387.0</v>
      </c>
      <c r="B7913" s="3" t="s">
        <v>7575</v>
      </c>
      <c r="C7913" s="3" t="str">
        <f>IFERROR(__xludf.DUMMYFUNCTION("GOOGLETRANSLATE(B7913,""id"",""en"")"),"['', 'Yes', 'Not bad', 'help', 'help', 'so', 'so', 'yak', 'okay']")</f>
        <v>['', 'Yes', 'Not bad', 'help', 'help', 'so', 'so', 'yak', 'okay']</v>
      </c>
      <c r="D7913" s="3">
        <v>5.0</v>
      </c>
    </row>
    <row r="7914" ht="15.75" customHeight="1">
      <c r="A7914" s="1">
        <v>8388.0</v>
      </c>
      <c r="B7914" s="3" t="s">
        <v>7576</v>
      </c>
      <c r="C7914" s="3" t="str">
        <f>IFERROR(__xludf.DUMMYFUNCTION("GOOGLETRANSLATE(B7914,""id"",""en"")"),"['Info', 'Best']")</f>
        <v>['Info', 'Best']</v>
      </c>
      <c r="D7914" s="3">
        <v>5.0</v>
      </c>
    </row>
    <row r="7915" ht="15.75" customHeight="1">
      <c r="A7915" s="1">
        <v>8389.0</v>
      </c>
      <c r="B7915" s="3" t="s">
        <v>7577</v>
      </c>
      <c r="C7915" s="3" t="str">
        <f>IFERROR(__xludf.DUMMYFUNCTION("GOOGLETRANSLATE(B7915,""id"",""en"")"),"['Promotions', 'Cool']")</f>
        <v>['Promotions', 'Cool']</v>
      </c>
      <c r="D7915" s="3">
        <v>5.0</v>
      </c>
    </row>
    <row r="7916" ht="15.75" customHeight="1">
      <c r="A7916" s="1">
        <v>8390.0</v>
      </c>
      <c r="B7916" s="3" t="s">
        <v>7578</v>
      </c>
      <c r="C7916" s="3" t="str">
        <f>IFERROR(__xludf.DUMMYFUNCTION("GOOGLETRANSLATE(B7916,""id"",""en"")"),"['network', 'Telkomsel', 'error', 'yaa', 'chaotic', 'severe', 'please', 'fix', 'brother', 'brother', 'Telkomsel', ""]")</f>
        <v>['network', 'Telkomsel', 'error', 'yaa', 'chaotic', 'severe', 'please', 'fix', 'brother', 'brother', 'Telkomsel', "]</v>
      </c>
      <c r="D7916" s="3">
        <v>2.0</v>
      </c>
    </row>
    <row r="7917" ht="15.75" customHeight="1">
      <c r="A7917" s="1">
        <v>8391.0</v>
      </c>
      <c r="B7917" s="3" t="s">
        <v>7579</v>
      </c>
      <c r="C7917" s="3" t="str">
        <f>IFERROR(__xludf.DUMMYFUNCTION("GOOGLETRANSLATE(B7917,""id"",""en"")"),"['buy', 'quota', 'maxtrem', 'giga', 'watch', 'film', 'told', 'buy', 'quota', 'access',' film ',' ad ',' Easy ',' Watch ',' Film ',' Ngerti ',' ']")</f>
        <v>['buy', 'quota', 'maxtrem', 'giga', 'watch', 'film', 'told', 'buy', 'quota', 'access',' film ',' ad ',' Easy ',' Watch ',' Film ',' Ngerti ',' ']</v>
      </c>
      <c r="D7917" s="3">
        <v>1.0</v>
      </c>
    </row>
    <row r="7918" ht="15.75" customHeight="1">
      <c r="A7918" s="1">
        <v>8392.0</v>
      </c>
      <c r="B7918" s="3" t="s">
        <v>7580</v>
      </c>
      <c r="C7918" s="3" t="str">
        <f>IFERROR(__xludf.DUMMYFUNCTION("GOOGLETRANSLATE(B7918,""id"",""en"")"),"['', 'bias']")</f>
        <v>['', 'bias']</v>
      </c>
      <c r="D7918" s="3">
        <v>1.0</v>
      </c>
    </row>
    <row r="7919" ht="15.75" customHeight="1">
      <c r="A7919" s="1">
        <v>8393.0</v>
      </c>
      <c r="B7919" s="3" t="s">
        <v>7581</v>
      </c>
      <c r="C7919" s="3" t="str">
        <f>IFERROR(__xludf.DUMMYFUNCTION("GOOGLETRANSLATE(B7919,""id"",""en"")"),"['package', 'internet', 'missing', 'buy', 'package', 'pulse', 'run out', 'sucked', 'please', 'return', 'package', 'data', ' ']")</f>
        <v>['package', 'internet', 'missing', 'buy', 'package', 'pulse', 'run out', 'sucked', 'please', 'return', 'package', 'data', ' ']</v>
      </c>
      <c r="D7919" s="3">
        <v>1.0</v>
      </c>
    </row>
    <row r="7920" ht="15.75" customHeight="1">
      <c r="A7920" s="1">
        <v>8394.0</v>
      </c>
      <c r="B7920" s="3" t="s">
        <v>7582</v>
      </c>
      <c r="C7920" s="3" t="str">
        <f>IFERROR(__xludf.DUMMYFUNCTION("GOOGLETRANSLATE(B7920,""id"",""en"")"),"['Network', 'ugly', 'game', 'ms']")</f>
        <v>['Network', 'ugly', 'game', 'ms']</v>
      </c>
      <c r="D7920" s="3">
        <v>1.0</v>
      </c>
    </row>
    <row r="7921" ht="15.75" customHeight="1">
      <c r="A7921" s="1">
        <v>8395.0</v>
      </c>
      <c r="B7921" s="3" t="s">
        <v>7583</v>
      </c>
      <c r="C7921" s="3" t="str">
        <f>IFERROR(__xludf.DUMMYFUNCTION("GOOGLETRANSLATE(B7921,""id"",""en"")"),"['luemoooooooooooooot', 'buuuuuuuuaaaangeeeet', 'siiiiih', 'Telkomsel', 'fast', '']")</f>
        <v>['luemoooooooooooooot', 'buuuuuuuuaaaangeeeet', 'siiiiih', 'Telkomsel', 'fast', '']</v>
      </c>
      <c r="D7921" s="3">
        <v>1.0</v>
      </c>
    </row>
    <row r="7922" ht="15.75" customHeight="1">
      <c r="A7922" s="1">
        <v>8396.0</v>
      </c>
      <c r="B7922" s="3" t="s">
        <v>7584</v>
      </c>
      <c r="C7922" s="3" t="str">
        <f>IFERROR(__xludf.DUMMYFUNCTION("GOOGLETRANSLATE(B7922,""id"",""en"")"),"['network', 'Telkomsel', 'ugly', 'wrong', 'only', 'city', 'palangka', 'raya', 'kalimantan', 'unfortunate', 'many', 'users',' Service ',' Enhanced ']")</f>
        <v>['network', 'Telkomsel', 'ugly', 'wrong', 'only', 'city', 'palangka', 'raya', 'kalimantan', 'unfortunate', 'many', 'users',' Service ',' Enhanced ']</v>
      </c>
      <c r="D7922" s="3">
        <v>1.0</v>
      </c>
    </row>
    <row r="7923" ht="15.75" customHeight="1">
      <c r="A7923" s="1">
        <v>8397.0</v>
      </c>
      <c r="B7923" s="3" t="s">
        <v>7585</v>
      </c>
      <c r="C7923" s="3" t="str">
        <f>IFERROR(__xludf.DUMMYFUNCTION("GOOGLETRANSLATE(B7923,""id"",""en"")"),"['Disappointed', 'Telkomsel', '']")</f>
        <v>['Disappointed', 'Telkomsel', '']</v>
      </c>
      <c r="D7923" s="3">
        <v>1.0</v>
      </c>
    </row>
    <row r="7924" ht="15.75" customHeight="1">
      <c r="A7924" s="1">
        <v>8398.0</v>
      </c>
      <c r="B7924" s="3" t="s">
        <v>7586</v>
      </c>
      <c r="C7924" s="3" t="str">
        <f>IFERROR(__xludf.DUMMYFUNCTION("GOOGLETRANSLATE(B7924,""id"",""en"")"),"['difficult', 'open', 'application', 'signal', 'good', 'pulse', 'difficult', 'opened', 'please']")</f>
        <v>['difficult', 'open', 'application', 'signal', 'good', 'pulse', 'difficult', 'opened', 'please']</v>
      </c>
      <c r="D7924" s="3">
        <v>3.0</v>
      </c>
    </row>
    <row r="7925" ht="15.75" customHeight="1">
      <c r="A7925" s="1">
        <v>8399.0</v>
      </c>
      <c r="B7925" s="3" t="s">
        <v>7587</v>
      </c>
      <c r="C7925" s="3" t="str">
        <f>IFERROR(__xludf.DUMMYFUNCTION("GOOGLETRANSLATE(B7925,""id"",""en"")"),"['Min', 'how', 'Login', 'Yesterday', 'Login', 'Ceklis',' GB ',' Login ',' Login ',' Reset ',' Ceklis', 'Enter', ' Login ',' GB ',' KLM ',' Gabisa ',' plz ',' RB ',' Telkomsel ',' lucky ',' love ',' klu ',' smooth ',' teru ',' love ' , '']")</f>
        <v>['Min', 'how', 'Login', 'Yesterday', 'Login', 'Ceklis',' GB ',' Login ',' Login ',' Reset ',' Ceklis', 'Enter', ' Login ',' GB ',' KLM ',' Gabisa ',' plz ',' RB ',' Telkomsel ',' lucky ',' love ',' klu ',' smooth ',' teru ',' love ' , '']</v>
      </c>
      <c r="D7925" s="3">
        <v>3.0</v>
      </c>
    </row>
    <row r="7926" ht="15.75" customHeight="1">
      <c r="A7926" s="1">
        <v>8400.0</v>
      </c>
      <c r="B7926" s="3" t="s">
        <v>7588</v>
      </c>
      <c r="C7926" s="3" t="str">
        <f>IFERROR(__xludf.DUMMYFUNCTION("GOOGLETRANSLATE(B7926,""id"",""en"")"),"['signal', 'improved', 'open', 'google', 'google', 'playstore', 'whatssapp', 'game', 'surge', 'signal', 'down', 'error', ' Sometimes', 'Quota', 'Package', 'GB', 'Speed', 'Access',' Download ',' Application ',' Kenceng ',' Lemot ',' Download ',' Video ',' "&amp;"YouTube ' , 'The rest', 'Download', 'App', 'Lemot', 'Severe', '']")</f>
        <v>['signal', 'improved', 'open', 'google', 'google', 'playstore', 'whatssapp', 'game', 'surge', 'signal', 'down', 'error', ' Sometimes', 'Quota', 'Package', 'GB', 'Speed', 'Access',' Download ',' Application ',' Kenceng ',' Lemot ',' Download ',' Video ',' YouTube ' , 'The rest', 'Download', 'App', 'Lemot', 'Severe', '']</v>
      </c>
      <c r="D7926" s="3">
        <v>1.0</v>
      </c>
    </row>
    <row r="7927" ht="15.75" customHeight="1">
      <c r="A7927" s="1">
        <v>8401.0</v>
      </c>
      <c r="B7927" s="3" t="s">
        <v>7589</v>
      </c>
      <c r="C7927" s="3" t="str">
        <f>IFERROR(__xludf.DUMMYFUNCTION("GOOGLETRANSLATE(B7927,""id"",""en"")"),"['card', 'sympathy', 'network', 'internet', 'battered', 'buy', 'quota', 'pay', 'owe']")</f>
        <v>['card', 'sympathy', 'network', 'internet', 'battered', 'buy', 'quota', 'pay', 'owe']</v>
      </c>
      <c r="D7927" s="3">
        <v>5.0</v>
      </c>
    </row>
    <row r="7928" ht="15.75" customHeight="1">
      <c r="A7928" s="1">
        <v>8402.0</v>
      </c>
      <c r="B7928" s="3" t="s">
        <v>7590</v>
      </c>
      <c r="C7928" s="3" t="str">
        <f>IFERROR(__xludf.DUMMYFUNCTION("GOOGLETRANSLATE(B7928,""id"",""en"")"),"['Signal', 'network', 'continuous',' difficult ',' signal ',' use ',' hotspot ',' restart ',' times', 'mode', 'aircraft', 'network', ' Complaints', 'Application', 'Telkomsel', 'Complaints',' Location ',' Cempaka ',' White ',' Raya ',' ']")</f>
        <v>['Signal', 'network', 'continuous',' difficult ',' signal ',' use ',' hotspot ',' restart ',' times', 'mode', 'aircraft', 'network', ' Complaints', 'Application', 'Telkomsel', 'Complaints',' Location ',' Cempaka ',' White ',' Raya ',' ']</v>
      </c>
      <c r="D7928" s="3">
        <v>1.0</v>
      </c>
    </row>
    <row r="7929" ht="15.75" customHeight="1">
      <c r="A7929" s="1">
        <v>8403.0</v>
      </c>
      <c r="B7929" s="3" t="s">
        <v>7591</v>
      </c>
      <c r="C7929" s="3" t="str">
        <f>IFERROR(__xludf.DUMMYFUNCTION("GOOGLETRANSLATE(B7929,""id"",""en"")"),"['application', 'ugly', 'open', 'update', 'muter', 'for days', 'kb', 'open', 'youtube', 'kenceng']")</f>
        <v>['application', 'ugly', 'open', 'update', 'muter', 'for days', 'kb', 'open', 'youtube', 'kenceng']</v>
      </c>
      <c r="D7929" s="3">
        <v>1.0</v>
      </c>
    </row>
    <row r="7930" ht="15.75" customHeight="1">
      <c r="A7930" s="1">
        <v>8404.0</v>
      </c>
      <c r="B7930" s="3" t="s">
        <v>7592</v>
      </c>
      <c r="C7930" s="3" t="str">
        <f>IFERROR(__xludf.DUMMYFUNCTION("GOOGLETRANSLATE(B7930,""id"",""en"")"),"['', 'Telkom', 'Ntol', 'Bener', 'yes',' signal ',' Maen ',' game ',' BURIK ',' Doang ',' Difficult ',' forgiveness', 'Mobile ',' legends', 'waaah', 'auto', 'shy', 'boss',' kouta ',' price ',' expensive ',' signal ',' kek ',' thousands', 'awok', 'min', 'pa"&amp;"ntun', 'nich', 'lonled', 'buy', 'duck', 'go', 'china', 'meet', 'monk', 'hi', 'mimin', 'cnatiik ',' Kah ',' brother ',' Pap ',' Suzu ', ""]")</f>
        <v>['', 'Telkom', 'Ntol', 'Bener', 'yes',' signal ',' Maen ',' game ',' BURIK ',' Doang ',' Difficult ',' forgiveness', 'Mobile ',' legends', 'waaah', 'auto', 'shy', 'boss',' kouta ',' price ',' expensive ',' signal ',' kek ',' thousands', 'awok', 'min', 'pantun', 'nich', 'lonled', 'buy', 'duck', 'go', 'china', 'meet', 'monk', 'hi', 'mimin', 'cnatiik ',' Kah ',' brother ',' Pap ',' Suzu ', "]</v>
      </c>
      <c r="D7930" s="3">
        <v>1.0</v>
      </c>
    </row>
    <row r="7931" ht="15.75" customHeight="1">
      <c r="A7931" s="1">
        <v>8405.0</v>
      </c>
      <c r="B7931" s="3" t="s">
        <v>80</v>
      </c>
      <c r="C7931" s="3" t="str">
        <f>IFERROR(__xludf.DUMMYFUNCTION("GOOGLETRANSLATE(B7931,""id"",""en"")"),"['help', '']")</f>
        <v>['help', '']</v>
      </c>
      <c r="D7931" s="3">
        <v>5.0</v>
      </c>
    </row>
    <row r="7932" ht="15.75" customHeight="1">
      <c r="A7932" s="1">
        <v>8406.0</v>
      </c>
      <c r="B7932" s="3" t="s">
        <v>7593</v>
      </c>
      <c r="C7932" s="3" t="str">
        <f>IFERROR(__xludf.DUMMYFUNCTION("GOOGLETRANSLATE(B7932,""id"",""en"")"),"['steady', 'package', 'cheap', 'hope', 'community', 'Indonesia', 'pakatn', 'internet', 'cheap', 'loved', 'user', 'loyal', ' Telkomsel ']")</f>
        <v>['steady', 'package', 'cheap', 'hope', 'community', 'Indonesia', 'pakatn', 'internet', 'cheap', 'loved', 'user', 'loyal', ' Telkomsel ']</v>
      </c>
      <c r="D7932" s="3">
        <v>5.0</v>
      </c>
    </row>
    <row r="7933" ht="15.75" customHeight="1">
      <c r="A7933" s="1">
        <v>8407.0</v>
      </c>
      <c r="B7933" s="3" t="s">
        <v>494</v>
      </c>
      <c r="C7933" s="3" t="str">
        <f>IFERROR(__xludf.DUMMYFUNCTION("GOOGLETRANSLATE(B7933,""id"",""en"")"),"['app', 'help']")</f>
        <v>['app', 'help']</v>
      </c>
      <c r="D7933" s="3">
        <v>1.0</v>
      </c>
    </row>
    <row r="7934" ht="15.75" customHeight="1">
      <c r="A7934" s="1">
        <v>8408.0</v>
      </c>
      <c r="B7934" s="3" t="s">
        <v>7594</v>
      </c>
      <c r="C7934" s="3" t="str">
        <f>IFERROR(__xludf.DUMMYFUNCTION("GOOGLETRANSLATE(B7934,""id"",""en"")"),"['Telkomsel', 'security', 'pulse', 'card', 'quota', 'run out', 'pulse', 'left', 'truncated', 'turn on', 'data', 'card', ' quota ',' run out ',' pulse ',' left ',' run out ',' disappointed ',' really ']")</f>
        <v>['Telkomsel', 'security', 'pulse', 'card', 'quota', 'run out', 'pulse', 'left', 'truncated', 'turn on', 'data', 'card', ' quota ',' run out ',' pulse ',' left ',' run out ',' disappointed ',' really ']</v>
      </c>
      <c r="D7934" s="3">
        <v>3.0</v>
      </c>
    </row>
    <row r="7935" ht="15.75" customHeight="1">
      <c r="A7935" s="1">
        <v>8409.0</v>
      </c>
      <c r="B7935" s="3" t="s">
        <v>7595</v>
      </c>
      <c r="C7935" s="3" t="str">
        <f>IFERROR(__xludf.DUMMYFUNCTION("GOOGLETRANSLATE(B7935,""id"",""en"")"),"['Network', 'Telkomsel', 'Stable', 'Quality', 'Signal', 'Decreases',' Drastic ',' Watch ',' You ',' Tube ',' Muter ',' Region ',' Pinang ',' Islands', 'Riau', 'Please', 'Admin', 'Fix', 'Move', 'Telkomsel', ""]")</f>
        <v>['Network', 'Telkomsel', 'Stable', 'Quality', 'Signal', 'Decreases',' Drastic ',' Watch ',' You ',' Tube ',' Muter ',' Region ',' Pinang ',' Islands', 'Riau', 'Please', 'Admin', 'Fix', 'Move', 'Telkomsel', "]</v>
      </c>
      <c r="D7935" s="3">
        <v>1.0</v>
      </c>
    </row>
    <row r="7936" ht="15.75" customHeight="1">
      <c r="A7936" s="1">
        <v>8410.0</v>
      </c>
      <c r="B7936" s="3" t="s">
        <v>7596</v>
      </c>
      <c r="C7936" s="3" t="str">
        <f>IFERROR(__xludf.DUMMYFUNCTION("GOOGLETRANSLATE(B7936,""id"",""en"")"),"['application', 'updated', 'error', 'signal', 'difficult', 'opened', 'nggk', 'please', 'repair', ""]")</f>
        <v>['application', 'updated', 'error', 'signal', 'difficult', 'opened', 'nggk', 'please', 'repair', "]</v>
      </c>
      <c r="D7936" s="3">
        <v>3.0</v>
      </c>
    </row>
    <row r="7937" ht="15.75" customHeight="1">
      <c r="A7937" s="1">
        <v>8411.0</v>
      </c>
      <c r="B7937" s="3" t="s">
        <v>7597</v>
      </c>
      <c r="C7937" s="3" t="str">
        <f>IFERROR(__xludf.DUMMYFUNCTION("GOOGLETRANSLATE(B7937,""id"",""en"")"),"['Severe', 'Packagein', 'Loading', 'then', 'Price', 'Skrng', 'Packagein', 'CMA', 'Loading', 'then']]")</f>
        <v>['Severe', 'Packagein', 'Loading', 'then', 'Price', 'Skrng', 'Packagein', 'CMA', 'Loading', 'then']]</v>
      </c>
      <c r="D7937" s="3">
        <v>1.0</v>
      </c>
    </row>
    <row r="7938" ht="15.75" customHeight="1">
      <c r="A7938" s="1">
        <v>8412.0</v>
      </c>
      <c r="B7938" s="3" t="s">
        <v>7598</v>
      </c>
      <c r="C7938" s="3" t="str">
        <f>IFERROR(__xludf.DUMMYFUNCTION("GOOGLETRANSLATE(B7938,""id"",""en"")"),"['Anyway', 'recommended', 'deh', 'buy', 'pulse', 'go there', 'here', 'easy', 'diverse', 'method', 'payment', 'package', ' Provided ',' decryption ',' package ',' in the future ',' enhanced ',' thank ',' love ']")</f>
        <v>['Anyway', 'recommended', 'deh', 'buy', 'pulse', 'go there', 'here', 'easy', 'diverse', 'method', 'payment', 'package', ' Provided ',' decryption ',' package ',' in the future ',' enhanced ',' thank ',' love ']</v>
      </c>
      <c r="D7938" s="3">
        <v>5.0</v>
      </c>
    </row>
    <row r="7939" ht="15.75" customHeight="1">
      <c r="A7939" s="1">
        <v>8413.0</v>
      </c>
      <c r="B7939" s="3" t="s">
        <v>7599</v>
      </c>
      <c r="C7939" s="3" t="str">
        <f>IFERROR(__xludf.DUMMYFUNCTION("GOOGLETRANSLATE(B7939,""id"",""en"")"),"['ugly', 'loss', 'star', '']")</f>
        <v>['ugly', 'loss', 'star', '']</v>
      </c>
      <c r="D7939" s="3">
        <v>1.0</v>
      </c>
    </row>
    <row r="7940" ht="15.75" customHeight="1">
      <c r="A7940" s="1">
        <v>8414.0</v>
      </c>
      <c r="B7940" s="3" t="s">
        <v>7600</v>
      </c>
      <c r="C7940" s="3" t="str">
        <f>IFERROR(__xludf.DUMMYFUNCTION("GOOGLETRANSLATE(B7940,""id"",""en"")"),"['buy', 'package', 'internet', 'get', 'bonus',' quota ',' internet ',' bought ',' bonus', 'bklan', 'coakes',' strange ',' Mustinya ',' Inhalation ',' bonus', 'because', 'package', 'buy', 'disappointed', 'bngt']")</f>
        <v>['buy', 'package', 'internet', 'get', 'bonus',' quota ',' internet ',' bought ',' bonus', 'bklan', 'coakes',' strange ',' Mustinya ',' Inhalation ',' bonus', 'because', 'package', 'buy', 'disappointed', 'bngt']</v>
      </c>
      <c r="D7940" s="3">
        <v>1.0</v>
      </c>
    </row>
    <row r="7941" ht="15.75" customHeight="1">
      <c r="A7941" s="1">
        <v>8415.0</v>
      </c>
      <c r="B7941" s="3" t="s">
        <v>7601</v>
      </c>
      <c r="C7941" s="3" t="str">
        <f>IFERROR(__xludf.DUMMYFUNCTION("GOOGLETRANSLATE(B7941,""id"",""en"")"),"['Credit', 'Reduced']")</f>
        <v>['Credit', 'Reduced']</v>
      </c>
      <c r="D7941" s="3">
        <v>1.0</v>
      </c>
    </row>
    <row r="7942" ht="15.75" customHeight="1">
      <c r="A7942" s="1">
        <v>8416.0</v>
      </c>
      <c r="B7942" s="3" t="s">
        <v>7602</v>
      </c>
      <c r="C7942" s="3" t="str">
        <f>IFERROR(__xludf.DUMMYFUNCTION("GOOGLETRANSLATE(B7942,""id"",""en"")"),"['package', 'maximum', 'price', 'down', 'expensive', 'price', 'normalin', 'reach', ""]")</f>
        <v>['package', 'maximum', 'price', 'down', 'expensive', 'price', 'normalin', 'reach', "]</v>
      </c>
      <c r="D7942" s="3">
        <v>2.0</v>
      </c>
    </row>
    <row r="7943" ht="15.75" customHeight="1">
      <c r="A7943" s="1">
        <v>8417.0</v>
      </c>
      <c r="B7943" s="3" t="s">
        <v>7603</v>
      </c>
      <c r="C7943" s="3" t="str">
        <f>IFERROR(__xludf.DUMMYFUNCTION("GOOGLETRANSLATE(B7943,""id"",""en"")"),"['The network', 'ugly', 'lost', 'laen', 'loss',' love ',' star ',' buy ',' pulse ',' abis', 'because', 'package', ' Data ',' Matiin ',' Mall ',' Pulse ',' Turns', 'Credit', ""]")</f>
        <v>['The network', 'ugly', 'lost', 'laen', 'loss',' love ',' star ',' buy ',' pulse ',' abis', 'because', 'package', ' Data ',' Matiin ',' Mall ',' Pulse ',' Turns', 'Credit', "]</v>
      </c>
      <c r="D7943" s="3">
        <v>1.0</v>
      </c>
    </row>
    <row r="7944" ht="15.75" customHeight="1">
      <c r="A7944" s="1">
        <v>8418.0</v>
      </c>
      <c r="B7944" s="3" t="s">
        <v>7604</v>
      </c>
      <c r="C7944" s="3" t="str">
        <f>IFERROR(__xludf.DUMMYFUNCTION("GOOGLETRANSLATE(B7944,""id"",""en"")"),"['Telkomsel', 'Esia', 'Hidayah', 'Price', 'Star', 'Network', 'Feet', 'Please', 'Customize', 'Price', 'Quality', 'Drizzle', ' Ajah ',' Lola ',' Matok ',' price ',' as expensive ',' deh ', ""]")</f>
        <v>['Telkomsel', 'Esia', 'Hidayah', 'Price', 'Star', 'Network', 'Feet', 'Please', 'Customize', 'Price', 'Quality', 'Drizzle', ' Ajah ',' Lola ',' Matok ',' price ',' as expensive ',' deh ', "]</v>
      </c>
      <c r="D7944" s="3">
        <v>1.0</v>
      </c>
    </row>
    <row r="7945" ht="15.75" customHeight="1">
      <c r="A7945" s="1">
        <v>8419.0</v>
      </c>
      <c r="B7945" s="3" t="s">
        <v>7605</v>
      </c>
      <c r="C7945" s="3" t="str">
        <f>IFERROR(__xludf.DUMMYFUNCTION("GOOGLETRANSLATE(B7945,""id"",""en"")"),"['love', 'network', 'good', 'price', 'mending', 'collapsed', 'shy', 'operator', ""]")</f>
        <v>['love', 'network', 'good', 'price', 'mending', 'collapsed', 'shy', 'operator', "]</v>
      </c>
      <c r="D7945" s="3">
        <v>1.0</v>
      </c>
    </row>
    <row r="7946" ht="15.75" customHeight="1">
      <c r="A7946" s="1">
        <v>8420.0</v>
      </c>
      <c r="B7946" s="3" t="s">
        <v>7606</v>
      </c>
      <c r="C7946" s="3" t="str">
        <f>IFERROR(__xludf.DUMMYFUNCTION("GOOGLETRANSLATE(B7946,""id"",""en"")"),"['Cheap', 'thank', 'love', 'Telkomsel']")</f>
        <v>['Cheap', 'thank', 'love', 'Telkomsel']</v>
      </c>
      <c r="D7946" s="3">
        <v>5.0</v>
      </c>
    </row>
    <row r="7947" ht="15.75" customHeight="1">
      <c r="A7947" s="1">
        <v>8421.0</v>
      </c>
      <c r="B7947" s="3" t="s">
        <v>7607</v>
      </c>
      <c r="C7947" s="3" t="str">
        <f>IFERROR(__xludf.DUMMYFUNCTION("GOOGLETRANSLATE(B7947,""id"",""en"")"),"['Captured', 'Fix', 'Infrastructure', 'Sell', 'BUMN', 'Kasian', 'Customer', 'Need', 'Signal', 'Stable', 'Jakarta']")</f>
        <v>['Captured', 'Fix', 'Infrastructure', 'Sell', 'BUMN', 'Kasian', 'Customer', 'Need', 'Signal', 'Stable', 'Jakarta']</v>
      </c>
      <c r="D7947" s="3">
        <v>1.0</v>
      </c>
    </row>
    <row r="7948" ht="15.75" customHeight="1">
      <c r="A7948" s="1">
        <v>8422.0</v>
      </c>
      <c r="B7948" s="3" t="s">
        <v>7608</v>
      </c>
      <c r="C7948" s="3" t="str">
        <f>IFERROR(__xludf.DUMMYFUNCTION("GOOGLETRANSLATE(B7948,""id"",""en"")"),"['signal', 'kagak', 'nge', 'game', 'right', 'loby', 'signal', 'normal', 'kalok', 'play', 'meet', 'enemy', ' signal ',' direct ',' derastic ',' please ',' fix ',' like ',' gini ',' already ',' pakek ',' telkomsel ']")</f>
        <v>['signal', 'kagak', 'nge', 'game', 'right', 'loby', 'signal', 'normal', 'kalok', 'play', 'meet', 'enemy', ' signal ',' direct ',' derastic ',' please ',' fix ',' like ',' gini ',' already ',' pakek ',' telkomsel ']</v>
      </c>
      <c r="D7948" s="3">
        <v>1.0</v>
      </c>
    </row>
    <row r="7949" ht="15.75" customHeight="1">
      <c r="A7949" s="1">
        <v>8423.0</v>
      </c>
      <c r="B7949" s="3" t="s">
        <v>7609</v>
      </c>
      <c r="C7949" s="3" t="str">
        <f>IFERROR(__xludf.DUMMYFUNCTION("GOOGLETRANSLATE(B7949,""id"",""en"")"),"['', 'update', 'delicious', 'update', 'explanation', 'package', 'select', 'alms', 'deserving', 'package', 'customer', 'confused']")</f>
        <v>['', 'update', 'delicious', 'update', 'explanation', 'package', 'select', 'alms', 'deserving', 'package', 'customer', 'confused']</v>
      </c>
      <c r="D7949" s="3">
        <v>2.0</v>
      </c>
    </row>
    <row r="7950" ht="15.75" customHeight="1">
      <c r="A7950" s="1">
        <v>8424.0</v>
      </c>
      <c r="B7950" s="3" t="s">
        <v>7610</v>
      </c>
      <c r="C7950" s="3" t="str">
        <f>IFERROR(__xludf.DUMMYFUNCTION("GOOGLETRANSLATE(B7950,""id"",""en"")"),"['TOP', 'Markotop', 'pokonya', 'cheap', 'package', 'network', 'good', 'success', 'Telkomsel']")</f>
        <v>['TOP', 'Markotop', 'pokonya', 'cheap', 'package', 'network', 'good', 'success', 'Telkomsel']</v>
      </c>
      <c r="D7950" s="3">
        <v>5.0</v>
      </c>
    </row>
    <row r="7951" ht="15.75" customHeight="1">
      <c r="A7951" s="1">
        <v>8425.0</v>
      </c>
      <c r="B7951" s="3" t="s">
        <v>7611</v>
      </c>
      <c r="C7951" s="3" t="str">
        <f>IFERROR(__xludf.DUMMYFUNCTION("GOOGLETRANSLATE(B7951,""id"",""en"")"),"['Credit', 'buy', 'Package', 'Telkom', 'answer', 'credit', 'sufficient', 'gymna', 'please', 'repair']")</f>
        <v>['Credit', 'buy', 'Package', 'Telkom', 'answer', 'credit', 'sufficient', 'gymna', 'please', 'repair']</v>
      </c>
      <c r="D7951" s="3">
        <v>2.0</v>
      </c>
    </row>
    <row r="7952" ht="15.75" customHeight="1">
      <c r="A7952" s="1">
        <v>8426.0</v>
      </c>
      <c r="B7952" s="3" t="s">
        <v>7612</v>
      </c>
      <c r="C7952" s="3" t="str">
        <f>IFERROR(__xludf.DUMMYFUNCTION("GOOGLETRANSLATE(B7952,""id"",""en"")"),"['balance', 'credit', 'reduced', 'package', 'call', 'all', 'operator', 'subscribe', 'sms', 'anything', 'please', 'repair']")</f>
        <v>['balance', 'credit', 'reduced', 'package', 'call', 'all', 'operator', 'subscribe', 'sms', 'anything', 'please', 'repair']</v>
      </c>
      <c r="D7952" s="3">
        <v>1.0</v>
      </c>
    </row>
    <row r="7953" ht="15.75" customHeight="1">
      <c r="A7953" s="1">
        <v>8427.0</v>
      </c>
      <c r="B7953" s="3" t="s">
        <v>7613</v>
      </c>
      <c r="C7953" s="3" t="str">
        <f>IFERROR(__xludf.DUMMYFUNCTION("GOOGLETRANSLATE(B7953,""id"",""en"")"),"['Upset', 'Telkomsel', 'Credit', 'Reduced', 'Quota', 'GB', 'Application', 'Take', 'Take', 'Untung', 'Company', ' Dirty ',' doing business', 'customers',' use ',' how ',' loss', 'please', 'assisted', 'solution', '']")</f>
        <v>['Upset', 'Telkomsel', 'Credit', 'Reduced', 'Quota', 'GB', 'Application', 'Take', 'Take', 'Untung', 'Company', ' Dirty ',' doing business', 'customers',' use ',' how ',' loss', 'please', 'assisted', 'solution', '']</v>
      </c>
      <c r="D7953" s="3">
        <v>1.0</v>
      </c>
    </row>
    <row r="7954" ht="15.75" customHeight="1">
      <c r="A7954" s="1">
        <v>8428.0</v>
      </c>
      <c r="B7954" s="3" t="s">
        <v>7614</v>
      </c>
      <c r="C7954" s="3" t="str">
        <f>IFERROR(__xludf.DUMMYFUNCTION("GOOGLETRANSLATE(B7954,""id"",""en"")"),"['network', 'here', 'chaotic', 'package', 'data', 'GB', 'dlm', 'terqkin', 'run out', 'because', 'network', ' Males', 'Hold', 'Please', 'Update', 'Repaired', 'User', 'Telkomsel', 'Comfortable', ""]")</f>
        <v>['network', 'here', 'chaotic', 'package', 'data', 'GB', 'dlm', 'terqkin', 'run out', 'because', 'network', ' Males', 'Hold', 'Please', 'Update', 'Repaired', 'User', 'Telkomsel', 'Comfortable', "]</v>
      </c>
      <c r="D7954" s="3">
        <v>1.0</v>
      </c>
    </row>
    <row r="7955" ht="15.75" customHeight="1">
      <c r="A7955" s="1">
        <v>8429.0</v>
      </c>
      <c r="B7955" s="3" t="s">
        <v>7615</v>
      </c>
      <c r="C7955" s="3" t="str">
        <f>IFERROR(__xludf.DUMMYFUNCTION("GOOGLETRANSLATE(B7955,""id"",""en"")"),"['bsa', 'list', 'package', 'internet', 'error', 'then' dipdagrade ',' ugly ',' application ',' system ']")</f>
        <v>['bsa', 'list', 'package', 'internet', 'error', 'then' dipdagrade ',' ugly ',' application ',' system ']</v>
      </c>
      <c r="D7955" s="3">
        <v>1.0</v>
      </c>
    </row>
    <row r="7956" ht="15.75" customHeight="1">
      <c r="A7956" s="1">
        <v>8430.0</v>
      </c>
      <c r="B7956" s="3" t="s">
        <v>7616</v>
      </c>
      <c r="C7956" s="3" t="str">
        <f>IFERROR(__xludf.DUMMYFUNCTION("GOOGLETRANSLATE(B7956,""id"",""en"")"),"['', 'Telkomsel', 'Application', 'Good', 'Help', 'Thank you', 'Indonesia']")</f>
        <v>['', 'Telkomsel', 'Application', 'Good', 'Help', 'Thank you', 'Indonesia']</v>
      </c>
      <c r="D7956" s="3">
        <v>5.0</v>
      </c>
    </row>
    <row r="7957" ht="15.75" customHeight="1">
      <c r="A7957" s="1">
        <v>8431.0</v>
      </c>
      <c r="B7957" s="3" t="s">
        <v>7617</v>
      </c>
      <c r="C7957" s="3" t="str">
        <f>IFERROR(__xludf.DUMMYFUNCTION("GOOGLETRANSLATE(B7957,""id"",""en"")"),"['Excuse', 'Please', 'Fraud', 'Gift', 'Lottery', 'Via', 'SMS', 'Please', 'Action', 'SMS', 'Sampe', 'times',' astagaaa ',' that's', 'serinng', 'sms',' contact ',' Severe ',' contents', 'fraud', 'spam', 'all', '']")</f>
        <v>['Excuse', 'Please', 'Fraud', 'Gift', 'Lottery', 'Via', 'SMS', 'Please', 'Action', 'SMS', 'Sampe', 'times',' astagaaa ',' that's', 'serinng', 'sms',' contact ',' Severe ',' contents', 'fraud', 'spam', 'all', '']</v>
      </c>
      <c r="D7957" s="3">
        <v>1.0</v>
      </c>
    </row>
    <row r="7958" ht="15.75" customHeight="1">
      <c r="A7958" s="1">
        <v>8432.0</v>
      </c>
      <c r="B7958" s="3" t="s">
        <v>7618</v>
      </c>
      <c r="C7958" s="3" t="str">
        <f>IFERROR(__xludf.DUMMYFUNCTION("GOOGLETRANSLATE(B7958,""id"",""en"")"),"['application', 'good', 'package', 'emergency', 'loan', 'sometimes',' promo ',' package ',' internet ',' just ',' please ',' update ',' Settings', 'limit', 'use', 'credit', 'quota', 'package', 'already', 'run out', 'pulses',' kepakai ',' gtu ',' sometimes"&amp;"', 'forget' , 'Matiin', 'data', 'quota', 'run out', 'pulse', 'use', 'run out', ""]")</f>
        <v>['application', 'good', 'package', 'emergency', 'loan', 'sometimes',' promo ',' package ',' internet ',' just ',' please ',' update ',' Settings', 'limit', 'use', 'credit', 'quota', 'package', 'already', 'run out', 'pulses',' kepakai ',' gtu ',' sometimes', 'forget' , 'Matiin', 'data', 'quota', 'run out', 'pulse', 'use', 'run out', "]</v>
      </c>
      <c r="D7958" s="3">
        <v>4.0</v>
      </c>
    </row>
    <row r="7959" ht="15.75" customHeight="1">
      <c r="A7959" s="1">
        <v>8433.0</v>
      </c>
      <c r="B7959" s="3" t="s">
        <v>7619</v>
      </c>
      <c r="C7959" s="3" t="str">
        <f>IFERROR(__xludf.DUMMYFUNCTION("GOOGLETRANSLATE(B7959,""id"",""en"")"),"['Simple', 'really', 'this makes', 'Display', 'Not bad', 'Good', 'promo', 'Daily', 'Caheck', 'Ina', 'Good', ""]")</f>
        <v>['Simple', 'really', 'this makes', 'Display', 'Not bad', 'Good', 'promo', 'Daily', 'Caheck', 'Ina', 'Good', "]</v>
      </c>
      <c r="D7959" s="3">
        <v>5.0</v>
      </c>
    </row>
    <row r="7960" ht="15.75" customHeight="1">
      <c r="A7960" s="1">
        <v>8434.0</v>
      </c>
      <c r="B7960" s="3" t="s">
        <v>7620</v>
      </c>
      <c r="C7960" s="3" t="str">
        <f>IFERROR(__xludf.DUMMYFUNCTION("GOOGLETRANSLATE(B7960,""id"",""en"")"),"['overnight', 'pairs',' package ',' combo ',' payment ',' via ',' shopee ',' pay ',' package ',' enter ',' money ',' already ',' succeeded ',' paid ',' access', 'reset', 'money', 'UDH', 'SUCCESS', 'PACKAGE', 'Enter', 'forced', 'contents',' balance ',' bal"&amp;"ance ' , 'disappear', 'package', 'disappear', 'tadak', 'enter', 'safe', 'ask', 'mintk', 'return', 'because', 'Udh', 'paid']")</f>
        <v>['overnight', 'pairs',' package ',' combo ',' payment ',' via ',' shopee ',' pay ',' package ',' enter ',' money ',' already ',' succeeded ',' paid ',' access', 'reset', 'money', 'UDH', 'SUCCESS', 'PACKAGE', 'Enter', 'forced', 'contents',' balance ',' balance ' , 'disappear', 'package', 'disappear', 'tadak', 'enter', 'safe', 'ask', 'mintk', 'return', 'because', 'Udh', 'paid']</v>
      </c>
      <c r="D7960" s="3">
        <v>3.0</v>
      </c>
    </row>
    <row r="7961" ht="15.75" customHeight="1">
      <c r="A7961" s="1">
        <v>8435.0</v>
      </c>
      <c r="B7961" s="3" t="s">
        <v>7621</v>
      </c>
      <c r="C7961" s="3" t="str">
        <f>IFERROR(__xludf.DUMMYFUNCTION("GOOGLETRANSLATE(B7961,""id"",""en"")"),"['Good', 'makes it easy', 'check', 'pulse', 'leftover', 'quota', 'program', 'useful', 'city', 'multimedia', 'please', 'clarified', ' belongs', 'used', 'bonus',' checkin ',' claimed ',' pulse ',' person ',' buy ',' pulse ',' regular ',' buy ',' package ','"&amp;" quota ' , 'thank you']")</f>
        <v>['Good', 'makes it easy', 'check', 'pulse', 'leftover', 'quota', 'program', 'useful', 'city', 'multimedia', 'please', 'clarified', ' belongs', 'used', 'bonus',' checkin ',' claimed ',' pulse ',' person ',' buy ',' pulse ',' regular ',' buy ',' package ',' quota ' , 'thank you']</v>
      </c>
      <c r="D7961" s="3">
        <v>5.0</v>
      </c>
    </row>
    <row r="7962" ht="15.75" customHeight="1">
      <c r="A7962" s="1">
        <v>8436.0</v>
      </c>
      <c r="B7962" s="3" t="s">
        <v>7622</v>
      </c>
      <c r="C7962" s="3" t="str">
        <f>IFERROR(__xludf.DUMMYFUNCTION("GOOGLETRANSLATE(B7962,""id"",""en"")"),"['Constraints', 'Use', 'Network', 'Internet', 'Loading', 'Fast', 'Application', 'Informative', '']")</f>
        <v>['Constraints', 'Use', 'Network', 'Internet', 'Loading', 'Fast', 'Application', 'Informative', '']</v>
      </c>
      <c r="D7962" s="3">
        <v>5.0</v>
      </c>
    </row>
    <row r="7963" ht="15.75" customHeight="1">
      <c r="A7963" s="1">
        <v>8437.0</v>
      </c>
      <c r="B7963" s="3" t="s">
        <v>7623</v>
      </c>
      <c r="C7963" s="3" t="str">
        <f>IFERROR(__xludf.DUMMYFUNCTION("GOOGLETRANSLATE(B7963,""id"",""en"")"),"['Package', 'Tel', 'expensive', 'Sementa', 'tenam', 'cheap', 'Must', 'Different', 'Different']")</f>
        <v>['Package', 'Tel', 'expensive', 'Sementa', 'tenam', 'cheap', 'Must', 'Different', 'Different']</v>
      </c>
      <c r="D7963" s="3">
        <v>1.0</v>
      </c>
    </row>
    <row r="7964" ht="15.75" customHeight="1">
      <c r="A7964" s="1">
        <v>8438.0</v>
      </c>
      <c r="B7964" s="3" t="s">
        <v>7624</v>
      </c>
      <c r="C7964" s="3" t="str">
        <f>IFERROR(__xludf.DUMMYFUNCTION("GOOGLETRANSLATE(B7964,""id"",""en"")"),"['application', 'aerewiri', 'ugly', 'really', 'entered', 'ajah', 'difficult', 'already', 'try', 'pke', 'email', 'gmail', ' Link ',' SMS ',' Send ',' enter ',' ugly ',' really ',' how ',' Telkomsel ',' already ',' price ',' Package ',' PDA ',' expensive ' "&amp;", 'expensive', 'KLW', 'Signalmya', 'Good', 'Ogah', 'Telkomsel', '']")</f>
        <v>['application', 'aerewiri', 'ugly', 'really', 'entered', 'ajah', 'difficult', 'already', 'try', 'pke', 'email', 'gmail', ' Link ',' SMS ',' Send ',' enter ',' ugly ',' really ',' how ',' Telkomsel ',' already ',' price ',' Package ',' PDA ',' expensive ' , 'expensive', 'KLW', 'Signalmya', 'Good', 'Ogah', 'Telkomsel', '']</v>
      </c>
      <c r="D7964" s="3">
        <v>1.0</v>
      </c>
    </row>
    <row r="7965" ht="15.75" customHeight="1">
      <c r="A7965" s="1">
        <v>8439.0</v>
      </c>
      <c r="B7965" s="3" t="s">
        <v>7625</v>
      </c>
      <c r="C7965" s="3" t="str">
        <f>IFERROR(__xludf.DUMMYFUNCTION("GOOGLETRANSLATE(B7965,""id"",""en"")"),"['Opportunity', 'Win', 'Karna', 'Need', 'Survive', 'Life', 'When', 'Pandemic', 'Hopefully', 'Gift', 'Redeem', 'Points',' Amen', '']")</f>
        <v>['Opportunity', 'Win', 'Karna', 'Need', 'Survive', 'Life', 'When', 'Pandemic', 'Hopefully', 'Gift', 'Redeem', 'Points',' Amen', '']</v>
      </c>
      <c r="D7965" s="3">
        <v>5.0</v>
      </c>
    </row>
    <row r="7966" ht="15.75" customHeight="1">
      <c r="A7966" s="1">
        <v>8440.0</v>
      </c>
      <c r="B7966" s="3" t="s">
        <v>7626</v>
      </c>
      <c r="C7966" s="3" t="str">
        <f>IFERROR(__xludf.DUMMYFUNCTION("GOOGLETRANSLATE(B7966,""id"",""en"")"),"['Unfortunate', 'Network', 'Leet', 'Please', 'Attention', ""]")</f>
        <v>['Unfortunate', 'Network', 'Leet', 'Please', 'Attention', "]</v>
      </c>
      <c r="D7966" s="3">
        <v>3.0</v>
      </c>
    </row>
    <row r="7967" ht="15.75" customHeight="1">
      <c r="A7967" s="1">
        <v>8441.0</v>
      </c>
      <c r="B7967" s="3" t="s">
        <v>7627</v>
      </c>
      <c r="C7967" s="3" t="str">
        <f>IFERROR(__xludf.DUMMYFUNCTION("GOOGLETRANSLATE(B7967,""id"",""en"")"),"['', 'pulses',' sumps', 'abis',' then ',' use ',' fill in ',' package ',' leftover ',' pulse ',' turn ',' check ',' directly ',' Abis', 'Where']")</f>
        <v>['', 'pulses',' sumps', 'abis',' then ',' use ',' fill in ',' package ',' leftover ',' pulse ',' turn ',' check ',' directly ',' Abis', 'Where']</v>
      </c>
      <c r="D7967" s="3">
        <v>1.0</v>
      </c>
    </row>
    <row r="7968" ht="15.75" customHeight="1">
      <c r="A7968" s="1">
        <v>8442.0</v>
      </c>
      <c r="B7968" s="3" t="s">
        <v>7628</v>
      </c>
      <c r="C7968" s="3" t="str">
        <f>IFERROR(__xludf.DUMMYFUNCTION("GOOGLETRANSLATE(B7968,""id"",""en"")"),"['Times', 'Claim', 'Telkomsel', 'Solution', 'Glad', 'Service', 'Telkomsel']")</f>
        <v>['Times', 'Claim', 'Telkomsel', 'Solution', 'Glad', 'Service', 'Telkomsel']</v>
      </c>
      <c r="D7968" s="3">
        <v>5.0</v>
      </c>
    </row>
    <row r="7969" ht="15.75" customHeight="1">
      <c r="A7969" s="1">
        <v>8443.0</v>
      </c>
      <c r="B7969" s="3" t="s">
        <v>7629</v>
      </c>
      <c r="C7969" s="3" t="str">
        <f>IFERROR(__xludf.DUMMYFUNCTION("GOOGLETRANSLATE(B7969,""id"",""en"")"),"['Constraints', 'signal', 'smooth', 'network', 'anything', 'buffer']")</f>
        <v>['Constraints', 'signal', 'smooth', 'network', 'anything', 'buffer']</v>
      </c>
      <c r="D7969" s="3">
        <v>1.0</v>
      </c>
    </row>
    <row r="7970" ht="15.75" customHeight="1">
      <c r="A7970" s="1">
        <v>8444.0</v>
      </c>
      <c r="B7970" s="3" t="s">
        <v>7630</v>
      </c>
      <c r="C7970" s="3" t="str">
        <f>IFERROR(__xludf.DUMMYFUNCTION("GOOGLETRANSLATE(B7970,""id"",""en"")"),"['Alhamdulillah', 'love', 'star', 'response', 'fast', 'complementary', 'yesterday', 'thank', 'love', 'increase']")</f>
        <v>['Alhamdulillah', 'love', 'star', 'response', 'fast', 'complementary', 'yesterday', 'thank', 'love', 'increase']</v>
      </c>
      <c r="D7970" s="3">
        <v>5.0</v>
      </c>
    </row>
    <row r="7971" ht="15.75" customHeight="1">
      <c r="A7971" s="1">
        <v>8445.0</v>
      </c>
      <c r="B7971" s="3" t="s">
        <v>7631</v>
      </c>
      <c r="C7971" s="3" t="str">
        <f>IFERROR(__xludf.DUMMYFUNCTION("GOOGLETRANSLATE(B7971,""id"",""en"")"),"['Network', 'Telkomsel', 'Network', 'Kek', 'Gini', 'Change', 'Operator', 'Byebye', 'Telkomsel']")</f>
        <v>['Network', 'Telkomsel', 'Network', 'Kek', 'Gini', 'Change', 'Operator', 'Byebye', 'Telkomsel']</v>
      </c>
      <c r="D7971" s="3">
        <v>1.0</v>
      </c>
    </row>
    <row r="7972" ht="15.75" customHeight="1">
      <c r="A7972" s="1">
        <v>8446.0</v>
      </c>
      <c r="B7972" s="3" t="s">
        <v>7632</v>
      </c>
      <c r="C7972" s="3" t="str">
        <f>IFERROR(__xludf.DUMMYFUNCTION("GOOGLETRANSLATE(B7972,""id"",""en"")"),"['', 'Multimedia', 'Package', 'Hallo', 'Kick', ""]")</f>
        <v>['', 'Multimedia', 'Package', 'Hallo', 'Kick', "]</v>
      </c>
      <c r="D7972" s="3">
        <v>5.0</v>
      </c>
    </row>
    <row r="7973" ht="15.75" customHeight="1">
      <c r="A7973" s="1">
        <v>8447.0</v>
      </c>
      <c r="B7973" s="3" t="s">
        <v>7633</v>
      </c>
      <c r="C7973" s="3" t="str">
        <f>IFERROR(__xludf.DUMMYFUNCTION("GOOGLETRANSLATE(B7973,""id"",""en"")"),"['Package', 'GameSmax', 'Free', 'Fire', 'Disappointing', 'Loss', 'Fix', 'Restore', 'Money']")</f>
        <v>['Package', 'GameSmax', 'Free', 'Fire', 'Disappointing', 'Loss', 'Fix', 'Restore', 'Money']</v>
      </c>
      <c r="D7973" s="3">
        <v>1.0</v>
      </c>
    </row>
    <row r="7974" ht="15.75" customHeight="1">
      <c r="A7974" s="1">
        <v>8448.0</v>
      </c>
      <c r="B7974" s="3" t="s">
        <v>7634</v>
      </c>
      <c r="C7974" s="3" t="str">
        <f>IFERROR(__xludf.DUMMYFUNCTION("GOOGLETRANSLATE(B7974,""id"",""en"")"),"['Comfortable', 'Compare']")</f>
        <v>['Comfortable', 'Compare']</v>
      </c>
      <c r="D7974" s="3">
        <v>5.0</v>
      </c>
    </row>
    <row r="7975" ht="15.75" customHeight="1">
      <c r="A7975" s="1">
        <v>8449.0</v>
      </c>
      <c r="B7975" s="3" t="s">
        <v>7635</v>
      </c>
      <c r="C7975" s="3" t="str">
        <f>IFERROR(__xludf.DUMMYFUNCTION("GOOGLETRANSLATE(B7975,""id"",""en"")"),"['Asik', 'bonus']")</f>
        <v>['Asik', 'bonus']</v>
      </c>
      <c r="D7975" s="3">
        <v>3.0</v>
      </c>
    </row>
    <row r="7976" ht="15.75" customHeight="1">
      <c r="A7976" s="1">
        <v>8450.0</v>
      </c>
      <c r="B7976" s="3" t="s">
        <v>7636</v>
      </c>
      <c r="C7976" s="3" t="str">
        <f>IFERROR(__xludf.DUMMYFUNCTION("GOOGLETRANSLATE(B7976,""id"",""en"")"),"['Disappointed', 'Cave', 'Buy', 'Data', 'My Hofiter', 'Cave', 'Re-purchase', 'Purchase', 'Nggk', 'Notification', 'Kalu', 'Success',' buy ',' city ',' turn ',' cave ',' check ',' pulse ',' cave ',' omg ',' chick ',' times', 'purchase', 'severe', 'data' , '"&amp;"buy', 'times',' purchase ',' times', 'cheek', 'strange', 'cave', 'loss',' pulse ',' cave ',' cheek ',' Rp ',' Please, 'wise']")</f>
        <v>['Disappointed', 'Cave', 'Buy', 'Data', 'My Hofiter', 'Cave', 'Re-purchase', 'Purchase', 'Nggk', 'Notification', 'Kalu', 'Success',' buy ',' city ',' turn ',' cave ',' check ',' pulse ',' cave ',' omg ',' chick ',' times', 'purchase', 'severe', 'data' , 'buy', 'times',' purchase ',' times', 'cheek', 'strange', 'cave', 'loss',' pulse ',' cave ',' cheek ',' Rp ',' Please, 'wise']</v>
      </c>
      <c r="D7976" s="3">
        <v>1.0</v>
      </c>
    </row>
    <row r="7977" ht="15.75" customHeight="1">
      <c r="A7977" s="1">
        <v>8451.0</v>
      </c>
      <c r="B7977" s="3" t="s">
        <v>7637</v>
      </c>
      <c r="C7977" s="3" t="str">
        <f>IFERROR(__xludf.DUMMYFUNCTION("GOOGLETRANSLATE(B7977,""id"",""en"")"),"['Application', 'Telkomsel', 'makes it easy', 'transactions', 'related', 'data', 'Telkomsel', 'information', 'thank', 'love', 'Telkomsel']")</f>
        <v>['Application', 'Telkomsel', 'makes it easy', 'transactions', 'related', 'data', 'Telkomsel', 'information', 'thank', 'love', 'Telkomsel']</v>
      </c>
      <c r="D7977" s="3">
        <v>5.0</v>
      </c>
    </row>
    <row r="7978" ht="15.75" customHeight="1">
      <c r="A7978" s="1">
        <v>8452.0</v>
      </c>
      <c r="B7978" s="3" t="s">
        <v>7638</v>
      </c>
      <c r="C7978" s="3" t="str">
        <f>IFERROR(__xludf.DUMMYFUNCTION("GOOGLETRANSLATE(B7978,""id"",""en"")"),"['Easy', 'functioning', 'at the same time', 'quota', 'expenditure', 'application', 'connected', 'Sometimes',' slow ',' internet ',' please ',' network ',' Telkomsel ',' Area ',' Conection ',' Network ',' level ',' Quality ',' Greetings', 'Spirit', 'Child'"&amp;", 'Indonesia', ""]")</f>
        <v>['Easy', 'functioning', 'at the same time', 'quota', 'expenditure', 'application', 'connected', 'Sometimes',' slow ',' internet ',' please ',' network ',' Telkomsel ',' Area ',' Conection ',' Network ',' level ',' Quality ',' Greetings', 'Spirit', 'Child', 'Indonesia', "]</v>
      </c>
      <c r="D7978" s="3">
        <v>5.0</v>
      </c>
    </row>
    <row r="7979" ht="15.75" customHeight="1">
      <c r="A7979" s="1">
        <v>8453.0</v>
      </c>
      <c r="B7979" s="3" t="s">
        <v>7639</v>
      </c>
      <c r="C7979" s="3" t="str">
        <f>IFERROR(__xludf.DUMMYFUNCTION("GOOGLETRANSLATE(B7979,""id"",""en"")"),"['min', 'please', 'make', 'feature', 'separator', 'quota', 'pulse', 'quota', 'run out', 'sucking', 'pulse', 'honest', ' Ngeselin ',' really ',' application ',' provider ',' already ',' features', '']")</f>
        <v>['min', 'please', 'make', 'feature', 'separator', 'quota', 'pulse', 'quota', 'run out', 'sucking', 'pulse', 'honest', ' Ngeselin ',' really ',' application ',' provider ',' already ',' features', '']</v>
      </c>
      <c r="D7979" s="3">
        <v>4.0</v>
      </c>
    </row>
    <row r="7980" ht="15.75" customHeight="1">
      <c r="A7980" s="1">
        <v>8454.0</v>
      </c>
      <c r="B7980" s="3" t="s">
        <v>7640</v>
      </c>
      <c r="C7980" s="3" t="str">
        <f>IFERROR(__xludf.DUMMYFUNCTION("GOOGLETRANSLATE(B7980,""id"",""en"")"),"['Telkomsel', 'Indonesia']")</f>
        <v>['Telkomsel', 'Indonesia']</v>
      </c>
      <c r="D7980" s="3">
        <v>5.0</v>
      </c>
    </row>
    <row r="7981" ht="15.75" customHeight="1">
      <c r="A7981" s="1">
        <v>8456.0</v>
      </c>
      <c r="B7981" s="3" t="s">
        <v>7641</v>
      </c>
      <c r="C7981" s="3" t="str">
        <f>IFERROR(__xludf.DUMMYFUNCTION("GOOGLETRANSLATE(B7981,""id"",""en"")"),"['slow', 'bnget', 'Telkomsel', 'buy', 'quota', 'use', 'money', 'min', 'bought', 'barn', 'yield', 'good', ' ']")</f>
        <v>['slow', 'bnget', 'Telkomsel', 'buy', 'quota', 'use', 'money', 'min', 'bought', 'barn', 'yield', 'good', ' ']</v>
      </c>
      <c r="D7981" s="3">
        <v>1.0</v>
      </c>
    </row>
    <row r="7982" ht="15.75" customHeight="1">
      <c r="A7982" s="1">
        <v>8457.0</v>
      </c>
      <c r="B7982" s="3" t="s">
        <v>7642</v>
      </c>
      <c r="C7982" s="3" t="str">
        <f>IFERROR(__xludf.DUMMYFUNCTION("GOOGLETRANSLATE(B7982,""id"",""en"")"),"['rotten', 'network', 'emotion', 'doang', 'cave', 'love', 'star', ""]")</f>
        <v>['rotten', 'network', 'emotion', 'doang', 'cave', 'love', 'star', "]</v>
      </c>
      <c r="D7982" s="3">
        <v>1.0</v>
      </c>
    </row>
    <row r="7983" ht="15.75" customHeight="1">
      <c r="A7983" s="1">
        <v>8458.0</v>
      </c>
      <c r="B7983" s="3" t="s">
        <v>7643</v>
      </c>
      <c r="C7983" s="3" t="str">
        <f>IFERROR(__xludf.DUMMYFUNCTION("GOOGLETRANSLATE(B7983,""id"",""en"")"),"['Application', 'satisfying']")</f>
        <v>['Application', 'satisfying']</v>
      </c>
      <c r="D7983" s="3">
        <v>4.0</v>
      </c>
    </row>
    <row r="7984" ht="15.75" customHeight="1">
      <c r="A7984" s="1">
        <v>8459.0</v>
      </c>
      <c r="B7984" s="3" t="s">
        <v>7644</v>
      </c>
      <c r="C7984" s="3" t="str">
        <f>IFERROR(__xludf.DUMMYFUNCTION("GOOGLETRANSLATE(B7984,""id"",""en"")"),"['Network', 'ugly', 'buy', 'package', 'expensive', 'Requisel', 'Telkomsel', 'Sorry', 'times', 'signal', 'poor', ""]")</f>
        <v>['Network', 'ugly', 'buy', 'package', 'expensive', 'Requisel', 'Telkomsel', 'Sorry', 'times', 'signal', 'poor', "]</v>
      </c>
      <c r="D7984" s="3">
        <v>1.0</v>
      </c>
    </row>
    <row r="7985" ht="15.75" customHeight="1">
      <c r="A7985" s="1">
        <v>8460.0</v>
      </c>
      <c r="B7985" s="3" t="s">
        <v>7645</v>
      </c>
      <c r="C7985" s="3" t="str">
        <f>IFERROR(__xludf.DUMMYFUNCTION("GOOGLETRANSLATE(B7985,""id"",""en"")"),"['oath', 'already', 'Yesterday', 'Date', 'October', 'Network', 'Xiaomi', 'Redmi', 'Note', 'Signal', 'Key', 'Network', ' signal ',' service ',' signal ',' ']")</f>
        <v>['oath', 'already', 'Yesterday', 'Date', 'October', 'Network', 'Xiaomi', 'Redmi', 'Note', 'Signal', 'Key', 'Network', ' signal ',' service ',' signal ',' ']</v>
      </c>
      <c r="D7985" s="3">
        <v>1.0</v>
      </c>
    </row>
    <row r="7986" ht="15.75" customHeight="1">
      <c r="A7986" s="1">
        <v>8461.0</v>
      </c>
      <c r="B7986" s="3" t="s">
        <v>7646</v>
      </c>
      <c r="C7986" s="3" t="str">
        <f>IFERROR(__xludf.DUMMYFUNCTION("GOOGLETRANSLATE(B7986,""id"",""en"")"),"['Sorry', 'Yaw', 'cell', 'skrg', 'location', 'location', 'coordinates',' signal ',' chat ',' open ',' status', 'difficult', ' Forgiveness', 'buy', 'package', 'expensive', 'times',' honest ',' chat ',' doang ',' fix ',' ']")</f>
        <v>['Sorry', 'Yaw', 'cell', 'skrg', 'location', 'location', 'coordinates',' signal ',' chat ',' open ',' status', 'difficult', ' Forgiveness', 'buy', 'package', 'expensive', 'times',' honest ',' chat ',' doang ',' fix ',' ']</v>
      </c>
      <c r="D7986" s="3">
        <v>1.0</v>
      </c>
    </row>
    <row r="7987" ht="15.75" customHeight="1">
      <c r="A7987" s="1">
        <v>8462.0</v>
      </c>
      <c r="B7987" s="3" t="s">
        <v>7647</v>
      </c>
      <c r="C7987" s="3" t="str">
        <f>IFERROR(__xludf.DUMMYFUNCTION("GOOGLETRANSLATE(B7987,""id"",""en"")"),"['chaotic', 'provider', 'Telkomsel', 'buy', 'quota', 'big', 'maen', 'game', 'network', 'naek', 'down', 'severe', ' Sometimes', 'clo', 'hot', 'network', 'direct', 'disappointed', 'position', 'in the area', 'jakarta', 'tangerang', 'sumsang', ""]")</f>
        <v>['chaotic', 'provider', 'Telkomsel', 'buy', 'quota', 'big', 'maen', 'game', 'network', 'naek', 'down', 'severe', ' Sometimes', 'clo', 'hot', 'network', 'direct', 'disappointed', 'position', 'in the area', 'jakarta', 'tangerang', 'sumsang', "]</v>
      </c>
      <c r="D7987" s="3">
        <v>1.0</v>
      </c>
    </row>
    <row r="7988" ht="15.75" customHeight="1">
      <c r="A7988" s="1">
        <v>8463.0</v>
      </c>
      <c r="B7988" s="3" t="s">
        <v>7648</v>
      </c>
      <c r="C7988" s="3" t="str">
        <f>IFERROR(__xludf.DUMMYFUNCTION("GOOGLETRANSLATE(B7988,""id"",""en"")"),"['Please', 'Strengthen', 'Network', 'Price', 'Strengthen', 'Network', 'Lemot', 'Kagak', 'Comfortable']")</f>
        <v>['Please', 'Strengthen', 'Network', 'Price', 'Strengthen', 'Network', 'Lemot', 'Kagak', 'Comfortable']</v>
      </c>
      <c r="D7988" s="3">
        <v>1.0</v>
      </c>
    </row>
    <row r="7989" ht="15.75" customHeight="1">
      <c r="A7989" s="1">
        <v>8464.0</v>
      </c>
      <c r="B7989" s="3" t="s">
        <v>7649</v>
      </c>
      <c r="C7989" s="3" t="str">
        <f>IFERROR(__xludf.DUMMYFUNCTION("GOOGLETRANSLATE(B7989,""id"",""en"")"),"['Help', 'prize', 'quota', 'free', 'check', 'dpat', 'quota', 'geratis', 'cheap', 'purchase', 'quota', ""]")</f>
        <v>['Help', 'prize', 'quota', 'free', 'check', 'dpat', 'quota', 'geratis', 'cheap', 'purchase', 'quota', "]</v>
      </c>
      <c r="D7989" s="3">
        <v>5.0</v>
      </c>
    </row>
    <row r="7990" ht="15.75" customHeight="1">
      <c r="A7990" s="1">
        <v>8465.0</v>
      </c>
      <c r="B7990" s="3" t="s">
        <v>7650</v>
      </c>
      <c r="C7990" s="3" t="str">
        <f>IFERROR(__xludf.DUMMYFUNCTION("GOOGLETRANSLATE(B7990,""id"",""en"")"),"['PDAH', 'card', 'already', 'choose', 'as',' card ',' pling ',' good ',' network ',' top ',' eeehh ',' mah ',' SLH ',' Network ',' bad ',' chaotic ',' Telkomsel ',' news', 'fooling', 'for days',' written ',' Brita ',' sudh ',' normal ',' normal ' , 'zonk'"&amp;", 'jringan', 'ttep', 'bad', 'pre', 'customer', 'pennkek', 'card', 'telkomsel', 'menggat', 'switch', 'card', ' HDDEHH ',' work ',' numpuk ',' Ajjhh ',' Gara ',' Jringn ',' Internet ',' Telkomsel ',' visits', 'Stabill', ""]")</f>
        <v>['PDAH', 'card', 'already', 'choose', 'as',' card ',' pling ',' good ',' network ',' top ',' eeehh ',' mah ',' SLH ',' Network ',' bad ',' chaotic ',' Telkomsel ',' news', 'fooling', 'for days',' written ',' Brita ',' sudh ',' normal ',' normal ' , 'zonk', 'jringan', 'ttep', 'bad', 'pre', 'customer', 'pennkek', 'card', 'telkomsel', 'menggat', 'switch', 'card', ' HDDEHH ',' work ',' numpuk ',' Ajjhh ',' Gara ',' Jringn ',' Internet ',' Telkomsel ',' visits', 'Stabill', "]</v>
      </c>
      <c r="D7990" s="3">
        <v>1.0</v>
      </c>
    </row>
    <row r="7991" ht="15.75" customHeight="1">
      <c r="A7991" s="1">
        <v>8466.0</v>
      </c>
      <c r="B7991" s="3" t="s">
        <v>7651</v>
      </c>
      <c r="C7991" s="3" t="str">
        <f>IFERROR(__xludf.DUMMYFUNCTION("GOOGLETRANSLATE(B7991,""id"",""en"")"),"['ugly', 'buy', 'quota', 'multimedia', 'unlimited', 'sosmed', 'open', 'sosmed', 'quota', 'multimedia', 'reduced', 'quota', ' Internet ',' Reduced ',' Disappointed ',' ']")</f>
        <v>['ugly', 'buy', 'quota', 'multimedia', 'unlimited', 'sosmed', 'open', 'sosmed', 'quota', 'multimedia', 'reduced', 'quota', ' Internet ',' Reduced ',' Disappointed ',' ']</v>
      </c>
      <c r="D7991" s="3">
        <v>1.0</v>
      </c>
    </row>
    <row r="7992" ht="15.75" customHeight="1">
      <c r="A7992" s="1">
        <v>8467.0</v>
      </c>
      <c r="B7992" s="3" t="s">
        <v>7652</v>
      </c>
      <c r="C7992" s="3" t="str">
        <f>IFERROR(__xludf.DUMMYFUNCTION("GOOGLETRANSLATE(B7992,""id"",""en"")"),"['paraah', 'Telkomsel', 'internet', 'slow', 'mah', 'already', 'strange', 'telkomsel', 'nyampe', 'already', 'tlpn', 'sms',' mah ',' already ',' really ',' ']")</f>
        <v>['paraah', 'Telkomsel', 'internet', 'slow', 'mah', 'already', 'strange', 'telkomsel', 'nyampe', 'already', 'tlpn', 'sms',' mah ',' already ',' really ',' ']</v>
      </c>
      <c r="D7992" s="3">
        <v>1.0</v>
      </c>
    </row>
    <row r="7993" ht="15.75" customHeight="1">
      <c r="A7993" s="1">
        <v>8468.0</v>
      </c>
      <c r="B7993" s="3" t="s">
        <v>7653</v>
      </c>
      <c r="C7993" s="3" t="str">
        <f>IFERROR(__xludf.DUMMYFUNCTION("GOOGLETRANSLATE(B7993,""id"",""en"")"),"['right', 'donow', 'mah', 'like', 'really', 'dama', 'apocate', 'no', 'login', 'unclean', 'eager', 'me', ' Download ',' ']")</f>
        <v>['right', 'donow', 'mah', 'like', 'really', 'dama', 'apocate', 'no', 'login', 'unclean', 'eager', 'me', ' Download ',' ']</v>
      </c>
      <c r="D7993" s="3">
        <v>1.0</v>
      </c>
    </row>
    <row r="7994" ht="15.75" customHeight="1">
      <c r="A7994" s="1">
        <v>8469.0</v>
      </c>
      <c r="B7994" s="3" t="s">
        <v>7654</v>
      </c>
      <c r="C7994" s="3" t="str">
        <f>IFERROR(__xludf.DUMMYFUNCTION("GOOGLETRANSLATE(B7994,""id"",""en"")"),"['Network', 'Mulu', 'SMP', 'Sampe', 'work', 'like', 'leg', 'severe', 'operator', 'Telkomsel', 'satisfying', ""]")</f>
        <v>['Network', 'Mulu', 'SMP', 'Sampe', 'work', 'like', 'leg', 'severe', 'operator', 'Telkomsel', 'satisfying', "]</v>
      </c>
      <c r="D7994" s="3">
        <v>1.0</v>
      </c>
    </row>
    <row r="7995" ht="15.75" customHeight="1">
      <c r="A7995" s="1">
        <v>8470.0</v>
      </c>
      <c r="B7995" s="3" t="s">
        <v>7655</v>
      </c>
      <c r="C7995" s="3" t="str">
        <f>IFERROR(__xludf.DUMMYFUNCTION("GOOGLETRANSLATE(B7995,""id"",""en"")"),"['knpa', 'network', 'difficult', 'contents',' package ',' expensive ',' quality ',' ngk ',' good ',' annoyed ',' Telkomsel ',' please ',' Fix ',' Package ',' Doang ',' Expensive ',' Tlong ',' Quality ',' Stabilized ',' Buyer ',' Package ',' Dri ',' Card '"&amp;"]")</f>
        <v>['knpa', 'network', 'difficult', 'contents',' package ',' expensive ',' quality ',' ngk ',' good ',' annoyed ',' Telkomsel ',' please ',' Fix ',' Package ',' Doang ',' Expensive ',' Tlong ',' Quality ',' Stabilized ',' Buyer ',' Package ',' Dri ',' Card ']</v>
      </c>
      <c r="D7995" s="3">
        <v>2.0</v>
      </c>
    </row>
    <row r="7996" ht="15.75" customHeight="1">
      <c r="A7996" s="1">
        <v>8471.0</v>
      </c>
      <c r="B7996" s="3" t="s">
        <v>7656</v>
      </c>
      <c r="C7996" s="3" t="str">
        <f>IFERROR(__xludf.DUMMYFUNCTION("GOOGLETRANSLATE(B7996,""id"",""en"")"),"['Telkom', 'points', 'Mending', 'Love', 'Exchange', 'Exchange', 'Credit', 'Quota', 'Rich', 'Display', 'Doang', ""]")</f>
        <v>['Telkom', 'points', 'Mending', 'Love', 'Exchange', 'Exchange', 'Credit', 'Quota', 'Rich', 'Display', 'Doang', "]</v>
      </c>
      <c r="D7996" s="3">
        <v>1.0</v>
      </c>
    </row>
    <row r="7997" ht="15.75" customHeight="1">
      <c r="A7997" s="1">
        <v>8472.0</v>
      </c>
      <c r="B7997" s="3" t="s">
        <v>7657</v>
      </c>
      <c r="C7997" s="3" t="str">
        <f>IFERROR(__xludf.DUMMYFUNCTION("GOOGLETRANSLATE(B7997,""id"",""en"")"),"['opened', 'application', 'error', 'connection', 'network', 'smooth', 'fail', 'load']")</f>
        <v>['opened', 'application', 'error', 'connection', 'network', 'smooth', 'fail', 'load']</v>
      </c>
      <c r="D7997" s="3">
        <v>1.0</v>
      </c>
    </row>
    <row r="7998" ht="15.75" customHeight="1">
      <c r="A7998" s="1">
        <v>8473.0</v>
      </c>
      <c r="B7998" s="3" t="s">
        <v>7658</v>
      </c>
      <c r="C7998" s="3" t="str">
        <f>IFERROR(__xludf.DUMMYFUNCTION("GOOGLETRANSLATE(B7998,""id"",""en"")"),"['expensive', 'payment', 'card', 'Hello', 'use', 'use', 'that way', 'card', 'prepaid', 'card', 'before', 'prepaid', ' teach ',' marketing ',' nawarin ',' via ',' TLP ',' prepaid ',' lure ',' lure ',' paid ',' after ',' normal ',' child ',' devil ' , '']")</f>
        <v>['expensive', 'payment', 'card', 'Hello', 'use', 'use', 'that way', 'card', 'prepaid', 'card', 'before', 'prepaid', ' teach ',' marketing ',' nawarin ',' via ',' TLP ',' prepaid ',' lure ',' lure ',' paid ',' after ',' normal ',' child ',' devil ' , '']</v>
      </c>
      <c r="D7998" s="3">
        <v>1.0</v>
      </c>
    </row>
    <row r="7999" ht="15.75" customHeight="1">
      <c r="A7999" s="1">
        <v>8474.0</v>
      </c>
      <c r="B7999" s="3" t="s">
        <v>7659</v>
      </c>
      <c r="C7999" s="3" t="str">
        <f>IFERROR(__xludf.DUMMYFUNCTION("GOOGLETRANSLATE(B7999,""id"",""en"")"),"['Please', 'application', 'session', 'kasian', 'os', 'low', 'sometimes', 'like', 'entry', 'friend', 'application', 'here' Application ',' MyTelkomsel ',' Support ',' Just ',' Maketkan ',' Internet ']")</f>
        <v>['Please', 'application', 'session', 'kasian', 'os', 'low', 'sometimes', 'like', 'entry', 'friend', 'application', 'here' Application ',' MyTelkomsel ',' Support ',' Just ',' Maketkan ',' Internet ']</v>
      </c>
      <c r="D7999" s="3">
        <v>4.0</v>
      </c>
    </row>
    <row r="8000" ht="15.75" customHeight="1">
      <c r="A8000" s="1">
        <v>8475.0</v>
      </c>
      <c r="B8000" s="3" t="s">
        <v>7660</v>
      </c>
      <c r="C8000" s="3" t="str">
        <f>IFERROR(__xludf.DUMMYFUNCTION("GOOGLETRANSLATE(B8000,""id"",""en"")"),"['Cook', 'credit', 'reduced', 'Hadeh', 'subscription', 'anything', 'already', 'really', 'credit', 'reduced', 'cook', 'already', ' company ',' Gede ',' Kek ',' Gini ',' Customer ']")</f>
        <v>['Cook', 'credit', 'reduced', 'Hadeh', 'subscription', 'anything', 'already', 'really', 'credit', 'reduced', 'cook', 'already', ' company ',' Gede ',' Kek ',' Gini ',' Customer ']</v>
      </c>
      <c r="D8000" s="3">
        <v>1.0</v>
      </c>
    </row>
    <row r="8001" ht="15.75" customHeight="1">
      <c r="A8001" s="1">
        <v>8476.0</v>
      </c>
      <c r="B8001" s="3" t="s">
        <v>7661</v>
      </c>
      <c r="C8001" s="3" t="str">
        <f>IFERROR(__xludf.DUMMYFUNCTION("GOOGLETRANSLATE(B8001,""id"",""en"")"),"['location', 'signal', 'slow', 'disappointed', 'play', 'game', 'calm', 'open', 'youtube', 'difficult', 'happy', 'watch', ' Please ',' Fix ']")</f>
        <v>['location', 'signal', 'slow', 'disappointed', 'play', 'game', 'calm', 'open', 'youtube', 'difficult', 'happy', 'watch', ' Please ',' Fix ']</v>
      </c>
      <c r="D8001" s="3">
        <v>1.0</v>
      </c>
    </row>
    <row r="8002" ht="15.75" customHeight="1">
      <c r="A8002" s="1">
        <v>8477.0</v>
      </c>
      <c r="B8002" s="3" t="s">
        <v>7662</v>
      </c>
      <c r="C8002" s="3" t="str">
        <f>IFERROR(__xludf.DUMMYFUNCTION("GOOGLETRANSLATE(B8002,""id"",""en"")"),"['buy', 'package', 'expensive', 'buy', 'package', 'data', 'extend', 'active', 'run out', 'data', 'buy', 'date', ' Oct ',' Out ',' Dipake ',' SIM ',' Data ',' Parahhh ']")</f>
        <v>['buy', 'package', 'expensive', 'buy', 'package', 'data', 'extend', 'active', 'run out', 'data', 'buy', 'date', ' Oct ',' Out ',' Dipake ',' SIM ',' Data ',' Parahhh ']</v>
      </c>
      <c r="D8002" s="3">
        <v>1.0</v>
      </c>
    </row>
    <row r="8003" ht="15.75" customHeight="1">
      <c r="A8003" s="1">
        <v>8478.0</v>
      </c>
      <c r="B8003" s="3" t="s">
        <v>7663</v>
      </c>
      <c r="C8003" s="3" t="str">
        <f>IFERROR(__xludf.DUMMYFUNCTION("GOOGLETRANSLATE(B8003,""id"",""en"")"),"['Not bad', 'good', 'skrg', 'ugly', 'update', 'ugly', '']")</f>
        <v>['Not bad', 'good', 'skrg', 'ugly', 'update', 'ugly', '']</v>
      </c>
      <c r="D8003" s="3">
        <v>4.0</v>
      </c>
    </row>
    <row r="8004" ht="15.75" customHeight="1">
      <c r="A8004" s="1">
        <v>8479.0</v>
      </c>
      <c r="B8004" s="3" t="s">
        <v>7664</v>
      </c>
      <c r="C8004" s="3" t="str">
        <f>IFERROR(__xludf.DUMMYFUNCTION("GOOGLETRANSLATE(B8004,""id"",""en"")"),"['expensive', 'buy', 'quota', 'Telkomsel', 'name', 'hope', 'in the future', 'Kasi', 'quota', 'cheap', 'unlimited']")</f>
        <v>['expensive', 'buy', 'quota', 'Telkomsel', 'name', 'hope', 'in the future', 'Kasi', 'quota', 'cheap', 'unlimited']</v>
      </c>
      <c r="D8004" s="3">
        <v>3.0</v>
      </c>
    </row>
    <row r="8005" ht="15.75" customHeight="1">
      <c r="A8005" s="1">
        <v>8480.0</v>
      </c>
      <c r="B8005" s="3" t="s">
        <v>7665</v>
      </c>
      <c r="C8005" s="3" t="str">
        <f>IFERROR(__xludf.DUMMYFUNCTION("GOOGLETRANSLATE(B8005,""id"",""en"")"),"['', 'JRNGN', 'KNP', 'Telkomsel', 'Jaringn', 'slow', 'Mnt', 'Ampn', 'blng', 'pkt', 'run out', 'msh', 'dozens ',' Giga ',' please ',' behani ',' Kasian ',' village ',' Snyl ',' SPRTI ',' thank ',' love ',' sorry ',' ksh ',' star ', '']")</f>
        <v>['', 'JRNGN', 'KNP', 'Telkomsel', 'Jaringn', 'slow', 'Mnt', 'Ampn', 'blng', 'pkt', 'run out', 'msh', 'dozens ',' Giga ',' please ',' behani ',' Kasian ',' village ',' Snyl ',' SPRTI ',' thank ',' love ',' sorry ',' ksh ',' star ', '']</v>
      </c>
      <c r="D8005" s="3">
        <v>1.0</v>
      </c>
    </row>
    <row r="8006" ht="15.75" customHeight="1">
      <c r="A8006" s="1">
        <v>8481.0</v>
      </c>
      <c r="B8006" s="3" t="s">
        <v>7666</v>
      </c>
      <c r="C8006" s="3" t="str">
        <f>IFERROR(__xludf.DUMMYFUNCTION("GOOGLETRANSLATE(B8006,""id"",""en"")"),"['Telkomsel', 'good', 'network', 'bad', 'keycy', 'satisfying', 'customer', 'if', 'user', 'network', 'Telkomsel', 'value', ' Score ',' zero ',' ']")</f>
        <v>['Telkomsel', 'good', 'network', 'bad', 'keycy', 'satisfying', 'customer', 'if', 'user', 'network', 'Telkomsel', 'value', ' Score ',' zero ',' ']</v>
      </c>
      <c r="D8006" s="3">
        <v>1.0</v>
      </c>
    </row>
    <row r="8007" ht="15.75" customHeight="1">
      <c r="A8007" s="1">
        <v>8482.0</v>
      </c>
      <c r="B8007" s="3" t="s">
        <v>7667</v>
      </c>
      <c r="C8007" s="3" t="str">
        <f>IFERROR(__xludf.DUMMYFUNCTION("GOOGLETRANSLATE(B8007,""id"",""en"")"),"['application', 'good', 'darling', 'contents',' credit ',' blm ',' activate ',' package ',' pulse ',' lngsng ',' sumps', 'run out', ' usage ',' quota ',' consumer ',' blm ',' activate ',' package ',' take ',' pulse ',' main ',' fix ',' system ',' kindness"&amp;"', 'all' , 'Transaction', 'Transfer', 'Credit', 'Application', 'Ngrestar', 'then']")</f>
        <v>['application', 'good', 'darling', 'contents',' credit ',' blm ',' activate ',' package ',' pulse ',' lngsng ',' sumps', 'run out', ' usage ',' quota ',' consumer ',' blm ',' activate ',' package ',' take ',' pulse ',' main ',' fix ',' system ',' kindness', 'all' , 'Transaction', 'Transfer', 'Credit', 'Application', 'Ngrestar', 'then']</v>
      </c>
      <c r="D8007" s="3">
        <v>1.0</v>
      </c>
    </row>
    <row r="8008" ht="15.75" customHeight="1">
      <c r="A8008" s="1">
        <v>8483.0</v>
      </c>
      <c r="B8008" s="3" t="s">
        <v>7668</v>
      </c>
      <c r="C8008" s="3" t="str">
        <f>IFERROR(__xludf.DUMMYFUNCTION("GOOGLETRANSLATE(B8008,""id"",""en"")"),"['Use', 'Hello', 'cheap', 'purchase', 'package', 'data', 'fear', 'run out', 'phlsa', 'quota']")</f>
        <v>['Use', 'Hello', 'cheap', 'purchase', 'package', 'data', 'fear', 'run out', 'phlsa', 'quota']</v>
      </c>
      <c r="D8008" s="3">
        <v>5.0</v>
      </c>
    </row>
    <row r="8009" ht="15.75" customHeight="1">
      <c r="A8009" s="1">
        <v>8484.0</v>
      </c>
      <c r="B8009" s="3" t="s">
        <v>7669</v>
      </c>
      <c r="C8009" s="3" t="str">
        <f>IFERROR(__xludf.DUMMYFUNCTION("GOOGLETRANSLATE(B8009,""id"",""en"")"),"['Signal', 'Reduced', 'Star', 'Change', 'Bye', 'Telkomsel', 'Your Service', 'Price', 'Package']")</f>
        <v>['Signal', 'Reduced', 'Star', 'Change', 'Bye', 'Telkomsel', 'Your Service', 'Price', 'Package']</v>
      </c>
      <c r="D8009" s="3">
        <v>2.0</v>
      </c>
    </row>
    <row r="8010" ht="15.75" customHeight="1">
      <c r="A8010" s="1">
        <v>8485.0</v>
      </c>
      <c r="B8010" s="3" t="s">
        <v>7670</v>
      </c>
      <c r="C8010" s="3" t="str">
        <f>IFERROR(__xludf.DUMMYFUNCTION("GOOGLETRANSLATE(B8010,""id"",""en"")"),"['customer', 'loyal', 'Telkomsel', 'disappointed', 'location', 'kab', 'indra', 'giri', 'downstream', 'Riau', 'island', 'bird', ' Since ',' Genesis', 'Fire', 'Building', 'Telkom', 'Pekanbaru', 'Network', 'Concern', 'Society', 'Disappointed', 'Society', 'Sw"&amp;"itch', 'Card' , 'Please', 'followed up', 'serious', '']")</f>
        <v>['customer', 'loyal', 'Telkomsel', 'disappointed', 'location', 'kab', 'indra', 'giri', 'downstream', 'Riau', 'island', 'bird', ' Since ',' Genesis', 'Fire', 'Building', 'Telkom', 'Pekanbaru', 'Network', 'Concern', 'Society', 'Disappointed', 'Society', 'Switch', 'Card' , 'Please', 'followed up', 'serious', '']</v>
      </c>
      <c r="D8010" s="3">
        <v>2.0</v>
      </c>
    </row>
    <row r="8011" ht="15.75" customHeight="1">
      <c r="A8011" s="1">
        <v>8486.0</v>
      </c>
      <c r="B8011" s="3" t="s">
        <v>7671</v>
      </c>
      <c r="C8011" s="3" t="str">
        <f>IFERROR(__xludf.DUMMYFUNCTION("GOOGLETRANSLATE(B8011,""id"",""en"")"),"['Nailing', 'Points',' Fill ',' reset ',' credit ',' exchange it ',' quota ',' reject ',' fast ',' perish ',' bankrupt ',' spirit ',' serve customers', '']")</f>
        <v>['Nailing', 'Points',' Fill ',' reset ',' credit ',' exchange it ',' quota ',' reject ',' fast ',' perish ',' bankrupt ',' spirit ',' serve customers', '']</v>
      </c>
      <c r="D8011" s="3">
        <v>1.0</v>
      </c>
    </row>
    <row r="8012" ht="15.75" customHeight="1">
      <c r="A8012" s="1">
        <v>8487.0</v>
      </c>
      <c r="B8012" s="3" t="s">
        <v>7672</v>
      </c>
      <c r="C8012" s="3" t="str">
        <f>IFERROR(__xludf.DUMMYFUNCTION("GOOGLETRANSLATE(B8012,""id"",""en"")"),"['Application', 'no']")</f>
        <v>['Application', 'no']</v>
      </c>
      <c r="D8012" s="3">
        <v>1.0</v>
      </c>
    </row>
    <row r="8013" ht="15.75" customHeight="1">
      <c r="A8013" s="1">
        <v>8488.0</v>
      </c>
      <c r="B8013" s="3" t="s">
        <v>7673</v>
      </c>
      <c r="C8013" s="3" t="str">
        <f>IFERROR(__xludf.DUMMYFUNCTION("GOOGLETRANSLATE(B8013,""id"",""en"")"),"['love', 'cheerful', 'price', 'love', 'star', 'okeyyy', ""]")</f>
        <v>['love', 'cheerful', 'price', 'love', 'star', 'okeyyy', "]</v>
      </c>
      <c r="D8013" s="3">
        <v>1.0</v>
      </c>
    </row>
    <row r="8014" ht="15.75" customHeight="1">
      <c r="A8014" s="1">
        <v>8489.0</v>
      </c>
      <c r="B8014" s="3" t="s">
        <v>7674</v>
      </c>
      <c r="C8014" s="3" t="str">
        <f>IFERROR(__xludf.DUMMYFUNCTION("GOOGLETRANSLATE(B8014,""id"",""en"")"),"['Kasi', 'promo', 'cheap', 'per month', 'love', 'star', 'pul', '']")</f>
        <v>['Kasi', 'promo', 'cheap', 'per month', 'love', 'star', 'pul', '']</v>
      </c>
      <c r="D8014" s="3">
        <v>2.0</v>
      </c>
    </row>
    <row r="8015" ht="15.75" customHeight="1">
      <c r="A8015" s="1">
        <v>8490.0</v>
      </c>
      <c r="B8015" s="3" t="s">
        <v>7675</v>
      </c>
      <c r="C8015" s="3" t="str">
        <f>IFERROR(__xludf.DUMMYFUNCTION("GOOGLETRANSLATE(B8015,""id"",""en"")"),"['UDH', 'subscription', 'promo', 'ugly', 'profitable', 'rich', 'card', 'package', 'thousand', 'fair', 'Telkomsel']")</f>
        <v>['UDH', 'subscription', 'promo', 'ugly', 'profitable', 'rich', 'card', 'package', 'thousand', 'fair', 'Telkomsel']</v>
      </c>
      <c r="D8015" s="3">
        <v>1.0</v>
      </c>
    </row>
    <row r="8016" ht="15.75" customHeight="1">
      <c r="A8016" s="1">
        <v>8491.0</v>
      </c>
      <c r="B8016" s="3" t="s">
        <v>7676</v>
      </c>
      <c r="C8016" s="3" t="str">
        <f>IFERROR(__xludf.DUMMYFUNCTION("GOOGLETRANSLATE(B8016,""id"",""en"")"),"['open', 'apk', 'bug', 'open', 'writing', 'letter', 'please', 'telkomsel', 'made easier', 'enter', 'apk', 'connection', ' network ',' internet ',' good ']")</f>
        <v>['open', 'apk', 'bug', 'open', 'writing', 'letter', 'please', 'telkomsel', 'made easier', 'enter', 'apk', 'connection', ' network ',' internet ',' good ']</v>
      </c>
      <c r="D8016" s="3">
        <v>2.0</v>
      </c>
    </row>
    <row r="8017" ht="15.75" customHeight="1">
      <c r="A8017" s="1">
        <v>8492.0</v>
      </c>
      <c r="B8017" s="3" t="s">
        <v>7677</v>
      </c>
      <c r="C8017" s="3" t="str">
        <f>IFERROR(__xludf.DUMMYFUNCTION("GOOGLETRANSLATE(B8017,""id"",""en"")"),"['Disappointed', 'Telkomsel', 'Sya', 'many years',' users', 'Telkomsel', 'phone', 'offered', 'change', 'card', 'Hello', 'pay', ' Monthly ',' Network ',' Internet ',' Leet ',' Repaired ',' Signal ',' Fast ',' Wooy ',' Active ',' Card ',' Hello ',' Signal '"&amp;",' Severe ' , 'hope', 'pay', 'Gini', 'block', 'card', 'Sya', 'gini', 'mah', 'comfortable', 'network', 'internet', 'Telkomsel', ' ']")</f>
        <v>['Disappointed', 'Telkomsel', 'Sya', 'many years',' users', 'Telkomsel', 'phone', 'offered', 'change', 'card', 'Hello', 'pay', ' Monthly ',' Network ',' Internet ',' Leet ',' Repaired ',' Signal ',' Fast ',' Wooy ',' Active ',' Card ',' Hello ',' Signal ',' Severe ' , 'hope', 'pay', 'Gini', 'block', 'card', 'Sya', 'gini', 'mah', 'comfortable', 'network', 'internet', 'Telkomsel', ' ']</v>
      </c>
      <c r="D8017" s="3">
        <v>1.0</v>
      </c>
    </row>
    <row r="8018" ht="15.75" customHeight="1">
      <c r="A8018" s="1">
        <v>8493.0</v>
      </c>
      <c r="B8018" s="3" t="s">
        <v>7678</v>
      </c>
      <c r="C8018" s="3" t="str">
        <f>IFERROR(__xludf.DUMMYFUNCTION("GOOGLETRANSLATE(B8018,""id"",""en"")"),"['Network', 'telk', 'msel', 'glue', 'ku', 'ta', 'open', 'application', 'slow', '']")</f>
        <v>['Network', 'telk', 'msel', 'glue', 'ku', 'ta', 'open', 'application', 'slow', '']</v>
      </c>
      <c r="D8018" s="3">
        <v>1.0</v>
      </c>
    </row>
    <row r="8019" ht="15.75" customHeight="1">
      <c r="A8019" s="1">
        <v>8494.0</v>
      </c>
      <c r="B8019" s="3" t="s">
        <v>7679</v>
      </c>
      <c r="C8019" s="3" t="str">
        <f>IFERROR(__xludf.DUMMYFUNCTION("GOOGLETRANSLATE(B8019,""id"",""en"")"),"['Woy', 'Telkomsel', 'Please', 'Permissions',' Top ',' Disappointed ',' Very ',' Credit ',' Udh ',' Bener ',' Reject ',' Telkomsel ',' pulse ',' sudden ',' run out ',' quota ',' run out ',' thousand ',' loss', ""]")</f>
        <v>['Woy', 'Telkomsel', 'Please', 'Permissions',' Top ',' Disappointed ',' Very ',' Credit ',' Udh ',' Bener ',' Reject ',' Telkomsel ',' pulse ',' sudden ',' run out ',' quota ',' run out ',' thousand ',' loss', "]</v>
      </c>
      <c r="D8019" s="3">
        <v>1.0</v>
      </c>
    </row>
    <row r="8020" ht="15.75" customHeight="1">
      <c r="A8020" s="1">
        <v>8495.0</v>
      </c>
      <c r="B8020" s="3" t="s">
        <v>7680</v>
      </c>
      <c r="C8020" s="3" t="str">
        <f>IFERROR(__xludf.DUMMYFUNCTION("GOOGLETRANSLATE(B8020,""id"",""en"")"),"['Contents', 'pulse', 'promo', 'pulse', 'filled', 'promo', 'omitted', 'sorry', 'twigs', 'down', 'disappointed']")</f>
        <v>['Contents', 'pulse', 'promo', 'pulse', 'filled', 'promo', 'omitted', 'sorry', 'twigs', 'down', 'disappointed']</v>
      </c>
      <c r="D8020" s="3">
        <v>1.0</v>
      </c>
    </row>
    <row r="8021" ht="15.75" customHeight="1">
      <c r="A8021" s="1">
        <v>8496.0</v>
      </c>
      <c r="B8021" s="3" t="s">
        <v>7681</v>
      </c>
      <c r="C8021" s="3" t="str">
        <f>IFERROR(__xludf.DUMMYFUNCTION("GOOGLETRANSLATE(B8021,""id"",""en"")"),"['Lose', 'operator', 'neighbor', 'next door', 'Telkomsel', 'basement', 'like', 'signal', ""]")</f>
        <v>['Lose', 'operator', 'neighbor', 'next door', 'Telkomsel', 'basement', 'like', 'signal', "]</v>
      </c>
      <c r="D8021" s="3">
        <v>5.0</v>
      </c>
    </row>
    <row r="8022" ht="15.75" customHeight="1">
      <c r="A8022" s="1">
        <v>8497.0</v>
      </c>
      <c r="B8022" s="3" t="s">
        <v>7682</v>
      </c>
      <c r="C8022" s="3" t="str">
        <f>IFERROR(__xludf.DUMMYFUNCTION("GOOGLETRANSLATE(B8022,""id"",""en"")"),"['Sorry', 'Karna', 'Kasi', 'Star', 'Reason', 'Kasi', 'Bintang', 'Sebeba', 'Application', 'Untk', 'Telkomsel', 'Price', ' package ',' internet ',' expensive ',' here ',' price ',' package ',' Namba ', ""]")</f>
        <v>['Sorry', 'Karna', 'Kasi', 'Star', 'Reason', 'Kasi', 'Bintang', 'Sebeba', 'Application', 'Untk', 'Telkomsel', 'Price', ' package ',' internet ',' expensive ',' here ',' price ',' package ',' Namba ', "]</v>
      </c>
      <c r="D8022" s="3">
        <v>1.0</v>
      </c>
    </row>
    <row r="8023" ht="15.75" customHeight="1">
      <c r="A8023" s="1">
        <v>8498.0</v>
      </c>
      <c r="B8023" s="3" t="s">
        <v>7683</v>
      </c>
      <c r="C8023" s="3" t="str">
        <f>IFERROR(__xludf.DUMMYFUNCTION("GOOGLETRANSLATE(B8023,""id"",""en"")"),"['Input', 'Mimin', 'Increases',' Subject ',' Service ',' Reactivation ',' Card ',' SIM ',' Do ',' Online ',' Customer ',' GraPARI ',' City ',' mah ',' easy ',' grapari ',' try ',' village ',' difficult ',' min ',' ']")</f>
        <v>['Input', 'Mimin', 'Increases',' Subject ',' Service ',' Reactivation ',' Card ',' SIM ',' Do ',' Online ',' Customer ',' GraPARI ',' City ',' mah ',' easy ',' grapari ',' try ',' village ',' difficult ',' min ',' ']</v>
      </c>
      <c r="D8023" s="3">
        <v>4.0</v>
      </c>
    </row>
    <row r="8024" ht="15.75" customHeight="1">
      <c r="A8024" s="1">
        <v>8499.0</v>
      </c>
      <c r="B8024" s="3" t="s">
        <v>7684</v>
      </c>
      <c r="C8024" s="3" t="str">
        <f>IFERROR(__xludf.DUMMYFUNCTION("GOOGLETRANSLATE(B8024,""id"",""en"")"),"['Login', 'Link', 'opened', 'expired', 'use', 'email', 'confused', 'list', 'login', 'pakek', 'cellphone']")</f>
        <v>['Login', 'Link', 'opened', 'expired', 'use', 'email', 'confused', 'list', 'login', 'pakek', 'cellphone']</v>
      </c>
      <c r="D8024" s="3">
        <v>1.0</v>
      </c>
    </row>
    <row r="8025" ht="15.75" customHeight="1">
      <c r="A8025" s="1">
        <v>8500.0</v>
      </c>
      <c r="B8025" s="3" t="s">
        <v>7685</v>
      </c>
      <c r="C8025" s="3" t="str">
        <f>IFERROR(__xludf.DUMMYFUNCTION("GOOGLETRANSLATE(B8025,""id"",""en"")"),"['knpa', 'already', 'subscribe', 'card', 'Telkomsel', 'get', 'package', 'internet', 'cheap', 'then', 'buy', 'card', ' Paketan ',' cheap ',' free ',' internet ',' cheap ',' ']")</f>
        <v>['knpa', 'already', 'subscribe', 'card', 'Telkomsel', 'get', 'package', 'internet', 'cheap', 'then', 'buy', 'card', ' Paketan ',' cheap ',' free ',' internet ',' cheap ',' ']</v>
      </c>
      <c r="D8025" s="3">
        <v>4.0</v>
      </c>
    </row>
    <row r="8026" ht="15.75" customHeight="1">
      <c r="A8026" s="1">
        <v>8501.0</v>
      </c>
      <c r="B8026" s="3" t="s">
        <v>7686</v>
      </c>
      <c r="C8026" s="3" t="str">
        <f>IFERROR(__xludf.DUMMYFUNCTION("GOOGLETRANSLATE(B8026,""id"",""en"")"),"['Chat', 'Veronika', 'Rigid', 'Kirain', 'Reply', 'Chat', 'Direct', 'People', 'Complaints',' Enter ',' Dlam ',' Telkomsel ',' Heavy ',' Tata ',' design ',' template ',' APK ',' Difficult ',' Feature ',' features']")</f>
        <v>['Chat', 'Veronika', 'Rigid', 'Kirain', 'Reply', 'Chat', 'Direct', 'People', 'Complaints',' Enter ',' Dlam ',' Telkomsel ',' Heavy ',' Tata ',' design ',' template ',' APK ',' Difficult ',' Feature ',' features']</v>
      </c>
      <c r="D8026" s="3">
        <v>5.0</v>
      </c>
    </row>
    <row r="8027" ht="15.75" customHeight="1">
      <c r="A8027" s="1">
        <v>8502.0</v>
      </c>
      <c r="B8027" s="3" t="s">
        <v>7687</v>
      </c>
      <c r="C8027" s="3" t="str">
        <f>IFERROR(__xludf.DUMMYFUNCTION("GOOGLETRANSLATE(B8027,""id"",""en"")"),"['Sinyal', 'Severe', 'Severe', 'It's',' Taken ',' Over ',' Government ',' Good ',' Network ',' City ',' Forest ',' Tired ',' private ',' Manage ']")</f>
        <v>['Sinyal', 'Severe', 'Severe', 'It's',' Taken ',' Over ',' Government ',' Good ',' Network ',' City ',' Forest ',' Tired ',' private ',' Manage ']</v>
      </c>
      <c r="D8027" s="3">
        <v>5.0</v>
      </c>
    </row>
    <row r="8028" ht="15.75" customHeight="1">
      <c r="A8028" s="1">
        <v>8503.0</v>
      </c>
      <c r="B8028" s="3" t="s">
        <v>7688</v>
      </c>
      <c r="C8028" s="3" t="str">
        <f>IFERROR(__xludf.DUMMYFUNCTION("GOOGLETRANSLATE(B8028,""id"",""en"")"),"['pulse', 'run out', 'the rest', 'pdhl', 'ndak', 'call', 'pulse', 'free', 'nelp', '']")</f>
        <v>['pulse', 'run out', 'the rest', 'pdhl', 'ndak', 'call', 'pulse', 'free', 'nelp', '']</v>
      </c>
      <c r="D8028" s="3">
        <v>4.0</v>
      </c>
    </row>
    <row r="8029" ht="15.75" customHeight="1">
      <c r="A8029" s="1">
        <v>8504.0</v>
      </c>
      <c r="B8029" s="3" t="s">
        <v>7689</v>
      </c>
      <c r="C8029" s="3" t="str">
        <f>IFERROR(__xludf.DUMMYFUNCTION("GOOGLETRANSLATE(B8029,""id"",""en"")"),"['Severe', 'Telkomsel', 'upgred', 'difficult', 'open']")</f>
        <v>['Severe', 'Telkomsel', 'upgred', 'difficult', 'open']</v>
      </c>
      <c r="D8029" s="3">
        <v>2.0</v>
      </c>
    </row>
    <row r="8030" ht="15.75" customHeight="1">
      <c r="A8030" s="1">
        <v>8505.0</v>
      </c>
      <c r="B8030" s="3" t="s">
        <v>7690</v>
      </c>
      <c r="C8030" s="3" t="str">
        <f>IFERROR(__xludf.DUMMYFUNCTION("GOOGLETRANSLATE(B8030,""id"",""en"")"),"['network', 'Telkomsel', 'like', 'taik', 'slow', 'forgiveness',' really ',' every time ',' times', 'war', 'pub', 'dead', ' Medan ',' War ',' Sangking ',' Leet ',' Forgiveness', 'Network', 'Telkomsel', '']")</f>
        <v>['network', 'Telkomsel', 'like', 'taik', 'slow', 'forgiveness',' really ',' every time ',' times', 'war', 'pub', 'dead', ' Medan ',' War ',' Sangking ',' Leet ',' Forgiveness', 'Network', 'Telkomsel', '']</v>
      </c>
      <c r="D8030" s="3">
        <v>1.0</v>
      </c>
    </row>
    <row r="8031" ht="15.75" customHeight="1">
      <c r="A8031" s="1">
        <v>8506.0</v>
      </c>
      <c r="B8031" s="3" t="s">
        <v>7691</v>
      </c>
      <c r="C8031" s="3" t="str">
        <f>IFERROR(__xludf.DUMMYFUNCTION("GOOGLETRANSLATE(B8031,""id"",""en"")"),"['advertisement', 'ngk', 'according to', 'request', 'can', 'tens',' package ',' giga ',' bgtu ',' opened ',' ngk ',' open ',' NGK ',' Package ',' GB "", 'GB', 'TLG', 'Held', 'Full', 'Bintang',""]")</f>
        <v>['advertisement', 'ngk', 'according to', 'request', 'can', 'tens',' package ',' giga ',' bgtu ',' opened ',' ngk ',' open ',' NGK ',' Package ',' GB ", 'GB', 'TLG', 'Held', 'Full', 'Bintang',"]</v>
      </c>
      <c r="D8031" s="3">
        <v>3.0</v>
      </c>
    </row>
    <row r="8032" ht="15.75" customHeight="1">
      <c r="A8032" s="1">
        <v>8507.0</v>
      </c>
      <c r="B8032" s="3" t="s">
        <v>7692</v>
      </c>
      <c r="C8032" s="3" t="str">
        <f>IFERROR(__xludf.DUMMYFUNCTION("GOOGLETRANSLATE(B8032,""id"",""en"")"),"['Gosh', 'Your Network', 'Gregetan', 'Very', 'Ngeedown', 'Sometimes',' ilang ',' Sousal ',' Open ',' APK ',' Need ',' Network ',' Direct ',' plump ',' fast ',' hot ',' use ',' Telkomsel ',' fare ',' down ',' network ',' super ',' fast ',' download ',' tra"&amp;"nslucent ' , 'MB', 'MB', 'KB', 'already', 'fast', 'come on', 'provider', 'network', 'why', '']")</f>
        <v>['Gosh', 'Your Network', 'Gregetan', 'Very', 'Ngeedown', 'Sometimes',' ilang ',' Sousal ',' Open ',' APK ',' Need ',' Network ',' Direct ',' plump ',' fast ',' hot ',' use ',' Telkomsel ',' fare ',' down ',' network ',' super ',' fast ',' download ',' translucent ' , 'MB', 'MB', 'KB', 'already', 'fast', 'come on', 'provider', 'network', 'why', '']</v>
      </c>
      <c r="D8032" s="3">
        <v>1.0</v>
      </c>
    </row>
    <row r="8033" ht="15.75" customHeight="1">
      <c r="A8033" s="1">
        <v>8508.0</v>
      </c>
      <c r="B8033" s="3" t="s">
        <v>7693</v>
      </c>
      <c r="C8033" s="3" t="str">
        <f>IFERROR(__xludf.DUMMYFUNCTION("GOOGLETRANSLATE(B8033,""id"",""en"")"),"['Add', 'search', 'app', 'easy', 'search', 'package', 'internet']")</f>
        <v>['Add', 'search', 'app', 'easy', 'search', 'package', 'internet']</v>
      </c>
      <c r="D8033" s="3">
        <v>5.0</v>
      </c>
    </row>
    <row r="8034" ht="15.75" customHeight="1">
      <c r="A8034" s="1">
        <v>8509.0</v>
      </c>
      <c r="B8034" s="3" t="s">
        <v>7694</v>
      </c>
      <c r="C8034" s="3" t="str">
        <f>IFERROR(__xludf.DUMMYFUNCTION("GOOGLETRANSLATE(B8034,""id"",""en"")"),"['', 'ksi', 'star', 'tasty', 'klu', 'see', 'data', 'bonus', 'tlpn', ""]")</f>
        <v>['', 'ksi', 'star', 'tasty', 'klu', 'see', 'data', 'bonus', 'tlpn', "]</v>
      </c>
      <c r="D8034" s="3">
        <v>5.0</v>
      </c>
    </row>
    <row r="8035" ht="15.75" customHeight="1">
      <c r="A8035" s="1">
        <v>8510.0</v>
      </c>
      <c r="B8035" s="3" t="s">
        <v>7695</v>
      </c>
      <c r="C8035" s="3" t="str">
        <f>IFERROR(__xludf.DUMMYFUNCTION("GOOGLETRANSLATE(B8035,""id"",""en"")"),"['Drop', 'usage', 'internet', 'briefing', 'internet', 'good', 'package', 'area', 'banned', 'Banyumeneng', 'Demak']")</f>
        <v>['Drop', 'usage', 'internet', 'briefing', 'internet', 'good', 'package', 'area', 'banned', 'Banyumeneng', 'Demak']</v>
      </c>
      <c r="D8035" s="3">
        <v>3.0</v>
      </c>
    </row>
    <row r="8036" ht="15.75" customHeight="1">
      <c r="A8036" s="1">
        <v>8511.0</v>
      </c>
      <c r="B8036" s="3" t="s">
        <v>7696</v>
      </c>
      <c r="C8036" s="3" t="str">
        <f>IFERROR(__xludf.DUMMYFUNCTION("GOOGLETRANSLATE(B8036,""id"",""en"")"),"['Severe', 'really', 'network', 'Telkomsel', 'price', 'package', 'expensive', 'paid', 'network', 'super', 'slow', 'in the future', ' Stop ',' use ',' data ',' Telkomsel ',' lose ',' provider ',' born ']")</f>
        <v>['Severe', 'really', 'network', 'Telkomsel', 'price', 'package', 'expensive', 'paid', 'network', 'super', 'slow', 'in the future', ' Stop ',' use ',' data ',' Telkomsel ',' lose ',' provider ',' born ']</v>
      </c>
      <c r="D8036" s="3">
        <v>1.0</v>
      </c>
    </row>
    <row r="8037" ht="15.75" customHeight="1">
      <c r="A8037" s="1">
        <v>8512.0</v>
      </c>
      <c r="B8037" s="3" t="s">
        <v>7697</v>
      </c>
      <c r="C8037" s="3" t="str">
        <f>IFERROR(__xludf.DUMMYFUNCTION("GOOGLETRANSLATE(B8037,""id"",""en"")"),"['please', 'Telkomsel', 'understand', 'situation', 'skarang', 'child', 'skolah', 'online', 'price', 'package', 'internet', 'raise', ' Eating ',' Skolah ',' Child ',' Price ',' Package ',' Monthly ',' Package ',' Please ',' Pohak ',' Oprator ',' Ngerni ','"&amp;" Empeople ',' Hitings' , 'oprator', 'area', 'strong', 'signal', 'Telkomsel', 'network', 'aini', 'good', 'please', 'understanding']")</f>
        <v>['please', 'Telkomsel', 'understand', 'situation', 'skarang', 'child', 'skolah', 'online', 'price', 'package', 'internet', 'raise', ' Eating ',' Skolah ',' Child ',' Price ',' Package ',' Monthly ',' Package ',' Please ',' Pohak ',' Oprator ',' Ngerni ',' Empeople ',' Hitings' , 'oprator', 'area', 'strong', 'signal', 'Telkomsel', 'network', 'aini', 'good', 'please', 'understanding']</v>
      </c>
      <c r="D8037" s="3">
        <v>3.0</v>
      </c>
    </row>
    <row r="8038" ht="15.75" customHeight="1">
      <c r="A8038" s="1">
        <v>8513.0</v>
      </c>
      <c r="B8038" s="3" t="s">
        <v>7698</v>
      </c>
      <c r="C8038" s="3" t="str">
        <f>IFERROR(__xludf.DUMMYFUNCTION("GOOGLETRANSLATE(B8038,""id"",""en"")"),"['update', 'application', 'difficult', 'shift', 'menu', 'quota', 'page']")</f>
        <v>['update', 'application', 'difficult', 'shift', 'menu', 'quota', 'page']</v>
      </c>
      <c r="D8038" s="3">
        <v>1.0</v>
      </c>
    </row>
    <row r="8039" ht="15.75" customHeight="1">
      <c r="A8039" s="1">
        <v>8514.0</v>
      </c>
      <c r="B8039" s="3" t="s">
        <v>7699</v>
      </c>
      <c r="C8039" s="3" t="str">
        <f>IFERROR(__xludf.DUMMYFUNCTION("GOOGLETRANSLATE(B8039,""id"",""en"")"),"['info', 'shopping', 'pulse', 'internet', 'quota', 'unfortunately', 'the application', 'sometimes', 'Lalod', 'open', 'error', ""]")</f>
        <v>['info', 'shopping', 'pulse', 'internet', 'quota', 'unfortunately', 'the application', 'sometimes', 'Lalod', 'open', 'error', "]</v>
      </c>
      <c r="D8039" s="3">
        <v>3.0</v>
      </c>
    </row>
    <row r="8040" ht="15.75" customHeight="1">
      <c r="A8040" s="1">
        <v>8515.0</v>
      </c>
      <c r="B8040" s="3" t="s">
        <v>7700</v>
      </c>
      <c r="C8040" s="3" t="str">
        <f>IFERROR(__xludf.DUMMYFUNCTION("GOOGLETRANSLATE(B8040,""id"",""en"")"),"['Install', 'application', '']")</f>
        <v>['Install', 'application', '']</v>
      </c>
      <c r="D8040" s="3">
        <v>1.0</v>
      </c>
    </row>
    <row r="8041" ht="15.75" customHeight="1">
      <c r="A8041" s="1">
        <v>8516.0</v>
      </c>
      <c r="B8041" s="3" t="s">
        <v>7701</v>
      </c>
      <c r="C8041" s="3" t="str">
        <f>IFERROR(__xludf.DUMMYFUNCTION("GOOGLETRANSLATE(B8041,""id"",""en"")"),"['The price', 'expensive', 'signal', 'ngelag', 'Mulu', 'Gosh', 'Maen', 'game', 'comfortable', 'Dahlah', 'here', 'Males',' Telkomsel ']")</f>
        <v>['The price', 'expensive', 'signal', 'ngelag', 'Mulu', 'Gosh', 'Maen', 'game', 'comfortable', 'Dahlah', 'here', 'Males',' Telkomsel ']</v>
      </c>
      <c r="D8041" s="3">
        <v>1.0</v>
      </c>
    </row>
    <row r="8042" ht="15.75" customHeight="1">
      <c r="A8042" s="1">
        <v>8517.0</v>
      </c>
      <c r="B8042" s="3" t="s">
        <v>7702</v>
      </c>
      <c r="C8042" s="3" t="str">
        <f>IFERROR(__xludf.DUMMYFUNCTION("GOOGLETRANSLATE(B8042,""id"",""en"")"),"['Proveder', 'already', 'expensive', 'network', 'chaotic', 'capacity', 'according to', 'price', 'expensive', 'cheap', 'indosat', 'tree', ' Baget ',' Benerin ',' Stable ',' Network ',' Expensive ',' ItelkontolSelit ',' Itel ',' Gawok ',' Konthol ',' Peli '"&amp;",' Selit ',' anus']")</f>
        <v>['Proveder', 'already', 'expensive', 'network', 'chaotic', 'capacity', 'according to', 'price', 'expensive', 'cheap', 'indosat', 'tree', ' Baget ',' Benerin ',' Stable ',' Network ',' Expensive ',' ItelkontolSelit ',' Itel ',' Gawok ',' Konthol ',' Peli ',' Selit ',' anus']</v>
      </c>
      <c r="D8042" s="3">
        <v>1.0</v>
      </c>
    </row>
    <row r="8043" ht="15.75" customHeight="1">
      <c r="A8043" s="1">
        <v>8518.0</v>
      </c>
      <c r="B8043" s="3" t="s">
        <v>7703</v>
      </c>
      <c r="C8043" s="3" t="str">
        <f>IFERROR(__xludf.DUMMYFUNCTION("GOOGLETRANSLATE(B8043,""id"",""en"")"),"['The application', 'good', 'control', 'code', 'Deal', 'list', 'Package']")</f>
        <v>['The application', 'good', 'control', 'code', 'Deal', 'list', 'Package']</v>
      </c>
      <c r="D8043" s="3">
        <v>5.0</v>
      </c>
    </row>
    <row r="8044" ht="15.75" customHeight="1">
      <c r="A8044" s="1">
        <v>8519.0</v>
      </c>
      <c r="B8044" s="3" t="s">
        <v>7704</v>
      </c>
      <c r="C8044" s="3" t="str">
        <f>IFERROR(__xludf.DUMMYFUNCTION("GOOGLETRANSLATE(B8044,""id"",""en"")"),"['I think', 'Network', 'Sultan', 'tauyya', 'rich', 'demon', ""]")</f>
        <v>['I think', 'Network', 'Sultan', 'tauyya', 'rich', 'demon', "]</v>
      </c>
      <c r="D8044" s="3">
        <v>1.0</v>
      </c>
    </row>
    <row r="8045" ht="15.75" customHeight="1">
      <c r="A8045" s="1">
        <v>8520.0</v>
      </c>
      <c r="B8045" s="3" t="s">
        <v>7705</v>
      </c>
      <c r="C8045" s="3" t="str">
        <f>IFERROR(__xludf.DUMMYFUNCTION("GOOGLETRANSLATE(B8045,""id"",""en"")"),"['network', 'destroyed', 'satisfied', 'Telkomsel', 'NGK', 'according to', 'price', 'package', 'expensive', ""]")</f>
        <v>['network', 'destroyed', 'satisfied', 'Telkomsel', 'NGK', 'according to', 'price', 'package', 'expensive', "]</v>
      </c>
      <c r="D8045" s="3">
        <v>1.0</v>
      </c>
    </row>
    <row r="8046" ht="15.75" customHeight="1">
      <c r="A8046" s="1">
        <v>8521.0</v>
      </c>
      <c r="B8046" s="3" t="s">
        <v>7706</v>
      </c>
      <c r="C8046" s="3" t="str">
        <f>IFERROR(__xludf.DUMMYFUNCTION("GOOGLETRANSLATE(B8046,""id"",""en"")"),"['CISIAN', 'Credit', 'Credit', 'No', 'Enter', 'Balance', 'Cut', 'How', 'The story', 'No', 'Suitable', 'Really', ' hurried ',' Buru ',' contents', 'reset', 'Fix', 'bug']")</f>
        <v>['CISIAN', 'Credit', 'Credit', 'No', 'Enter', 'Balance', 'Cut', 'How', 'The story', 'No', 'Suitable', 'Really', ' hurried ',' Buru ',' contents', 'reset', 'Fix', 'bug']</v>
      </c>
      <c r="D8046" s="3">
        <v>3.0</v>
      </c>
    </row>
    <row r="8047" ht="15.75" customHeight="1">
      <c r="A8047" s="1">
        <v>8522.0</v>
      </c>
      <c r="B8047" s="3" t="s">
        <v>7707</v>
      </c>
      <c r="C8047" s="3" t="str">
        <f>IFERROR(__xludf.DUMMYFUNCTION("GOOGLETRANSLATE(B8047,""id"",""en"")"),"['Disappointed', 'Credit', 'Cutting', 'Check', 'Costs',' Access', 'Internet', 'Internet', 'Off', 'Package', 'Data', 'Tetep', ' Credit ',' truncated ',' contact ',' service ',' suggest ',' Menon ',' Activate ',' GPRS ',' Jeng ',' Jeng ',' Jeng ',' Tetep ',"&amp;"' Cut "" , 'mottle', 'discipline', 'that way', 'Telkomsel', 'emang', 'intention', 'fix it', 'weve', 'already', 'fate', 'consumer', 'isone', ' Mung ',' Satch ',' Change ',' Loss', '']")</f>
        <v>['Disappointed', 'Credit', 'Cutting', 'Check', 'Costs',' Access', 'Internet', 'Internet', 'Off', 'Package', 'Data', 'Tetep', ' Credit ',' truncated ',' contact ',' service ',' suggest ',' Menon ',' Activate ',' GPRS ',' Jeng ',' Jeng ',' Jeng ',' Tetep ',' Cut " , 'mottle', 'discipline', 'that way', 'Telkomsel', 'emang', 'intention', 'fix it', 'weve', 'already', 'fate', 'consumer', 'isone', ' Mung ',' Satch ',' Change ',' Loss', '']</v>
      </c>
      <c r="D8047" s="3">
        <v>2.0</v>
      </c>
    </row>
    <row r="8048" ht="15.75" customHeight="1">
      <c r="A8048" s="1">
        <v>8523.0</v>
      </c>
      <c r="B8048" s="3" t="s">
        <v>7708</v>
      </c>
      <c r="C8048" s="3" t="str">
        <f>IFERROR(__xludf.DUMMYFUNCTION("GOOGLETRANSLATE(B8048,""id"",""en"")"),"['Please', 'repaired', 'ads', 'omitted', 'please', 'repaired', 'so', 'thank', 'love']")</f>
        <v>['Please', 'repaired', 'ads', 'omitted', 'please', 'repaired', 'so', 'thank', 'love']</v>
      </c>
      <c r="D8048" s="3">
        <v>1.0</v>
      </c>
    </row>
    <row r="8049" ht="15.75" customHeight="1">
      <c r="A8049" s="1">
        <v>8524.0</v>
      </c>
      <c r="B8049" s="3" t="s">
        <v>7709</v>
      </c>
      <c r="C8049" s="3" t="str">
        <f>IFERROR(__xludf.DUMMYFUNCTION("GOOGLETRANSLATE(B8049,""id"",""en"")"),"['purchase', 'pulse', 'application', 'method', 'shopeepay', 'sent', 'balance', 'shopeepay', 'truncated', ""]")</f>
        <v>['purchase', 'pulse', 'application', 'method', 'shopeepay', 'sent', 'balance', 'shopeepay', 'truncated', "]</v>
      </c>
      <c r="D8049" s="3">
        <v>1.0</v>
      </c>
    </row>
    <row r="8050" ht="15.75" customHeight="1">
      <c r="A8050" s="1">
        <v>8525.0</v>
      </c>
      <c r="B8050" s="3" t="s">
        <v>7710</v>
      </c>
      <c r="C8050" s="3" t="str">
        <f>IFERROR(__xludf.DUMMYFUNCTION("GOOGLETRANSLATE(B8050,""id"",""en"")"),"['fill', 'credit', 'Telkomsel', 'package', 'data', 'contents', 'filled', 'pulse', 'reduced', 'run out']")</f>
        <v>['fill', 'credit', 'Telkomsel', 'package', 'data', 'contents', 'filled', 'pulse', 'reduced', 'run out']</v>
      </c>
      <c r="D8050" s="3">
        <v>2.0</v>
      </c>
    </row>
    <row r="8051" ht="15.75" customHeight="1">
      <c r="A8051" s="1">
        <v>8526.0</v>
      </c>
      <c r="B8051" s="3" t="s">
        <v>7711</v>
      </c>
      <c r="C8051" s="3" t="str">
        <f>IFERROR(__xludf.DUMMYFUNCTION("GOOGLETRANSLATE(B8051,""id"",""en"")"),"['Telkomsel', 'evil', 'really', 'regret', 'really', 'buy', 'pulse', 'filled', 'promo', 'ilang', 'right', 'filled', ' directly ',' ilang ',' oath ',' sincere ',' please ',' ']")</f>
        <v>['Telkomsel', 'evil', 'really', 'regret', 'really', 'buy', 'pulse', 'filled', 'promo', 'ilang', 'right', 'filled', ' directly ',' ilang ',' oath ',' sincere ',' please ',' ']</v>
      </c>
      <c r="D8051" s="3">
        <v>1.0</v>
      </c>
    </row>
    <row r="8052" ht="15.75" customHeight="1">
      <c r="A8052" s="1">
        <v>8527.0</v>
      </c>
      <c r="B8052" s="3" t="s">
        <v>7712</v>
      </c>
      <c r="C8052" s="3" t="str">
        <f>IFERROR(__xludf.DUMMYFUNCTION("GOOGLETRANSLATE(B8052,""id"",""en"")"),"['Telkomsel', 'idk', 'as beautiful as',' expect ',' contents', 'pay', 'date', 'package', 'data', 'ngk', 'use', 'right', ' TGL ',' Data ',' brati ',' NGK ',' Makai ',' Full ']")</f>
        <v>['Telkomsel', 'idk', 'as beautiful as',' expect ',' contents', 'pay', 'date', 'package', 'data', 'ngk', 'use', 'right', ' TGL ',' Data ',' brati ',' NGK ',' Makai ',' Full ']</v>
      </c>
      <c r="D8052" s="3">
        <v>1.0</v>
      </c>
    </row>
    <row r="8053" ht="15.75" customHeight="1">
      <c r="A8053" s="1">
        <v>8528.0</v>
      </c>
      <c r="B8053" s="3" t="s">
        <v>7713</v>
      </c>
      <c r="C8053" s="3" t="str">
        <f>IFERROR(__xludf.DUMMYFUNCTION("GOOGLETRANSLATE(B8053,""id"",""en"")"),"['like', 'use', 'Telkomsel', 'disappointed', 'buy', 'package', 'Whatsup', 'package', 'active', 'pulse', 'regular', 'sumps',' Out ',' Package ',' Buy ',' On ',' Karahoa ',' Disappointing ',' ']")</f>
        <v>['like', 'use', 'Telkomsel', 'disappointed', 'buy', 'package', 'Whatsup', 'package', 'active', 'pulse', 'regular', 'sumps',' Out ',' Package ',' Buy ',' On ',' Karahoa ',' Disappointing ',' ']</v>
      </c>
      <c r="D8053" s="3">
        <v>1.0</v>
      </c>
    </row>
    <row r="8054" ht="15.75" customHeight="1">
      <c r="A8054" s="1">
        <v>8529.0</v>
      </c>
      <c r="B8054" s="3" t="s">
        <v>7714</v>
      </c>
      <c r="C8054" s="3" t="str">
        <f>IFERROR(__xludf.DUMMYFUNCTION("GOOGLETRANSLATE(B8054,""id"",""en"")"),"['stop', 'subscribe', 'GMN', 'application', 'pressure', 'stop', 'internet', 'unlimited', 'combo', 'saktinya', 'slow', ""]")</f>
        <v>['stop', 'subscribe', 'GMN', 'application', 'pressure', 'stop', 'internet', 'unlimited', 'combo', 'saktinya', 'slow', "]</v>
      </c>
      <c r="D8054" s="3">
        <v>5.0</v>
      </c>
    </row>
    <row r="8055" ht="15.75" customHeight="1">
      <c r="A8055" s="1">
        <v>8530.0</v>
      </c>
      <c r="B8055" s="3" t="s">
        <v>7715</v>
      </c>
      <c r="C8055" s="3" t="str">
        <f>IFERROR(__xludf.DUMMYFUNCTION("GOOGLETRANSLATE(B8055,""id"",""en"")"),"['number', 'card', 'silver', 'gold', 'silver', 'GB', 'price', 'thousand', 'GB', 'price', 'thousand', 'application', ' MyTelkomsel ',' ']")</f>
        <v>['number', 'card', 'silver', 'gold', 'silver', 'GB', 'price', 'thousand', 'GB', 'price', 'thousand', 'application', ' MyTelkomsel ',' ']</v>
      </c>
      <c r="D8055" s="3">
        <v>5.0</v>
      </c>
    </row>
    <row r="8056" ht="15.75" customHeight="1">
      <c r="A8056" s="1">
        <v>8531.0</v>
      </c>
      <c r="B8056" s="3" t="s">
        <v>7716</v>
      </c>
      <c r="C8056" s="3" t="str">
        <f>IFERROR(__xludf.DUMMYFUNCTION("GOOGLETRANSLATE(B8056,""id"",""en"")"),"['buy', 'package', 'Kyak', 'Package', 'Telkomsel', 'UDH', 'buy', 'package', 'expensive', 'use', 'Please', 'solution', ' kek ',' UDH ',' tired ',' Package ',' YouTube ',' NGK ',' NGK ',' Read ',' Status', 'NGK', ""]")</f>
        <v>['buy', 'package', 'Kyak', 'Package', 'Telkomsel', 'UDH', 'buy', 'package', 'expensive', 'use', 'Please', 'solution', ' kek ',' UDH ',' tired ',' Package ',' YouTube ',' NGK ',' NGK ',' Read ',' Status', 'NGK', "]</v>
      </c>
      <c r="D8056" s="3">
        <v>1.0</v>
      </c>
    </row>
    <row r="8057" ht="15.75" customHeight="1">
      <c r="A8057" s="1">
        <v>8532.0</v>
      </c>
      <c r="B8057" s="3" t="s">
        <v>7717</v>
      </c>
      <c r="C8057" s="3" t="str">
        <f>IFERROR(__xludf.DUMMYFUNCTION("GOOGLETRANSLATE(B8057,""id"",""en"")"),"['Telkomsel', 'Good', '']")</f>
        <v>['Telkomsel', 'Good', '']</v>
      </c>
      <c r="D8057" s="3">
        <v>5.0</v>
      </c>
    </row>
    <row r="8058" ht="15.75" customHeight="1">
      <c r="A8058" s="1">
        <v>8533.0</v>
      </c>
      <c r="B8058" s="3" t="s">
        <v>7718</v>
      </c>
      <c r="C8058" s="3" t="str">
        <f>IFERROR(__xludf.DUMMYFUNCTION("GOOGLETRANSLATE(B8058,""id"",""en"")"),"['Upgrade', 'Sympathy', 'Hallo', 'Offered', 'Via', 'Tlpn', 'Upgrade', 'Hello', 'Kick', 'Unlimited', 'Via', 'Tlpn', ' Upgrade ',' Grapari ',' SIM ',' Service ',' Banking ',' Card ',' Sympathy ',' Delicious', 'Change', 'Card', 'Message', 'Online', 'era' , '"&amp;"Nggk', 'era', 'grapari', ""]")</f>
        <v>['Upgrade', 'Sympathy', 'Hallo', 'Offered', 'Via', 'Tlpn', 'Upgrade', 'Hello', 'Kick', 'Unlimited', 'Via', 'Tlpn', ' Upgrade ',' Grapari ',' SIM ',' Service ',' Banking ',' Card ',' Sympathy ',' Delicious', 'Change', 'Card', 'Message', 'Online', 'era' , 'Nggk', 'era', 'grapari', "]</v>
      </c>
      <c r="D8058" s="3">
        <v>1.0</v>
      </c>
    </row>
    <row r="8059" ht="15.75" customHeight="1">
      <c r="A8059" s="1">
        <v>8534.0</v>
      </c>
      <c r="B8059" s="3" t="s">
        <v>7719</v>
      </c>
      <c r="C8059" s="3" t="str">
        <f>IFERROR(__xludf.DUMMYFUNCTION("GOOGLETRANSLATE(B8059,""id"",""en"")"),"['comfortable', 'use', 'card', 'Telkomsel', 'slow', 'really', 'annoyed', 'repay', 'person', 'already', 'buy', 'package', ' expensive ',' network ',' slow ',' kayak ',' gini ',' replace ',' provider ']")</f>
        <v>['comfortable', 'use', 'card', 'Telkomsel', 'slow', 'really', 'annoyed', 'repay', 'person', 'already', 'buy', 'package', ' expensive ',' network ',' slow ',' kayak ',' gini ',' replace ',' provider ']</v>
      </c>
      <c r="D8059" s="3">
        <v>1.0</v>
      </c>
    </row>
    <row r="8060" ht="15.75" customHeight="1">
      <c r="A8060" s="1">
        <v>8535.0</v>
      </c>
      <c r="B8060" s="3" t="s">
        <v>7720</v>
      </c>
      <c r="C8060" s="3" t="str">
        <f>IFERROR(__xludf.DUMMYFUNCTION("GOOGLETRANSLATE(B8060,""id"",""en"")"),"['', 'Telfon', 'Call', 'Center', 'Saying', 'Move', 'Post', 'Pay', 'Card', 'Hallo', 'Priority', 'Priority', 'Network ',' slow ',' price ',' quota ',' expensive ',' right ',' reverse ',' card ',' prepaid ',' price ',' quota ',' Telkomsel ',' change ', 'expe"&amp;"nsive', 'combo', 'saktinya', 'severe', 'provider', 'garbage', ""]")</f>
        <v>['', 'Telfon', 'Call', 'Center', 'Saying', 'Move', 'Post', 'Pay', 'Card', 'Hallo', 'Priority', 'Priority', 'Network ',' slow ',' price ',' quota ',' expensive ',' right ',' reverse ',' card ',' prepaid ',' price ',' quota ',' Telkomsel ',' change ', 'expensive', 'combo', 'saktinya', 'severe', 'provider', 'garbage', "]</v>
      </c>
      <c r="D8060" s="3">
        <v>1.0</v>
      </c>
    </row>
    <row r="8061" ht="15.75" customHeight="1">
      <c r="A8061" s="1">
        <v>8536.0</v>
      </c>
      <c r="B8061" s="3" t="s">
        <v>7721</v>
      </c>
      <c r="C8061" s="3" t="str">
        <f>IFERROR(__xludf.DUMMYFUNCTION("GOOGLETRANSLATE(B8061,""id"",""en"")"),"['network', 'internet', 'missing', 'appears',' ilang ',' kayak ',' demon ',' price ',' quota ',' expensive ',' people ',' medium ',' Down ',' staple ',' signal ',' Season ', ""]")</f>
        <v>['network', 'internet', 'missing', 'appears',' ilang ',' kayak ',' demon ',' price ',' quota ',' expensive ',' people ',' medium ',' Down ',' staple ',' signal ',' Season ', "]</v>
      </c>
      <c r="D8061" s="3">
        <v>1.0</v>
      </c>
    </row>
    <row r="8062" ht="15.75" customHeight="1">
      <c r="A8062" s="1">
        <v>8537.0</v>
      </c>
      <c r="B8062" s="3" t="s">
        <v>7722</v>
      </c>
      <c r="C8062" s="3" t="str">
        <f>IFERROR(__xludf.DUMMYFUNCTION("GOOGLETRANSLATE(B8062,""id"",""en"")"),"['times',' open ',' app ',' Telkomsel ',' screen ',' dead ',' display ',' picture ',' waits', 'bbrp', 'hlmn', 'main', ' Open ',' App ',' Telkomsel ',' Repeated ',' Meng ',' Uninstall ',' Install ',' KMBLI ',' Enter ',' Condition ',' BGitu ',' Content ',' "&amp;"Package ' , 'SPRTI', 'price', 'use', 'Available', 'price', 'MHN', 'App', 'repaired', 'min', 'hrga', 'expensive', ' Combo ',' kmn ',' ']")</f>
        <v>['times',' open ',' app ',' Telkomsel ',' screen ',' dead ',' display ',' picture ',' waits', 'bbrp', 'hlmn', 'main', ' Open ',' App ',' Telkomsel ',' Repeated ',' Meng ',' Uninstall ',' Install ',' KMBLI ',' Enter ',' Condition ',' BGitu ',' Content ',' Package ' , 'SPRTI', 'price', 'use', 'Available', 'price', 'MHN', 'App', 'repaired', 'min', 'hrga', 'expensive', ' Combo ',' kmn ',' ']</v>
      </c>
      <c r="D8062" s="3">
        <v>1.0</v>
      </c>
    </row>
    <row r="8063" ht="15.75" customHeight="1">
      <c r="A8063" s="1">
        <v>8538.0</v>
      </c>
      <c r="B8063" s="3" t="s">
        <v>7723</v>
      </c>
      <c r="C8063" s="3" t="str">
        <f>IFERROR(__xludf.DUMMYFUNCTION("GOOGLETRANSLATE(B8063,""id"",""en"")"),"['Telkomsel', 'bodies', 'ngak', 'signal', 'udh', 'expensive', 'ngk', 'signal', ""]")</f>
        <v>['Telkomsel', 'bodies', 'ngak', 'signal', 'udh', 'expensive', 'ngk', 'signal', "]</v>
      </c>
      <c r="D8063" s="3">
        <v>2.0</v>
      </c>
    </row>
    <row r="8064" ht="15.75" customHeight="1">
      <c r="A8064" s="1">
        <v>8539.0</v>
      </c>
      <c r="B8064" s="3" t="s">
        <v>7724</v>
      </c>
      <c r="C8064" s="3" t="str">
        <f>IFERROR(__xludf.DUMMYFUNCTION("GOOGLETRANSLATE(B8064,""id"",""en"")"),"['Good', 'klau', 'promo', 'cheap', 'lgi', 'area', 'indonesia', 'east', '']")</f>
        <v>['Good', 'klau', 'promo', 'cheap', 'lgi', 'area', 'indonesia', 'east', '']</v>
      </c>
      <c r="D8064" s="3">
        <v>5.0</v>
      </c>
    </row>
    <row r="8065" ht="15.75" customHeight="1">
      <c r="A8065" s="1">
        <v>8540.0</v>
      </c>
      <c r="B8065" s="3" t="s">
        <v>7725</v>
      </c>
      <c r="C8065" s="3" t="str">
        <f>IFERROR(__xludf.DUMMYFUNCTION("GOOGLETRANSLATE(B8065,""id"",""en"")"),"['Telkomsel', 'price', 'quota', 'price', 'official', 'expensive', 'really', 'God', 'collapsed', 'price', 'GB', 'card', ' The price is', 'Rich', 'Gini', 'Difficult', 'Search', 'Money', 'Nomeying', 'Help', 'Collapin', 'Price', 'mind', 'quota', 'school' , 'p"&amp;"er month', 'itung', 'already', 'expensive']")</f>
        <v>['Telkomsel', 'price', 'quota', 'price', 'official', 'expensive', 'really', 'God', 'collapsed', 'price', 'GB', 'card', ' The price is', 'Rich', 'Gini', 'Difficult', 'Search', 'Money', 'Nomeying', 'Help', 'Collapin', 'Price', 'mind', 'quota', 'school' , 'per month', 'itung', 'already', 'expensive']</v>
      </c>
      <c r="D8065" s="3">
        <v>5.0</v>
      </c>
    </row>
    <row r="8066" ht="15.75" customHeight="1">
      <c r="A8066" s="1">
        <v>8541.0</v>
      </c>
      <c r="B8066" s="3" t="s">
        <v>7726</v>
      </c>
      <c r="C8066" s="3" t="str">
        <f>IFERROR(__xludf.DUMMYFUNCTION("GOOGLETRANSLATE(B8066,""id"",""en"")"),"['Bener', 'Bener', 'Severe', 'Network', 'Telkomsel', 'Network', 'Full', 'Signal', 'Severe', 'Boong', 'What', 'Satisfied', ' Customers', 'like', 'gini', 'network', 'severe', 'please', 'fix', 'signal', 'emang', 'disorder', 'please', 'overcome', 'buy' , 'quo"&amp;"ta', 'expensive', 'ngak', 'satisfied', '']")</f>
        <v>['Bener', 'Bener', 'Severe', 'Network', 'Telkomsel', 'Network', 'Full', 'Signal', 'Severe', 'Boong', 'What', 'Satisfied', ' Customers', 'like', 'gini', 'network', 'severe', 'please', 'fix', 'signal', 'emang', 'disorder', 'please', 'overcome', 'buy' , 'quota', 'expensive', 'ngak', 'satisfied', '']</v>
      </c>
      <c r="D8066" s="3">
        <v>1.0</v>
      </c>
    </row>
    <row r="8067" ht="15.75" customHeight="1">
      <c r="A8067" s="1">
        <v>8542.0</v>
      </c>
      <c r="B8067" s="3" t="s">
        <v>7727</v>
      </c>
      <c r="C8067" s="3" t="str">
        <f>IFERROR(__xludf.DUMMYFUNCTION("GOOGLETRANSLATE(B8067,""id"",""en"")"),"['No "",' Quality ',' Mending ',' Pakek ',' Tsel ',' User ',' Card ',' Hello ',' Pay ',' Powered ',' How ',' Powered ',' people ',' sinynyal ',' no ',' open ',' status', 'muter', 'no', 'telkomsel', 'package', 'data', 'signal', 'missing', 'arising' , 'plea"&amp;"se', 'fix', '']")</f>
        <v>['No ",' Quality ',' Mending ',' Pakek ',' Tsel ',' User ',' Card ',' Hello ',' Pay ',' Powered ',' How ',' Powered ',' people ',' sinynyal ',' no ',' open ',' status', 'muter', 'no', 'telkomsel', 'package', 'data', 'signal', 'missing', 'arising' , 'please', 'fix', '']</v>
      </c>
      <c r="D8067" s="3">
        <v>1.0</v>
      </c>
    </row>
    <row r="8068" ht="15.75" customHeight="1">
      <c r="A8068" s="1">
        <v>8543.0</v>
      </c>
      <c r="B8068" s="3" t="s">
        <v>7728</v>
      </c>
      <c r="C8068" s="3" t="str">
        <f>IFERROR(__xludf.DUMMYFUNCTION("GOOGLETRANSLATE(B8068,""id"",""en"")"),"['logo', 'apk', 'Telkomsel', 'attack', 'logo', 'apk', 'interesting', 'lebik', 'cool', 'logo', 'yesterday', 'logo', ' ']")</f>
        <v>['logo', 'apk', 'Telkomsel', 'attack', 'logo', 'apk', 'interesting', 'lebik', 'cool', 'logo', 'yesterday', 'logo', ' ']</v>
      </c>
      <c r="D8068" s="3">
        <v>1.0</v>
      </c>
    </row>
    <row r="8069" ht="15.75" customHeight="1">
      <c r="A8069" s="1">
        <v>8544.0</v>
      </c>
      <c r="B8069" s="3" t="s">
        <v>7729</v>
      </c>
      <c r="C8069" s="3" t="str">
        <f>IFERROR(__xludf.DUMMYFUNCTION("GOOGLETRANSLATE(B8069,""id"",""en"")"),"['buy', 'package', 'data', 'Telkomsel', 'method', 'payment', 'shoope', 'package', 'data', 'fail', 'accept', 'payment', ' Successful ',' Failed ',' Money ',' Lost ',' Restore ']")</f>
        <v>['buy', 'package', 'data', 'Telkomsel', 'method', 'payment', 'shoope', 'package', 'data', 'fail', 'accept', 'payment', ' Successful ',' Failed ',' Money ',' Lost ',' Restore ']</v>
      </c>
      <c r="D8069" s="3">
        <v>1.0</v>
      </c>
    </row>
    <row r="8070" ht="15.75" customHeight="1">
      <c r="A8070" s="1">
        <v>8545.0</v>
      </c>
      <c r="B8070" s="3" t="s">
        <v>7730</v>
      </c>
      <c r="C8070" s="3" t="str">
        <f>IFERROR(__xludf.DUMMYFUNCTION("GOOGLETRANSLATE(B8070,""id"",""en"")"),"['Telkomsel', 'GMN', 'Price', 'Quota', 'Screwed', 'Network', 'Leet', 'Becus',' Mending ',' Dead ',' Harm ',' Org ',' already ',' hope ',' network ',' fast ',' slow ',' oath ',' Telkomsel ',' bacot ',' mulu ',' ajnk ', ""]")</f>
        <v>['Telkomsel', 'GMN', 'Price', 'Quota', 'Screwed', 'Network', 'Leet', 'Becus',' Mending ',' Dead ',' Harm ',' Org ',' already ',' hope ',' network ',' fast ',' slow ',' oath ',' Telkomsel ',' bacot ',' mulu ',' ajnk ', "]</v>
      </c>
      <c r="D8070" s="3">
        <v>1.0</v>
      </c>
    </row>
    <row r="8071" ht="15.75" customHeight="1">
      <c r="A8071" s="1">
        <v>8546.0</v>
      </c>
      <c r="B8071" s="3" t="s">
        <v>7731</v>
      </c>
      <c r="C8071" s="3" t="str">
        <f>IFERROR(__xludf.DUMMYFUNCTION("GOOGLETRANSLATE(B8071,""id"",""en"")"),"['Compared', 'vendors', 'like', 'Telkomsel', 'expensive', 'deh', 'data', 'review', 'deh', ""]")</f>
        <v>['Compared', 'vendors', 'like', 'Telkomsel', 'expensive', 'deh', 'data', 'review', 'deh', "]</v>
      </c>
      <c r="D8071" s="3">
        <v>1.0</v>
      </c>
    </row>
    <row r="8072" ht="15.75" customHeight="1">
      <c r="A8072" s="1">
        <v>8547.0</v>
      </c>
      <c r="B8072" s="3" t="s">
        <v>7732</v>
      </c>
      <c r="C8072" s="3" t="str">
        <f>IFERROR(__xludf.DUMMYFUNCTION("GOOGLETRANSLATE(B8072,""id"",""en"")"),"['Service', 'bad', 'application', 'Telkomsel', 'update', 'turn', 'already', 'install', 'reset', 'open', 'chaotic']")</f>
        <v>['Service', 'bad', 'application', 'Telkomsel', 'update', 'turn', 'already', 'install', 'reset', 'open', 'chaotic']</v>
      </c>
      <c r="D8072" s="3">
        <v>1.0</v>
      </c>
    </row>
    <row r="8073" ht="15.75" customHeight="1">
      <c r="A8073" s="1">
        <v>8548.0</v>
      </c>
      <c r="B8073" s="3" t="s">
        <v>7733</v>
      </c>
      <c r="C8073" s="3" t="str">
        <f>IFERROR(__xludf.DUMMYFUNCTION("GOOGLETRANSLATE(B8073,""id"",""en"")"),"['Cave', 'Stay', 'Center', 'City', 'Quota', 'Network', 'Leet', 'Really', 'Dead', 'Life', 'Network', 'Operator', ' normal ',' kaga ',' already ',' that's', 'quota', 'expensive', 'expensive', 'take', 'gift', 'check', 'pulse', 'based', 'experience' , 'alread"&amp;"y', 'Telkomsel', 'disappointed', 'really', 'Emak', 'friend', 'friend', 'online', 'Roving', 'expected', ""]")</f>
        <v>['Cave', 'Stay', 'Center', 'City', 'Quota', 'Network', 'Leet', 'Really', 'Dead', 'Life', 'Network', 'Operator', ' normal ',' kaga ',' already ',' that's', 'quota', 'expensive', 'expensive', 'take', 'gift', 'check', 'pulse', 'based', 'experience' , 'already', 'Telkomsel', 'disappointed', 'really', 'Emak', 'friend', 'friend', 'online', 'Roving', 'expected', "]</v>
      </c>
      <c r="D8073" s="3">
        <v>1.0</v>
      </c>
    </row>
    <row r="8074" ht="15.75" customHeight="1">
      <c r="A8074" s="1">
        <v>8549.0</v>
      </c>
      <c r="B8074" s="3" t="s">
        <v>7734</v>
      </c>
      <c r="C8074" s="3" t="str">
        <f>IFERROR(__xludf.DUMMYFUNCTION("GOOGLETRANSLATE(B8074,""id"",""en"")"),"['', 'DKI', 'Jakarta', 'Exact', 'Jakarta', 'West', 'Network', 'Nge', 'Game', 'Signal', 'Pulp', 'Internet', 'Special ',' Game ',' regular ',' pulp ',' Telkomsel ',' friend ',' ganguan ',' cable ',' sea ',' vent ',' media ',' complained ',' Kisah ', 'sacrif"&amp;"ice', 'technicians', 'cable', 'sea', 'nge "",' sob ',' oath ',' risk ',' business ',' work ',' alibi ',' disorder ',' inform ',' Sorry ',' Customer ',' THX ',' ']")</f>
        <v>['', 'DKI', 'Jakarta', 'Exact', 'Jakarta', 'West', 'Network', 'Nge', 'Game', 'Signal', 'Pulp', 'Internet', 'Special ',' Game ',' regular ',' pulp ',' Telkomsel ',' friend ',' ganguan ',' cable ',' sea ',' vent ',' media ',' complained ',' Kisah ', 'sacrifice', 'technicians', 'cable', 'sea', 'nge ",' sob ',' oath ',' risk ',' business ',' work ',' alibi ',' disorder ',' inform ',' Sorry ',' Customer ',' THX ',' ']</v>
      </c>
      <c r="D8074" s="3">
        <v>1.0</v>
      </c>
    </row>
    <row r="8075" ht="15.75" customHeight="1">
      <c r="A8075" s="1">
        <v>8550.0</v>
      </c>
      <c r="B8075" s="3" t="s">
        <v>7735</v>
      </c>
      <c r="C8075" s="3" t="str">
        <f>IFERROR(__xludf.DUMMYFUNCTION("GOOGLETRANSLATE(B8075,""id"",""en"")"),"['Signal', 'stable', 'front']")</f>
        <v>['Signal', 'stable', 'front']</v>
      </c>
      <c r="D8075" s="3">
        <v>5.0</v>
      </c>
    </row>
    <row r="8076" ht="15.75" customHeight="1">
      <c r="A8076" s="1">
        <v>8551.0</v>
      </c>
      <c r="B8076" s="3" t="s">
        <v>7736</v>
      </c>
      <c r="C8076" s="3" t="str">
        <f>IFERROR(__xludf.DUMMYFUNCTION("GOOGLETRANSLATE(B8076,""id"",""en"")"),"['Good', 'KLU', 'Package', 'Package', 'Multimedia', 'show off', 'Creator', 'fruit', 'think', 'tip', 'make it difficult', ' God ',' because of ',' his actions', 'heart', 'gkmain', 'Make', 'system', 'mutation', 'package', 'smart', 'understand', 'meaning', '"&amp;"printer' , 'Logica', 'stupid', 'garbage', 'benefits', '']")</f>
        <v>['Good', 'KLU', 'Package', 'Package', 'Multimedia', 'show off', 'Creator', 'fruit', 'think', 'tip', 'make it difficult', ' God ',' because of ',' his actions', 'heart', 'gkmain', 'Make', 'system', 'mutation', 'package', 'smart', 'understand', 'meaning', 'printer' , 'Logica', 'stupid', 'garbage', 'benefits', '']</v>
      </c>
      <c r="D8076" s="3">
        <v>3.0</v>
      </c>
    </row>
    <row r="8077" ht="15.75" customHeight="1">
      <c r="A8077" s="1">
        <v>8552.0</v>
      </c>
      <c r="B8077" s="3" t="s">
        <v>7737</v>
      </c>
      <c r="C8077" s="3" t="str">
        <f>IFERROR(__xludf.DUMMYFUNCTION("GOOGLETRANSLATE(B8077,""id"",""en"")"),"['Center', 'Help', 'taught', 'emotion']")</f>
        <v>['Center', 'Help', 'taught', 'emotion']</v>
      </c>
      <c r="D8077" s="3">
        <v>1.0</v>
      </c>
    </row>
    <row r="8078" ht="15.75" customHeight="1">
      <c r="A8078" s="1">
        <v>8553.0</v>
      </c>
      <c r="B8078" s="3" t="s">
        <v>7738</v>
      </c>
      <c r="C8078" s="3" t="str">
        <f>IFERROR(__xludf.DUMMYFUNCTION("GOOGLETRANSLATE(B8078,""id"",""en"")"),"['times', 'use', 'application', 'ugly', 'login', 'check', 'quota', 'sms', 'told', '']")</f>
        <v>['times', 'use', 'application', 'ugly', 'login', 'check', 'quota', 'sms', 'told', '']</v>
      </c>
      <c r="D8078" s="3">
        <v>1.0</v>
      </c>
    </row>
    <row r="8079" ht="15.75" customHeight="1">
      <c r="A8079" s="1">
        <v>8554.0</v>
      </c>
      <c r="B8079" s="3" t="s">
        <v>7739</v>
      </c>
      <c r="C8079" s="3" t="str">
        <f>IFERROR(__xludf.DUMMYFUNCTION("GOOGLETRANSLATE(B8079,""id"",""en"")"),"['Telkomsel', 'already', 'rich', 'point', 'is exchanged', 'pulses',' data ',' point ',' pulse ',' exchange ',' pretty ',' help ',' Ringangin ',' Fund ',' Rich ']")</f>
        <v>['Telkomsel', 'already', 'rich', 'point', 'is exchanged', 'pulses',' data ',' point ',' pulse ',' exchange ',' pretty ',' help ',' Ringangin ',' Fund ',' Rich ']</v>
      </c>
      <c r="D8079" s="3">
        <v>5.0</v>
      </c>
    </row>
    <row r="8080" ht="15.75" customHeight="1">
      <c r="A8080" s="1">
        <v>8555.0</v>
      </c>
      <c r="B8080" s="3" t="s">
        <v>7740</v>
      </c>
      <c r="C8080" s="3" t="str">
        <f>IFERROR(__xludf.DUMMYFUNCTION("GOOGLETRANSLATE(B8080,""id"",""en"")"),"['application', 'good', 'cheap', 'can', 'please', 'buy', 'pulse', 'Rbu', '']")</f>
        <v>['application', 'good', 'cheap', 'can', 'please', 'buy', 'pulse', 'Rbu', '']</v>
      </c>
      <c r="D8080" s="3">
        <v>5.0</v>
      </c>
    </row>
    <row r="8081" ht="15.75" customHeight="1">
      <c r="A8081" s="1">
        <v>8556.0</v>
      </c>
      <c r="B8081" s="3" t="s">
        <v>7741</v>
      </c>
      <c r="C8081" s="3" t="str">
        <f>IFERROR(__xludf.DUMMYFUNCTION("GOOGLETRANSLATE(B8081,""id"",""en"")"),"[ 'Hahahahahahahahahahahahahahahahahahahahahahahahahahahahahahahahahahahahhahahahahahahahahahahahahahahahhahahahahahahahaahahahahahahahahahhahahahahahahahahahahahahaahahahhahahaahahhahahahahahahahahahahahahahahahahahahahahahahahahahhahahahahahahahahahahah"&amp;"ahahahahahahahhahahahahahahahahahhahahahahahahahahahahahahhahahahahahahahahahahahhahahahahahahahahahahahhahahahhahahahahahahahhahahahahahahahahahahahwhwhwhwhwhwhwhwwhwhahhaahahahhaahhahahahahahahahahahahahahahahhahahahahahahahahahahahahahahahahahah']")</f>
        <v>[ 'Hahahahahahahahahahahahahahahahahahahahahahahahahahahahahahahahahahahahhahahahahahahahahahahahahahahahhahahahahahahahaahahahahahahahahahhahahahahahahahahahahahahaahahahhahahaahahhahahahahahahahahahahahahahahahahahahahahahahahahahhahahahahahahahahahahahahahahahahahahhahahahahahahahahahhahahahahahahahahahahahahhahahahahahahahahahahahhahahahahahahahahahahahhahahahhahahahahahahahhahahahahahahahahahahahwhwhwhwhwhwhwhwwhwhahhaahahahhaahhahahahahahahahahahahahahahahhahahahahahahahahahahahahahahahahahah']</v>
      </c>
      <c r="D8081" s="3">
        <v>5.0</v>
      </c>
    </row>
    <row r="8082" ht="15.75" customHeight="1">
      <c r="A8082" s="1">
        <v>8557.0</v>
      </c>
      <c r="B8082" s="3" t="s">
        <v>7742</v>
      </c>
      <c r="C8082" s="3" t="str">
        <f>IFERROR(__xludf.DUMMYFUNCTION("GOOGLETRANSLATE(B8082,""id"",""en"")"),"['update', 'already', 'times', 'try', 'ttp', 'knapa', ""]")</f>
        <v>['update', 'already', 'times', 'try', 'ttp', 'knapa', "]</v>
      </c>
      <c r="D8082" s="3">
        <v>1.0</v>
      </c>
    </row>
    <row r="8083" ht="15.75" customHeight="1">
      <c r="A8083" s="1">
        <v>8558.0</v>
      </c>
      <c r="B8083" s="3" t="s">
        <v>7743</v>
      </c>
      <c r="C8083" s="3" t="str">
        <f>IFERROR(__xludf.DUMMYFUNCTION("GOOGLETRANSLATE(B8083,""id"",""en"")"),"['application', 'garbage', 'ngk', 'love', 'star', 'because', 'writing', 'review', 'tastes',' love ',' star ',' NGK ',' Disright ',' People ']")</f>
        <v>['application', 'garbage', 'ngk', 'love', 'star', 'because', 'writing', 'review', 'tastes',' love ',' star ',' NGK ',' Disright ',' People ']</v>
      </c>
      <c r="D8083" s="3">
        <v>1.0</v>
      </c>
    </row>
    <row r="8084" ht="15.75" customHeight="1">
      <c r="A8084" s="1">
        <v>8559.0</v>
      </c>
      <c r="B8084" s="3" t="s">
        <v>7744</v>
      </c>
      <c r="C8084" s="3" t="str">
        <f>IFERROR(__xludf.DUMMYFUNCTION("GOOGLETRANSLATE(B8084,""id"",""en"")"),"['woi', 'telkom', 'replace', 'money', 'cave', 'star', 'cave', 'play', 'game', 'online', 'motion', 'gara', ' Gara ',' leg ',' signal ',' buy ',' pulse ',' thousand ',' change ',' quota ',' ngeta ',' legggg ',' astaggaaaa ',' kesellll ',' guaaaaaa ' , 'oath"&amp;"', '']")</f>
        <v>['woi', 'telkom', 'replace', 'money', 'cave', 'star', 'cave', 'play', 'game', 'online', 'motion', 'gara', ' Gara ',' leg ',' signal ',' buy ',' pulse ',' thousand ',' change ',' quota ',' ngeta ',' legggg ',' astaggaaaa ',' kesellll ',' guaaaaaa ' , 'oath', '']</v>
      </c>
      <c r="D8084" s="3">
        <v>1.0</v>
      </c>
    </row>
    <row r="8085" ht="15.75" customHeight="1">
      <c r="A8085" s="1">
        <v>8560.0</v>
      </c>
      <c r="B8085" s="3" t="s">
        <v>7745</v>
      </c>
      <c r="C8085" s="3" t="str">
        <f>IFERROR(__xludf.DUMMYFUNCTION("GOOGLETRANSLATE(B8085,""id"",""en"")"),"['Network', 'Telkomsel', 'Severe', 'times',' chaotic ',' times', 'package', 'expensive', 'please', 'management', 'Telkomsel', 'fix it', ' its quality ',' community ',' believe ',' move ',' SIM ',' card ',' ']")</f>
        <v>['Network', 'Telkomsel', 'Severe', 'times',' chaotic ',' times', 'package', 'expensive', 'please', 'management', 'Telkomsel', 'fix it', ' its quality ',' community ',' believe ',' move ',' SIM ',' card ',' ']</v>
      </c>
      <c r="D8085" s="3">
        <v>1.0</v>
      </c>
    </row>
    <row r="8086" ht="15.75" customHeight="1">
      <c r="A8086" s="1">
        <v>8561.0</v>
      </c>
      <c r="B8086" s="3" t="s">
        <v>7746</v>
      </c>
      <c r="C8086" s="3" t="str">
        <f>IFERROR(__xludf.DUMMYFUNCTION("GOOGLETRANSLATE(B8086,""id"",""en"")"),"['Signal', 'Telkomsel', 'Jakarta', 'Bogor', 'Fast', 'Try', '']")</f>
        <v>['Signal', 'Telkomsel', 'Jakarta', 'Bogor', 'Fast', 'Try', '']</v>
      </c>
      <c r="D8086" s="3">
        <v>4.0</v>
      </c>
    </row>
    <row r="8087" ht="15.75" customHeight="1">
      <c r="A8087" s="1">
        <v>8562.0</v>
      </c>
      <c r="B8087" s="3" t="s">
        <v>7747</v>
      </c>
      <c r="C8087" s="3" t="str">
        <f>IFERROR(__xludf.DUMMYFUNCTION("GOOGLETRANSLATE(B8087,""id"",""en"")"),"['service', 'system', 'bad', 'transaction', 'purchase', 'package', 'telephone', 'communication', 'hampered', 'communicating', 'bills',' swollen ',' careful', '']")</f>
        <v>['service', 'system', 'bad', 'transaction', 'purchase', 'package', 'telephone', 'communication', 'hampered', 'communicating', 'bills',' swollen ',' careful', '']</v>
      </c>
      <c r="D8087" s="3">
        <v>1.0</v>
      </c>
    </row>
    <row r="8088" ht="15.75" customHeight="1">
      <c r="A8088" s="1">
        <v>8563.0</v>
      </c>
      <c r="B8088" s="3" t="s">
        <v>7748</v>
      </c>
      <c r="C8088" s="3" t="str">
        <f>IFERROR(__xludf.DUMMYFUNCTION("GOOGLETRANSLATE(B8088,""id"",""en"")"),"['Easy', 'leftover', 'pulse', 'buy', 'package', 'etc.', 'unfortunately', 'the application', 'heavy', 'spending', 'quota']")</f>
        <v>['Easy', 'leftover', 'pulse', 'buy', 'package', 'etc.', 'unfortunately', 'the application', 'heavy', 'spending', 'quota']</v>
      </c>
      <c r="D8088" s="3">
        <v>4.0</v>
      </c>
    </row>
    <row r="8089" ht="15.75" customHeight="1">
      <c r="A8089" s="1">
        <v>8564.0</v>
      </c>
      <c r="B8089" s="3" t="s">
        <v>7749</v>
      </c>
      <c r="C8089" s="3" t="str">
        <f>IFERROR(__xludf.DUMMYFUNCTION("GOOGLETRANSLATE(B8089,""id"",""en"")"),"['Lahhh', 'network', 'chaotic', 'browsing', 'it', 'slow', 'quota', 'kacu', ""]")</f>
        <v>['Lahhh', 'network', 'chaotic', 'browsing', 'it', 'slow', 'quota', 'kacu', "]</v>
      </c>
      <c r="D8089" s="3">
        <v>1.0</v>
      </c>
    </row>
    <row r="8090" ht="15.75" customHeight="1">
      <c r="A8090" s="1">
        <v>8565.0</v>
      </c>
      <c r="B8090" s="3" t="s">
        <v>7750</v>
      </c>
      <c r="C8090" s="3" t="str">
        <f>IFERROR(__xludf.DUMMYFUNCTION("GOOGLETRANSLATE(B8090,""id"",""en"")"),"['Golly', 'ugly', 'signal', 'Telkomsel', 'good', 'slow', 'network', 'data', 'BURIK', 'really', 'distance', 'home', ' Tower ',' fix ',' boos', 'want', 'sell', 'merchandise', 'user', 'leave', 'prodak', 'ooh', 'friend', 'slow', 'slow' , 'Network', 'Telkomsel"&amp;"']")</f>
        <v>['Golly', 'ugly', 'signal', 'Telkomsel', 'good', 'slow', 'network', 'data', 'BURIK', 'really', 'distance', 'home', ' Tower ',' fix ',' boos', 'want', 'sell', 'merchandise', 'user', 'leave', 'prodak', 'ooh', 'friend', 'slow', 'slow' , 'Network', 'Telkomsel']</v>
      </c>
      <c r="D8090" s="3">
        <v>1.0</v>
      </c>
    </row>
    <row r="8091" ht="15.75" customHeight="1">
      <c r="A8091" s="1">
        <v>8566.0</v>
      </c>
      <c r="B8091" s="3" t="s">
        <v>7751</v>
      </c>
      <c r="C8091" s="3" t="str">
        <f>IFERROR(__xludf.DUMMYFUNCTION("GOOGLETRANSLATE(B8091,""id"",""en"")"),"['Assalammualaikum', 'Dear', 'user', 'Telkom', 'comfortable', 'Error', 'right', 'test', 'delay', 'teacher', 'please', 'repay', ' Good ',' Kasian ',' UDH ',' Ngejin ',' Deuteronomy ',' reset ',' Gara ',' Error ',' Telkom ',' Please ',' repay ', ""]")</f>
        <v>['Assalammualaikum', 'Dear', 'user', 'Telkom', 'comfortable', 'Error', 'right', 'test', 'delay', 'teacher', 'please', 'repay', ' Good ',' Kasian ',' UDH ',' Ngejin ',' Deuteronomy ',' reset ',' Gara ',' Error ',' Telkom ',' Please ',' repay ', "]</v>
      </c>
      <c r="D8091" s="3">
        <v>2.0</v>
      </c>
    </row>
    <row r="8092" ht="15.75" customHeight="1">
      <c r="A8092" s="1">
        <v>8567.0</v>
      </c>
      <c r="B8092" s="3" t="s">
        <v>7752</v>
      </c>
      <c r="C8092" s="3" t="str">
        <f>IFERROR(__xludf.DUMMYFUNCTION("GOOGLETRANSLATE(B8092,""id"",""en"")"),"['Telkomsel', 'a day', 'disappointing', 'signal', 'threat', 'internet', 'please', 'appreciate', 'Costumer', 'card', 'Telkomsel', 'Tlong', ' Appreciate ',' Costumer ',' disappointing ']")</f>
        <v>['Telkomsel', 'a day', 'disappointing', 'signal', 'threat', 'internet', 'please', 'appreciate', 'Costumer', 'card', 'Telkomsel', 'Tlong', ' Appreciate ',' Costumer ',' disappointing ']</v>
      </c>
      <c r="D8092" s="3">
        <v>1.0</v>
      </c>
    </row>
    <row r="8093" ht="15.75" customHeight="1">
      <c r="A8093" s="1">
        <v>8568.0</v>
      </c>
      <c r="B8093" s="3" t="s">
        <v>7753</v>
      </c>
      <c r="C8093" s="3" t="str">
        <f>IFERROR(__xludf.DUMMYFUNCTION("GOOGLETRANSLATE(B8093,""id"",""en"")"),"['Increase', 'Quality', 'Signal', 'Connect', 'Tel']")</f>
        <v>['Increase', 'Quality', 'Signal', 'Connect', 'Tel']</v>
      </c>
      <c r="D8093" s="3">
        <v>5.0</v>
      </c>
    </row>
    <row r="8094" ht="15.75" customHeight="1">
      <c r="A8094" s="1">
        <v>8569.0</v>
      </c>
      <c r="B8094" s="3" t="s">
        <v>7754</v>
      </c>
      <c r="C8094" s="3" t="str">
        <f>IFERROR(__xludf.DUMMYFUNCTION("GOOGLETRANSLATE(B8094,""id"",""en"")"),"['ugly', 'network', 'data', 'GB', 'slow', '']")</f>
        <v>['ugly', 'network', 'data', 'GB', 'slow', '']</v>
      </c>
      <c r="D8094" s="3">
        <v>2.0</v>
      </c>
    </row>
    <row r="8095" ht="15.75" customHeight="1">
      <c r="A8095" s="1">
        <v>8570.0</v>
      </c>
      <c r="B8095" s="3" t="s">
        <v>7755</v>
      </c>
      <c r="C8095" s="3" t="str">
        <f>IFERROR(__xludf.DUMMYFUNCTION("GOOGLETRANSLATE(B8095,""id"",""en"")"),"['network', 'here', 'bad', 'network', 'please', 'network', 'fix', 'already', 'package', 'the network', 'bad', 'harmed', ' as', 'users',' Telkomsel ']")</f>
        <v>['network', 'here', 'bad', 'network', 'please', 'network', 'fix', 'already', 'package', 'the network', 'bad', 'harmed', ' as', 'users',' Telkomsel ']</v>
      </c>
      <c r="D8095" s="3">
        <v>1.0</v>
      </c>
    </row>
    <row r="8096" ht="15.75" customHeight="1">
      <c r="A8096" s="1">
        <v>8571.0</v>
      </c>
      <c r="B8096" s="3" t="s">
        <v>7756</v>
      </c>
      <c r="C8096" s="3" t="str">
        <f>IFERROR(__xludf.DUMMYFUNCTION("GOOGLETRANSLATE(B8096,""id"",""en"")"),"['Care', 'Customer', 'Customer', 'Telkomsel', 'Dare', 'Dlm', 'Pandemic', 'Covid', 'Customer', 'Mobulated', 'Salam', 'Healthy']")</f>
        <v>['Care', 'Customer', 'Customer', 'Telkomsel', 'Dare', 'Dlm', 'Pandemic', 'Covid', 'Customer', 'Mobulated', 'Salam', 'Healthy']</v>
      </c>
      <c r="D8096" s="3">
        <v>5.0</v>
      </c>
    </row>
    <row r="8097" ht="15.75" customHeight="1">
      <c r="A8097" s="1">
        <v>8572.0</v>
      </c>
      <c r="B8097" s="3" t="s">
        <v>7757</v>
      </c>
      <c r="C8097" s="3" t="str">
        <f>IFERROR(__xludf.DUMMYFUNCTION("GOOGLETRANSLATE(B8097,""id"",""en"")"),"['', 'fast', 'hot', 'digsang', 'application', 'boss', '']")</f>
        <v>['', 'fast', 'hot', 'digsang', 'application', 'boss', '']</v>
      </c>
      <c r="D8097" s="3">
        <v>5.0</v>
      </c>
    </row>
    <row r="8098" ht="15.75" customHeight="1">
      <c r="A8098" s="1">
        <v>8573.0</v>
      </c>
      <c r="B8098" s="3" t="s">
        <v>7758</v>
      </c>
      <c r="C8098" s="3" t="str">
        <f>IFERROR(__xludf.DUMMYFUNCTION("GOOGLETRANSLATE(B8098,""id"",""en"")"),"['Exchange', 'Points', 'Stay', 'Regions', 'Exchange', 'Points', 'Cover', 'Facilities', 'Regions']")</f>
        <v>['Exchange', 'Points', 'Stay', 'Regions', 'Exchange', 'Points', 'Cover', 'Facilities', 'Regions']</v>
      </c>
      <c r="D8098" s="3">
        <v>4.0</v>
      </c>
    </row>
    <row r="8099" ht="15.75" customHeight="1">
      <c r="A8099" s="1">
        <v>8574.0</v>
      </c>
      <c r="B8099" s="3" t="s">
        <v>7759</v>
      </c>
      <c r="C8099" s="3" t="str">
        <f>IFERROR(__xludf.DUMMYFUNCTION("GOOGLETRANSLATE(B8099,""id"",""en"")"),"['buy', 'quota', 'Must', 'Open', 'Apalikasi', 'Open', 'Application', 'Musti', 'Quota', 'The Application', 'Gede', 'Really', ' ']")</f>
        <v>['buy', 'quota', 'Must', 'Open', 'Apalikasi', 'Open', 'Application', 'Musti', 'Quota', 'The Application', 'Gede', 'Really', ' ']</v>
      </c>
      <c r="D8099" s="3">
        <v>2.0</v>
      </c>
    </row>
    <row r="8100" ht="15.75" customHeight="1">
      <c r="A8100" s="1">
        <v>8575.0</v>
      </c>
      <c r="B8100" s="3" t="s">
        <v>7760</v>
      </c>
      <c r="C8100" s="3" t="str">
        <f>IFERROR(__xludf.DUMMYFUNCTION("GOOGLETRANSLATE(B8100,""id"",""en"")"),"['Internet', 'Kenceng', 'really', 'Sampe', 'GB', 'a month', 'already', 'buresss',' so tight ',' Kenceng ',' Cave ',' Have ',' Buy ',' Package ',' Terips', 'Change', 'Neighbor', 'Severe']")</f>
        <v>['Internet', 'Kenceng', 'really', 'Sampe', 'GB', 'a month', 'already', 'buresss',' so tight ',' Kenceng ',' Cave ',' Have ',' Buy ',' Package ',' Terips', 'Change', 'Neighbor', 'Severe']</v>
      </c>
      <c r="D8100" s="3">
        <v>1.0</v>
      </c>
    </row>
    <row r="8101" ht="15.75" customHeight="1">
      <c r="A8101" s="1">
        <v>8576.0</v>
      </c>
      <c r="B8101" s="3" t="s">
        <v>7761</v>
      </c>
      <c r="C8101" s="3" t="str">
        <f>IFERROR(__xludf.DUMMYFUNCTION("GOOGLETRANSLATE(B8101,""id"",""en"")"),"['Deh', 'fill in', 'credit', 'Telkomsel', 'Sumpot', 'Masi', 'live', 'Data', 'ilang', 'Bener', 'Ngerugin', 'People', ' quota ',' wasteful ',' really ']")</f>
        <v>['Deh', 'fill in', 'credit', 'Telkomsel', 'Sumpot', 'Masi', 'live', 'Data', 'ilang', 'Bener', 'Ngerugin', 'People', ' quota ',' wasteful ',' really ']</v>
      </c>
      <c r="D8101" s="3">
        <v>1.0</v>
      </c>
    </row>
    <row r="8102" ht="15.75" customHeight="1">
      <c r="A8102" s="1">
        <v>8577.0</v>
      </c>
      <c r="B8102" s="3" t="s">
        <v>7762</v>
      </c>
      <c r="C8102" s="3" t="str">
        <f>IFERROR(__xludf.DUMMYFUNCTION("GOOGLETRANSLATE(B8102,""id"",""en"")"),"['Disappointed', 'really', 'buy', 'package', 'combo', 'Sakti', 'right', 'try', 'right', 'Whats',' app ',' pulses', ' She ',' quota ',' server ',' mytelkomsel ',' jelex ',' really ',' that's']")</f>
        <v>['Disappointed', 'really', 'buy', 'package', 'combo', 'Sakti', 'right', 'try', 'right', 'Whats',' app ',' pulses', ' She ',' quota ',' server ',' mytelkomsel ',' jelex ',' really ',' that's']</v>
      </c>
      <c r="D8102" s="3">
        <v>3.0</v>
      </c>
    </row>
    <row r="8103" ht="15.75" customHeight="1">
      <c r="A8103" s="1">
        <v>8578.0</v>
      </c>
      <c r="B8103" s="3" t="s">
        <v>7763</v>
      </c>
      <c r="C8103" s="3" t="str">
        <f>IFERROR(__xludf.DUMMYFUNCTION("GOOGLETRANSLATE(B8103,""id"",""en"")"),"['How', 'Telkomsel', 'Network', 'Kaga', 'Becus', 'Anjeng', 'Anjeng', 'Quota', 'Main', 'Game', 'Ngelag', ""]")</f>
        <v>['How', 'Telkomsel', 'Network', 'Kaga', 'Becus', 'Anjeng', 'Anjeng', 'Quota', 'Main', 'Game', 'Ngelag', "]</v>
      </c>
      <c r="D8103" s="3">
        <v>1.0</v>
      </c>
    </row>
    <row r="8104" ht="15.75" customHeight="1">
      <c r="A8104" s="1">
        <v>8579.0</v>
      </c>
      <c r="B8104" s="3" t="s">
        <v>7764</v>
      </c>
      <c r="C8104" s="3" t="str">
        <f>IFERROR(__xludf.DUMMYFUNCTION("GOOGLETRANSLATE(B8104,""id"",""en"")"),"['package', 'emergency', 'road', 'canal', 'pulse', 'me', 'taken', 'trusss',' minjem ',' pulse ',' tpi ',' tagihh ',' Thurs', 'contents',' pulse ',' take ',' halfhx ',' auto ',' waste ',' card ']")</f>
        <v>['package', 'emergency', 'road', 'canal', 'pulse', 'me', 'taken', 'trusss',' minjem ',' pulse ',' tpi ',' tagihh ',' Thurs', 'contents',' pulse ',' take ',' halfhx ',' auto ',' waste ',' card ']</v>
      </c>
      <c r="D8104" s="3">
        <v>2.0</v>
      </c>
    </row>
    <row r="8105" ht="15.75" customHeight="1">
      <c r="A8105" s="1">
        <v>8580.0</v>
      </c>
      <c r="B8105" s="3" t="s">
        <v>7765</v>
      </c>
      <c r="C8105" s="3" t="str">
        <f>IFERROR(__xludf.DUMMYFUNCTION("GOOGLETRANSLATE(B8105,""id"",""en"")"),"['here', 'price', 'package', 'maybe', 'expensive', 'for example', 'package', 'combo', 'cheap', 'dlu', 'thousand', 'thousand', ' Yesterday ',' thousand ',' skrng ',' thousand ',' fill in ',' pulse ',' tdak ',' pulse ',' pulse ',' money ',' limited ',' ']")</f>
        <v>['here', 'price', 'package', 'maybe', 'expensive', 'for example', 'package', 'combo', 'cheap', 'dlu', 'thousand', 'thousand', ' Yesterday ',' thousand ',' skrng ',' thousand ',' fill in ',' pulse ',' tdak ',' pulse ',' pulse ',' money ',' limited ',' ']</v>
      </c>
      <c r="D8105" s="3">
        <v>1.0</v>
      </c>
    </row>
    <row r="8106" ht="15.75" customHeight="1">
      <c r="A8106" s="1">
        <v>8581.0</v>
      </c>
      <c r="B8106" s="3" t="s">
        <v>7766</v>
      </c>
      <c r="C8106" s="3" t="str">
        <f>IFERROR(__xludf.DUMMYFUNCTION("GOOGLETRANSLATE(B8106,""id"",""en"")"),"['Good', 'expensive', 'really', 'tuk', 'price', 'package', 'ternet', 'Alhamdulillah', 'single', 'city', 'provider', 'bnyak', ' Juh ',' desperate ',' tuk ',' sms', 'telephone', 'gend', 'internet', 'sustenance', 'neighbor', 'next door', 'mudikk', '']")</f>
        <v>['Good', 'expensive', 'really', 'tuk', 'price', 'package', 'ternet', 'Alhamdulillah', 'single', 'city', 'provider', 'bnyak', ' Juh ',' desperate ',' tuk ',' sms', 'telephone', 'gend', 'internet', 'sustenance', 'neighbor', 'next door', 'mudikk', '']</v>
      </c>
      <c r="D8106" s="3">
        <v>4.0</v>
      </c>
    </row>
    <row r="8107" ht="15.75" customHeight="1">
      <c r="A8107" s="1">
        <v>8582.0</v>
      </c>
      <c r="B8107" s="3" t="s">
        <v>7767</v>
      </c>
      <c r="C8107" s="3" t="str">
        <f>IFERROR(__xludf.DUMMYFUNCTION("GOOGLETRANSLATE(B8107,""id"",""en"")"),"['Tonek', 'Applicator', 'Driver', 'Gojek', 'Already', 'Telkomsel', 'Network', 'Leet', 'Geramlah', 'Anyway']")</f>
        <v>['Tonek', 'Applicator', 'Driver', 'Gojek', 'Already', 'Telkomsel', 'Network', 'Leet', 'Geramlah', 'Anyway']</v>
      </c>
      <c r="D8107" s="3">
        <v>1.0</v>
      </c>
    </row>
    <row r="8108" ht="15.75" customHeight="1">
      <c r="A8108" s="1">
        <v>8583.0</v>
      </c>
      <c r="B8108" s="3" t="s">
        <v>7768</v>
      </c>
      <c r="C8108" s="3" t="str">
        <f>IFERROR(__xludf.DUMMYFUNCTION("GOOGLETRANSLATE(B8108,""id"",""en"")"),"['Help', 'Order', 'PKET', 'LWT', 'Thanks', 'Tsel', 'Jaya', ""]")</f>
        <v>['Help', 'Order', 'PKET', 'LWT', 'Thanks', 'Tsel', 'Jaya', "]</v>
      </c>
      <c r="D8108" s="3">
        <v>5.0</v>
      </c>
    </row>
    <row r="8109" ht="15.75" customHeight="1">
      <c r="A8109" s="1">
        <v>8584.0</v>
      </c>
      <c r="B8109" s="3" t="s">
        <v>7769</v>
      </c>
      <c r="C8109" s="3" t="str">
        <f>IFERROR(__xludf.DUMMYFUNCTION("GOOGLETRANSLATE(B8109,""id"",""en"")"),"['', 'Telkomsel', 'application', 'makes it easy', 'user', 'anti', 'complicated', 'counter', 'DGAN', 'Telkomsel', 'thank', 'love']")</f>
        <v>['', 'Telkomsel', 'application', 'makes it easy', 'user', 'anti', 'complicated', 'counter', 'DGAN', 'Telkomsel', 'thank', 'love']</v>
      </c>
      <c r="D8109" s="3">
        <v>5.0</v>
      </c>
    </row>
    <row r="8110" ht="15.75" customHeight="1">
      <c r="A8110" s="1">
        <v>8585.0</v>
      </c>
      <c r="B8110" s="3" t="s">
        <v>7770</v>
      </c>
      <c r="C8110" s="3" t="str">
        <f>IFERROR(__xludf.DUMMYFUNCTION("GOOGLETRANSLATE(B8110,""id"",""en"")"),"['Knp', 'skrg', 'signal', 'strong', 'Telkomsel', 'hulped', 'strong', 'signal', 'skrg', 'ilang', 'number', 'bgtu', ' signal ']")</f>
        <v>['Knp', 'skrg', 'signal', 'strong', 'Telkomsel', 'hulped', 'strong', 'signal', 'skrg', 'ilang', 'number', 'bgtu', ' signal ']</v>
      </c>
      <c r="D8110" s="3">
        <v>1.0</v>
      </c>
    </row>
    <row r="8111" ht="15.75" customHeight="1">
      <c r="A8111" s="1">
        <v>8586.0</v>
      </c>
      <c r="B8111" s="3" t="s">
        <v>7771</v>
      </c>
      <c r="C8111" s="3" t="str">
        <f>IFERROR(__xludf.DUMMYFUNCTION("GOOGLETRANSLATE(B8111,""id"",""en"")"),"['Development', 'steady', 'fast', 'access it', 'fast', 'transaction', 'language', 'easy', 'understood', 'MyTelkomsel', 'best', ""]")</f>
        <v>['Development', 'steady', 'fast', 'access it', 'fast', 'transaction', 'language', 'easy', 'understood', 'MyTelkomsel', 'best', "]</v>
      </c>
      <c r="D8111" s="3">
        <v>5.0</v>
      </c>
    </row>
    <row r="8112" ht="15.75" customHeight="1">
      <c r="A8112" s="1">
        <v>8587.0</v>
      </c>
      <c r="B8112" s="3" t="s">
        <v>7772</v>
      </c>
      <c r="C8112" s="3" t="str">
        <f>IFERROR(__xludf.DUMMYFUNCTION("GOOGLETRANSLATE(B8112,""id"",""en"")"),"['Come', 'Severe', 'Signal', 'Price', 'Quota', 'Expensive', 'Network', 'Parahhhhh', '']")</f>
        <v>['Come', 'Severe', 'Signal', 'Price', 'Quota', 'Expensive', 'Network', 'Parahhhhh', '']</v>
      </c>
      <c r="D8112" s="3">
        <v>1.0</v>
      </c>
    </row>
    <row r="8113" ht="15.75" customHeight="1">
      <c r="A8113" s="1">
        <v>8588.0</v>
      </c>
      <c r="B8113" s="3" t="s">
        <v>7773</v>
      </c>
      <c r="C8113" s="3" t="str">
        <f>IFERROR(__xludf.DUMMYFUNCTION("GOOGLETRANSLATE(B8113,""id"",""en"")"),"['application', 'MyTelkomsel', 'good', 'package', 'internet', 'run out', 'then', 'leftover', 'pulse', 'lgsg', 'sucked', 'suck', ' the rest of ',' pulse ',' stop ',' suck ',' leftover ',' pulse ', ""]")</f>
        <v>['application', 'MyTelkomsel', 'good', 'package', 'internet', 'run out', 'then', 'leftover', 'pulse', 'lgsg', 'sucked', 'suck', ' the rest of ',' pulse ',' stop ',' suck ',' leftover ',' pulse ', "]</v>
      </c>
      <c r="D8113" s="3">
        <v>4.0</v>
      </c>
    </row>
    <row r="8114" ht="15.75" customHeight="1">
      <c r="A8114" s="1">
        <v>8589.0</v>
      </c>
      <c r="B8114" s="3" t="s">
        <v>7774</v>
      </c>
      <c r="C8114" s="3" t="str">
        <f>IFERROR(__xludf.DUMMYFUNCTION("GOOGLETRANSLATE(B8114,""id"",""en"")"),"['Your signal', 'Bad', 'Telfon', 'WhatsApp', 'Disconnect', 'Connecting', 'Wrong', 'Understand', 'People', 'Telfon', 'Download', 'Often', ' Your signal ',' stable ',' ']")</f>
        <v>['Your signal', 'Bad', 'Telfon', 'WhatsApp', 'Disconnect', 'Connecting', 'Wrong', 'Understand', 'People', 'Telfon', 'Download', 'Often', ' Your signal ',' stable ',' ']</v>
      </c>
      <c r="D8114" s="3">
        <v>1.0</v>
      </c>
    </row>
    <row r="8115" ht="15.75" customHeight="1">
      <c r="A8115" s="1">
        <v>8590.0</v>
      </c>
      <c r="B8115" s="3" t="s">
        <v>7775</v>
      </c>
      <c r="C8115" s="3" t="str">
        <f>IFERROR(__xludf.DUMMYFUNCTION("GOOGLETRANSLATE(B8115,""id"",""en"")"),"['Accessible', 'quota', 'internet', 'makes it easy', 'users', 'Telkomsel', 'access', 'features', 'free', ""]")</f>
        <v>['Accessible', 'quota', 'internet', 'makes it easy', 'users', 'Telkomsel', 'access', 'features', 'free', "]</v>
      </c>
      <c r="D8115" s="3">
        <v>2.0</v>
      </c>
    </row>
    <row r="8116" ht="15.75" customHeight="1">
      <c r="A8116" s="1">
        <v>8591.0</v>
      </c>
      <c r="B8116" s="3" t="s">
        <v>7776</v>
      </c>
      <c r="C8116" s="3" t="str">
        <f>IFERROR(__xludf.DUMMYFUNCTION("GOOGLETRANSLATE(B8116,""id"",""en"")"),"['kokggggg', 'Telkomsel', 'suck', 'pulse', 'nagih', 'debt', 'quota', 'emergency', 'debt', 'bosssssss',' take ',' package ',' whhh ',' pulse ',' run out ',' pay ',' quota ',' emergency ',' ']")</f>
        <v>['kokggggg', 'Telkomsel', 'suck', 'pulse', 'nagih', 'debt', 'quota', 'emergency', 'debt', 'bosssssss',' take ',' package ',' whhh ',' pulse ',' run out ',' pay ',' quota ',' emergency ',' ']</v>
      </c>
      <c r="D8116" s="3">
        <v>1.0</v>
      </c>
    </row>
    <row r="8117" ht="15.75" customHeight="1">
      <c r="A8117" s="1">
        <v>8592.0</v>
      </c>
      <c r="B8117" s="3" t="s">
        <v>7777</v>
      </c>
      <c r="C8117" s="3" t="str">
        <f>IFERROR(__xludf.DUMMYFUNCTION("GOOGLETRANSLATE(B8117,""id"",""en"")"),"['signal', 'slow']")</f>
        <v>['signal', 'slow']</v>
      </c>
      <c r="D8117" s="3">
        <v>1.0</v>
      </c>
    </row>
    <row r="8118" ht="15.75" customHeight="1">
      <c r="A8118" s="1">
        <v>8593.0</v>
      </c>
      <c r="B8118" s="3" t="s">
        <v>7778</v>
      </c>
      <c r="C8118" s="3" t="str">
        <f>IFERROR(__xludf.DUMMYFUNCTION("GOOGLETRANSLATE(B8118,""id"",""en"")"),"['difficult', 'Telkomsel', 'signal', 'difficult', 'slow', 'expensive']")</f>
        <v>['difficult', 'Telkomsel', 'signal', 'difficult', 'slow', 'expensive']</v>
      </c>
      <c r="D8118" s="3">
        <v>1.0</v>
      </c>
    </row>
    <row r="8119" ht="15.75" customHeight="1">
      <c r="A8119" s="1">
        <v>8594.0</v>
      </c>
      <c r="B8119" s="3" t="s">
        <v>7779</v>
      </c>
      <c r="C8119" s="3" t="str">
        <f>IFERROR(__xludf.DUMMYFUNCTION("GOOGLETRANSLATE(B8119,""id"",""en"")"),"['ASSMLKM', 'KNP', 'Telkomsel', 'Housing', 'Puri', 'Bojong', 'Lestari', 'Jln', 'Bone', 'RW', 'Block', 'Pabuaran', ' Bojong ',' Gede ',' Sousal ',' Telkomsel ',' Bagusan ',' Indosat ',' Etc. ',' How ',' Card ',' Telkomsel ',' Tlg ',' Fix ',' Difficulties' "&amp;", 'Communication', 'income']")</f>
        <v>['ASSMLKM', 'KNP', 'Telkomsel', 'Housing', 'Puri', 'Bojong', 'Lestari', 'Jln', 'Bone', 'RW', 'Block', 'Pabuaran', ' Bojong ',' Gede ',' Sousal ',' Telkomsel ',' Bagusan ',' Indosat ',' Etc. ',' How ',' Card ',' Telkomsel ',' Tlg ',' Fix ',' Difficulties' , 'Communication', 'income']</v>
      </c>
      <c r="D8119" s="3">
        <v>3.0</v>
      </c>
    </row>
    <row r="8120" ht="15.75" customHeight="1">
      <c r="A8120" s="1">
        <v>8595.0</v>
      </c>
      <c r="B8120" s="3" t="s">
        <v>7780</v>
      </c>
      <c r="C8120" s="3" t="str">
        <f>IFERROR(__xludf.DUMMYFUNCTION("GOOGLETRANSLATE(B8120,""id"",""en"")"),"['Severe', 'signal', 'Intrnet', 'slow', 'slow', 'severe', 'really', 'consumer', 'Telkomsel', 'kokmakkn', 'slow', 'signal', ' The intrnets', 'please', 'repairs',' ']")</f>
        <v>['Severe', 'signal', 'Intrnet', 'slow', 'slow', 'severe', 'really', 'consumer', 'Telkomsel', 'kokmakkn', 'slow', 'signal', ' The intrnets', 'please', 'repairs',' ']</v>
      </c>
      <c r="D8120" s="3">
        <v>1.0</v>
      </c>
    </row>
    <row r="8121" ht="15.75" customHeight="1">
      <c r="A8121" s="1">
        <v>8596.0</v>
      </c>
      <c r="B8121" s="3" t="s">
        <v>7781</v>
      </c>
      <c r="C8121" s="3" t="str">
        <f>IFERROR(__xludf.DUMMYFUNCTION("GOOGLETRANSLATE(B8121,""id"",""en"")"),"['Good', 'Job', 'Telkomsel', 'Sorry', 'represents',' users', 'Telkomsel', 'forgive', 'Sorry', 'Telkomsel', 'kereeen', 'please', ' Looked on ',' complaints', 'customers',' service ',' Best ', ""]")</f>
        <v>['Good', 'Job', 'Telkomsel', 'Sorry', 'represents',' users', 'Telkomsel', 'forgive', 'Sorry', 'Telkomsel', 'kereeen', 'please', ' Looked on ',' complaints', 'customers',' service ',' Best ', "]</v>
      </c>
      <c r="D8121" s="3">
        <v>1.0</v>
      </c>
    </row>
    <row r="8122" ht="15.75" customHeight="1">
      <c r="A8122" s="1">
        <v>8597.0</v>
      </c>
      <c r="B8122" s="3" t="s">
        <v>7782</v>
      </c>
      <c r="C8122" s="3" t="str">
        <f>IFERROR(__xludf.DUMMYFUNCTION("GOOGLETRANSLATE(B8122,""id"",""en"")"),"['', 'Telkomsel', 'promo', 'promo', 'interesting', 'suggested', 'Telkomsel', 'wants',' setting ',' choice ',' package ',' quota ',' Telkomsel ',' user ',' sometimes', 'disappointed', 'for example', 'have', 'package', 'quota', 'internet', 'dal', 'quota', '"&amp;"choose', 'quota', 'quota', 'GB', 'drained', 'internet', 'GB', 'used', 'loss', 'comment', 'suggested', 'best', 'dtp', 'gift']")</f>
        <v>['', 'Telkomsel', 'promo', 'promo', 'interesting', 'suggested', 'Telkomsel', 'wants',' setting ',' choice ',' package ',' quota ',' Telkomsel ',' user ',' sometimes', 'disappointed', 'for example', 'have', 'package', 'quota', 'internet', 'dal', 'quota', 'choose', 'quota', 'quota', 'GB', 'drained', 'internet', 'GB', 'used', 'loss', 'comment', 'suggested', 'best', 'dtp', 'gift']</v>
      </c>
      <c r="D8122" s="3">
        <v>5.0</v>
      </c>
    </row>
    <row r="8123" ht="15.75" customHeight="1">
      <c r="A8123" s="1">
        <v>8598.0</v>
      </c>
      <c r="B8123" s="3" t="s">
        <v>7783</v>
      </c>
      <c r="C8123" s="3" t="str">
        <f>IFERROR(__xludf.DUMMYFUNCTION("GOOGLETRANSLATE(B8123,""id"",""en"")"),"['use', 'card', 'Hallo', 'home', 'wifi', 'speedy', 'quota', 'card', 'hello', 'leftover', 'home', 'card', ' Hello ',' Help ',' Connection ',' Network ',' Good ',' Card ',' Hello ',' Package ',' Take ',' Bonus', 'Telkomsel', 'Outside' , 'Telkomsel', 'bonus'"&amp;", 'sms', 'rare', 'used', 'sms', '']")</f>
        <v>['use', 'card', 'Hallo', 'home', 'wifi', 'speedy', 'quota', 'card', 'hello', 'leftover', 'home', 'card', ' Hello ',' Help ',' Connection ',' Network ',' Good ',' Card ',' Hello ',' Package ',' Take ',' Bonus', 'Telkomsel', 'Outside' , 'Telkomsel', 'bonus', 'sms', 'rare', 'used', 'sms', '']</v>
      </c>
      <c r="D8123" s="3">
        <v>3.0</v>
      </c>
    </row>
    <row r="8124" ht="15.75" customHeight="1">
      <c r="A8124" s="1">
        <v>8599.0</v>
      </c>
      <c r="B8124" s="3" t="s">
        <v>7784</v>
      </c>
      <c r="C8124" s="3" t="str">
        <f>IFERROR(__xludf.DUMMYFUNCTION("GOOGLETRANSLATE(B8124,""id"",""en"")"),"['MyTelkomsel', 'sophisticated', 'steady', '']")</f>
        <v>['MyTelkomsel', 'sophisticated', 'steady', '']</v>
      </c>
      <c r="D8124" s="3">
        <v>5.0</v>
      </c>
    </row>
    <row r="8125" ht="15.75" customHeight="1">
      <c r="A8125" s="1">
        <v>8600.0</v>
      </c>
      <c r="B8125" s="3" t="s">
        <v>7785</v>
      </c>
      <c r="C8125" s="3" t="str">
        <f>IFERROR(__xludf.DUMMYFUNCTION("GOOGLETRANSLATE(B8125,""id"",""en"")"),"['pulse', 'reduced', 'pdhl', 'sms', 'nelfon', 'unfortunate', 'tsel', 'pulse', 'customer', 'reduced', 'theft', 'pulse']")</f>
        <v>['pulse', 'reduced', 'pdhl', 'sms', 'nelfon', 'unfortunate', 'tsel', 'pulse', 'customer', 'reduced', 'theft', 'pulse']</v>
      </c>
      <c r="D8125" s="3">
        <v>1.0</v>
      </c>
    </row>
    <row r="8126" ht="15.75" customHeight="1">
      <c r="A8126" s="1">
        <v>8601.0</v>
      </c>
      <c r="B8126" s="3" t="s">
        <v>7786</v>
      </c>
      <c r="C8126" s="3" t="str">
        <f>IFERROR(__xludf.DUMMYFUNCTION("GOOGLETRANSLATE(B8126,""id"",""en"")"),"['price', 'package', 'expensive', 'expensive', 'pity', 'user', 'medium', 'down', 'internet', 'Sakti', 'Combi', 'Sakti', ' Provided ',' user ',' ']")</f>
        <v>['price', 'package', 'expensive', 'expensive', 'pity', 'user', 'medium', 'down', 'internet', 'Sakti', 'Combi', 'Sakti', ' Provided ',' user ',' ']</v>
      </c>
      <c r="D8126" s="3">
        <v>1.0</v>
      </c>
    </row>
    <row r="8127" ht="15.75" customHeight="1">
      <c r="A8127" s="1">
        <v>8602.0</v>
      </c>
      <c r="B8127" s="3" t="s">
        <v>7787</v>
      </c>
      <c r="C8127" s="3" t="str">
        <f>IFERROR(__xludf.DUMMYFUNCTION("GOOGLETRANSLATE(B8127,""id"",""en"")"),"['have', 'quota', 'internet', 'local', 'apply', 'pkl', 'quota', 'internet', 'apply', 'pkl', 'quota', 'watch', ' Local ',' apply ',' PKL ',' Check ',' Quota ',' Package ',' MyTelkomsel ',' Tsel ',' Info ',' Tsel ',' Active ', ""]")</f>
        <v>['have', 'quota', 'internet', 'local', 'apply', 'pkl', 'quota', 'internet', 'apply', 'pkl', 'quota', 'watch', ' Local ',' apply ',' PKL ',' Check ',' Quota ',' Package ',' MyTelkomsel ',' Tsel ',' Info ',' Tsel ',' Active ', "]</v>
      </c>
      <c r="D8127" s="3">
        <v>2.0</v>
      </c>
    </row>
    <row r="8128" ht="15.75" customHeight="1">
      <c r="A8128" s="1">
        <v>8603.0</v>
      </c>
      <c r="B8128" s="3" t="s">
        <v>7788</v>
      </c>
      <c r="C8128" s="3" t="str">
        <f>IFERROR(__xludf.DUMMYFUNCTION("GOOGLETRANSLATE(B8128,""id"",""en"")"),"['Log', 'enter', 'already', 'verification', 'right', 'already', 'pressed', 'button', 'verification', 'said', 'sorry', 'invalid', ' Sorry ',' KadarLuasa ',' How ',' Buy ',' Package ',' Try ',' Use ',' Application ',' ']")</f>
        <v>['Log', 'enter', 'already', 'verification', 'right', 'already', 'pressed', 'button', 'verification', 'said', 'sorry', 'invalid', ' Sorry ',' KadarLuasa ',' How ',' Buy ',' Package ',' Try ',' Use ',' Application ',' ']</v>
      </c>
      <c r="D8128" s="3">
        <v>1.0</v>
      </c>
    </row>
    <row r="8129" ht="15.75" customHeight="1">
      <c r="A8129" s="1">
        <v>8604.0</v>
      </c>
      <c r="B8129" s="3" t="s">
        <v>7789</v>
      </c>
      <c r="C8129" s="3" t="str">
        <f>IFERROR(__xludf.DUMMYFUNCTION("GOOGLETRANSLATE(B8129,""id"",""en"")"),"['list', 'package', 'gopay', 'ovo', 'already', 'chick', 'transaction', 'fail', 'package', 'enter', 'refund']")</f>
        <v>['list', 'package', 'gopay', 'ovo', 'already', 'chick', 'transaction', 'fail', 'package', 'enter', 'refund']</v>
      </c>
      <c r="D8129" s="3">
        <v>1.0</v>
      </c>
    </row>
    <row r="8130" ht="15.75" customHeight="1">
      <c r="A8130" s="1">
        <v>8605.0</v>
      </c>
      <c r="B8130" s="3" t="s">
        <v>7790</v>
      </c>
      <c r="C8130" s="3" t="str">
        <f>IFERROR(__xludf.DUMMYFUNCTION("GOOGLETRANSLATE(B8130,""id"",""en"")"),"['data', 'internet', 'signal', 'missing', 'stay', 'city', 'tlg', 'update', 'signalx', 'thank', 'love']")</f>
        <v>['data', 'internet', 'signal', 'missing', 'stay', 'city', 'tlg', 'update', 'signalx', 'thank', 'love']</v>
      </c>
      <c r="D8130" s="3">
        <v>3.0</v>
      </c>
    </row>
    <row r="8131" ht="15.75" customHeight="1">
      <c r="A8131" s="1">
        <v>8606.0</v>
      </c>
      <c r="B8131" s="3" t="s">
        <v>7791</v>
      </c>
      <c r="C8131" s="3" t="str">
        <f>IFERROR(__xludf.DUMMYFUNCTION("GOOGLETRANSLATE(B8131,""id"",""en"")"),"['kakeane', 'base', 'application', 'cheat', 'choose', 'promo', 'rb', 'gb', 'can', 'GB', 'details',' GB ',' GB ',' Max ',' stream ',' pray for ',' hope ',' you ',' cheats', 'family', 'happy', 'world', 'limit', 'smell', 'Heaven' , 'Aaamiin', 'Alfatihah']")</f>
        <v>['kakeane', 'base', 'application', 'cheat', 'choose', 'promo', 'rb', 'gb', 'can', 'GB', 'details',' GB ',' GB ',' Max ',' stream ',' pray for ',' hope ',' you ',' cheats', 'family', 'happy', 'world', 'limit', 'smell', 'Heaven' , 'Aaamiin', 'Alfatihah']</v>
      </c>
      <c r="D8131" s="3">
        <v>1.0</v>
      </c>
    </row>
    <row r="8132" ht="15.75" customHeight="1">
      <c r="A8132" s="1">
        <v>8607.0</v>
      </c>
      <c r="B8132" s="3" t="s">
        <v>7792</v>
      </c>
      <c r="C8132" s="3" t="str">
        <f>IFERROR(__xludf.DUMMYFUNCTION("GOOGLETRANSLATE(B8132,""id"",""en"")"),"['buy', 'package', 'shopeepay', 'sampe', 'active', 'notification', 'system', 'busy', 'failed', 'money', 'back', 'mah', ' No ',' payment ',' Success', 'Package', 'On', 'Najis']")</f>
        <v>['buy', 'package', 'shopeepay', 'sampe', 'active', 'notification', 'system', 'busy', 'failed', 'money', 'back', 'mah', ' No ',' payment ',' Success', 'Package', 'On', 'Najis']</v>
      </c>
      <c r="D8132" s="3">
        <v>1.0</v>
      </c>
    </row>
    <row r="8133" ht="15.75" customHeight="1">
      <c r="A8133" s="1">
        <v>8608.0</v>
      </c>
      <c r="B8133" s="3" t="s">
        <v>7793</v>
      </c>
      <c r="C8133" s="3" t="str">
        <f>IFERROR(__xludf.DUMMYFUNCTION("GOOGLETRANSLATE(B8133,""id"",""en"")"),"['Telkomsel', 'expensive', 'slow', 'signal', 'sales', 'package', 'internet', 'lbh', 'expensive', 'operator', ""]")</f>
        <v>['Telkomsel', 'expensive', 'slow', 'signal', 'sales', 'package', 'internet', 'lbh', 'expensive', 'operator', "]</v>
      </c>
      <c r="D8133" s="3">
        <v>1.0</v>
      </c>
    </row>
    <row r="8134" ht="15.75" customHeight="1">
      <c r="A8134" s="1">
        <v>8609.0</v>
      </c>
      <c r="B8134" s="3" t="s">
        <v>7794</v>
      </c>
      <c r="C8134" s="3" t="str">
        <f>IFERROR(__xludf.DUMMYFUNCTION("GOOGLETRANSLATE(B8134,""id"",""en"")"),"['Please', 'KRJ', 'SMA', 'Telkomsel', 'Scrag', 'SDKIT', 'Error', 'Network', 'Lovers',' Telkomsel ',' BBR ',' Tidk ',' miss', 'Telkomsel', 'Trima', 'ksih']")</f>
        <v>['Please', 'KRJ', 'SMA', 'Telkomsel', 'Scrag', 'SDKIT', 'Error', 'Network', 'Lovers',' Telkomsel ',' BBR ',' Tidk ',' miss', 'Telkomsel', 'Trima', 'ksih']</v>
      </c>
      <c r="D8134" s="3">
        <v>4.0</v>
      </c>
    </row>
    <row r="8135" ht="15.75" customHeight="1">
      <c r="A8135" s="1">
        <v>8610.0</v>
      </c>
      <c r="B8135" s="3" t="s">
        <v>7795</v>
      </c>
      <c r="C8135" s="3" t="str">
        <f>IFERROR(__xludf.DUMMYFUNCTION("GOOGLETRANSLATE(B8135,""id"",""en"")"),"['network', 'Telkomsel', 'bad', 'package', 'all-round', 'expensive', 'operator', 'mending', 'replace', 'operator']")</f>
        <v>['network', 'Telkomsel', 'bad', 'package', 'all-round', 'expensive', 'operator', 'mending', 'replace', 'operator']</v>
      </c>
      <c r="D8135" s="3">
        <v>1.0</v>
      </c>
    </row>
    <row r="8136" ht="15.75" customHeight="1">
      <c r="A8136" s="1">
        <v>8611.0</v>
      </c>
      <c r="B8136" s="3" t="s">
        <v>7796</v>
      </c>
      <c r="C8136" s="3" t="str">
        <f>IFERROR(__xludf.DUMMYFUNCTION("GOOGLETRANSLATE(B8136,""id"",""en"")"),"['Bro', 'activation', 'package', 'data', 'difficult', 'right', 'alternating', 'network', 'busy', 'mulu', 'application', 'sampe', ' Try ',' Code ',' Tetep ',' Watch Out ',' Ntar ',' Credit ',' Look ',' Package ',' Change ',' Card ']")</f>
        <v>['Bro', 'activation', 'package', 'data', 'difficult', 'right', 'alternating', 'network', 'busy', 'mulu', 'application', 'sampe', ' Try ',' Code ',' Tetep ',' Watch Out ',' Ntar ',' Credit ',' Look ',' Package ',' Change ',' Card ']</v>
      </c>
      <c r="D8136" s="3">
        <v>1.0</v>
      </c>
    </row>
    <row r="8137" ht="15.75" customHeight="1">
      <c r="A8137" s="1">
        <v>8612.0</v>
      </c>
      <c r="B8137" s="3" t="s">
        <v>7797</v>
      </c>
      <c r="C8137" s="3" t="str">
        <f>IFERROR(__xludf.DUMMYFUNCTION("GOOGLETRANSLATE(B8137,""id"",""en"")"),"['move', 'card', 'Telkomsel', 'expensive', 'price', 'kouta', 'cheap', 'cheap', 'network', 'cheap', 'goodbye', 'telkomsel']")</f>
        <v>['move', 'card', 'Telkomsel', 'expensive', 'price', 'kouta', 'cheap', 'cheap', 'network', 'cheap', 'goodbye', 'telkomsel']</v>
      </c>
      <c r="D8137" s="3">
        <v>1.0</v>
      </c>
    </row>
    <row r="8138" ht="15.75" customHeight="1">
      <c r="A8138" s="1">
        <v>8613.0</v>
      </c>
      <c r="B8138" s="3" t="s">
        <v>7798</v>
      </c>
      <c r="C8138" s="3" t="str">
        <f>IFERROR(__xludf.DUMMYFUNCTION("GOOGLETRANSLATE(B8138,""id"",""en"")"),"['Please', 'Package', 'Quota', 'Internet', 'Cheap', 'Add', 'Application', 'MyTelkomsel', 'People', 'Medium', 'It', 'Ajah', ' ']")</f>
        <v>['Please', 'Package', 'Quota', 'Internet', 'Cheap', 'Add', 'Application', 'MyTelkomsel', 'People', 'Medium', 'It', 'Ajah', ' ']</v>
      </c>
      <c r="D8138" s="3">
        <v>3.0</v>
      </c>
    </row>
    <row r="8139" ht="15.75" customHeight="1">
      <c r="A8139" s="1">
        <v>8614.0</v>
      </c>
      <c r="B8139" s="3" t="s">
        <v>7799</v>
      </c>
      <c r="C8139" s="3" t="str">
        <f>IFERROR(__xludf.DUMMYFUNCTION("GOOGLETRANSLATE(B8139,""id"",""en"")"),"['Network', 'mentok', 'in month', 'October', 'quality', 'network', 'internet', 'down', 'karuan', 'signal', 'kb', 'term']")</f>
        <v>['Network', 'mentok', 'in month', 'October', 'quality', 'network', 'internet', 'down', 'karuan', 'signal', 'kb', 'term']</v>
      </c>
      <c r="D8139" s="3">
        <v>1.0</v>
      </c>
    </row>
    <row r="8140" ht="15.75" customHeight="1">
      <c r="A8140" s="1">
        <v>8615.0</v>
      </c>
      <c r="B8140" s="3" t="s">
        <v>7800</v>
      </c>
      <c r="C8140" s="3" t="str">
        <f>IFERROR(__xludf.DUMMYFUNCTION("GOOGLETRANSLATE(B8140,""id"",""en"")"),"['Skrng', 'network', 'clock', 'night', 'slow', 'ngedownload', 'Ampe', 'reading', 'dlu', 'gni']")</f>
        <v>['Skrng', 'network', 'clock', 'night', 'slow', 'ngedownload', 'Ampe', 'reading', 'dlu', 'gni']</v>
      </c>
      <c r="D8140" s="3">
        <v>1.0</v>
      </c>
    </row>
    <row r="8141" ht="15.75" customHeight="1">
      <c r="A8141" s="1">
        <v>8616.0</v>
      </c>
      <c r="B8141" s="3" t="s">
        <v>7801</v>
      </c>
      <c r="C8141" s="3" t="str">
        <f>IFERROR(__xludf.DUMMYFUNCTION("GOOGLETRANSLATE(B8141,""id"",""en"")"),"['quota', 'run out', 'strange', 'really', 'Telkomsel', 'ugly', 'gini']")</f>
        <v>['quota', 'run out', 'strange', 'really', 'Telkomsel', 'ugly', 'gini']</v>
      </c>
      <c r="D8141" s="3">
        <v>1.0</v>
      </c>
    </row>
    <row r="8142" ht="15.75" customHeight="1">
      <c r="A8142" s="1">
        <v>8617.0</v>
      </c>
      <c r="B8142" s="3" t="s">
        <v>7802</v>
      </c>
      <c r="C8142" s="3" t="str">
        <f>IFERROR(__xludf.DUMMYFUNCTION("GOOGLETRANSLATE(B8142,""id"",""en"")"),"['Radem', 'Points', 'Gifts', 'Hope']")</f>
        <v>['Radem', 'Points', 'Gifts', 'Hope']</v>
      </c>
      <c r="D8142" s="3">
        <v>5.0</v>
      </c>
    </row>
    <row r="8143" ht="15.75" customHeight="1">
      <c r="A8143" s="1">
        <v>8618.0</v>
      </c>
      <c r="B8143" s="3" t="s">
        <v>7803</v>
      </c>
      <c r="C8143" s="3" t="str">
        <f>IFERROR(__xludf.DUMMYFUNCTION("GOOGLETRANSLATE(B8143,""id"",""en"")"),"['oooo', 'pork', 'expensive', 'buy', 'quota', 'internet', 'knapa', 'quality', 'deteriorating', 'bellico', 'money', 'doglah', ' You ',' Telkomsel ',' Babilah ',' Take ',' Money ',' Customer ',' Ajah ',' Kulitas', 'TDAK', 'Repaired', 'Swear', 'Sampe', 'Grow"&amp;"ing' , 'Ecormu', 'Mycied', 'org', 'anjingggg', 'Telkomsel', ""]")</f>
        <v>['oooo', 'pork', 'expensive', 'buy', 'quota', 'internet', 'knapa', 'quality', 'deteriorating', 'bellico', 'money', 'doglah', ' You ',' Telkomsel ',' Babilah ',' Take ',' Money ',' Customer ',' Ajah ',' Kulitas', 'TDAK', 'Repaired', 'Swear', 'Sampe', 'Growing' , 'Ecormu', 'Mycied', 'org', 'anjingggg', 'Telkomsel', "]</v>
      </c>
      <c r="D8143" s="3">
        <v>1.0</v>
      </c>
    </row>
    <row r="8144" ht="15.75" customHeight="1">
      <c r="A8144" s="1">
        <v>8619.0</v>
      </c>
      <c r="B8144" s="3" t="s">
        <v>7804</v>
      </c>
      <c r="C8144" s="3" t="str">
        <f>IFERROR(__xludf.DUMMYFUNCTION("GOOGLETRANSLATE(B8144,""id"",""en"")"),"['pulse', 'Rb', 'buy', 'package', 'price', 'rb', 'gabisa', 'pulse', 'sufficient', 'what', '']")</f>
        <v>['pulse', 'Rb', 'buy', 'package', 'price', 'rb', 'gabisa', 'pulse', 'sufficient', 'what', '']</v>
      </c>
      <c r="D8144" s="3">
        <v>1.0</v>
      </c>
    </row>
    <row r="8145" ht="15.75" customHeight="1">
      <c r="A8145" s="1">
        <v>8620.0</v>
      </c>
      <c r="B8145" s="3" t="s">
        <v>7805</v>
      </c>
      <c r="C8145" s="3" t="str">
        <f>IFERROR(__xludf.DUMMYFUNCTION("GOOGLETRANSLATE(B8145,""id"",""en"")"),"['already', 'love', 'from', 'dlu', 'here', 'threat', 'network', 'card', 'sultan', 'pulp', 'the network', 'disappointed', ' Sorry ',' Reduce ',' ']")</f>
        <v>['already', 'love', 'from', 'dlu', 'here', 'threat', 'network', 'card', 'sultan', 'pulp', 'the network', 'disappointed', ' Sorry ',' Reduce ',' ']</v>
      </c>
      <c r="D8145" s="3">
        <v>1.0</v>
      </c>
    </row>
    <row r="8146" ht="15.75" customHeight="1">
      <c r="A8146" s="1">
        <v>8621.0</v>
      </c>
      <c r="B8146" s="3" t="s">
        <v>7806</v>
      </c>
      <c r="C8146" s="3" t="str">
        <f>IFERROR(__xludf.DUMMYFUNCTION("GOOGLETRANSLATE(B8146,""id"",""en"")"),"['Satisfied', 'reach', 'signal', 'strong', 'wide']")</f>
        <v>['Satisfied', 'reach', 'signal', 'strong', 'wide']</v>
      </c>
      <c r="D8146" s="3">
        <v>5.0</v>
      </c>
    </row>
    <row r="8147" ht="15.75" customHeight="1">
      <c r="A8147" s="1">
        <v>8622.0</v>
      </c>
      <c r="B8147" s="3" t="s">
        <v>7807</v>
      </c>
      <c r="C8147" s="3" t="str">
        <f>IFERROR(__xludf.DUMMYFUNCTION("GOOGLETRANSLATE(B8147,""id"",""en"")"),"['Change', 'card', 'already', 'good', 'Telkomsel', 'signal', 'bad', '']")</f>
        <v>['Change', 'card', 'already', 'good', 'Telkomsel', 'signal', 'bad', '']</v>
      </c>
      <c r="D8147" s="3">
        <v>1.0</v>
      </c>
    </row>
    <row r="8148" ht="15.75" customHeight="1">
      <c r="A8148" s="1">
        <v>8623.0</v>
      </c>
      <c r="B8148" s="3" t="s">
        <v>7808</v>
      </c>
      <c r="C8148" s="3" t="str">
        <f>IFERROR(__xludf.DUMMYFUNCTION("GOOGLETRANSLATE(B8148,""id"",""en"")"),"['Most', 'corruption', 'boss',' priority ',' comfort ',' customer ',' uda ',' buy ',' quota ',' expensive ',' expensive ',' network ',' super ',' slow ',' comfortable ',' customers', 'it's up', 'corruption', 'billion', 'warning', 'money', 'dark', 'satisfy"&amp;"ing', 'desire', 'boss' , 'money', 'devil', 'eaten', 'devil', '']")</f>
        <v>['Most', 'corruption', 'boss',' priority ',' comfort ',' customer ',' uda ',' buy ',' quota ',' expensive ',' expensive ',' network ',' super ',' slow ',' comfortable ',' customers', 'it's up', 'corruption', 'billion', 'warning', 'money', 'dark', 'satisfying', 'desire', 'boss' , 'money', 'devil', 'eaten', 'devil', '']</v>
      </c>
      <c r="D8148" s="3">
        <v>1.0</v>
      </c>
    </row>
    <row r="8149" ht="15.75" customHeight="1">
      <c r="A8149" s="1">
        <v>8624.0</v>
      </c>
      <c r="B8149" s="3" t="s">
        <v>7809</v>
      </c>
      <c r="C8149" s="3" t="str">
        <f>IFERROR(__xludf.DUMMYFUNCTION("GOOGLETRANSLATE(B8149,""id"",""en"")"),"['apk', 'strange', 'idiot', 'surprised', 'price', 'quota', 'package', 'learn', 'kelurga', 'to' ""Harikah ',' expensive ',' Udh ',' That's', 'Quotes',' Fast ',' Bangt ',' Cut ',' Card ',' Telkomsel ',' Take ',' Gift ',' Pay ',' Credit ',' Buy ' , 'ties',' "&amp;"regret ',' pakek ',' card ',' teljom ',' pokonya ',' nyesalllllll ',' telkom ',' wants', 'take', 'profit', 'right', ' Fill ',' credit ',' Blom ',' already ',' ties', 'tired', 'Anyway', ""]")</f>
        <v>['apk', 'strange', 'idiot', 'surprised', 'price', 'quota', 'package', 'learn', 'kelurga', 'to' "Harikah ',' expensive ',' Udh ',' That's', 'Quotes',' Fast ',' Bangt ',' Cut ',' Card ',' Telkomsel ',' Take ',' Gift ',' Pay ',' Credit ',' Buy ' , 'ties',' regret ',' pakek ',' card ',' teljom ',' pokonya ',' nyesalllllll ',' telkom ',' wants', 'take', 'profit', 'right', ' Fill ',' credit ',' Blom ',' already ',' ties', 'tired', 'Anyway', "]</v>
      </c>
      <c r="D8149" s="3">
        <v>1.0</v>
      </c>
    </row>
    <row r="8150" ht="15.75" customHeight="1">
      <c r="A8150" s="1">
        <v>8625.0</v>
      </c>
      <c r="B8150" s="3" t="s">
        <v>7810</v>
      </c>
      <c r="C8150" s="3" t="str">
        <f>IFERROR(__xludf.DUMMYFUNCTION("GOOGLETRANSLATE(B8150,""id"",""en"")"),"['already', 'expensive', 'slow', 'pulak', 'until', 'my cellphone', 'kubanting', 'gegara', 'network', 'card', 'activated', 'village', ' gabakal ',' kupake ',' Telkomsel ',' usually ',' ride ',' price ',' package ',' tower ',' village ',' star ']")</f>
        <v>['already', 'expensive', 'slow', 'pulak', 'until', 'my cellphone', 'kubanting', 'gegara', 'network', 'card', 'activated', 'village', ' gabakal ',' kupake ',' Telkomsel ',' usually ',' ride ',' price ',' package ',' tower ',' village ',' star ']</v>
      </c>
      <c r="D8150" s="3">
        <v>1.0</v>
      </c>
    </row>
    <row r="8151" ht="15.75" customHeight="1">
      <c r="A8151" s="1">
        <v>8626.0</v>
      </c>
      <c r="B8151" s="3" t="s">
        <v>7811</v>
      </c>
      <c r="C8151" s="3" t="str">
        <f>IFERROR(__xludf.DUMMYFUNCTION("GOOGLETRANSLATE(B8151,""id"",""en"")"),"['Disappointed', 'Telkomsel', 'signal', 'difficult', 'daera', 'uda', 'hmpir', 'jt', 'fill in', 'pulse', 'per month', 'ngak', ' Perny ',' Kasi ',' signal ',' adequate ',' quota ',' expensive ',' ngak ',' signal ',' good ']")</f>
        <v>['Disappointed', 'Telkomsel', 'signal', 'difficult', 'daera', 'uda', 'hmpir', 'jt', 'fill in', 'pulse', 'per month', 'ngak', ' Perny ',' Kasi ',' signal ',' adequate ',' quota ',' expensive ',' ngak ',' signal ',' good ']</v>
      </c>
      <c r="D8151" s="3">
        <v>1.0</v>
      </c>
    </row>
    <row r="8152" ht="15.75" customHeight="1">
      <c r="A8152" s="1">
        <v>8627.0</v>
      </c>
      <c r="B8152" s="3" t="s">
        <v>7812</v>
      </c>
      <c r="C8152" s="3" t="str">
        <f>IFERROR(__xludf.DUMMYFUNCTION("GOOGLETRANSLATE(B8152,""id"",""en"")"),"['Open', 'Application', 'Daily', 'Check', 'Quota', 'Free', 'Get', 'Quota', 'Taunya', 'Network', 'Down', 'Out', ' pulses', 'sumps',' dahlah ',' disappointed ',' consumers', 'happy', 'loss']")</f>
        <v>['Open', 'Application', 'Daily', 'Check', 'Quota', 'Free', 'Get', 'Quota', 'Taunya', 'Network', 'Down', 'Out', ' pulses', 'sumps',' dahlah ',' disappointed ',' consumers', 'happy', 'loss']</v>
      </c>
      <c r="D8152" s="3">
        <v>1.0</v>
      </c>
    </row>
    <row r="8153" ht="15.75" customHeight="1">
      <c r="A8153" s="1">
        <v>8628.0</v>
      </c>
      <c r="B8153" s="3" t="s">
        <v>7813</v>
      </c>
      <c r="C8153" s="3" t="str">
        <f>IFERROR(__xludf.DUMMYFUNCTION("GOOGLETRANSLATE(B8153,""id"",""en"")"),"['Quota', 'Out', 'Date', 'October', 'Out', 'Date', 'October', 'Loss', 'Difficult', 'Astagfirullah']")</f>
        <v>['Quota', 'Out', 'Date', 'October', 'Out', 'Date', 'October', 'Loss', 'Difficult', 'Astagfirullah']</v>
      </c>
      <c r="D8153" s="3">
        <v>1.0</v>
      </c>
    </row>
    <row r="8154" ht="15.75" customHeight="1">
      <c r="A8154" s="1">
        <v>8629.0</v>
      </c>
      <c r="B8154" s="3" t="s">
        <v>7814</v>
      </c>
      <c r="C8154" s="3" t="str">
        <f>IFERROR(__xludf.DUMMYFUNCTION("GOOGLETRANSLATE(B8154,""id"",""en"")"),"['Package', 'internet', 'Good', 'Not bad', 'network', 'rich', 'pingin', 'slamming', 'watch', 'youtube', 'ama', 'tiktok', ' good ',' kalu ',' play ',' game ',' play ',' network ',' slamming ',' sick ',' head ']")</f>
        <v>['Package', 'internet', 'Good', 'Not bad', 'network', 'rich', 'pingin', 'slamming', 'watch', 'youtube', 'ama', 'tiktok', ' good ',' kalu ',' play ',' game ',' play ',' network ',' slamming ',' sick ',' head ']</v>
      </c>
      <c r="D8154" s="3">
        <v>2.0</v>
      </c>
    </row>
    <row r="8155" ht="15.75" customHeight="1">
      <c r="A8155" s="1">
        <v>8630.0</v>
      </c>
      <c r="B8155" s="3" t="s">
        <v>7815</v>
      </c>
      <c r="C8155" s="3" t="str">
        <f>IFERROR(__xludf.DUMMYFUNCTION("GOOGLETRANSLATE(B8155,""id"",""en"")"),"['expensive', 'buy', 'package', 'tsel', 'network', 'kayak', 'bgsat', 'anjeeeng', 'Warrr', 'lose', ""]")</f>
        <v>['expensive', 'buy', 'package', 'tsel', 'network', 'kayak', 'bgsat', 'anjeeeng', 'Warrr', 'lose', "]</v>
      </c>
      <c r="D8155" s="3">
        <v>1.0</v>
      </c>
    </row>
    <row r="8156" ht="15.75" customHeight="1">
      <c r="A8156" s="1">
        <v>8631.0</v>
      </c>
      <c r="B8156" s="3" t="s">
        <v>7816</v>
      </c>
      <c r="C8156" s="3" t="str">
        <f>IFERROR(__xludf.DUMMYFUNCTION("GOOGLETRANSLATE(B8156,""id"",""en"")"),"['Subdistrict', 'Duripoku', 'County', 'Pasangkayu', 'Network', 'Error', 'Sometimes',' SDAH ',' Report ',' Account ',' Media ',' Social ',' Telkomsel ',' Sulawesi ',' Gubris', 'Telkomsel', 'NGK', 'Service', 'Certainty', 'DSNI', 'Thinking', 'Looking', 'Oper"&amp;"ator', ""]")</f>
        <v>['Subdistrict', 'Duripoku', 'County', 'Pasangkayu', 'Network', 'Error', 'Sometimes',' SDAH ',' Report ',' Account ',' Media ',' Social ',' Telkomsel ',' Sulawesi ',' Gubris', 'Telkomsel', 'NGK', 'Service', 'Certainty', 'DSNI', 'Thinking', 'Looking', 'Operator', "]</v>
      </c>
      <c r="D8156" s="3">
        <v>1.0</v>
      </c>
    </row>
    <row r="8157" ht="15.75" customHeight="1">
      <c r="A8157" s="1">
        <v>8632.0</v>
      </c>
      <c r="B8157" s="3" t="s">
        <v>7817</v>
      </c>
      <c r="C8157" s="3" t="str">
        <f>IFERROR(__xludf.DUMMYFUNCTION("GOOGLETRANSLATE(B8157,""id"",""en"")"),"['suggestion', 'please', 'updated', 'system', 'usage', 'package', 'internet', 'sympathy', 'package', 'multimedia', 'chat', 'sosmed', ' The game ',' reduced ',' right ',' used ',' feature ',' chat ',' sosmed ',' game ',' Wait ',' quota ',' main ',' exhaust"&amp;" ',' use ' , 'Love', 'Star', 'updated', 'system', 'love', 'star', 'user', 'sympathy', 'disappointed', 'system', ""]")</f>
        <v>['suggestion', 'please', 'updated', 'system', 'usage', 'package', 'internet', 'sympathy', 'package', 'multimedia', 'chat', 'sosmed', ' The game ',' reduced ',' right ',' used ',' feature ',' chat ',' sosmed ',' game ',' Wait ',' quota ',' main ',' exhaust ',' use ' , 'Love', 'Star', 'updated', 'system', 'love', 'star', 'user', 'sympathy', 'disappointed', 'system', "]</v>
      </c>
      <c r="D8157" s="3">
        <v>3.0</v>
      </c>
    </row>
    <row r="8158" ht="15.75" customHeight="1">
      <c r="A8158" s="1">
        <v>8633.0</v>
      </c>
      <c r="B8158" s="3" t="s">
        <v>7818</v>
      </c>
      <c r="C8158" s="3" t="str">
        <f>IFERROR(__xludf.DUMMYFUNCTION("GOOGLETRANSLATE(B8158,""id"",""en"")"),"['knp', 'package', 'combo', 'just', 'combo', 'gb', 'rb', 'skrg', 'how', 'min', '']")</f>
        <v>['knp', 'package', 'combo', 'just', 'combo', 'gb', 'rb', 'skrg', 'how', 'min', '']</v>
      </c>
      <c r="D8158" s="3">
        <v>3.0</v>
      </c>
    </row>
    <row r="8159" ht="15.75" customHeight="1">
      <c r="A8159" s="1">
        <v>8634.0</v>
      </c>
      <c r="B8159" s="3" t="s">
        <v>7819</v>
      </c>
      <c r="C8159" s="3" t="str">
        <f>IFERROR(__xludf.DUMMYFUNCTION("GOOGLETRANSLATE(B8159,""id"",""en"")"),"['Ngeselin', 'really', 'network', 'emotion', 'application', 'smooth', 'play', 'game', 'bad', 'connection', 'buy', 'expensive', ' network ',' ugly ',' lazy ',' gink ']")</f>
        <v>['Ngeselin', 'really', 'network', 'emotion', 'application', 'smooth', 'play', 'game', 'bad', 'connection', 'buy', 'expensive', ' network ',' ugly ',' lazy ',' gink ']</v>
      </c>
      <c r="D8159" s="3">
        <v>3.0</v>
      </c>
    </row>
    <row r="8160" ht="15.75" customHeight="1">
      <c r="A8160" s="1">
        <v>8635.0</v>
      </c>
      <c r="B8160" s="3" t="s">
        <v>7820</v>
      </c>
      <c r="C8160" s="3" t="str">
        <f>IFERROR(__xludf.DUMMYFUNCTION("GOOGLETRANSLATE(B8160,""id"",""en"")"),"['Jirrrr', 'buy', 'data', 'expensive', 'expensive', 'slow', 'ajubillaaminjalik', 'slow', 'ngelek', 'Syank', 'village', 'Telkomsel', ' Doank ',' Try ',' Card ',' Normal ',' Signal ',' Deeper ',' Should ',' Kampung ',' Telkomsel ',' Doank ',' Pingin ',' Swi"&amp;"tch ',' Perdana ' , 'sympathy', 'package', 'expensive', 'buy', 'package', 'meleek', 'maen', 'game', ""]")</f>
        <v>['Jirrrr', 'buy', 'data', 'expensive', 'expensive', 'slow', 'ajubillaaminjalik', 'slow', 'ngelek', 'Syank', 'village', 'Telkomsel', ' Doank ',' Try ',' Card ',' Normal ',' Signal ',' Deeper ',' Should ',' Kampung ',' Telkomsel ',' Doank ',' Pingin ',' Switch ',' Perdana ' , 'sympathy', 'package', 'expensive', 'buy', 'package', 'meleek', 'maen', 'game', "]</v>
      </c>
      <c r="D8160" s="3">
        <v>1.0</v>
      </c>
    </row>
    <row r="8161" ht="15.75" customHeight="1">
      <c r="A8161" s="1">
        <v>8636.0</v>
      </c>
      <c r="B8161" s="3" t="s">
        <v>7821</v>
      </c>
      <c r="C8161" s="3" t="str">
        <f>IFERROR(__xludf.DUMMYFUNCTION("GOOGLETRANSLATE(B8161,""id"",""en"")"),"['application', 'stable', 'login', 'suck', 'pulses', '']")</f>
        <v>['application', 'stable', 'login', 'suck', 'pulses', '']</v>
      </c>
      <c r="D8161" s="3">
        <v>1.0</v>
      </c>
    </row>
    <row r="8162" ht="15.75" customHeight="1">
      <c r="A8162" s="1">
        <v>8637.0</v>
      </c>
      <c r="B8162" s="3" t="s">
        <v>7822</v>
      </c>
      <c r="C8162" s="3" t="str">
        <f>IFERROR(__xludf.DUMMYFUNCTION("GOOGLETRANSLATE(B8162,""id"",""en"")"),"['pulse', 'lost', 'package', 'data', 'call', 'sms',' pulse ',' sucked ',' emang ',' logical ',' telkomsel ',' rich ',' Jngn ',' Corruption ',' Kek ',' Gini ',' boss', ""]")</f>
        <v>['pulse', 'lost', 'package', 'data', 'call', 'sms',' pulse ',' sucked ',' emang ',' logical ',' telkomsel ',' rich ',' Jngn ',' Corruption ',' Kek ',' Gini ',' boss', "]</v>
      </c>
      <c r="D8162" s="3">
        <v>1.0</v>
      </c>
    </row>
    <row r="8163" ht="15.75" customHeight="1">
      <c r="A8163" s="1">
        <v>8638.0</v>
      </c>
      <c r="B8163" s="3" t="s">
        <v>7823</v>
      </c>
      <c r="C8163" s="3" t="str">
        <f>IFERROR(__xludf.DUMMYFUNCTION("GOOGLETRANSLATE(B8163,""id"",""en"")"),"['guaranteed', 'disruption', 'internet', 'telephone', 'cellular', 'Telkomsel', '']")</f>
        <v>['guaranteed', 'disruption', 'internet', 'telephone', 'cellular', 'Telkomsel', '']</v>
      </c>
      <c r="D8163" s="3">
        <v>5.0</v>
      </c>
    </row>
    <row r="8164" ht="15.75" customHeight="1">
      <c r="A8164" s="1">
        <v>8639.0</v>
      </c>
      <c r="B8164" s="3" t="s">
        <v>7824</v>
      </c>
      <c r="C8164" s="3" t="str">
        <f>IFERROR(__xludf.DUMMYFUNCTION("GOOGLETRANSLATE(B8164,""id"",""en"")"),"['signal', 'difficult', 'really', 'dropped', 'severe', 'slow', 'really', '']")</f>
        <v>['signal', 'difficult', 'really', 'dropped', 'severe', 'slow', 'really', '']</v>
      </c>
      <c r="D8164" s="3">
        <v>1.0</v>
      </c>
    </row>
    <row r="8165" ht="15.75" customHeight="1">
      <c r="A8165" s="1">
        <v>8640.0</v>
      </c>
      <c r="B8165" s="3" t="s">
        <v>7825</v>
      </c>
      <c r="C8165" s="3" t="str">
        <f>IFERROR(__xludf.DUMMYFUNCTION("GOOGLETRANSLATE(B8165,""id"",""en"")"),"['', 'Telkomsel', 'Mrmhon', 'Brdoa', 'Say', 'Mndpatkn', 'unit', 'car', 'mngingikn', 'car', 'Tlkomsel', 'win', 'I say ',' Allah ',' AKN ',' Brnjnji ',' AKN ',' MNJDI ',' Places', 'loyal', 'Tlkomsel', 'Aminnn', 'allh', 'smnga', 'mnang', 'mndptkn', 'gift']")</f>
        <v>['', 'Telkomsel', 'Mrmhon', 'Brdoa', 'Say', 'Mndpatkn', 'unit', 'car', 'mngingikn', 'car', 'Tlkomsel', 'win', 'I say ',' Allah ',' AKN ',' Brnjnji ',' AKN ',' MNJDI ',' Places', 'loyal', 'Tlkomsel', 'Aminnn', 'allh', 'smnga', 'mnang', 'mndptkn', 'gift']</v>
      </c>
      <c r="D8165" s="3">
        <v>5.0</v>
      </c>
    </row>
    <row r="8166" ht="15.75" customHeight="1">
      <c r="A8166" s="1">
        <v>8641.0</v>
      </c>
      <c r="B8166" s="3" t="s">
        <v>7826</v>
      </c>
      <c r="C8166" s="3" t="str">
        <f>IFERROR(__xludf.DUMMYFUNCTION("GOOGLETRANSLATE(B8166,""id"",""en"")"),"['Pray', 'Hopefully', 'Telkomsel', 'go bankrupt', 'trs', 'replaced', 'Telkomsel', 'LEGK', 'AamiiInnnn', ""]")</f>
        <v>['Pray', 'Hopefully', 'Telkomsel', 'go bankrupt', 'trs', 'replaced', 'Telkomsel', 'LEGK', 'AamiiInnnn', "]</v>
      </c>
      <c r="D8166" s="3">
        <v>1.0</v>
      </c>
    </row>
    <row r="8167" ht="15.75" customHeight="1">
      <c r="A8167" s="1">
        <v>8642.0</v>
      </c>
      <c r="B8167" s="3" t="s">
        <v>7827</v>
      </c>
      <c r="C8167" s="3" t="str">
        <f>IFERROR(__xludf.DUMMYFUNCTION("GOOGLETRANSLATE(B8167,""id"",""en"")"),"['Sad', 'Telkomsel', 'users',' all-round ',' expensive ',' network ',' difficult ',' village ',' village ',' inland ',' tower ',' tower ',' carcass', 'useful', 'family', 'user', 'loyal', 'Telkomsel', 'complaints',' Telkomsel ',' relax ',' lose ',' hope ',"&amp;"' Telkomsel ',' response ' , 'response', 'Telkomsel', 'slow', '']")</f>
        <v>['Sad', 'Telkomsel', 'users',' all-round ',' expensive ',' network ',' difficult ',' village ',' village ',' inland ',' tower ',' tower ',' carcass', 'useful', 'family', 'user', 'loyal', 'Telkomsel', 'complaints',' Telkomsel ',' relax ',' lose ',' hope ',' Telkomsel ',' response ' , 'response', 'Telkomsel', 'slow', '']</v>
      </c>
      <c r="D8167" s="3">
        <v>1.0</v>
      </c>
    </row>
    <row r="8168" ht="15.75" customHeight="1">
      <c r="A8168" s="1">
        <v>8643.0</v>
      </c>
      <c r="B8168" s="3" t="s">
        <v>7828</v>
      </c>
      <c r="C8168" s="3" t="str">
        <f>IFERROR(__xludf.DUMMYFUNCTION("GOOGLETRANSLATE(B8168,""id"",""en"")"),"['Congratulations',' Night ',' Stelkomsel ',' Mintak ',' Please ',' Fast ',' Fix ',' Internet ',' Time ',' Pagawai ',' Happy ',' Processing ',' destruction ',' Hack ',' Please ',' Sorry ',' Fast ',' Implement ',' Fix ',' Process', 'Mending', 'Internet', '"&amp;"Hopefully', 'Gedong', 'Stelkomsel' , 'fire', 'aamiin']")</f>
        <v>['Congratulations',' Night ',' Stelkomsel ',' Mintak ',' Please ',' Fast ',' Fix ',' Internet ',' Time ',' Pagawai ',' Happy ',' Processing ',' destruction ',' Hack ',' Please ',' Sorry ',' Fast ',' Implement ',' Fix ',' Process', 'Mending', 'Internet', 'Hopefully', 'Gedong', 'Stelkomsel' , 'fire', 'aamiin']</v>
      </c>
      <c r="D8168" s="3">
        <v>1.0</v>
      </c>
    </row>
    <row r="8169" ht="15.75" customHeight="1">
      <c r="A8169" s="1">
        <v>8644.0</v>
      </c>
      <c r="B8169" s="3" t="s">
        <v>7829</v>
      </c>
      <c r="C8169" s="3" t="str">
        <f>IFERROR(__xludf.DUMMYFUNCTION("GOOGLETRANSLATE(B8169,""id"",""en"")"),"['Lemot', 'buy', 'quota', 'slow', 'speed', 'kb', 'buy', 'quota', 'GB', 'slow', 'severe', ""]")</f>
        <v>['Lemot', 'buy', 'quota', 'slow', 'speed', 'kb', 'buy', 'quota', 'GB', 'slow', 'severe', "]</v>
      </c>
      <c r="D8169" s="3">
        <v>1.0</v>
      </c>
    </row>
    <row r="8170" ht="15.75" customHeight="1">
      <c r="A8170" s="1">
        <v>8645.0</v>
      </c>
      <c r="B8170" s="3" t="s">
        <v>7830</v>
      </c>
      <c r="C8170" s="3" t="str">
        <f>IFERROR(__xludf.DUMMYFUNCTION("GOOGLETRANSLATE(B8170,""id"",""en"")"),"['Star', 'service', 'network', 'disappointing', 'signal', 'zonk', 'price', 'expensive', 'use', 'Telkomsel', 'already', 'card', ' Work ',' Broooo ',' Use ',' Sudh ',' Change ',' Please ',' Signal ',' Repaired ',' Disappointing ',' Kamprreeeettt ']")</f>
        <v>['Star', 'service', 'network', 'disappointing', 'signal', 'zonk', 'price', 'expensive', 'use', 'Telkomsel', 'already', 'card', ' Work ',' Broooo ',' Use ',' Sudh ',' Change ',' Please ',' Signal ',' Repaired ',' Disappointing ',' Kamprreeeettt ']</v>
      </c>
      <c r="D8170" s="3">
        <v>1.0</v>
      </c>
    </row>
    <row r="8171" ht="15.75" customHeight="1">
      <c r="A8171" s="1">
        <v>8646.0</v>
      </c>
      <c r="B8171" s="3" t="s">
        <v>7831</v>
      </c>
      <c r="C8171" s="3" t="str">
        <f>IFERROR(__xludf.DUMMYFUNCTION("GOOGLETRANSLATE(B8171,""id"",""en"")"),"['Telkomsel', 'disorder', 'yaa', 'buy', 'package', 'buy', 'buy', 'say it', 'beg', 'sorry', 'purchase', 'product', ' Download ',' Application ',' MyTelkomsel ',' Say "", 'Sorry', 'Disorders', 'System', '']")</f>
        <v>['Telkomsel', 'disorder', 'yaa', 'buy', 'package', 'buy', 'buy', 'say it', 'beg', 'sorry', 'purchase', 'product', ' Download ',' Application ',' MyTelkomsel ',' Say ", 'Sorry', 'Disorders', 'System', '']</v>
      </c>
      <c r="D8171" s="3">
        <v>4.0</v>
      </c>
    </row>
    <row r="8172" ht="15.75" customHeight="1">
      <c r="A8172" s="1">
        <v>8647.0</v>
      </c>
      <c r="B8172" s="3" t="s">
        <v>7832</v>
      </c>
      <c r="C8172" s="3" t="str">
        <f>IFERROR(__xludf.DUMMYFUNCTION("GOOGLETRANSLATE(B8172,""id"",""en"")"),"['signal', 'as fast', 'customer', 'add', 'ride', 'quality', 'service', 'move', 'operator', '']")</f>
        <v>['signal', 'as fast', 'customer', 'add', 'ride', 'quality', 'service', 'move', 'operator', '']</v>
      </c>
      <c r="D8172" s="3">
        <v>1.0</v>
      </c>
    </row>
    <row r="8173" ht="15.75" customHeight="1">
      <c r="A8173" s="1">
        <v>8648.0</v>
      </c>
      <c r="B8173" s="3" t="s">
        <v>7833</v>
      </c>
      <c r="C8173" s="3" t="str">
        <f>IFERROR(__xludf.DUMMYFUNCTION("GOOGLETRANSLATE(B8173,""id"",""en"")"),"['a month', 'severe', 'connection', 'internet', 'pretentious',' network ',' network ',' chaotic ',' balau ',' dream ',' can ',' forced ',' Onings', '']")</f>
        <v>['a month', 'severe', 'connection', 'internet', 'pretentious',' network ',' network ',' chaotic ',' balau ',' dream ',' can ',' forced ',' Onings', '']</v>
      </c>
      <c r="D8173" s="3">
        <v>1.0</v>
      </c>
    </row>
    <row r="8174" ht="15.75" customHeight="1">
      <c r="A8174" s="1">
        <v>8649.0</v>
      </c>
      <c r="B8174" s="3" t="s">
        <v>7834</v>
      </c>
      <c r="C8174" s="3" t="str">
        <f>IFERROR(__xludf.DUMMYFUNCTION("GOOGLETRANSLATE(B8174,""id"",""en"")"),"['price', 'package', 'UDH', 'price', 'consumer', 'according to', 'results',' signal ',' slow ',' really ',' rain ',' wind ',' signal ',' lost ',' slow ',' city ',' slow ',' forgiveness', 'consumer', 'complaint', 'disappointed']")</f>
        <v>['price', 'package', 'UDH', 'price', 'consumer', 'according to', 'results',' signal ',' slow ',' really ',' rain ',' wind ',' signal ',' lost ',' slow ',' city ',' slow ',' forgiveness', 'consumer', 'complaint', 'disappointed']</v>
      </c>
      <c r="D8174" s="3">
        <v>1.0</v>
      </c>
    </row>
    <row r="8175" ht="15.75" customHeight="1">
      <c r="A8175" s="1">
        <v>8650.0</v>
      </c>
      <c r="B8175" s="3" t="s">
        <v>7835</v>
      </c>
      <c r="C8175" s="3" t="str">
        <f>IFERROR(__xludf.DUMMYFUNCTION("GOOGLETRANSLATE(B8175,""id"",""en"")"),"['Forgiveness',' See ',' Network ',' Telkomsel ',' Severe ',' Please ',' Keep ',' Consumer ',' Network ',' Super ',' LEG ',' Fill ',' package ',' open ',' inbox ',' mode ',' paired ',' activate ',' enter ',' inbox ',' disappointed ',' baget ',' moved ', "&amp;"""]")</f>
        <v>['Forgiveness',' See ',' Network ',' Telkomsel ',' Severe ',' Please ',' Keep ',' Consumer ',' Network ',' Super ',' LEG ',' Fill ',' package ',' open ',' inbox ',' mode ',' paired ',' activate ',' enter ',' inbox ',' disappointed ',' baget ',' moved ', "]</v>
      </c>
      <c r="D8175" s="3">
        <v>2.0</v>
      </c>
    </row>
    <row r="8176" ht="15.75" customHeight="1">
      <c r="A8176" s="1">
        <v>8651.0</v>
      </c>
      <c r="B8176" s="3" t="s">
        <v>7836</v>
      </c>
      <c r="C8176" s="3" t="str">
        <f>IFERROR(__xludf.DUMMYFUNCTION("GOOGLETRANSLATE(B8176,""id"",""en"")"),"['network', 'Telkomsel', 'provider', 'cheap', 'experience', 'disruption', 'please', 'return', 'convenience', 'customer', 'loyal', 'Telkomsel', ' Access', 'network', 'Internet', 'wherever', 'obstacles', ""]")</f>
        <v>['network', 'Telkomsel', 'provider', 'cheap', 'experience', 'disruption', 'please', 'return', 'convenience', 'customer', 'loyal', 'Telkomsel', ' Access', 'network', 'Internet', 'wherever', 'obstacles', "]</v>
      </c>
      <c r="D8176" s="3">
        <v>1.0</v>
      </c>
    </row>
    <row r="8177" ht="15.75" customHeight="1">
      <c r="A8177" s="1">
        <v>8652.0</v>
      </c>
      <c r="B8177" s="3" t="s">
        <v>7837</v>
      </c>
      <c r="C8177" s="3" t="str">
        <f>IFERROR(__xludf.DUMMYFUNCTION("GOOGLETRANSLATE(B8177,""id"",""en"")"),"['enter', 'tdak', 'buy', 'package', 'dick', 'pmbotan', 'download', 'reset', 'have', 'knapa', 'Telkomsel', ""]")</f>
        <v>['enter', 'tdak', 'buy', 'package', 'dick', 'pmbotan', 'download', 'reset', 'have', 'knapa', 'Telkomsel', "]</v>
      </c>
      <c r="D8177" s="3">
        <v>3.0</v>
      </c>
    </row>
    <row r="8178" ht="15.75" customHeight="1">
      <c r="A8178" s="1">
        <v>8653.0</v>
      </c>
      <c r="B8178" s="3" t="s">
        <v>7838</v>
      </c>
      <c r="C8178" s="3" t="str">
        <f>IFERROR(__xludf.DUMMYFUNCTION("GOOGLETRANSLATE(B8178,""id"",""en"")"),"['network', 'Telkomsel', 'play', 'game', 'open', 'sosmed', 'missing', 'network', 'please', 'repair', ""]")</f>
        <v>['network', 'Telkomsel', 'play', 'game', 'open', 'sosmed', 'missing', 'network', 'please', 'repair', "]</v>
      </c>
      <c r="D8178" s="3">
        <v>2.0</v>
      </c>
    </row>
    <row r="8179" ht="15.75" customHeight="1">
      <c r="A8179" s="1">
        <v>8654.0</v>
      </c>
      <c r="B8179" s="3" t="s">
        <v>7839</v>
      </c>
      <c r="C8179" s="3" t="str">
        <f>IFERROR(__xludf.DUMMYFUNCTION("GOOGLETRANSLATE(B8179,""id"",""en"")"),"['Yesterday', 'Buy', 'Package', 'MyTelkomsel', 'Notification', 'Disruption', 'System', 'Try', 'Minutes', 'Already', 'Day', ""]")</f>
        <v>['Yesterday', 'Buy', 'Package', 'MyTelkomsel', 'Notification', 'Disruption', 'System', 'Try', 'Minutes', 'Already', 'Day', "]</v>
      </c>
      <c r="D8179" s="3">
        <v>2.0</v>
      </c>
    </row>
    <row r="8180" ht="15.75" customHeight="1">
      <c r="A8180" s="1">
        <v>8655.0</v>
      </c>
      <c r="B8180" s="3" t="s">
        <v>7840</v>
      </c>
      <c r="C8180" s="3" t="str">
        <f>IFERROR(__xludf.DUMMYFUNCTION("GOOGLETRANSLATE(B8180,""id"",""en"")"),"['network', 'Telkomsel', 'Sometimes', 'slow', 'really', 'play', 'game', 'Please', 'Telkomsel', 'Optimize', 'The network', ""]")</f>
        <v>['network', 'Telkomsel', 'Sometimes', 'slow', 'really', 'play', 'game', 'Please', 'Telkomsel', 'Optimize', 'The network', "]</v>
      </c>
      <c r="D8180" s="3">
        <v>2.0</v>
      </c>
    </row>
    <row r="8181" ht="15.75" customHeight="1">
      <c r="A8181" s="1">
        <v>8656.0</v>
      </c>
      <c r="B8181" s="3" t="s">
        <v>7841</v>
      </c>
      <c r="C8181" s="3" t="str">
        <f>IFERROR(__xludf.DUMMYFUNCTION("GOOGLETRANSLATE(B8181,""id"",""en"")"),"['users', 'Telkomsel', 'Telkomsel', 'Good', 'really']")</f>
        <v>['users', 'Telkomsel', 'Telkomsel', 'Good', 'really']</v>
      </c>
      <c r="D8181" s="3">
        <v>5.0</v>
      </c>
    </row>
    <row r="8182" ht="15.75" customHeight="1">
      <c r="A8182" s="1">
        <v>8657.0</v>
      </c>
      <c r="B8182" s="3" t="s">
        <v>7842</v>
      </c>
      <c r="C8182" s="3" t="str">
        <f>IFERROR(__xludf.DUMMYFUNCTION("GOOGLETRANSLATE(B8182,""id"",""en"")"),"['Disappointed', 'Maketin', 'Data', 'already', 'clock', 'difficult', 'change', 'card', 'use', 'card', 'product']")</f>
        <v>['Disappointed', 'Maketin', 'Data', 'already', 'clock', 'difficult', 'change', 'card', 'use', 'card', 'product']</v>
      </c>
      <c r="D8182" s="3">
        <v>1.0</v>
      </c>
    </row>
    <row r="8183" ht="15.75" customHeight="1">
      <c r="A8183" s="1">
        <v>8658.0</v>
      </c>
      <c r="B8183" s="3" t="s">
        <v>7843</v>
      </c>
      <c r="C8183" s="3" t="str">
        <f>IFERROR(__xludf.DUMMYFUNCTION("GOOGLETRANSLATE(B8183,""id"",""en"")"),"['UPrade', 'card', 'Sakti', 'Lost', 'Aduuuuh', 'trick', 'Indonesia', ""]")</f>
        <v>['UPrade', 'card', 'Sakti', 'Lost', 'Aduuuuh', 'trick', 'Indonesia', "]</v>
      </c>
      <c r="D8183" s="3">
        <v>1.0</v>
      </c>
    </row>
    <row r="8184" ht="15.75" customHeight="1">
      <c r="A8184" s="1">
        <v>8659.0</v>
      </c>
      <c r="B8184" s="3" t="s">
        <v>7844</v>
      </c>
      <c r="C8184" s="3" t="str">
        <f>IFERROR(__xludf.DUMMYFUNCTION("GOOGLETRANSLATE(B8184,""id"",""en"")"),"['difficult', 'network', 'slow', 'price', 'expensive', 'according to', 'expectation', 'accept', 'love', 'good', 'bye', 'Telkomsel', ' Turning out ',' Axiisss', 'Thank', 'Love', '']")</f>
        <v>['difficult', 'network', 'slow', 'price', 'expensive', 'according to', 'expectation', 'accept', 'love', 'good', 'bye', 'Telkomsel', ' Turning out ',' Axiisss', 'Thank', 'Love', '']</v>
      </c>
      <c r="D8184" s="3">
        <v>1.0</v>
      </c>
    </row>
    <row r="8185" ht="15.75" customHeight="1">
      <c r="A8185" s="1">
        <v>8660.0</v>
      </c>
      <c r="B8185" s="3" t="s">
        <v>7845</v>
      </c>
      <c r="C8185" s="3" t="str">
        <f>IFERROR(__xludf.DUMMYFUNCTION("GOOGLETRANSLATE(B8185,""id"",""en"")"),"['Kiranya', 'application', 'difficult', 'open', 'good', 'performance', 'alias', 'potato', 'because' open ',' application ',' repeat ',' time ',' open ',' package ',' data ',' beg ',' love ',' promo ',' because 'difficult', 'aka', 'pandemic', 'klw', 'fill'"&amp;" , 'pulses',' always', 'ties',' pulses', 'aka', 'pulses',' always', 'reduced', 'beg', 'solution', 'Telkomsel', 'complaint', ' His customers', '']")</f>
        <v>['Kiranya', 'application', 'difficult', 'open', 'good', 'performance', 'alias', 'potato', 'because' open ',' application ',' repeat ',' time ',' open ',' package ',' data ',' beg ',' love ',' promo ',' because 'difficult', 'aka', 'pandemic', 'klw', 'fill' , 'pulses',' always', 'ties',' pulses', 'aka', 'pulses',' always', 'reduced', 'beg', 'solution', 'Telkomsel', 'complaint', ' His customers', '']</v>
      </c>
      <c r="D8185" s="3">
        <v>4.0</v>
      </c>
    </row>
    <row r="8186" ht="15.75" customHeight="1">
      <c r="A8186" s="1">
        <v>8661.0</v>
      </c>
      <c r="B8186" s="3" t="s">
        <v>7846</v>
      </c>
      <c r="C8186" s="3" t="str">
        <f>IFERROR(__xludf.DUMMYFUNCTION("GOOGLETRANSLATE(B8186,""id"",""en"")"),"['', 'ugly', 'play', 'game', 'Change', 'Leg', 'Lose', 'connection']")</f>
        <v>['', 'ugly', 'play', 'game', 'Change', 'Leg', 'Lose', 'connection']</v>
      </c>
      <c r="D8186" s="3">
        <v>1.0</v>
      </c>
    </row>
    <row r="8187" ht="15.75" customHeight="1">
      <c r="A8187" s="1">
        <v>8662.0</v>
      </c>
      <c r="B8187" s="3" t="s">
        <v>7847</v>
      </c>
      <c r="C8187" s="3" t="str">
        <f>IFERROR(__xludf.DUMMYFUNCTION("GOOGLETRANSLATE(B8187,""id"",""en"")"),"['Please', 'sick', 'head', 'person', 'story', 'send', 'cht', 'nga', 'telephone', 'nga', 'send', 'cht', ' Send ',' Sampe ',' Sunday ',' Network ',' Atw ']")</f>
        <v>['Please', 'sick', 'head', 'person', 'story', 'send', 'cht', 'nga', 'telephone', 'nga', 'send', 'cht', ' Send ',' Sampe ',' Sunday ',' Network ',' Atw ']</v>
      </c>
      <c r="D8187" s="3">
        <v>1.0</v>
      </c>
    </row>
    <row r="8188" ht="15.75" customHeight="1">
      <c r="A8188" s="1">
        <v>8663.0</v>
      </c>
      <c r="B8188" s="3" t="s">
        <v>7848</v>
      </c>
      <c r="C8188" s="3" t="str">
        <f>IFERROR(__xludf.DUMMYFUNCTION("GOOGLETRANSLATE(B8188,""id"",""en"")"),"['Network', 'stable', 'package', 'cheap', 'speed', 'network', 'supports',' play ',' game ',' watch ',' YouTube ',' streaming ',' Anyway ',' Satisfied ',' ']")</f>
        <v>['Network', 'stable', 'package', 'cheap', 'speed', 'network', 'supports',' play ',' game ',' watch ',' YouTube ',' streaming ',' Anyway ',' Satisfied ',' ']</v>
      </c>
      <c r="D8188" s="3">
        <v>1.0</v>
      </c>
    </row>
    <row r="8189" ht="15.75" customHeight="1">
      <c r="A8189" s="1">
        <v>8664.0</v>
      </c>
      <c r="B8189" s="3" t="s">
        <v>7849</v>
      </c>
      <c r="C8189" s="3" t="str">
        <f>IFERROR(__xludf.DUMMYFUNCTION("GOOGLETRANSLATE(B8189,""id"",""en"")"),"['Telkomsel', 'Price', 'Package', 'Mahaalll', 'Price', 'Enter', 'Word', 'Costs',' Additional ',' Buy ',' Package ',' Leech ',' land', '']")</f>
        <v>['Telkomsel', 'Price', 'Package', 'Mahaalll', 'Price', 'Enter', 'Word', 'Costs',' Additional ',' Buy ',' Package ',' Leech ',' land', '']</v>
      </c>
      <c r="D8189" s="3">
        <v>1.0</v>
      </c>
    </row>
    <row r="8190" ht="15.75" customHeight="1">
      <c r="A8190" s="1">
        <v>8665.0</v>
      </c>
      <c r="B8190" s="3" t="s">
        <v>7850</v>
      </c>
      <c r="C8190" s="3" t="str">
        <f>IFERROR(__xludf.DUMMYFUNCTION("GOOGLETRANSLATE(B8190,""id"",""en"")"),"['Please', 'price', 'package', 'data', 'adjust', 'price', 'package', 'data', 'network', 'cellular', 'affordable', 'in the area', ' ']")</f>
        <v>['Please', 'price', 'package', 'data', 'adjust', 'price', 'package', 'data', 'network', 'cellular', 'affordable', 'in the area', ' ']</v>
      </c>
      <c r="D8190" s="3">
        <v>5.0</v>
      </c>
    </row>
    <row r="8191" ht="15.75" customHeight="1">
      <c r="A8191" s="1">
        <v>8666.0</v>
      </c>
      <c r="B8191" s="3" t="s">
        <v>7851</v>
      </c>
      <c r="C8191" s="3" t="str">
        <f>IFERROR(__xludf.DUMMYFUNCTION("GOOGLETRANSLATE(B8191,""id"",""en"")"),"['buy', 'pulse', 'Jadikn', 'quota', 'payment', 'success',' check ',' pulse ',' leftover ',' Masi ',' have ',' quota ',' Internet ',' MB ',' Quota ',' Multi ',' Media ',' GB ',' Hosted ', ""]")</f>
        <v>['buy', 'pulse', 'Jadikn', 'quota', 'payment', 'success',' check ',' pulse ',' leftover ',' Masi ',' have ',' quota ',' Internet ',' MB ',' Quota ',' Multi ',' Media ',' GB ',' Hosted ', "]</v>
      </c>
      <c r="D8191" s="3">
        <v>1.0</v>
      </c>
    </row>
    <row r="8192" ht="15.75" customHeight="1">
      <c r="A8192" s="1">
        <v>8667.0</v>
      </c>
      <c r="B8192" s="3" t="s">
        <v>7852</v>
      </c>
      <c r="C8192" s="3" t="str">
        <f>IFERROR(__xludf.DUMMYFUNCTION("GOOGLETRANSLATE(B8192,""id"",""en"")"),"['Exchange', 'Points',' Easy ',' Very ',' Exchange ',' Point ',' Points', 'Points',' Try ',' Ente ',' Thousand ',' Points', ' Exchange ',' Lottery ',' Points', 'Points',' Sampe ',' Old ',' Finish ',' Exchange ',' SWMUA ',' Points', 'Hopefully', 'In the fu"&amp;"ture', 'Telkomsel' , 'Smart', '']")</f>
        <v>['Exchange', 'Points',' Easy ',' Very ',' Exchange ',' Point ',' Points', 'Points',' Try ',' Ente ',' Thousand ',' Points', ' Exchange ',' Lottery ',' Points', 'Points',' Sampe ',' Old ',' Finish ',' Exchange ',' SWMUA ',' Points', 'Hopefully', 'In the future', 'Telkomsel' , 'Smart', '']</v>
      </c>
      <c r="D8192" s="3">
        <v>5.0</v>
      </c>
    </row>
    <row r="8193" ht="15.75" customHeight="1">
      <c r="A8193" s="1">
        <v>8668.0</v>
      </c>
      <c r="B8193" s="3" t="s">
        <v>7853</v>
      </c>
      <c r="C8193" s="3" t="str">
        <f>IFERROR(__xludf.DUMMYFUNCTION("GOOGLETRANSLATE(B8193,""id"",""en"")"),"['The application', 'heavy', 'slow', 'network', 'like', 'like', 'basically', 'ugly', 'pulses', 'out', 'used', '']")</f>
        <v>['The application', 'heavy', 'slow', 'network', 'like', 'like', 'basically', 'ugly', 'pulses', 'out', 'used', '']</v>
      </c>
      <c r="D8193" s="3">
        <v>1.0</v>
      </c>
    </row>
    <row r="8194" ht="15.75" customHeight="1">
      <c r="A8194" s="1">
        <v>8669.0</v>
      </c>
      <c r="B8194" s="3" t="s">
        <v>7854</v>
      </c>
      <c r="C8194" s="3" t="str">
        <f>IFERROR(__xludf.DUMMYFUNCTION("GOOGLETRANSLATE(B8194,""id"",""en"")"),"['useful', '']")</f>
        <v>['useful', '']</v>
      </c>
      <c r="D8194" s="3">
        <v>5.0</v>
      </c>
    </row>
    <row r="8195" ht="15.75" customHeight="1">
      <c r="A8195" s="1">
        <v>8670.0</v>
      </c>
      <c r="B8195" s="3" t="s">
        <v>7855</v>
      </c>
      <c r="C8195" s="3" t="str">
        <f>IFERROR(__xludf.DUMMYFUNCTION("GOOGLETRANSLATE(B8195,""id"",""en"")"),"['Huuuuu', 'package', 'expensive', 'cheap', 'hri', 'changed', 'promo', 'that's',' cheap ',' atw ',' quota ',' anti ',' Hangus', 'Dunk', 'rich', 'shop', 'Next to', '']")</f>
        <v>['Huuuuu', 'package', 'expensive', 'cheap', 'hri', 'changed', 'promo', 'that's',' cheap ',' atw ',' quota ',' anti ',' Hangus', 'Dunk', 'rich', 'shop', 'Next to', '']</v>
      </c>
      <c r="D8195" s="3">
        <v>2.0</v>
      </c>
    </row>
    <row r="8196" ht="15.75" customHeight="1">
      <c r="A8196" s="1">
        <v>8671.0</v>
      </c>
      <c r="B8196" s="3" t="s">
        <v>7856</v>
      </c>
      <c r="C8196" s="3" t="str">
        <f>IFERROR(__xludf.DUMMYFUNCTION("GOOGLETRANSLATE(B8196,""id"",""en"")"),"['times',' acceptable ',' love ',' payment ',' obligation ',' dependents', 'bill', 'pre', 'pay', 'package', 'card', 'hello', ' Connection ',' internet ',' stop ',' previous', '']")</f>
        <v>['times',' acceptable ',' love ',' payment ',' obligation ',' dependents', 'bill', 'pre', 'pay', 'package', 'card', 'hello', ' Connection ',' internet ',' stop ',' previous', '']</v>
      </c>
      <c r="D8196" s="3">
        <v>4.0</v>
      </c>
    </row>
    <row r="8197" ht="15.75" customHeight="1">
      <c r="A8197" s="1">
        <v>8672.0</v>
      </c>
      <c r="B8197" s="3" t="s">
        <v>7857</v>
      </c>
      <c r="C8197" s="3" t="str">
        <f>IFERROR(__xludf.DUMMYFUNCTION("GOOGLETRANSLATE(B8197,""id"",""en"")"),"['updte', 'package', 'geme', 'silver', 'price', 'right', 'bli', 'fill in', 'geme', 'please', 'fix', 'sales',' pls', 'pkt', 'lbh', 'easy', 'mausk', '']")</f>
        <v>['updte', 'package', 'geme', 'silver', 'price', 'right', 'bli', 'fill in', 'geme', 'please', 'fix', 'sales',' pls', 'pkt', 'lbh', 'easy', 'mausk', '']</v>
      </c>
      <c r="D8197" s="3">
        <v>2.0</v>
      </c>
    </row>
    <row r="8198" ht="15.75" customHeight="1">
      <c r="A8198" s="1">
        <v>8673.0</v>
      </c>
      <c r="B8198" s="3" t="s">
        <v>7858</v>
      </c>
      <c r="C8198" s="3" t="str">
        <f>IFERROR(__xludf.DUMMYFUNCTION("GOOGLETRANSLATE(B8198,""id"",""en"")"),"['package', 'internet', 'package', 'telephone', 'expensive', 'telkom', 'package', 'affordable', 'must', 'distinguish', 'number', 'telephone', ' package ',' card ',' tends', 'package', 'cheap', 'affordable', 'terimkasih', 'Please', 'his attention', ""]")</f>
        <v>['package', 'internet', 'package', 'telephone', 'expensive', 'telkom', 'package', 'affordable', 'must', 'distinguish', 'number', 'telephone', ' package ',' card ',' tends', 'package', 'cheap', 'affordable', 'terimkasih', 'Please', 'his attention', "]</v>
      </c>
      <c r="D8198" s="3">
        <v>3.0</v>
      </c>
    </row>
    <row r="8199" ht="15.75" customHeight="1">
      <c r="A8199" s="1">
        <v>8674.0</v>
      </c>
      <c r="B8199" s="3" t="s">
        <v>7859</v>
      </c>
      <c r="C8199" s="3" t="str">
        <f>IFERROR(__xludf.DUMMYFUNCTION("GOOGLETRANSLATE(B8199,""id"",""en"")"),"['package', 'internet', 'already', 'active', 'weekly', 'chick', 'pulses',' used ',' data ',' times', 'strange', 'ibuk', ' Experience ',' Disappointed ',' ']")</f>
        <v>['package', 'internet', 'already', 'active', 'weekly', 'chick', 'pulses',' used ',' data ',' times', 'strange', 'ibuk', ' Experience ',' Disappointed ',' ']</v>
      </c>
      <c r="D8199" s="3">
        <v>1.0</v>
      </c>
    </row>
    <row r="8200" ht="15.75" customHeight="1">
      <c r="A8200" s="1">
        <v>8675.0</v>
      </c>
      <c r="B8200" s="3" t="s">
        <v>7860</v>
      </c>
      <c r="C8200" s="3" t="str">
        <f>IFERROR(__xludf.DUMMYFUNCTION("GOOGLETRANSLATE(B8200,""id"",""en"")"),"['Sorry', 'Love', 'Star', 'SINGX', 'NDK', 'Network', 'Bill', 'Road', 'BLM', 'Bera', 'Pay', 'Bill', ' quota ',' internet ',' run out ',' Need ',' internet ',' want ',' cry ',' cardq ',' active ',' krna ',' please ',' love ',' solution ' , 'Donk', 'Kasian',"&amp;" 'User', 'Kyg', 'GNI', '']")</f>
        <v>['Sorry', 'Love', 'Star', 'SINGX', 'NDK', 'Network', 'Bill', 'Road', 'BLM', 'Bera', 'Pay', 'Bill', ' quota ',' internet ',' run out ',' Need ',' internet ',' want ',' cry ',' cardq ',' active ',' krna ',' please ',' love ',' solution ' , 'Donk', 'Kasian', 'User', 'Kyg', 'GNI', '']</v>
      </c>
      <c r="D8200" s="3">
        <v>1.0</v>
      </c>
    </row>
    <row r="8201" ht="15.75" customHeight="1">
      <c r="A8201" s="1">
        <v>8676.0</v>
      </c>
      <c r="B8201" s="3" t="s">
        <v>7861</v>
      </c>
      <c r="C8201" s="3" t="str">
        <f>IFERROR(__xludf.DUMMYFUNCTION("GOOGLETRANSLATE(B8201,""id"",""en"")"),"['Love', 'Bintang', 'Please', 'Telkomsel', 'Network', 'Fix', 'Home', 'Signal', 'Slow', 'Really', 'Kenceng', 'Doang']")</f>
        <v>['Love', 'Bintang', 'Please', 'Telkomsel', 'Network', 'Fix', 'Home', 'Signal', 'Slow', 'Really', 'Kenceng', 'Doang']</v>
      </c>
      <c r="D8201" s="3">
        <v>5.0</v>
      </c>
    </row>
    <row r="8202" ht="15.75" customHeight="1">
      <c r="A8202" s="1">
        <v>8677.0</v>
      </c>
      <c r="B8202" s="3" t="s">
        <v>7862</v>
      </c>
      <c r="C8202" s="3" t="str">
        <f>IFERROR(__xludf.DUMMYFUNCTION("GOOGLETRANSLATE(B8202,""id"",""en"")"),"['Greed', 'really', 'no', 'provider', 'next door', 'pulse', 'no', 'sumps', 'forget', 'turn off', 'package', 'data']")</f>
        <v>['Greed', 'really', 'no', 'provider', 'next door', 'pulse', 'no', 'sumps', 'forget', 'turn off', 'package', 'data']</v>
      </c>
      <c r="D8202" s="3">
        <v>1.0</v>
      </c>
    </row>
    <row r="8203" ht="15.75" customHeight="1">
      <c r="A8203" s="1">
        <v>8678.0</v>
      </c>
      <c r="B8203" s="3" t="s">
        <v>7863</v>
      </c>
      <c r="C8203" s="3" t="str">
        <f>IFERROR(__xludf.DUMMYFUNCTION("GOOGLETRANSLATE(B8203,""id"",""en"")"),"['chaotic', 'just now', 'update', 'right', 'enter', 'writing', 'update', '']")</f>
        <v>['chaotic', 'just now', 'update', 'right', 'enter', 'writing', 'update', '']</v>
      </c>
      <c r="D8203" s="3">
        <v>1.0</v>
      </c>
    </row>
    <row r="8204" ht="15.75" customHeight="1">
      <c r="A8204" s="1">
        <v>8679.0</v>
      </c>
      <c r="B8204" s="3" t="s">
        <v>7864</v>
      </c>
      <c r="C8204" s="3" t="str">
        <f>IFERROR(__xludf.DUMMYFUNCTION("GOOGLETRANSLATE(B8204,""id"",""en"")"),"['Love', 'Bintang', 'Dlu', 'Ntar', 'Udh', 'responded', 'I'll be' love ',' star ',' Jdi ',' Gini ',' Min ',' Sya ',' belli ',' pulse ',' Unk ',' list ',' package ',' telephone ',' unlimited ',' week ',' jdi ',' leftover ',' pulse ',' sya ' , 'TPI', 'KNP', "&amp;"'right', 'Abis',' Package ',' HBIS ',' Pulseku ',' Package ',' Call ',' Package ',' Internet ',' Package ',' SMS ',' TPI ',' KNP ',' Out ',' JDI ',' Suggestion ',' Sya ',' Gini ',' Mending ',' App ',' Love ',' Mode ',' Key ' , 'pulses',' kayak ',' applica"&amp;"tion ',' axisnet ',' jdi ',' package ',' run out ',' pulse ',' safe ',' suck ',' easy ',' cptlah ',' repair', '']")</f>
        <v>['Love', 'Bintang', 'Dlu', 'Ntar', 'Udh', 'responded', 'I'll be' love ',' star ',' Jdi ',' Gini ',' Min ',' Sya ',' belli ',' pulse ',' Unk ',' list ',' package ',' telephone ',' unlimited ',' week ',' jdi ',' leftover ',' pulse ',' sya ' , 'TPI', 'KNP', 'right', 'Abis',' Package ',' HBIS ',' Pulseku ',' Package ',' Call ',' Package ',' Internet ',' Package ',' SMS ',' TPI ',' KNP ',' Out ',' JDI ',' Suggestion ',' Sya ',' Gini ',' Mending ',' App ',' Love ',' Mode ',' Key ' , 'pulses',' kayak ',' application ',' axisnet ',' jdi ',' package ',' run out ',' pulse ',' safe ',' suck ',' easy ',' cptlah ',' repair', '']</v>
      </c>
      <c r="D8204" s="3">
        <v>2.0</v>
      </c>
    </row>
    <row r="8205" ht="15.75" customHeight="1">
      <c r="A8205" s="1">
        <v>8680.0</v>
      </c>
      <c r="B8205" s="3" t="s">
        <v>7865</v>
      </c>
      <c r="C8205" s="3" t="str">
        <f>IFERROR(__xludf.DUMMYFUNCTION("GOOGLETRANSLATE(B8205,""id"",""en"")"),"['Network', 'slow', 'Telkomsel', 'Exchange', 'Points', 'draw', 'according to', 'date', ""]")</f>
        <v>['Network', 'slow', 'Telkomsel', 'Exchange', 'Points', 'draw', 'according to', 'date', "]</v>
      </c>
      <c r="D8205" s="3">
        <v>1.0</v>
      </c>
    </row>
    <row r="8206" ht="15.75" customHeight="1">
      <c r="A8206" s="1">
        <v>8681.0</v>
      </c>
      <c r="B8206" s="3" t="s">
        <v>7866</v>
      </c>
      <c r="C8206" s="3" t="str">
        <f>IFERROR(__xludf.DUMMYFUNCTION("GOOGLETRANSLATE(B8206,""id"",""en"")"),"['Disappointed', 'network', 'Telkomsel', 'already', 'expensive', 'slow', 'lgi', 'stable', 'really', 'luck', 'pke', 'lgi', ' good ',' rather than ',' Telkomsel ',' expensive ',' slow ',' kayak ',' worm ',' ']")</f>
        <v>['Disappointed', 'network', 'Telkomsel', 'already', 'expensive', 'slow', 'lgi', 'stable', 'really', 'luck', 'pke', 'lgi', ' good ',' rather than ',' Telkomsel ',' expensive ',' slow ',' kayak ',' worm ',' ']</v>
      </c>
      <c r="D8206" s="3">
        <v>1.0</v>
      </c>
    </row>
    <row r="8207" ht="15.75" customHeight="1">
      <c r="A8207" s="1">
        <v>8682.0</v>
      </c>
      <c r="B8207" s="3" t="s">
        <v>7867</v>
      </c>
      <c r="C8207" s="3" t="str">
        <f>IFERROR(__xludf.DUMMYFUNCTION("GOOGLETRANSLATE(B8207,""id"",""en"")"),"['Win', 'loyal', 'Undi', 'Point', 'Setia', 'Telkomsel']")</f>
        <v>['Win', 'loyal', 'Undi', 'Point', 'Setia', 'Telkomsel']</v>
      </c>
      <c r="D8207" s="3">
        <v>5.0</v>
      </c>
    </row>
    <row r="8208" ht="15.75" customHeight="1">
      <c r="A8208" s="1">
        <v>8683.0</v>
      </c>
      <c r="B8208" s="3" t="s">
        <v>7868</v>
      </c>
      <c r="C8208" s="3" t="str">
        <f>IFERROR(__xludf.DUMMYFUNCTION("GOOGLETRANSLATE(B8208,""id"",""en"")"),"['Please', 'Increase', 'Network', 'Telkomsel', 'Region', 'Special', 'Works', 'Accurate', 'Tuba', 'Lampung']")</f>
        <v>['Please', 'Increase', 'Network', 'Telkomsel', 'Region', 'Special', 'Works', 'Accurate', 'Tuba', 'Lampung']</v>
      </c>
      <c r="D8208" s="3">
        <v>4.0</v>
      </c>
    </row>
    <row r="8209" ht="15.75" customHeight="1">
      <c r="A8209" s="1">
        <v>8684.0</v>
      </c>
      <c r="B8209" s="3" t="s">
        <v>7869</v>
      </c>
      <c r="C8209" s="3" t="str">
        <f>IFERROR(__xludf.DUMMYFUNCTION("GOOGLETRANSLATE(B8209,""id"",""en"")"),"['admin', 'please', 'slow', 'open', 'application', 'Telkomsel', 'open', 'application', 'fast', 'kau', 'Telkomsel', ""]")</f>
        <v>['admin', 'please', 'slow', 'open', 'application', 'Telkomsel', 'open', 'application', 'fast', 'kau', 'Telkomsel', "]</v>
      </c>
      <c r="D8209" s="3">
        <v>1.0</v>
      </c>
    </row>
    <row r="8210" ht="15.75" customHeight="1">
      <c r="A8210" s="1">
        <v>8685.0</v>
      </c>
      <c r="B8210" s="3" t="s">
        <v>7870</v>
      </c>
      <c r="C8210" s="3" t="str">
        <f>IFERROR(__xludf.DUMMYFUNCTION("GOOGLETRANSLATE(B8210,""id"",""en"")"),"['Login', 'open', 'smooth', 'slsai', 'open', 'knp', 'hrus',' hpus', 'data', 'dlu', 'bru', 'log', ' Bru ',' what ']")</f>
        <v>['Login', 'open', 'smooth', 'slsai', 'open', 'knp', 'hrus',' hpus', 'data', 'dlu', 'bru', 'log', ' Bru ',' what ']</v>
      </c>
      <c r="D8210" s="3">
        <v>2.0</v>
      </c>
    </row>
    <row r="8211" ht="15.75" customHeight="1">
      <c r="A8211" s="1">
        <v>8686.0</v>
      </c>
      <c r="B8211" s="3" t="s">
        <v>7871</v>
      </c>
      <c r="C8211" s="3" t="str">
        <f>IFERROR(__xludf.DUMMYFUNCTION("GOOGLETRANSLATE(B8211,""id"",""en"")"),"['Telkomsel', 'Greetings', 'Village', 'Tapal', 'Limit', 'Belu', 'NTT', '']")</f>
        <v>['Telkomsel', 'Greetings', 'Village', 'Tapal', 'Limit', 'Belu', 'NTT', '']</v>
      </c>
      <c r="D8211" s="3">
        <v>5.0</v>
      </c>
    </row>
    <row r="8212" ht="15.75" customHeight="1">
      <c r="A8212" s="1">
        <v>8687.0</v>
      </c>
      <c r="B8212" s="3" t="s">
        <v>7872</v>
      </c>
      <c r="C8212" s="3" t="str">
        <f>IFERROR(__xludf.DUMMYFUNCTION("GOOGLETRANSLATE(B8212,""id"",""en"")"),"['difficult', 'entry', 'application', 'verification', 'reset', 'as easy', 'decreases', 'quality', 'service', ""]")</f>
        <v>['difficult', 'entry', 'application', 'verification', 'reset', 'as easy', 'decreases', 'quality', 'service', "]</v>
      </c>
      <c r="D8212" s="3">
        <v>2.0</v>
      </c>
    </row>
    <row r="8213" ht="15.75" customHeight="1">
      <c r="A8213" s="1">
        <v>8688.0</v>
      </c>
      <c r="B8213" s="3" t="s">
        <v>7873</v>
      </c>
      <c r="C8213" s="3" t="str">
        <f>IFERROR(__xludf.DUMMYFUNCTION("GOOGLETRANSLATE(B8213,""id"",""en"")"),"['GMN', 'the network', 'slow', 'watch', 'slow', 'play', 'game', 'minus',' aka ',' please ',' Telkomsel ',' fix ',' The network is', 'Increases',' Network ',' Love ',' Star ',' Ntar ',' Udh ',' Good ',' Love ', ""]")</f>
        <v>['GMN', 'the network', 'slow', 'watch', 'slow', 'play', 'game', 'minus',' aka ',' please ',' Telkomsel ',' fix ',' The network is', 'Increases',' Network ',' Love ',' Star ',' Ntar ',' Udh ',' Good ',' Love ', "]</v>
      </c>
      <c r="D8213" s="3">
        <v>1.0</v>
      </c>
    </row>
    <row r="8214" ht="15.75" customHeight="1">
      <c r="A8214" s="1">
        <v>8689.0</v>
      </c>
      <c r="B8214" s="3" t="s">
        <v>7874</v>
      </c>
      <c r="C8214" s="3" t="str">
        <f>IFERROR(__xludf.DUMMYFUNCTION("GOOGLETRANSLATE(B8214,""id"",""en"")"),"['Not bad', 'disappointed', 'Telkomsel', 'here', 'down', 'really', 'Please', 'concerned', 'hope', 'fix', 'network', 'representative', ' South Lampung']")</f>
        <v>['Not bad', 'disappointed', 'Telkomsel', 'here', 'down', 'really', 'Please', 'concerned', 'hope', 'fix', 'network', 'representative', ' South Lampung']</v>
      </c>
      <c r="D8214" s="3">
        <v>1.0</v>
      </c>
    </row>
    <row r="8215" ht="15.75" customHeight="1">
      <c r="A8215" s="1">
        <v>8690.0</v>
      </c>
      <c r="B8215" s="3" t="s">
        <v>7875</v>
      </c>
      <c r="C8215" s="3" t="str">
        <f>IFERROR(__xludf.DUMMYFUNCTION("GOOGLETRANSLATE(B8215,""id"",""en"")"),"['Unlimited', 'Sosmed', 'Game', 'Music', 'Turn', 'Cobain', 'No "",' Tetep ',' Buy ',' Quota ',' Additional ',' Rese ',' already ',' expensive ',' network ',' slow ',' loss', 'city']")</f>
        <v>['Unlimited', 'Sosmed', 'Game', 'Music', 'Turn', 'Cobain', 'No ",' Tetep ',' Buy ',' Quota ',' Additional ',' Rese ',' already ',' expensive ',' network ',' slow ',' loss', 'city']</v>
      </c>
      <c r="D8215" s="3">
        <v>1.0</v>
      </c>
    </row>
    <row r="8216" ht="15.75" customHeight="1">
      <c r="A8216" s="1">
        <v>8691.0</v>
      </c>
      <c r="B8216" s="3" t="s">
        <v>7876</v>
      </c>
      <c r="C8216" s="3" t="str">
        <f>IFERROR(__xludf.DUMMYFUNCTION("GOOGLETRANSLATE(B8216,""id"",""en"")"),"['', 'Biarin', 'sending', 'Telkomsel', 'price', 'package', 'data', 'internet', 'already', 'expensive', 'connection', 'internet', 'smoothly ',' Network ',' Please ',' his consciousness', 'Telkomsel', 'location', 'inland', 'network', 'ugly', 'missing', 'rea"&amp;"sonable', 'location', 'city', 'Network', 'lost', 'Mulu', 'already', 'like', 'girl', 'love', 'hope', 'disappear', 'Telkomsel', 'overcome', 'network', 'girl ', 'time', '']")</f>
        <v>['', 'Biarin', 'sending', 'Telkomsel', 'price', 'package', 'data', 'internet', 'already', 'expensive', 'connection', 'internet', 'smoothly ',' Network ',' Please ',' his consciousness', 'Telkomsel', 'location', 'inland', 'network', 'ugly', 'missing', 'reasonable', 'location', 'city', 'Network', 'lost', 'Mulu', 'already', 'like', 'girl', 'love', 'hope', 'disappear', 'Telkomsel', 'overcome', 'network', 'girl ', 'time', '']</v>
      </c>
      <c r="D8216" s="3">
        <v>1.0</v>
      </c>
    </row>
    <row r="8217" ht="15.75" customHeight="1">
      <c r="A8217" s="1">
        <v>8692.0</v>
      </c>
      <c r="B8217" s="3" t="s">
        <v>7877</v>
      </c>
      <c r="C8217" s="3" t="str">
        <f>IFERROR(__xludf.DUMMYFUNCTION("GOOGLETRANSLATE(B8217,""id"",""en"")"),"['Login', 'Account', 'Media', 'Social', 'Code', 'Verification', 'SMS', ""]")</f>
        <v>['Login', 'Account', 'Media', 'Social', 'Code', 'Verification', 'SMS', "]</v>
      </c>
      <c r="D8217" s="3">
        <v>1.0</v>
      </c>
    </row>
    <row r="8218" ht="15.75" customHeight="1">
      <c r="A8218" s="1">
        <v>8693.0</v>
      </c>
      <c r="B8218" s="3" t="s">
        <v>7878</v>
      </c>
      <c r="C8218" s="3" t="str">
        <f>IFERROR(__xludf.DUMMYFUNCTION("GOOGLETRANSLATE(B8218,""id"",""en"")"),"['', 'bgus',' network ',' internet ',' Telkomsel ',' sub-district ',' edge ',' district ',' bengkalis', 'province', 'riau', 'used', 'klian ',' fix ',' network ',' klian ',' bad ',' network ',' klian ']")</f>
        <v>['', 'bgus',' network ',' internet ',' Telkomsel ',' sub-district ',' edge ',' district ',' bengkalis', 'province', 'riau', 'used', 'klian ',' fix ',' network ',' klian ',' bad ',' network ',' klian ']</v>
      </c>
      <c r="D8218" s="3">
        <v>1.0</v>
      </c>
    </row>
    <row r="8219" ht="15.75" customHeight="1">
      <c r="A8219" s="1">
        <v>8694.0</v>
      </c>
      <c r="B8219" s="3" t="s">
        <v>7879</v>
      </c>
      <c r="C8219" s="3" t="str">
        <f>IFERROR(__xludf.DUMMYFUNCTION("GOOGLETRANSLATE(B8219,""id"",""en"")"),"['Nice', 'while', 'Waiting', 'Network', 'Nice', 'Telkomsel', 'Lottery', 'Weekly', 'Monthly', 'Love', 'Star', ""]")</f>
        <v>['Nice', 'while', 'Waiting', 'Network', 'Nice', 'Telkomsel', 'Lottery', 'Weekly', 'Monthly', 'Love', 'Star', "]</v>
      </c>
      <c r="D8219" s="3">
        <v>4.0</v>
      </c>
    </row>
    <row r="8220" ht="15.75" customHeight="1">
      <c r="A8220" s="1">
        <v>8695.0</v>
      </c>
      <c r="B8220" s="3" t="s">
        <v>7880</v>
      </c>
      <c r="C8220" s="3" t="str">
        <f>IFERROR(__xludf.DUMMYFUNCTION("GOOGLETRANSLATE(B8220,""id"",""en"")"),"['Free', 'hotstar', 'already', 'log', 'number', 'tsel', 'package', 'free', 'tetep', 'watch', 'fraud']")</f>
        <v>['Free', 'hotstar', 'already', 'log', 'number', 'tsel', 'package', 'free', 'tetep', 'watch', 'fraud']</v>
      </c>
      <c r="D8220" s="3">
        <v>1.0</v>
      </c>
    </row>
    <row r="8221" ht="15.75" customHeight="1">
      <c r="A8221" s="1">
        <v>8696.0</v>
      </c>
      <c r="B8221" s="3" t="s">
        <v>7881</v>
      </c>
      <c r="C8221" s="3" t="str">
        <f>IFERROR(__xludf.DUMMYFUNCTION("GOOGLETRANSLATE(B8221,""id"",""en"")"),"['Tengok', 'Telkomsel', 'Mijak', 'Package', 'Naikan', 'Price', 'Package', 'GB', 'A Week', 'GB', 'GB', 'Network', ' Severe ',' Move ',' Haluan ',' cell ',' remember ',' make ',' Telkomsel ',' Sempak ',' Klen ', ""]")</f>
        <v>['Tengok', 'Telkomsel', 'Mijak', 'Package', 'Naikan', 'Price', 'Package', 'GB', 'A Week', 'GB', 'GB', 'Network', ' Severe ',' Move ',' Haluan ',' cell ',' remember ',' make ',' Telkomsel ',' Sempak ',' Klen ', "]</v>
      </c>
      <c r="D8221" s="3">
        <v>1.0</v>
      </c>
    </row>
    <row r="8222" ht="15.75" customHeight="1">
      <c r="A8222" s="1">
        <v>8697.0</v>
      </c>
      <c r="B8222" s="3" t="s">
        <v>7882</v>
      </c>
      <c r="C8222" s="3" t="str">
        <f>IFERROR(__xludf.DUMMYFUNCTION("GOOGLETRANSLATE(B8222,""id"",""en"")"),"['The application', 'Ngebag', 'buy', 'card', 'September', 'sya', 'buy', 'credit', 'internet', 'sms',' enter ',' mai ',' Telkomsel ',' Credit ',' Internet ',' Tetep ',' Blank ',' Please ',' Fix ',' ']")</f>
        <v>['The application', 'Ngebag', 'buy', 'card', 'September', 'sya', 'buy', 'credit', 'internet', 'sms',' enter ',' mai ',' Telkomsel ',' Credit ',' Internet ',' Tetep ',' Blank ',' Please ',' Fix ',' ']</v>
      </c>
      <c r="D8222" s="3">
        <v>1.0</v>
      </c>
    </row>
    <row r="8223" ht="15.75" customHeight="1">
      <c r="A8223" s="1">
        <v>8698.0</v>
      </c>
      <c r="B8223" s="3" t="s">
        <v>7883</v>
      </c>
      <c r="C8223" s="3" t="str">
        <f>IFERROR(__xludf.DUMMYFUNCTION("GOOGLETRANSLATE(B8223,""id"",""en"")"),"['application', 'buy', 'package', 'emergency', 'mb', 'pulse', 'cut', 'fill', 'reset', 'as',' paid ',' then ',' pulse ',' run out ',' buy ',' package ',' emergency ',' tllllllol ']")</f>
        <v>['application', 'buy', 'package', 'emergency', 'mb', 'pulse', 'cut', 'fill', 'reset', 'as',' paid ',' then ',' pulse ',' run out ',' buy ',' package ',' emergency ',' tllllllol ']</v>
      </c>
      <c r="D8223" s="3">
        <v>1.0</v>
      </c>
    </row>
    <row r="8224" ht="15.75" customHeight="1">
      <c r="A8224" s="1">
        <v>8699.0</v>
      </c>
      <c r="B8224" s="3" t="s">
        <v>7884</v>
      </c>
      <c r="C8224" s="3" t="str">
        <f>IFERROR(__xludf.DUMMYFUNCTION("GOOGLETRANSLATE(B8224,""id"",""en"")"),"['buy', 'quota', 'process', 'actisivasi', 'last night', 'clock', 'clock', 'purchase', 'quota', 'visits', 'managed']")</f>
        <v>['buy', 'quota', 'process', 'actisivasi', 'last night', 'clock', 'clock', 'purchase', 'quota', 'visits', 'managed']</v>
      </c>
      <c r="D8224" s="3">
        <v>1.0</v>
      </c>
    </row>
    <row r="8225" ht="15.75" customHeight="1">
      <c r="A8225" s="1">
        <v>8700.0</v>
      </c>
      <c r="B8225" s="3" t="s">
        <v>7885</v>
      </c>
      <c r="C8225" s="3" t="str">
        <f>IFERROR(__xludf.DUMMYFUNCTION("GOOGLETRANSLATE(B8225,""id"",""en"")"),"['Telkomsel', 'problematic', 'price', 'package', 'expensive', 'network', 'quality', 'price', 'issued', 'buy', 'package', 'according to' Satisfaction ',' Get ',' Price ',' Package ',' Expensive ',' Fix ',' Network ',' Network ',' Burik ', ""]")</f>
        <v>['Telkomsel', 'problematic', 'price', 'package', 'expensive', 'network', 'quality', 'price', 'issued', 'buy', 'package', 'according to' Satisfaction ',' Get ',' Price ',' Package ',' Expensive ',' Fix ',' Network ',' Network ',' Burik ', "]</v>
      </c>
      <c r="D8225" s="3">
        <v>2.0</v>
      </c>
    </row>
    <row r="8226" ht="15.75" customHeight="1">
      <c r="A8226" s="1">
        <v>8701.0</v>
      </c>
      <c r="B8226" s="3" t="s">
        <v>7886</v>
      </c>
      <c r="C8226" s="3" t="str">
        <f>IFERROR(__xludf.DUMMYFUNCTION("GOOGLETRANSLATE(B8226,""id"",""en"")"),"['easy', 'signal', 'disruption', 'wherever', 'activity', 'success',' MyTelkomsel ',' MyTelkomsel ',' Tangguh ',' MyTelkomsel ',' My Choice ',' Greetings', ' frequency ']")</f>
        <v>['easy', 'signal', 'disruption', 'wherever', 'activity', 'success',' MyTelkomsel ',' MyTelkomsel ',' Tangguh ',' MyTelkomsel ',' My Choice ',' Greetings', ' frequency ']</v>
      </c>
      <c r="D8226" s="3">
        <v>5.0</v>
      </c>
    </row>
    <row r="8227" ht="15.75" customHeight="1">
      <c r="A8227" s="1">
        <v>8702.0</v>
      </c>
      <c r="B8227" s="3" t="s">
        <v>7887</v>
      </c>
      <c r="C8227" s="3" t="str">
        <f>IFERROR(__xludf.DUMMYFUNCTION("GOOGLETRANSLATE(B8227,""id"",""en"")"),"['Yesterday', 'cave', 'love', 'star', 'skrg', 'leftover', 'star', 'network', 'bad', 'expensive', 'good', 'bye', ' Telkomsel ',' ']")</f>
        <v>['Yesterday', 'cave', 'love', 'star', 'skrg', 'leftover', 'star', 'network', 'bad', 'expensive', 'good', 'bye', ' Telkomsel ',' ']</v>
      </c>
      <c r="D8227" s="3">
        <v>1.0</v>
      </c>
    </row>
    <row r="8228" ht="15.75" customHeight="1">
      <c r="A8228" s="1">
        <v>8703.0</v>
      </c>
      <c r="B8228" s="3" t="s">
        <v>7888</v>
      </c>
      <c r="C8228" s="3" t="str">
        <f>IFERROR(__xludf.DUMMYFUNCTION("GOOGLETRANSLATE(B8228,""id"",""en"")"),"['buy', 'package', 'internet', 'telephone', 'according to', 'monthly', 'weekly', 'Telkomsel', 'right', 'buy', 'week']")</f>
        <v>['buy', 'package', 'internet', 'telephone', 'according to', 'monthly', 'weekly', 'Telkomsel', 'right', 'buy', 'week']</v>
      </c>
      <c r="D8228" s="3">
        <v>1.0</v>
      </c>
    </row>
    <row r="8229" ht="15.75" customHeight="1">
      <c r="A8229" s="1">
        <v>8704.0</v>
      </c>
      <c r="B8229" s="3" t="s">
        <v>7889</v>
      </c>
      <c r="C8229" s="3" t="str">
        <f>IFERROR(__xludf.DUMMYFUNCTION("GOOGLETRANSLATE(B8229,""id"",""en"")"),"['signal', 'bad', 'udh', 'card', 'hello', 'quality', 'deteriorating', '']")</f>
        <v>['signal', 'bad', 'udh', 'card', 'hello', 'quality', 'deteriorating', '']</v>
      </c>
      <c r="D8229" s="3">
        <v>1.0</v>
      </c>
    </row>
    <row r="8230" ht="15.75" customHeight="1">
      <c r="A8230" s="1">
        <v>8705.0</v>
      </c>
      <c r="B8230" s="3" t="s">
        <v>7890</v>
      </c>
      <c r="C8230" s="3" t="str">
        <f>IFERROR(__xludf.DUMMYFUNCTION("GOOGLETRANSLATE(B8230,""id"",""en"")"),"['KOQ', 'Telkomsel', 'Open', 'Minsay', ""]")</f>
        <v>['KOQ', 'Telkomsel', 'Open', 'Minsay', "]</v>
      </c>
      <c r="D8230" s="3">
        <v>5.0</v>
      </c>
    </row>
    <row r="8231" ht="15.75" customHeight="1">
      <c r="A8231" s="1">
        <v>8706.0</v>
      </c>
      <c r="B8231" s="3" t="s">
        <v>7891</v>
      </c>
      <c r="C8231" s="3" t="str">
        <f>IFERROR(__xludf.DUMMYFUNCTION("GOOGLETRANSLATE(B8231,""id"",""en"")"),"['application', 'bad', 'signal', 'bad', 'APL', 'opened', 'signal', 'Telkomsel', 'pulse', 'finished', 'notification', 'slow', ' spam ']")</f>
        <v>['application', 'bad', 'signal', 'bad', 'APL', 'opened', 'signal', 'Telkomsel', 'pulse', 'finished', 'notification', 'slow', ' spam ']</v>
      </c>
      <c r="D8231" s="3">
        <v>1.0</v>
      </c>
    </row>
    <row r="8232" ht="15.75" customHeight="1">
      <c r="A8232" s="1">
        <v>8707.0</v>
      </c>
      <c r="B8232" s="3" t="s">
        <v>7892</v>
      </c>
      <c r="C8232" s="3" t="str">
        <f>IFERROR(__xludf.DUMMYFUNCTION("GOOGLETRANSLATE(B8232,""id"",""en"")"),"['free', 'use', 'Telkomsel', 'use', 'Try', 'Vergress',' Severe ',' Contact ',' Repair ',' Severe ',' Network ',' Disappointed ',' use ',' Telkomsel ',' stay ',' city ',' suggestion ',' buy ',' Telkomsel ',' slow ',' already ',' contact ',' belom ',' finis"&amp;"hed ',' mending ' , 'Change', 'card', '']")</f>
        <v>['free', 'use', 'Telkomsel', 'use', 'Try', 'Vergress',' Severe ',' Contact ',' Repair ',' Severe ',' Network ',' Disappointed ',' use ',' Telkomsel ',' stay ',' city ',' suggestion ',' buy ',' Telkomsel ',' slow ',' already ',' contact ',' belom ',' finished ',' mending ' , 'Change', 'card', '']</v>
      </c>
      <c r="D8232" s="3">
        <v>1.0</v>
      </c>
    </row>
    <row r="8233" ht="15.75" customHeight="1">
      <c r="A8233" s="1">
        <v>8708.0</v>
      </c>
      <c r="B8233" s="3" t="s">
        <v>7893</v>
      </c>
      <c r="C8233" s="3" t="str">
        <f>IFERROR(__xludf.DUMMYFUNCTION("GOOGLETRANSLATE(B8233,""id"",""en"")"),"['contents',' pulse ',' hasn't ',' minutes', 'already', 'run out', 'pakek', 'APK', 'please', 'right', 'apk', 'suck', ' trs', 'pulse', 'apk', 'rotten']")</f>
        <v>['contents',' pulse ',' hasn't ',' minutes', 'already', 'run out', 'pakek', 'APK', 'please', 'right', 'apk', 'suck', ' trs', 'pulse', 'apk', 'rotten']</v>
      </c>
      <c r="D8233" s="3">
        <v>1.0</v>
      </c>
    </row>
    <row r="8234" ht="15.75" customHeight="1">
      <c r="A8234" s="1">
        <v>8709.0</v>
      </c>
      <c r="B8234" s="3" t="s">
        <v>7894</v>
      </c>
      <c r="C8234" s="3" t="str">
        <f>IFERROR(__xludf.DUMMYFUNCTION("GOOGLETRANSLATE(B8234,""id"",""en"")"),"['Upgrade', 'Package', 'Card', 'Hello', 'Sinyal', 'Jelekkkkkk', 'How', 'Telkomsel', 'Disappointed']")</f>
        <v>['Upgrade', 'Package', 'Card', 'Hello', 'Sinyal', 'Jelekkkkkk', 'How', 'Telkomsel', 'Disappointed']</v>
      </c>
      <c r="D8234" s="3">
        <v>1.0</v>
      </c>
    </row>
    <row r="8235" ht="15.75" customHeight="1">
      <c r="A8235" s="1">
        <v>8710.0</v>
      </c>
      <c r="B8235" s="3" t="s">
        <v>7895</v>
      </c>
      <c r="C8235" s="3" t="str">
        <f>IFERROR(__xludf.DUMMYFUNCTION("GOOGLETRANSLATE(B8235,""id"",""en"")"),"['', 'forgiveness',' Telkomsel ',' knapa ',' like ',' Malingin ',' pulse ',' org ',' already ',' sequence ',' thief ',' pulses', 'already ',' pulse ',' complaints', 'pdhal', 'quota', 'internet', 'wkwkwkwkwkwk', 'telkomsial', 'pulse', 'ngepain', 'dsedotin'"&amp;", 'soft', 'gtu', 'Connect', 'Internet', 'No', 'Telkomsel', 'Provider', 'Maling', '']")</f>
        <v>['', 'forgiveness',' Telkomsel ',' knapa ',' like ',' Malingin ',' pulse ',' org ',' already ',' sequence ',' thief ',' pulses', 'already ',' pulse ',' complaints', 'pdhal', 'quota', 'internet', 'wkwkwkwkwkwk', 'telkomsial', 'pulse', 'ngepain', 'dsedotin', 'soft', 'gtu', 'Connect', 'Internet', 'No', 'Telkomsel', 'Provider', 'Maling', '']</v>
      </c>
      <c r="D8235" s="3">
        <v>1.0</v>
      </c>
    </row>
    <row r="8236" ht="15.75" customHeight="1">
      <c r="A8236" s="1">
        <v>8711.0</v>
      </c>
      <c r="B8236" s="3" t="s">
        <v>7896</v>
      </c>
      <c r="C8236" s="3" t="str">
        <f>IFERROR(__xludf.DUMMYFUNCTION("GOOGLETRANSLATE(B8236,""id"",""en"")"),"['Sometimes', 'difficult', 'enter']")</f>
        <v>['Sometimes', 'difficult', 'enter']</v>
      </c>
      <c r="D8236" s="3">
        <v>3.0</v>
      </c>
    </row>
    <row r="8237" ht="15.75" customHeight="1">
      <c r="A8237" s="1">
        <v>8712.0</v>
      </c>
      <c r="B8237" s="3" t="s">
        <v>7897</v>
      </c>
      <c r="C8237" s="3" t="str">
        <f>IFERROR(__xludf.DUMMYFUNCTION("GOOGLETRANSLATE(B8237,""id"",""en"")"),"['Telkomsel', 'Sinyal', 'already', 'stable', 'already', 'severe', 'mah', 'package', 'quota', 'already', 'buy', 'expensive', ' ']")</f>
        <v>['Telkomsel', 'Sinyal', 'already', 'stable', 'already', 'severe', 'mah', 'package', 'quota', 'already', 'buy', 'expensive', ' ']</v>
      </c>
      <c r="D8237" s="3">
        <v>1.0</v>
      </c>
    </row>
    <row r="8238" ht="15.75" customHeight="1">
      <c r="A8238" s="1">
        <v>8713.0</v>
      </c>
      <c r="B8238" s="3" t="s">
        <v>7898</v>
      </c>
      <c r="C8238" s="3" t="str">
        <f>IFERROR(__xludf.DUMMYFUNCTION("GOOGLETRANSLATE(B8238,""id"",""en"")"),"['Telkomsel', 'pig', 'Customer', 'boss', 'quota', 'data', 'take', 'pulse', 'mulu', 'loss', 'so', 'mulu']")</f>
        <v>['Telkomsel', 'pig', 'Customer', 'boss', 'quota', 'data', 'take', 'pulse', 'mulu', 'loss', 'so', 'mulu']</v>
      </c>
      <c r="D8238" s="3">
        <v>1.0</v>
      </c>
    </row>
    <row r="8239" ht="15.75" customHeight="1">
      <c r="A8239" s="1">
        <v>8714.0</v>
      </c>
      <c r="B8239" s="3" t="s">
        <v>7899</v>
      </c>
      <c r="C8239" s="3" t="str">
        <f>IFERROR(__xludf.DUMMYFUNCTION("GOOGLETRANSLATE(B8239,""id"",""en"")"),"['Telkomsel', 'expensive', 'package', 'internet', 'nyah', 'disappointed', 'menu', 'stop', 'internet', 'udh', 'abis',' quota ',' Direct ',' greedy ',' eat ',' pulse ',' please ',' note ',' ']")</f>
        <v>['Telkomsel', 'expensive', 'package', 'internet', 'nyah', 'disappointed', 'menu', 'stop', 'internet', 'udh', 'abis',' quota ',' Direct ',' greedy ',' eat ',' pulse ',' please ',' note ',' ']</v>
      </c>
      <c r="D8239" s="3">
        <v>1.0</v>
      </c>
    </row>
    <row r="8240" ht="15.75" customHeight="1">
      <c r="A8240" s="1">
        <v>8715.0</v>
      </c>
      <c r="B8240" s="3" t="s">
        <v>7900</v>
      </c>
      <c r="C8240" s="3" t="str">
        <f>IFERROR(__xludf.DUMMYFUNCTION("GOOGLETRANSLATE(B8240,""id"",""en"")"),"['Telkomsel', 'Taik', 'Network', 'Internet', 'Open', 'Playstore', 'Game', 'Online', 'Auto', 'Pensi', 'Main', 'Game', ' Online ',' village ',' choose ',' love ',' network ',' city ',' payatiin ',' countryside ',' Ridalre ']")</f>
        <v>['Telkomsel', 'Taik', 'Network', 'Internet', 'Open', 'Playstore', 'Game', 'Online', 'Auto', 'Pensi', 'Main', 'Game', ' Online ',' village ',' choose ',' love ',' network ',' city ',' payatiin ',' countryside ',' Ridalre ']</v>
      </c>
      <c r="D8240" s="3">
        <v>1.0</v>
      </c>
    </row>
    <row r="8241" ht="15.75" customHeight="1">
      <c r="A8241" s="1">
        <v>8716.0</v>
      </c>
      <c r="B8241" s="3" t="s">
        <v>7901</v>
      </c>
      <c r="C8241" s="3" t="str">
        <f>IFERROR(__xludf.DUMMYFUNCTION("GOOGLETRANSLATE(B8241,""id"",""en"")"),"['Telkomsel', 'Severe', 'Network', 'Lemottt', 'expensive', 'Quality', 'ugly', 'Sorry', 'Lower', 'Star', 'Mending', 'Provaider', ' Next to ',' said ',' Provaider ',' circles', 'child', 'abg', 'high school', 'network', 'stable', 'smooth']")</f>
        <v>['Telkomsel', 'Severe', 'Network', 'Lemottt', 'expensive', 'Quality', 'ugly', 'Sorry', 'Lower', 'Star', 'Mending', 'Provaider', ' Next to ',' said ',' Provaider ',' circles', 'child', 'abg', 'high school', 'network', 'stable', 'smooth']</v>
      </c>
      <c r="D8241" s="3">
        <v>1.0</v>
      </c>
    </row>
    <row r="8242" ht="15.75" customHeight="1">
      <c r="A8242" s="1">
        <v>8717.0</v>
      </c>
      <c r="B8242" s="3" t="s">
        <v>7902</v>
      </c>
      <c r="C8242" s="3" t="str">
        <f>IFERROR(__xludf.DUMMYFUNCTION("GOOGLETRANSLATE(B8242,""id"",""en"")"),"['signal', 'missing', 'embossed', 'mulu', 'package', 'internet', 'special', 'signal', 'lost', 'pulses',' deh ',' pulse ',' Suggestion ',' Application ',' Key ',' Package ',' Internet ',' Out ',' Signal ',' Lost ',' Temakan ',' Credit ',' Application ',' N"&amp;"ext to ',' AXIS ' , 'Consumers', 'Loss', '']")</f>
        <v>['signal', 'missing', 'embossed', 'mulu', 'package', 'internet', 'special', 'signal', 'lost', 'pulses',' deh ',' pulse ',' Suggestion ',' Application ',' Key ',' Package ',' Internet ',' Out ',' Signal ',' Lost ',' Temakan ',' Credit ',' Application ',' Next to ',' AXIS ' , 'Consumers', 'Loss', '']</v>
      </c>
      <c r="D8242" s="3">
        <v>1.0</v>
      </c>
    </row>
    <row r="8243" ht="15.75" customHeight="1">
      <c r="A8243" s="1">
        <v>8718.0</v>
      </c>
      <c r="B8243" s="3" t="s">
        <v>7903</v>
      </c>
      <c r="C8243" s="3" t="str">
        <f>IFERROR(__xludf.DUMMYFUNCTION("GOOGLETRANSLATE(B8243,""id"",""en"")"),"['Telkomsel', 'Skrang', 'Network', 'Kek', 'Snail', 'Aplagi', 'Main', 'Game', 'Parahhhh', 'Bentar', 'Leet', 'Soon', ' LEG ',' Try ',' Down ',' Telkomsel ',' era ',' Telkomsel ',' Karna ',' Network ',' fast ',' Ehh ',' skrang ',' slow ',' Mulu ' , 'Fix', 'n"&amp;"etwork', 'internet', 'expensive', 'love', 'bibtang', 'Telkomsel', 'skrang', 'stop', 'Telkomsel', ""]")</f>
        <v>['Telkomsel', 'Skrang', 'Network', 'Kek', 'Snail', 'Aplagi', 'Main', 'Game', 'Parahhhh', 'Bentar', 'Leet', 'Soon', ' LEG ',' Try ',' Down ',' Telkomsel ',' era ',' Telkomsel ',' Karna ',' Network ',' fast ',' Ehh ',' skrang ',' slow ',' Mulu ' , 'Fix', 'network', 'internet', 'expensive', 'love', 'bibtang', 'Telkomsel', 'skrang', 'stop', 'Telkomsel', "]</v>
      </c>
      <c r="D8243" s="3">
        <v>1.0</v>
      </c>
    </row>
    <row r="8244" ht="15.75" customHeight="1">
      <c r="A8244" s="1">
        <v>8719.0</v>
      </c>
      <c r="B8244" s="3" t="s">
        <v>7904</v>
      </c>
      <c r="C8244" s="3" t="str">
        <f>IFERROR(__xludf.DUMMYFUNCTION("GOOGLETRANSLATE(B8244,""id"",""en"")"),"['have', 'constraints', 'purchase', 'package', 'internet', 'obstacles', 'service', 'friendly', 'help', 'star', ""]")</f>
        <v>['have', 'constraints', 'purchase', 'package', 'internet', 'obstacles', 'service', 'friendly', 'help', 'star', "]</v>
      </c>
      <c r="D8244" s="3">
        <v>5.0</v>
      </c>
    </row>
    <row r="8245" ht="15.75" customHeight="1">
      <c r="A8245" s="1">
        <v>8720.0</v>
      </c>
      <c r="B8245" s="3" t="s">
        <v>7905</v>
      </c>
      <c r="C8245" s="3" t="str">
        <f>IFERROR(__xludf.DUMMYFUNCTION("GOOGLETRANSLATE(B8245,""id"",""en"")"),"['Please', 'quota', 'gamemax', 'use', 'update', 'mobile', 'legend', 'tetep', 'use']")</f>
        <v>['Please', 'quota', 'gamemax', 'use', 'update', 'mobile', 'legend', 'tetep', 'use']</v>
      </c>
      <c r="D8245" s="3">
        <v>4.0</v>
      </c>
    </row>
    <row r="8246" ht="15.75" customHeight="1">
      <c r="A8246" s="1">
        <v>8721.0</v>
      </c>
      <c r="B8246" s="3" t="s">
        <v>7906</v>
      </c>
      <c r="C8246" s="3" t="str">
        <f>IFERROR(__xludf.DUMMYFUNCTION("GOOGLETRANSLATE(B8246,""id"",""en"")"),"['package', 'expensive', 'signal', 'right', 'quota', 'abisa', 'pulse', 'suck', 'hold', 'quota', 'udh', 'run out', ' Disight ',' Customer ',' Gini ',' Change ',' Card ',' Pas', 'Fill', 'Package', 'Combo', 'Sakti', 'right', 'Fill', 'Udh' , 'ilang', 'buy', '"&amp;"package', 'difficult', 'spent', 'pulse', 'doang']")</f>
        <v>['package', 'expensive', 'signal', 'right', 'quota', 'abisa', 'pulse', 'suck', 'hold', 'quota', 'udh', 'run out', ' Disight ',' Customer ',' Gini ',' Change ',' Card ',' Pas', 'Fill', 'Package', 'Combo', 'Sakti', 'right', 'Fill', 'Udh' , 'ilang', 'buy', 'package', 'difficult', 'spent', 'pulse', 'doang']</v>
      </c>
      <c r="D8246" s="3">
        <v>1.0</v>
      </c>
    </row>
    <row r="8247" ht="15.75" customHeight="1">
      <c r="A8247" s="1">
        <v>8722.0</v>
      </c>
      <c r="B8247" s="3" t="s">
        <v>7907</v>
      </c>
      <c r="C8247" s="3" t="str">
        <f>IFERROR(__xludf.DUMMYFUNCTION("GOOGLETRANSLATE(B8247,""id"",""en"")"),"['Gini', 'complaints',' cave ',' pulse ',' cave ',' owe ',' cave ',' already ',' content ',' data ',' GB ',' then ',' The rest of ',' right ',' the morning ',' pulse ',' cave ',' that's', 'take', 'pulse', 'data', 'mash', 'please', 'set', 'bang' , 'Cave', "&amp;"'UDH', 'Save', 'Credit', 'Gara', 'Sopaced']")</f>
        <v>['Gini', 'complaints',' cave ',' pulse ',' cave ',' owe ',' cave ',' already ',' content ',' data ',' GB ',' then ',' The rest of ',' right ',' the morning ',' pulse ',' cave ',' that's', 'take', 'pulse', 'data', 'mash', 'please', 'set', 'bang' , 'Cave', 'UDH', 'Save', 'Credit', 'Gara', 'Sopaced']</v>
      </c>
      <c r="D8247" s="3">
        <v>3.0</v>
      </c>
    </row>
    <row r="8248" ht="15.75" customHeight="1">
      <c r="A8248" s="1">
        <v>8723.0</v>
      </c>
      <c r="B8248" s="3" t="s">
        <v>7908</v>
      </c>
      <c r="C8248" s="3" t="str">
        <f>IFERROR(__xludf.DUMMYFUNCTION("GOOGLETRANSLATE(B8248,""id"",""en"")"),"['Wear', 'pulse', 'Rp', 'access',' internet ',' non ',' package ',' mksud ',' nya ',' data ',' cave ',' cave ',' live ',' tapih ',' pulse ',' cave ',' sumps', 'already', 'thief', 'telkomsel', 'already', 'bankrupt', 'closed', 'boss',' troubling ' , 'public"&amp;"', '']")</f>
        <v>['Wear', 'pulse', 'Rp', 'access',' internet ',' non ',' package ',' mksud ',' nya ',' data ',' cave ',' cave ',' live ',' tapih ',' pulse ',' cave ',' sumps', 'already', 'thief', 'telkomsel', 'already', 'bankrupt', 'closed', 'boss',' troubling ' , 'public', '']</v>
      </c>
      <c r="D8248" s="3">
        <v>1.0</v>
      </c>
    </row>
    <row r="8249" ht="15.75" customHeight="1">
      <c r="A8249" s="1">
        <v>8724.0</v>
      </c>
      <c r="B8249" s="3" t="s">
        <v>7909</v>
      </c>
      <c r="C8249" s="3" t="str">
        <f>IFERROR(__xludf.DUMMYFUNCTION("GOOGLETRANSLATE(B8249,""id"",""en"")"),"['Severe', 'Telkomsel', 'Migration', 'Migration', 'Card', 'Hello', 'Prepaid', 'Postpaid', 'Tells',' Prepaid ',' Migration ',' Over ',' Migration ',' Change ',' Card ',' Number ',' TSB ',' Karna ',' Family ',' Save ',' Number ',' Solution ',' Best ',' Telk"&amp;"omsel ',' Want ' , 'lucky', 'jerk']")</f>
        <v>['Severe', 'Telkomsel', 'Migration', 'Migration', 'Card', 'Hello', 'Prepaid', 'Postpaid', 'Tells',' Prepaid ',' Migration ',' Over ',' Migration ',' Change ',' Card ',' Number ',' TSB ',' Karna ',' Family ',' Save ',' Number ',' Solution ',' Best ',' Telkomsel ',' Want ' , 'lucky', 'jerk']</v>
      </c>
      <c r="D8249" s="3">
        <v>1.0</v>
      </c>
    </row>
    <row r="8250" ht="15.75" customHeight="1">
      <c r="A8250" s="1">
        <v>8725.0</v>
      </c>
      <c r="B8250" s="3" t="s">
        <v>7910</v>
      </c>
      <c r="C8250" s="3" t="str">
        <f>IFERROR(__xludf.DUMMYFUNCTION("GOOGLETRANSLATE(B8250,""id"",""en"")"),"['bgtu', 'nge', 'lag', 'replace', 'card', 'quota', 'expensive', 'doang', 'pale', 'cih']")</f>
        <v>['bgtu', 'nge', 'lag', 'replace', 'card', 'quota', 'expensive', 'doang', 'pale', 'cih']</v>
      </c>
      <c r="D8250" s="3">
        <v>1.0</v>
      </c>
    </row>
    <row r="8251" ht="15.75" customHeight="1">
      <c r="A8251" s="1">
        <v>8726.0</v>
      </c>
      <c r="B8251" s="3" t="s">
        <v>7911</v>
      </c>
      <c r="C8251" s="3" t="str">
        <f>IFERROR(__xludf.DUMMYFUNCTION("GOOGLETRANSLATE(B8251,""id"",""en"")"),"['quota', 'expensive', 'really', 'buy', 'kouta', 'expensive', 'skg', 'pny', 'income', 'entry', 'kantel', 'quota', ' Cards', 'Telkomsel', 'Forced', 'Search', 'Provider', 'Fall', 'Love', 'Very', 'Telkomsel', 'GMN', ""]")</f>
        <v>['quota', 'expensive', 'really', 'buy', 'kouta', 'expensive', 'skg', 'pny', 'income', 'entry', 'kantel', 'quota', ' Cards', 'Telkomsel', 'Forced', 'Search', 'Provider', 'Fall', 'Love', 'Very', 'Telkomsel', 'GMN', "]</v>
      </c>
      <c r="D8251" s="3">
        <v>4.0</v>
      </c>
    </row>
    <row r="8252" ht="15.75" customHeight="1">
      <c r="A8252" s="1">
        <v>8727.0</v>
      </c>
      <c r="B8252" s="3" t="s">
        <v>7912</v>
      </c>
      <c r="C8252" s="3" t="str">
        <f>IFERROR(__xludf.DUMMYFUNCTION("GOOGLETRANSLATE(B8252,""id"",""en"")"),"['Gajelas',' Devep ',' sell ',' package ',' gapernah ',' cheap ',' now ',' cheap ',' deliberate ',' ngejump ',' signal ',' user ',' Old ',' Choose ',' Move ',' Service ',' ']")</f>
        <v>['Gajelas',' Devep ',' sell ',' package ',' gapernah ',' cheap ',' now ',' cheap ',' deliberate ',' ngejump ',' signal ',' user ',' Old ',' Choose ',' Move ',' Service ',' ']</v>
      </c>
      <c r="D8252" s="3">
        <v>1.0</v>
      </c>
    </row>
    <row r="8253" ht="15.75" customHeight="1">
      <c r="A8253" s="1">
        <v>8728.0</v>
      </c>
      <c r="B8253" s="3" t="s">
        <v>7913</v>
      </c>
      <c r="C8253" s="3" t="str">
        <f>IFERROR(__xludf.DUMMYFUNCTION("GOOGLETRANSLATE(B8253,""id"",""en"")"),"['Application', 'BANGJE', 'opened', 'gabisa', 'after', 'update']")</f>
        <v>['Application', 'BANGJE', 'opened', 'gabisa', 'after', 'update']</v>
      </c>
      <c r="D8253" s="3">
        <v>1.0</v>
      </c>
    </row>
    <row r="8254" ht="15.75" customHeight="1">
      <c r="A8254" s="1">
        <v>8729.0</v>
      </c>
      <c r="B8254" s="3" t="s">
        <v>7914</v>
      </c>
      <c r="C8254" s="3" t="str">
        <f>IFERROR(__xludf.DUMMYFUNCTION("GOOGLETRANSLATE(B8254,""id"",""en"")"),"['Network', 'Telkomsel', 'slow', 'slow', 'star', 'subtract', '']")</f>
        <v>['Network', 'Telkomsel', 'slow', 'slow', 'star', 'subtract', '']</v>
      </c>
      <c r="D8254" s="3">
        <v>4.0</v>
      </c>
    </row>
    <row r="8255" ht="15.75" customHeight="1">
      <c r="A8255" s="1">
        <v>8730.0</v>
      </c>
      <c r="B8255" s="3" t="s">
        <v>7915</v>
      </c>
      <c r="C8255" s="3" t="str">
        <f>IFERROR(__xludf.DUMMYFUNCTION("GOOGLETRANSLATE(B8255,""id"",""en"")"),"['Download', 'login', 'eeh', 'already', 'error', 'first', 'number', 'signal', 'smooth', 'solution', 'min', '']")</f>
        <v>['Download', 'login', 'eeh', 'already', 'error', 'first', 'number', 'signal', 'smooth', 'solution', 'min', '']</v>
      </c>
      <c r="D8255" s="3">
        <v>1.0</v>
      </c>
    </row>
    <row r="8256" ht="15.75" customHeight="1">
      <c r="A8256" s="1">
        <v>8731.0</v>
      </c>
      <c r="B8256" s="3" t="s">
        <v>7916</v>
      </c>
      <c r="C8256" s="3" t="str">
        <f>IFERROR(__xludf.DUMMYFUNCTION("GOOGLETRANSLATE(B8256,""id"",""en"")"),"['hello', 'kaka', 'internet', 'last night', 'no', 'pakee', 'whay', 'errorah', 'please', 'fix', 'as soon asaa', '']")</f>
        <v>['hello', 'kaka', 'internet', 'last night', 'no', 'pakee', 'whay', 'errorah', 'please', 'fix', 'as soon asaa', '']</v>
      </c>
      <c r="D8256" s="3">
        <v>1.0</v>
      </c>
    </row>
    <row r="8257" ht="15.75" customHeight="1">
      <c r="A8257" s="1">
        <v>8732.0</v>
      </c>
      <c r="B8257" s="3" t="s">
        <v>7917</v>
      </c>
      <c r="C8257" s="3" t="str">
        <f>IFERROR(__xludf.DUMMYFUNCTION("GOOGLETRANSLATE(B8257,""id"",""en"")"),"['Payment', 'MyTelkomsel', 'Linkaja', ""]")</f>
        <v>['Payment', 'MyTelkomsel', 'Linkaja', "]</v>
      </c>
      <c r="D8257" s="3">
        <v>3.0</v>
      </c>
    </row>
    <row r="8258" ht="15.75" customHeight="1">
      <c r="A8258" s="1">
        <v>8733.0</v>
      </c>
      <c r="B8258" s="3" t="s">
        <v>7918</v>
      </c>
      <c r="C8258" s="3" t="str">
        <f>IFERROR(__xludf.DUMMYFUNCTION("GOOGLETRANSLATE(B8258,""id"",""en"")"),"['pulse', 'missing', 'use it', '']")</f>
        <v>['pulse', 'missing', 'use it', '']</v>
      </c>
      <c r="D8258" s="3">
        <v>1.0</v>
      </c>
    </row>
    <row r="8259" ht="15.75" customHeight="1">
      <c r="A8259" s="1">
        <v>8734.0</v>
      </c>
      <c r="B8259" s="3" t="s">
        <v>7919</v>
      </c>
      <c r="C8259" s="3" t="str">
        <f>IFERROR(__xludf.DUMMYFUNCTION("GOOGLETRANSLATE(B8259,""id"",""en"")"),"['sorry', 'buy', 'package', 'call', 'free', 'price', 'rb', 'knp', 'buy', 'clock', 'afternoon', 'hours',' MLM ',' Blocked ',' Kouta ',' Call ',' Free ',' Please ',' Help ', ""]")</f>
        <v>['sorry', 'buy', 'package', 'call', 'free', 'price', 'rb', 'knp', 'buy', 'clock', 'afternoon', 'hours',' MLM ',' Blocked ',' Kouta ',' Call ',' Free ',' Please ',' Help ', "]</v>
      </c>
      <c r="D8259" s="3">
        <v>5.0</v>
      </c>
    </row>
    <row r="8260" ht="15.75" customHeight="1">
      <c r="A8260" s="1">
        <v>8735.0</v>
      </c>
      <c r="B8260" s="3" t="s">
        <v>7920</v>
      </c>
      <c r="C8260" s="3" t="str">
        <f>IFERROR(__xludf.DUMMYFUNCTION("GOOGLETRANSLATE(B8260,""id"",""en"")"),"['price', 'expensive', 'service', 'slow', 'disorder', 'segini', 'work', 'problem', 'price', 'cheap', 'disorder', 'a month', ' Stupid ',' ']")</f>
        <v>['price', 'expensive', 'service', 'slow', 'disorder', 'segini', 'work', 'problem', 'price', 'cheap', 'disorder', 'a month', ' Stupid ',' ']</v>
      </c>
      <c r="D8260" s="3">
        <v>1.0</v>
      </c>
    </row>
    <row r="8261" ht="15.75" customHeight="1">
      <c r="A8261" s="1">
        <v>8736.0</v>
      </c>
      <c r="B8261" s="3" t="s">
        <v>7921</v>
      </c>
      <c r="C8261" s="3" t="str">
        <f>IFERROR(__xludf.DUMMYFUNCTION("GOOGLETRANSLATE(B8261,""id"",""en"")"),"['luck', 'contents',' reset ',' pulse ',' rb ',' rb ',' via ',' mytelkomsel ',' app ',' tsel ',' pulse ',' get ',' Cashback ',' pulse ',' tsel ',' rb ',' rb ',' hr ',' promo ',' oct ',' lie ']")</f>
        <v>['luck', 'contents',' reset ',' pulse ',' rb ',' rb ',' via ',' mytelkomsel ',' app ',' tsel ',' pulse ',' get ',' Cashback ',' pulse ',' tsel ',' rb ',' rb ',' hr ',' promo ',' oct ',' lie ']</v>
      </c>
      <c r="D8261" s="3">
        <v>1.0</v>
      </c>
    </row>
    <row r="8262" ht="15.75" customHeight="1">
      <c r="A8262" s="1">
        <v>8737.0</v>
      </c>
      <c r="B8262" s="3" t="s">
        <v>7922</v>
      </c>
      <c r="C8262" s="3" t="str">
        <f>IFERROR(__xludf.DUMMYFUNCTION("GOOGLETRANSLATE(B8262,""id"",""en"")"),"['', 'talking', 'Males', 'Telkomsel', 'already', 'buy', 'unlimate', 'slow', 'forgiveness']")</f>
        <v>['', 'talking', 'Males', 'Telkomsel', 'already', 'buy', 'unlimate', 'slow', 'forgiveness']</v>
      </c>
      <c r="D8262" s="3">
        <v>5.0</v>
      </c>
    </row>
    <row r="8263" ht="15.75" customHeight="1">
      <c r="A8263" s="1">
        <v>8738.0</v>
      </c>
      <c r="B8263" s="3" t="s">
        <v>7923</v>
      </c>
      <c r="C8263" s="3" t="str">
        <f>IFERROR(__xludf.DUMMYFUNCTION("GOOGLETRANSLATE(B8263,""id"",""en"")"),"['Sorry', 'love', 'star', 'nm week', 'spacious', 'telkomsel', 'try', 'promo', 'kouta', 'used', 'please', 'updated' Fasting ',' Reduced ',' Notification ',' Kouta ',' System ',' Telkomsel ',' ugly ', ""]")</f>
        <v>['Sorry', 'love', 'star', 'nm week', 'spacious', 'telkomsel', 'try', 'promo', 'kouta', 'used', 'please', 'updated' Fasting ',' Reduced ',' Notification ',' Kouta ',' System ',' Telkomsel ',' ugly ', "]</v>
      </c>
      <c r="D8263" s="3">
        <v>2.0</v>
      </c>
    </row>
    <row r="8264" ht="15.75" customHeight="1">
      <c r="A8264" s="1">
        <v>8739.0</v>
      </c>
      <c r="B8264" s="3" t="s">
        <v>7924</v>
      </c>
      <c r="C8264" s="3" t="str">
        <f>IFERROR(__xludf.DUMMYFUNCTION("GOOGLETRANSLATE(B8264,""id"",""en"")"),"['Network', 'said', 'world', 'ngelag', 'play', 'boss', 'garbage', 'gini', 'make', 'Telkomsel']")</f>
        <v>['Network', 'said', 'world', 'ngelag', 'play', 'boss', 'garbage', 'gini', 'make', 'Telkomsel']</v>
      </c>
      <c r="D8264" s="3">
        <v>1.0</v>
      </c>
    </row>
    <row r="8265" ht="15.75" customHeight="1">
      <c r="A8265" s="1">
        <v>8740.0</v>
      </c>
      <c r="B8265" s="3" t="s">
        <v>7925</v>
      </c>
      <c r="C8265" s="3" t="str">
        <f>IFERROR(__xludf.DUMMYFUNCTION("GOOGLETRANSLATE(B8265,""id"",""en"")"),"['Telkomsel', 'Leet', 'really', 'Males', 'Telkomsel', 'City', 'Sousal', 'ugly']")</f>
        <v>['Telkomsel', 'Leet', 'really', 'Males', 'Telkomsel', 'City', 'Sousal', 'ugly']</v>
      </c>
      <c r="D8265" s="3">
        <v>1.0</v>
      </c>
    </row>
    <row r="8266" ht="15.75" customHeight="1">
      <c r="A8266" s="1">
        <v>8741.0</v>
      </c>
      <c r="B8266" s="3" t="s">
        <v>7926</v>
      </c>
      <c r="C8266" s="3" t="str">
        <f>IFERROR(__xludf.DUMMYFUNCTION("GOOGLETRANSLATE(B8266,""id"",""en"")"),"['Telkomsel', 'josss',' ttpi ',' jesss', 'slow', 'card', 'pre', 'paid', 'cost', 'usage', 'month', 'please', ' Take ',' covert ',' explanation ',' consumer ',' users', 'Telkomsel', 'Thanks']")</f>
        <v>['Telkomsel', 'josss',' ttpi ',' jesss', 'slow', 'card', 'pre', 'paid', 'cost', 'usage', 'month', 'please', ' Take ',' covert ',' explanation ',' consumer ',' users', 'Telkomsel', 'Thanks']</v>
      </c>
      <c r="D8266" s="3">
        <v>1.0</v>
      </c>
    </row>
    <row r="8267" ht="15.75" customHeight="1">
      <c r="A8267" s="1">
        <v>8743.0</v>
      </c>
      <c r="B8267" s="3" t="s">
        <v>7927</v>
      </c>
      <c r="C8267" s="3" t="str">
        <f>IFERROR(__xludf.DUMMYFUNCTION("GOOGLETRANSLATE(B8267,""id"",""en"")"),"['APK', 'Bgus', 'Star', 'TPI', 'Honey', 'Points', 'TPI', 'BSA', 'Tuker', 'Package', 'Data']")</f>
        <v>['APK', 'Bgus', 'Star', 'TPI', 'Honey', 'Points', 'TPI', 'BSA', 'Tuker', 'Package', 'Data']</v>
      </c>
      <c r="D8267" s="3">
        <v>5.0</v>
      </c>
    </row>
    <row r="8268" ht="15.75" customHeight="1">
      <c r="A8268" s="1">
        <v>8744.0</v>
      </c>
      <c r="B8268" s="3" t="s">
        <v>7928</v>
      </c>
      <c r="C8268" s="3" t="str">
        <f>IFERROR(__xludf.DUMMYFUNCTION("GOOGLETRANSLATE(B8268,""id"",""en"")"),"['', 'Update', 'Telkomsel', 'Uninstall', 'then', 'Install', 'reset', 'failed', 'Please', 'enlightenment']")</f>
        <v>['', 'Update', 'Telkomsel', 'Uninstall', 'then', 'Install', 'reset', 'failed', 'Please', 'enlightenment']</v>
      </c>
      <c r="D8268" s="3">
        <v>1.0</v>
      </c>
    </row>
    <row r="8269" ht="15.75" customHeight="1">
      <c r="A8269" s="1">
        <v>8745.0</v>
      </c>
      <c r="B8269" s="3" t="s">
        <v>7929</v>
      </c>
      <c r="C8269" s="3" t="str">
        <f>IFERROR(__xludf.DUMMYFUNCTION("GOOGLETRANSLATE(B8269,""id"",""en"")"),"['buy', 'package', 'Success',' no ',' entered ',' until ',' pulse ',' sumps', 'likes',' really ',' Telkomsel ',' here ',' money ',' corrupted ',' superiors', 'distributor', 'slow', 'no']")</f>
        <v>['buy', 'package', 'Success',' no ',' entered ',' until ',' pulse ',' sumps', 'likes',' really ',' Telkomsel ',' here ',' money ',' corrupted ',' superiors', 'distributor', 'slow', 'no']</v>
      </c>
      <c r="D8269" s="3">
        <v>1.0</v>
      </c>
    </row>
    <row r="8270" ht="15.75" customHeight="1">
      <c r="A8270" s="1">
        <v>8746.0</v>
      </c>
      <c r="B8270" s="3" t="s">
        <v>7930</v>
      </c>
      <c r="C8270" s="3" t="str">
        <f>IFERROR(__xludf.DUMMYFUNCTION("GOOGLETRANSLATE(B8270,""id"",""en"")"),"['right', 'fill', 'credit', 'banking', 'rb', 'right', 'check', 'mytelkomsel', 'pulse', 'sucked', 'thousands',' times', ' Check ',' MyTelkomsel ',' piece ',' MyTelkomsel ',' buy ',' package ',' in fact ',' consistent ', ""]")</f>
        <v>['right', 'fill', 'credit', 'banking', 'rb', 'right', 'check', 'mytelkomsel', 'pulse', 'sucked', 'thousands',' times', ' Check ',' MyTelkomsel ',' piece ',' MyTelkomsel ',' buy ',' package ',' in fact ',' consistent ', "]</v>
      </c>
      <c r="D8270" s="3">
        <v>1.0</v>
      </c>
    </row>
    <row r="8271" ht="15.75" customHeight="1">
      <c r="A8271" s="1">
        <v>8747.0</v>
      </c>
      <c r="B8271" s="3" t="s">
        <v>7931</v>
      </c>
      <c r="C8271" s="3" t="str">
        <f>IFERROR(__xludf.DUMMYFUNCTION("GOOGLETRANSLATE(B8271,""id"",""en"")"),"['Please', 'Network', 'Fix', 'Rely on']")</f>
        <v>['Please', 'Network', 'Fix', 'Rely on']</v>
      </c>
      <c r="D8271" s="3">
        <v>1.0</v>
      </c>
    </row>
    <row r="8272" ht="15.75" customHeight="1">
      <c r="A8272" s="1">
        <v>8748.0</v>
      </c>
      <c r="B8272" s="3" t="s">
        <v>7932</v>
      </c>
      <c r="C8272" s="3" t="str">
        <f>IFERROR(__xludf.DUMMYFUNCTION("GOOGLETRANSLATE(B8272,""id"",""en"")"),"['Price', 'Package', 'Category', 'Expensive', '']")</f>
        <v>['Price', 'Package', 'Category', 'Expensive', '']</v>
      </c>
      <c r="D8272" s="3">
        <v>3.0</v>
      </c>
    </row>
    <row r="8273" ht="15.75" customHeight="1">
      <c r="A8273" s="1">
        <v>8749.0</v>
      </c>
      <c r="B8273" s="3" t="s">
        <v>7933</v>
      </c>
      <c r="C8273" s="3" t="str">
        <f>IFERROR(__xludf.DUMMYFUNCTION("GOOGLETRANSLATE(B8273,""id"",""en"")"),"['Please', 'exchanged', 'point', 'failed', 'point', 'gini', 'unnistal', 'udh', 'fix', 'love', 'star', ""]")</f>
        <v>['Please', 'exchanged', 'point', 'failed', 'point', 'gini', 'unnistal', 'udh', 'fix', 'love', 'star', "]</v>
      </c>
      <c r="D8273" s="3">
        <v>5.0</v>
      </c>
    </row>
    <row r="8274" ht="15.75" customHeight="1">
      <c r="A8274" s="1">
        <v>8750.0</v>
      </c>
      <c r="B8274" s="3" t="s">
        <v>7934</v>
      </c>
      <c r="C8274" s="3" t="str">
        <f>IFERROR(__xludf.DUMMYFUNCTION("GOOGLETRANSLATE(B8274,""id"",""en"")"),"['promo', 'promo', 'please', 'interesting', 'interest', 'customer', '']")</f>
        <v>['promo', 'promo', 'please', 'interesting', 'interest', 'customer', '']</v>
      </c>
      <c r="D8274" s="3">
        <v>5.0</v>
      </c>
    </row>
    <row r="8275" ht="15.75" customHeight="1">
      <c r="A8275" s="1">
        <v>8751.0</v>
      </c>
      <c r="B8275" s="3" t="s">
        <v>7935</v>
      </c>
      <c r="C8275" s="3" t="str">
        <f>IFERROR(__xludf.DUMMYFUNCTION("GOOGLETRANSLATE(B8275,""id"",""en"")"),"['', 'try']")</f>
        <v>['', 'try']</v>
      </c>
      <c r="D8275" s="3">
        <v>4.0</v>
      </c>
    </row>
    <row r="8276" ht="15.75" customHeight="1">
      <c r="A8276" s="1">
        <v>8752.0</v>
      </c>
      <c r="B8276" s="3" t="s">
        <v>7936</v>
      </c>
      <c r="C8276" s="3" t="str">
        <f>IFERROR(__xludf.DUMMYFUNCTION("GOOGLETRANSLATE(B8276,""id"",""en"")"),"['Steady', 'LBH', 'Increases', 'Service']")</f>
        <v>['Steady', 'LBH', 'Increases', 'Service']</v>
      </c>
      <c r="D8276" s="3">
        <v>5.0</v>
      </c>
    </row>
    <row r="8277" ht="15.75" customHeight="1">
      <c r="A8277" s="1">
        <v>8753.0</v>
      </c>
      <c r="B8277" s="3" t="s">
        <v>7937</v>
      </c>
      <c r="C8277" s="3" t="str">
        <f>IFERROR(__xludf.DUMMYFUNCTION("GOOGLETRANSLATE(B8277,""id"",""en"")"),"['Registration', 'Times', 'Open', 'App', 'Telkomsel', 'Package', 'Unlimited', 'Removed', 'Package', 'Jugak', 'Expensive', ""]")</f>
        <v>['Registration', 'Times', 'Open', 'App', 'Telkomsel', 'Package', 'Unlimited', 'Removed', 'Package', 'Jugak', 'Expensive', "]</v>
      </c>
      <c r="D8277" s="3">
        <v>1.0</v>
      </c>
    </row>
    <row r="8278" ht="15.75" customHeight="1">
      <c r="A8278" s="1">
        <v>8754.0</v>
      </c>
      <c r="B8278" s="3" t="s">
        <v>7938</v>
      </c>
      <c r="C8278" s="3" t="str">
        <f>IFERROR(__xludf.DUMMYFUNCTION("GOOGLETRANSLATE(B8278,""id"",""en"")"),"['already', 'expensive', 'signal', 'ugly', 'forgiveness',' jancog ',' emng ',' emng ',' mao ',' can ',' luck ',' gini ',' dropped ',' price ',' signal ',' low ',' taik ']")</f>
        <v>['already', 'expensive', 'signal', 'ugly', 'forgiveness',' jancog ',' emng ',' emng ',' mao ',' can ',' luck ',' gini ',' dropped ',' price ',' signal ',' low ',' taik ']</v>
      </c>
      <c r="D8278" s="3">
        <v>1.0</v>
      </c>
    </row>
    <row r="8279" ht="15.75" customHeight="1">
      <c r="A8279" s="1">
        <v>8755.0</v>
      </c>
      <c r="B8279" s="3" t="s">
        <v>7939</v>
      </c>
      <c r="C8279" s="3" t="str">
        <f>IFERROR(__xludf.DUMMYFUNCTION("GOOGLETRANSLATE(B8279,""id"",""en"")"),"['Good', 'really', 'packagein', 'package', '']")</f>
        <v>['Good', 'really', 'packagein', 'package', '']</v>
      </c>
      <c r="D8279" s="3">
        <v>5.0</v>
      </c>
    </row>
    <row r="8280" ht="15.75" customHeight="1">
      <c r="A8280" s="1">
        <v>8756.0</v>
      </c>
      <c r="B8280" s="3" t="s">
        <v>7940</v>
      </c>
      <c r="C8280" s="3" t="str">
        <f>IFERROR(__xludf.DUMMYFUNCTION("GOOGLETRANSLATE(B8280,""id"",""en"")"),"['Please', 'card', 'no', 'buy', 'package', 'mytelkomsel', 'dummary', 'use', 'subscription', 'Telkomsel', 'gini', ""]")</f>
        <v>['Please', 'card', 'no', 'buy', 'package', 'mytelkomsel', 'dummary', 'use', 'subscription', 'Telkomsel', 'gini', "]</v>
      </c>
      <c r="D8280" s="3">
        <v>1.0</v>
      </c>
    </row>
    <row r="8281" ht="15.75" customHeight="1">
      <c r="A8281" s="1">
        <v>8757.0</v>
      </c>
      <c r="B8281" s="3" t="s">
        <v>7941</v>
      </c>
      <c r="C8281" s="3" t="str">
        <f>IFERROR(__xludf.DUMMYFUNCTION("GOOGLETRANSLATE(B8281,""id"",""en"")"),"['easy', 'aspect', 'language', 'information', '']")</f>
        <v>['easy', 'aspect', 'language', 'information', '']</v>
      </c>
      <c r="D8281" s="3">
        <v>5.0</v>
      </c>
    </row>
    <row r="8282" ht="15.75" customHeight="1">
      <c r="A8282" s="1">
        <v>8758.0</v>
      </c>
      <c r="B8282" s="3" t="s">
        <v>1236</v>
      </c>
      <c r="C8282" s="3" t="str">
        <f>IFERROR(__xludf.DUMMYFUNCTION("GOOGLETRANSLATE(B8282,""id"",""en"")"),"['Steady', 'help']")</f>
        <v>['Steady', 'help']</v>
      </c>
      <c r="D8282" s="3">
        <v>5.0</v>
      </c>
    </row>
    <row r="8283" ht="15.75" customHeight="1">
      <c r="A8283" s="1">
        <v>8759.0</v>
      </c>
      <c r="B8283" s="3" t="s">
        <v>7942</v>
      </c>
      <c r="C8283" s="3" t="str">
        <f>IFERROR(__xludf.DUMMYFUNCTION("GOOGLETRANSLATE(B8283,""id"",""en"")"),"['Telkomsel', 'forgive', 'forced', 'star', 'KNP', 'expensive', 'package', 'knp', 'difficult', 'open', 'APL', 'MyTelkomsel', ' Emotions', 'signal', 'arising', 'sinking', 'activity', 'depends',' to you ',' ']")</f>
        <v>['Telkomsel', 'forgive', 'forced', 'star', 'KNP', 'expensive', 'package', 'knp', 'difficult', 'open', 'APL', 'MyTelkomsel', ' Emotions', 'signal', 'arising', 'sinking', 'activity', 'depends',' to you ',' ']</v>
      </c>
      <c r="D8283" s="3">
        <v>2.0</v>
      </c>
    </row>
    <row r="8284" ht="15.75" customHeight="1">
      <c r="A8284" s="1">
        <v>8760.0</v>
      </c>
      <c r="B8284" s="3" t="s">
        <v>7943</v>
      </c>
      <c r="C8284" s="3" t="str">
        <f>IFERROR(__xludf.DUMMYFUNCTION("GOOGLETRANSLATE(B8284,""id"",""en"")"),"['convenience', 'information', 'reviews', 'promo', 'application', 'easy', 'run', 'application', 'Telkomsel']")</f>
        <v>['convenience', 'information', 'reviews', 'promo', 'application', 'easy', 'run', 'application', 'Telkomsel']</v>
      </c>
      <c r="D8284" s="3">
        <v>5.0</v>
      </c>
    </row>
    <row r="8285" ht="15.75" customHeight="1">
      <c r="A8285" s="1">
        <v>8761.0</v>
      </c>
      <c r="B8285" s="3" t="s">
        <v>5886</v>
      </c>
      <c r="C8285" s="3" t="str">
        <f>IFERROR(__xludf.DUMMYFUNCTION("GOOGLETRANSLATE(B8285,""id"",""en"")"),"['try']")</f>
        <v>['try']</v>
      </c>
      <c r="D8285" s="3">
        <v>3.0</v>
      </c>
    </row>
    <row r="8286" ht="15.75" customHeight="1">
      <c r="A8286" s="1">
        <v>8762.0</v>
      </c>
      <c r="B8286" s="3" t="s">
        <v>7944</v>
      </c>
      <c r="C8286" s="3" t="str">
        <f>IFERROR(__xludf.DUMMYFUNCTION("GOOGLETRANSLATE(B8286,""id"",""en"")"),"['minus', 'buy', 'package', 'cheap', 'Minnn', 'yaa', 'Empor', 'buy', 'Mehong', 'Mulu', ""]")</f>
        <v>['minus', 'buy', 'package', 'cheap', 'Minnn', 'yaa', 'Empor', 'buy', 'Mehong', 'Mulu', "]</v>
      </c>
      <c r="D8286" s="3">
        <v>5.0</v>
      </c>
    </row>
    <row r="8287" ht="15.75" customHeight="1">
      <c r="A8287" s="1">
        <v>8763.0</v>
      </c>
      <c r="B8287" s="3" t="s">
        <v>7945</v>
      </c>
      <c r="C8287" s="3" t="str">
        <f>IFERROR(__xludf.DUMMYFUNCTION("GOOGLETRANSLATE(B8287,""id"",""en"")"),"['Undi', 'Happy', 'real', 'as', 'dgr', 'tmpat', 'area', 'can']")</f>
        <v>['Undi', 'Happy', 'real', 'as', 'dgr', 'tmpat', 'area', 'can']</v>
      </c>
      <c r="D8287" s="3">
        <v>5.0</v>
      </c>
    </row>
    <row r="8288" ht="15.75" customHeight="1">
      <c r="A8288" s="1">
        <v>8764.0</v>
      </c>
      <c r="B8288" s="3" t="s">
        <v>7946</v>
      </c>
      <c r="C8288" s="3" t="str">
        <f>IFERROR(__xludf.DUMMYFUNCTION("GOOGLETRANSLATE(B8288,""id"",""en"")"),"['Nga', 'bonus',' nelfon ',' buy ',' kouta ',' change ',' kaga ',' please ',' fix ',' change ',' add ',' lahh ',' bad']")</f>
        <v>['Nga', 'bonus',' nelfon ',' buy ',' kouta ',' change ',' kaga ',' please ',' fix ',' change ',' add ',' lahh ',' bad']</v>
      </c>
      <c r="D8288" s="3">
        <v>3.0</v>
      </c>
    </row>
    <row r="8289" ht="15.75" customHeight="1">
      <c r="A8289" s="1">
        <v>8765.0</v>
      </c>
      <c r="B8289" s="3" t="s">
        <v>7947</v>
      </c>
      <c r="C8289" s="3" t="str">
        <f>IFERROR(__xludf.DUMMYFUNCTION("GOOGLETRANSLATE(B8289,""id"",""en"")"),"['Telkom', 'Help', 'Open', 'Application', 'Rates',' Non ',' Package ',' Credit ',' Direct ',' Out ',' CMN ',' Open ',' App ',' Telkom ',' Pulse ',' Hangus']")</f>
        <v>['Telkom', 'Help', 'Open', 'Application', 'Rates',' Non ',' Package ',' Credit ',' Direct ',' Out ',' CMN ',' Open ',' App ',' Telkom ',' Pulse ',' Hangus']</v>
      </c>
      <c r="D8289" s="3">
        <v>1.0</v>
      </c>
    </row>
    <row r="8290" ht="15.75" customHeight="1">
      <c r="A8290" s="1">
        <v>8766.0</v>
      </c>
      <c r="B8290" s="3" t="s">
        <v>7948</v>
      </c>
      <c r="C8290" s="3" t="str">
        <f>IFERROR(__xludf.DUMMYFUNCTION("GOOGLETRANSLATE(B8290,""id"",""en"")"),"['Season', 'Telkomsel', 'A second', 'notification', 'run out', 'Kouta', 'already', 'take', 'pulse', 'thousand', 'blm', 'smpat', ' Matiin ',' data ',' nya ',' already ',' run out ',' gymna ',' TELEN ',' ']")</f>
        <v>['Season', 'Telkomsel', 'A second', 'notification', 'run out', 'Kouta', 'already', 'take', 'pulse', 'thousand', 'blm', 'smpat', ' Matiin ',' data ',' nya ',' already ',' run out ',' gymna ',' TELEN ',' ']</v>
      </c>
      <c r="D8290" s="3">
        <v>1.0</v>
      </c>
    </row>
    <row r="8291" ht="15.75" customHeight="1">
      <c r="A8291" s="1">
        <v>8767.0</v>
      </c>
      <c r="B8291" s="3" t="s">
        <v>7949</v>
      </c>
      <c r="C8291" s="3" t="str">
        <f>IFERROR(__xludf.DUMMYFUNCTION("GOOGLETRANSLATE(B8291,""id"",""en"")"),"['Move', 'Instant', 'Bonus',' Internet ',' As a result ',' Credit ',' Sucked ',' Karna ',' Network ',' Move ',' Tricks', 'Search', ' money']")</f>
        <v>['Move', 'Instant', 'Bonus',' Internet ',' As a result ',' Credit ',' Sucked ',' Karna ',' Network ',' Move ',' Tricks', 'Search', ' money']</v>
      </c>
      <c r="D8291" s="3">
        <v>1.0</v>
      </c>
    </row>
    <row r="8292" ht="15.75" customHeight="1">
      <c r="A8292" s="1">
        <v>8768.0</v>
      </c>
      <c r="B8292" s="3" t="s">
        <v>7950</v>
      </c>
      <c r="C8292" s="3" t="str">
        <f>IFERROR(__xludf.DUMMYFUNCTION("GOOGLETRANSLATE(B8292,""id"",""en"")"),"['Telkomsel', 'Anyway', 'Alhamdulillah', 'many years', 'Telkomsel', 'good', 'promo', 'hunt', 'Download', 'Gaes', ""]")</f>
        <v>['Telkomsel', 'Anyway', 'Alhamdulillah', 'many years', 'Telkomsel', 'good', 'promo', 'hunt', 'Download', 'Gaes', "]</v>
      </c>
      <c r="D8292" s="3">
        <v>4.0</v>
      </c>
    </row>
    <row r="8293" ht="15.75" customHeight="1">
      <c r="A8293" s="1">
        <v>8769.0</v>
      </c>
      <c r="B8293" s="3" t="s">
        <v>7951</v>
      </c>
      <c r="C8293" s="3" t="str">
        <f>IFERROR(__xludf.DUMMYFUNCTION("GOOGLETRANSLATE(B8293,""id"",""en"")"),"['Please', 'Signal', 'Telkomsel', 'Fix', 'Play', 'Game', 'Nge', 'lag', ""]")</f>
        <v>['Please', 'Signal', 'Telkomsel', 'Fix', 'Play', 'Game', 'Nge', 'lag', "]</v>
      </c>
      <c r="D8293" s="3">
        <v>1.0</v>
      </c>
    </row>
    <row r="8294" ht="15.75" customHeight="1">
      <c r="A8294" s="1">
        <v>8770.0</v>
      </c>
      <c r="B8294" s="3" t="s">
        <v>7952</v>
      </c>
      <c r="C8294" s="3" t="str">
        <f>IFERROR(__xludf.DUMMYFUNCTION("GOOGLETRANSLATE(B8294,""id"",""en"")"),"['entry', 'application', 'enter', 'times',' already ',' updated ',' ehhh ',' told ',' updated ',' the network ',' already ',' as fast as', ' Yaa ', ""]")</f>
        <v>['entry', 'application', 'enter', 'times',' already ',' updated ',' ehhh ',' told ',' updated ',' the network ',' already ',' as fast as', ' Yaa ', "]</v>
      </c>
      <c r="D8294" s="3">
        <v>1.0</v>
      </c>
    </row>
    <row r="8295" ht="15.75" customHeight="1">
      <c r="A8295" s="1">
        <v>8772.0</v>
      </c>
      <c r="B8295" s="3" t="s">
        <v>7953</v>
      </c>
      <c r="C8295" s="3" t="str">
        <f>IFERROR(__xludf.DUMMYFUNCTION("GOOGLETRANSLATE(B8295,""id"",""en"")"),"['quota', 'internet', 'put', 'first', 'quota', 'multi', 'media', 'multi', 'media', 'spy', 'internet', 'fast', ' ']")</f>
        <v>['quota', 'internet', 'put', 'first', 'quota', 'multi', 'media', 'multi', 'media', 'spy', 'internet', 'fast', ' ']</v>
      </c>
      <c r="D8295" s="3">
        <v>4.0</v>
      </c>
    </row>
    <row r="8296" ht="15.75" customHeight="1">
      <c r="A8296" s="1">
        <v>8773.0</v>
      </c>
      <c r="B8296" s="3" t="s">
        <v>7954</v>
      </c>
      <c r="C8296" s="3" t="str">
        <f>IFERROR(__xludf.DUMMYFUNCTION("GOOGLETRANSLATE(B8296,""id"",""en"")"),"['card', 'sympathy', 'Telkomsel', 'SMS', 'expensive', 'package', 'data', 'expensive', 'price', 'strangling', 'expensive', 'connectivity', ' Good ',' balanced ',' already ',' expensive ',' connection ',' internet ',' stable ',' speed ',' internet ',' stabl"&amp;"e ',' my apk ',' pretty ',' point ' , 'Telfon', 'Operator', 'Not bad', 'expensive', 'priority', 'convenience', 'convenience', 'plus',' stability ',' internet ',' customer ',' burdened ',' price']")</f>
        <v>['card', 'sympathy', 'Telkomsel', 'SMS', 'expensive', 'package', 'data', 'expensive', 'price', 'strangling', 'expensive', 'connectivity', ' Good ',' balanced ',' already ',' expensive ',' connection ',' internet ',' stable ',' speed ',' internet ',' stable ',' my apk ',' pretty ',' point ' , 'Telfon', 'Operator', 'Not bad', 'expensive', 'priority', 'convenience', 'convenience', 'plus',' stability ',' internet ',' customer ',' burdened ',' price']</v>
      </c>
      <c r="D8296" s="3">
        <v>1.0</v>
      </c>
    </row>
    <row r="8297" ht="15.75" customHeight="1">
      <c r="A8297" s="1">
        <v>8774.0</v>
      </c>
      <c r="B8297" s="3" t="s">
        <v>7955</v>
      </c>
      <c r="C8297" s="3" t="str">
        <f>IFERROR(__xludf.DUMMYFUNCTION("GOOGLETRANSLATE(B8297,""id"",""en"")"),"['', 'Block', 'Friday', 'Village', 'Ciborelang', 'Kecamatan', 'Jatiwangi', 'Kabupaten', 'Majalengka', 'West', 'West', 'Signal', 'Telkomsel ',' bad ',' signal ',' internet ',' appears', 'logo', 'internet', 'bad', 'loading', 'slow', 'really', 'model', 'era'"&amp;", 'proven', 'smooth', 'region']")</f>
        <v>['', 'Block', 'Friday', 'Village', 'Ciborelang', 'Kecamatan', 'Jatiwangi', 'Kabupaten', 'Majalengka', 'West', 'West', 'Signal', 'Telkomsel ',' bad ',' signal ',' internet ',' appears', 'logo', 'internet', 'bad', 'loading', 'slow', 'really', 'model', 'era', 'proven', 'smooth', 'region']</v>
      </c>
      <c r="D8297" s="3">
        <v>1.0</v>
      </c>
    </row>
    <row r="8298" ht="15.75" customHeight="1">
      <c r="A8298" s="1">
        <v>8775.0</v>
      </c>
      <c r="B8298" s="3" t="s">
        <v>7956</v>
      </c>
      <c r="C8298" s="3" t="str">
        <f>IFERROR(__xludf.DUMMYFUNCTION("GOOGLETRANSLATE(B8298,""id"",""en"")"),"['disappointing', 'buy', 'quota', 'night', 'pulse', 'quota', 'enter', 'pulse', 'truncated', 'please', 'apk', 'huh', ' ']")</f>
        <v>['disappointing', 'buy', 'quota', 'night', 'pulse', 'quota', 'enter', 'pulse', 'truncated', 'please', 'apk', 'huh', ' ']</v>
      </c>
      <c r="D8298" s="3">
        <v>1.0</v>
      </c>
    </row>
    <row r="8299" ht="15.75" customHeight="1">
      <c r="A8299" s="1">
        <v>8776.0</v>
      </c>
      <c r="B8299" s="3" t="s">
        <v>7957</v>
      </c>
      <c r="C8299" s="3" t="str">
        <f>IFERROR(__xludf.DUMMYFUNCTION("GOOGLETRANSLATE(B8299,""id"",""en"")"),"['price', 'quota', 'expensive', 'right', 'buy', 'package', 'data', 'payment', 'funds',' balance ',' truncated ',' quota ',' Enter ',' disappointing ',' lucky ',' right ',' buy ',' Package ',' Gede ']")</f>
        <v>['price', 'quota', 'expensive', 'right', 'buy', 'package', 'data', 'payment', 'funds',' balance ',' truncated ',' quota ',' Enter ',' disappointing ',' lucky ',' right ',' buy ',' Package ',' Gede ']</v>
      </c>
      <c r="D8299" s="3">
        <v>1.0</v>
      </c>
    </row>
    <row r="8300" ht="15.75" customHeight="1">
      <c r="A8300" s="1">
        <v>8777.0</v>
      </c>
      <c r="B8300" s="3" t="s">
        <v>7958</v>
      </c>
      <c r="C8300" s="3" t="str">
        <f>IFERROR(__xludf.DUMMYFUNCTION("GOOGLETRANSLATE(B8300,""id"",""en"")"),"['oath', 'emotion', 'ngukes',' proof ',' already ',' sendin ',' see ',' how ',' dilapidated ',' system ',' sell ',' buy ',' Telkomsel ',' buy ',' credit ',' Telkomsel ',' Pay ',' Shopee ',' proof ',' payment ',' managed ',' minutes', 'Notif', 'Telkomsel',"&amp;" 'failed' , 'system', 'busy', 'bad', 'money', 'truncated', 'entered', 'system', 'ugly', 'detrimental', 'people', 'disappointed']")</f>
        <v>['oath', 'emotion', 'ngukes',' proof ',' already ',' sendin ',' see ',' how ',' dilapidated ',' system ',' sell ',' buy ',' Telkomsel ',' buy ',' credit ',' Telkomsel ',' Pay ',' Shopee ',' proof ',' payment ',' managed ',' minutes', 'Notif', 'Telkomsel', 'failed' , 'system', 'busy', 'bad', 'money', 'truncated', 'entered', 'system', 'ugly', 'detrimental', 'people', 'disappointed']</v>
      </c>
      <c r="D8300" s="3">
        <v>1.0</v>
      </c>
    </row>
    <row r="8301" ht="15.75" customHeight="1">
      <c r="A8301" s="1">
        <v>8778.0</v>
      </c>
      <c r="B8301" s="3" t="s">
        <v>7959</v>
      </c>
      <c r="C8301" s="3" t="str">
        <f>IFERROR(__xludf.DUMMYFUNCTION("GOOGLETRANSLATE(B8301,""id"",""en"")"),"['buy', 'pulse', 'tsel', 'paid', 'spay', 'entry', 'spay', 'already', 'reduced', 'saldo', 'tetep', 'entered', ' Pulsely ']")</f>
        <v>['buy', 'pulse', 'tsel', 'paid', 'spay', 'entry', 'spay', 'already', 'reduced', 'saldo', 'tetep', 'entered', ' Pulsely ']</v>
      </c>
      <c r="D8301" s="3">
        <v>1.0</v>
      </c>
    </row>
    <row r="8302" ht="15.75" customHeight="1">
      <c r="A8302" s="1">
        <v>8780.0</v>
      </c>
      <c r="B8302" s="3" t="s">
        <v>7960</v>
      </c>
      <c r="C8302" s="3" t="str">
        <f>IFERROR(__xludf.DUMMYFUNCTION("GOOGLETRANSLATE(B8302,""id"",""en"")"),"['please', 'Telkomsel', 'contents',' reset ',' pulse ',' list ',' quota ',' internet ',' clock ',' enter ',' quota ',' pulse ',' thousand ',' please ',' solution ']")</f>
        <v>['please', 'Telkomsel', 'contents',' reset ',' pulse ',' list ',' quota ',' internet ',' clock ',' enter ',' quota ',' pulse ',' thousand ',' please ',' solution ']</v>
      </c>
      <c r="D8302" s="3">
        <v>1.0</v>
      </c>
    </row>
    <row r="8303" ht="15.75" customHeight="1">
      <c r="A8303" s="1">
        <v>8781.0</v>
      </c>
      <c r="B8303" s="3" t="s">
        <v>7961</v>
      </c>
      <c r="C8303" s="3" t="str">
        <f>IFERROR(__xludf.DUMMYFUNCTION("GOOGLETRANSLATE(B8303,""id"",""en"")"),"['Stay', 'home', 'owner', 'different', 'price', 'quota', 'internet', 'different', 'subscribe', 'expensive', 'price', 'Telkomsel', ' squeeze ',' deliberate ',' ']")</f>
        <v>['Stay', 'home', 'owner', 'different', 'price', 'quota', 'internet', 'different', 'subscribe', 'expensive', 'price', 'Telkomsel', ' squeeze ',' deliberate ',' ']</v>
      </c>
      <c r="D8303" s="3">
        <v>2.0</v>
      </c>
    </row>
    <row r="8304" ht="15.75" customHeight="1">
      <c r="A8304" s="1">
        <v>8782.0</v>
      </c>
      <c r="B8304" s="3" t="s">
        <v>7962</v>
      </c>
      <c r="C8304" s="3" t="str">
        <f>IFERROR(__xludf.DUMMYFUNCTION("GOOGLETRANSLATE(B8304,""id"",""en"")"),"['card', 'free', 'hope', 'easy', 'communication', 'economical', 'ber', 'internet', 'unfortunate', 'buy', 'kouta', 'expensive', ' Very ',' Masi ',' Masi ',' Student ',' Hope ',' Buy ',' Package ',' Kouta ',' Cheap ',' Sorry ',' Delete ',' Thank you ', ""]")</f>
        <v>['card', 'free', 'hope', 'easy', 'communication', 'economical', 'ber', 'internet', 'unfortunate', 'buy', 'kouta', 'expensive', ' Very ',' Masi ',' Masi ',' Student ',' Hope ',' Buy ',' Package ',' Kouta ',' Cheap ',' Sorry ',' Delete ',' Thank you ', "]</v>
      </c>
      <c r="D8304" s="3">
        <v>1.0</v>
      </c>
    </row>
    <row r="8305" ht="15.75" customHeight="1">
      <c r="A8305" s="1">
        <v>8783.0</v>
      </c>
      <c r="B8305" s="3" t="s">
        <v>7963</v>
      </c>
      <c r="C8305" s="3" t="str">
        <f>IFERROR(__xludf.DUMMYFUNCTION("GOOGLETRANSLATE(B8305,""id"",""en"")"),"['', 'signal', 'Telkomsel', 'poor', 'run out', 'package', 'sorry', 'retirement', 'Telkomsel', 'use', 'many years', '']")</f>
        <v>['', 'signal', 'Telkomsel', 'poor', 'run out', 'package', 'sorry', 'retirement', 'Telkomsel', 'use', 'many years', '']</v>
      </c>
      <c r="D8305" s="3">
        <v>1.0</v>
      </c>
    </row>
    <row r="8306" ht="15.75" customHeight="1">
      <c r="A8306" s="1">
        <v>8784.0</v>
      </c>
      <c r="B8306" s="3" t="s">
        <v>7964</v>
      </c>
      <c r="C8306" s="3" t="str">
        <f>IFERROR(__xludf.DUMMYFUNCTION("GOOGLETRANSLATE(B8306,""id"",""en"")"),"['application', 'transaction', 'teach', 'Telkomsel', 'run out', 'pulse', 'sucked', 'Gara', 'Gara', 'buy', 'quota', 'no ""]")</f>
        <v>['application', 'transaction', 'teach', 'Telkomsel', 'run out', 'pulse', 'sucked', 'Gara', 'Gara', 'buy', 'quota', 'no "]</v>
      </c>
      <c r="D8306" s="3">
        <v>1.0</v>
      </c>
    </row>
    <row r="8307" ht="15.75" customHeight="1">
      <c r="A8307" s="1">
        <v>8786.0</v>
      </c>
      <c r="B8307" s="3" t="s">
        <v>7965</v>
      </c>
      <c r="C8307" s="3" t="str">
        <f>IFERROR(__xludf.DUMMYFUNCTION("GOOGLETRANSLATE(B8307,""id"",""en"")"),"['chaotic', 'application', 'name', 'Telkomsel', 'application']")</f>
        <v>['chaotic', 'application', 'name', 'Telkomsel', 'application']</v>
      </c>
      <c r="D8307" s="3">
        <v>1.0</v>
      </c>
    </row>
    <row r="8308" ht="15.75" customHeight="1">
      <c r="A8308" s="1">
        <v>8787.0</v>
      </c>
      <c r="B8308" s="3" t="s">
        <v>7966</v>
      </c>
      <c r="C8308" s="3" t="str">
        <f>IFERROR(__xludf.DUMMYFUNCTION("GOOGLETRANSLATE(B8308,""id"",""en"")"),"['Like', 'Telkimsel', 'update', 'update', 'Performance', 'ugly', 'application', 'error']")</f>
        <v>['Like', 'Telkimsel', 'update', 'update', 'Performance', 'ugly', 'application', 'error']</v>
      </c>
      <c r="D8308" s="3">
        <v>3.0</v>
      </c>
    </row>
    <row r="8309" ht="15.75" customHeight="1">
      <c r="A8309" s="1">
        <v>8789.0</v>
      </c>
      <c r="B8309" s="3" t="s">
        <v>7967</v>
      </c>
      <c r="C8309" s="3" t="str">
        <f>IFERROR(__xludf.DUMMYFUNCTION("GOOGLETRANSLATE(B8309,""id"",""en"")"),"['Honest', 'disappointed', 'because', 'network', 'stable', 'slow', 'replace', 'card', 'bored', 'use', 'Telkomsel', 'slow', ' Severe ',' sucked ',' pulses', 'Ngilak', ""]")</f>
        <v>['Honest', 'disappointed', 'because', 'network', 'stable', 'slow', 'replace', 'card', 'bored', 'use', 'Telkomsel', 'slow', ' Severe ',' sucked ',' pulses', 'Ngilak', "]</v>
      </c>
      <c r="D8309" s="3">
        <v>1.0</v>
      </c>
    </row>
    <row r="8310" ht="15.75" customHeight="1">
      <c r="A8310" s="1">
        <v>8790.0</v>
      </c>
      <c r="B8310" s="3" t="s">
        <v>7968</v>
      </c>
      <c r="C8310" s="3" t="str">
        <f>IFERROR(__xludf.DUMMYFUNCTION("GOOGLETRANSLATE(B8310,""id"",""en"")"),"['easy', 'buy', 'quota', 'pulse', 'check', 'leftover', 'quota']")</f>
        <v>['easy', 'buy', 'quota', 'pulse', 'check', 'leftover', 'quota']</v>
      </c>
      <c r="D8310" s="3">
        <v>4.0</v>
      </c>
    </row>
    <row r="8311" ht="15.75" customHeight="1">
      <c r="A8311" s="1">
        <v>8791.0</v>
      </c>
      <c r="B8311" s="3" t="s">
        <v>7969</v>
      </c>
      <c r="C8311" s="3" t="str">
        <f>IFERROR(__xludf.DUMMYFUNCTION("GOOGLETRANSLATE(B8311,""id"",""en"")"),"['Disappointed', 'Promo', 'Recommendation', 'Combo', 'Sakti', 'Special', 'Price', 'Payment', 'Credit', 'Filled', 'Pulses',' Error ',' Refresh ',' pulses', 'missing', 'quota', 'worth', 'suspected', 'disappointed', 'disappointed', '']")</f>
        <v>['Disappointed', 'Promo', 'Recommendation', 'Combo', 'Sakti', 'Special', 'Price', 'Payment', 'Credit', 'Filled', 'Pulses',' Error ',' Refresh ',' pulses', 'missing', 'quota', 'worth', 'suspected', 'disappointed', 'disappointed', '']</v>
      </c>
      <c r="D8311" s="3">
        <v>1.0</v>
      </c>
    </row>
    <row r="8312" ht="15.75" customHeight="1">
      <c r="A8312" s="1">
        <v>8792.0</v>
      </c>
      <c r="B8312" s="3" t="s">
        <v>7970</v>
      </c>
      <c r="C8312" s="3" t="str">
        <f>IFERROR(__xludf.DUMMYFUNCTION("GOOGLETRANSLATE(B8312,""id"",""en"")"),"['wahhh', 'chaotic', 'Telkomsel', 'contents',' pulse ',' use ',' wifi ',' data ',' personal ',' abis', 'pulse', 'kaga', ' Bener ',' company ',' play ',' take ',' ration ',' person ',' right ',' choose ',' company ']")</f>
        <v>['wahhh', 'chaotic', 'Telkomsel', 'contents',' pulse ',' use ',' wifi ',' data ',' personal ',' abis', 'pulse', 'kaga', ' Bener ',' company ',' play ',' take ',' ration ',' person ',' right ',' choose ',' company ']</v>
      </c>
      <c r="D8312" s="3">
        <v>1.0</v>
      </c>
    </row>
    <row r="8313" ht="15.75" customHeight="1">
      <c r="A8313" s="1">
        <v>8793.0</v>
      </c>
      <c r="B8313" s="3" t="s">
        <v>7971</v>
      </c>
      <c r="C8313" s="3" t="str">
        <f>IFERROR(__xludf.DUMMYFUNCTION("GOOGLETRANSLATE(B8313,""id"",""en"")"),"['Telkomsel', 'BURIK', 'SKRG', 'Network', 'Paketan', 'expensive', 'according to', 'price', 'BURIK', 'Telkimsel', 'BURIK', 'suggestion', ' mnding ',' move ',' ttip ',' comment ']")</f>
        <v>['Telkomsel', 'BURIK', 'SKRG', 'Network', 'Paketan', 'expensive', 'according to', 'price', 'BURIK', 'Telkimsel', 'BURIK', 'suggestion', ' mnding ',' move ',' ttip ',' comment ']</v>
      </c>
      <c r="D8313" s="3">
        <v>1.0</v>
      </c>
    </row>
    <row r="8314" ht="15.75" customHeight="1">
      <c r="A8314" s="1">
        <v>8794.0</v>
      </c>
      <c r="B8314" s="3" t="s">
        <v>7972</v>
      </c>
      <c r="C8314" s="3" t="str">
        <f>IFERROR(__xludf.DUMMYFUNCTION("GOOGLETRANSLATE(B8314,""id"",""en"")"),"['Aga', 'ugly', 'area', 'area', 'good', '']")</f>
        <v>['Aga', 'ugly', 'area', 'area', 'good', '']</v>
      </c>
      <c r="D8314" s="3">
        <v>4.0</v>
      </c>
    </row>
    <row r="8315" ht="15.75" customHeight="1">
      <c r="A8315" s="1">
        <v>8795.0</v>
      </c>
      <c r="B8315" s="3" t="s">
        <v>7973</v>
      </c>
      <c r="C8315" s="3" t="str">
        <f>IFERROR(__xludf.DUMMYFUNCTION("GOOGLETRANSLATE(B8315,""id"",""en"")"),"['Come on', 'Rame', 'Change', 'Telkomsel', 'Expensive', 'Slow', 'Dipelunjak', 'Select', 'Customer']")</f>
        <v>['Come on', 'Rame', 'Change', 'Telkomsel', 'Expensive', 'Slow', 'Dipelunjak', 'Select', 'Customer']</v>
      </c>
      <c r="D8315" s="3">
        <v>1.0</v>
      </c>
    </row>
    <row r="8316" ht="15.75" customHeight="1">
      <c r="A8316" s="1">
        <v>8796.0</v>
      </c>
      <c r="B8316" s="3" t="s">
        <v>7974</v>
      </c>
      <c r="C8316" s="3" t="str">
        <f>IFERROR(__xludf.DUMMYFUNCTION("GOOGLETRANSLATE(B8316,""id"",""en"")"),"['likes', 'Telkomsel', 'hold', 'promotion', 'guaranteed', 'transaction', '']")</f>
        <v>['likes', 'Telkomsel', 'hold', 'promotion', 'guaranteed', 'transaction', '']</v>
      </c>
      <c r="D8316" s="3">
        <v>5.0</v>
      </c>
    </row>
    <row r="8317" ht="15.75" customHeight="1">
      <c r="A8317" s="1">
        <v>8797.0</v>
      </c>
      <c r="B8317" s="3" t="s">
        <v>7975</v>
      </c>
      <c r="C8317" s="3" t="str">
        <f>IFERROR(__xludf.DUMMYFUNCTION("GOOGLETRANSLATE(B8317,""id"",""en"")"),"['Telkomsel', 'severe', 'service', 'price', 'package', 'expensive', 'point', 'exchanged', 'pulse', 'different', 'service', 'Telkomsel', ' Please ',' repaired ',' Service ',' Telkomsel ',' evenly ',' network ']")</f>
        <v>['Telkomsel', 'severe', 'service', 'price', 'package', 'expensive', 'point', 'exchanged', 'pulse', 'different', 'service', 'Telkomsel', ' Please ',' repaired ',' Service ',' Telkomsel ',' evenly ',' network ']</v>
      </c>
      <c r="D8317" s="3">
        <v>5.0</v>
      </c>
    </row>
    <row r="8318" ht="15.75" customHeight="1">
      <c r="A8318" s="1">
        <v>8798.0</v>
      </c>
      <c r="B8318" s="3" t="s">
        <v>7976</v>
      </c>
      <c r="C8318" s="3" t="str">
        <f>IFERROR(__xludf.DUMMYFUNCTION("GOOGLETRANSLATE(B8318,""id"",""en"")"),"['response', 'slow', 'network', 'stable', 'expensive', 'doang', 'chat', 'veronika', 'bales', 'no']")</f>
        <v>['response', 'slow', 'network', 'stable', 'expensive', 'doang', 'chat', 'veronika', 'bales', 'no']</v>
      </c>
      <c r="D8318" s="3">
        <v>1.0</v>
      </c>
    </row>
    <row r="8319" ht="15.75" customHeight="1">
      <c r="A8319" s="1">
        <v>8799.0</v>
      </c>
      <c r="B8319" s="3" t="s">
        <v>7977</v>
      </c>
      <c r="C8319" s="3" t="str">
        <f>IFERROR(__xludf.DUMMYFUNCTION("GOOGLETRANSLATE(B8319,""id"",""en"")"),"['signal', 'slow', 'package', 'expensive', 'slow', 'signal', 'missing', '']")</f>
        <v>['signal', 'slow', 'package', 'expensive', 'slow', 'signal', 'missing', '']</v>
      </c>
      <c r="D8319" s="3">
        <v>2.0</v>
      </c>
    </row>
    <row r="8320" ht="15.75" customHeight="1">
      <c r="A8320" s="1">
        <v>8800.0</v>
      </c>
      <c r="B8320" s="3" t="s">
        <v>7978</v>
      </c>
      <c r="C8320" s="3" t="str">
        <f>IFERROR(__xludf.DUMMYFUNCTION("GOOGLETRANSLATE(B8320,""id"",""en"")"),"['network', 'Telkomsel', 'no', 'stable', 'please', 'fix', 'love', 'star', ""]")</f>
        <v>['network', 'Telkomsel', 'no', 'stable', 'please', 'fix', 'love', 'star', "]</v>
      </c>
      <c r="D8320" s="3">
        <v>3.0</v>
      </c>
    </row>
    <row r="8321" ht="15.75" customHeight="1">
      <c r="A8321" s="1">
        <v>8801.0</v>
      </c>
      <c r="B8321" s="3" t="s">
        <v>7979</v>
      </c>
      <c r="C8321" s="3" t="str">
        <f>IFERROR(__xludf.DUMMYFUNCTION("GOOGLETRANSLATE(B8321,""id"",""en"")"),"['Good', 'makes it easy', 'users',' Telkomsel ',' application ',' user ',' friendly ',' njelimet ',' unfortunately ',' win ',' lottery ',' Telkomselpoin ',' Wkwkwkwk ',' ']")</f>
        <v>['Good', 'makes it easy', 'users',' Telkomsel ',' application ',' user ',' friendly ',' njelimet ',' unfortunately ',' win ',' lottery ',' Telkomselpoin ',' Wkwkwkwk ',' ']</v>
      </c>
      <c r="D8321" s="3">
        <v>5.0</v>
      </c>
    </row>
    <row r="8322" ht="15.75" customHeight="1">
      <c r="A8322" s="1">
        <v>8802.0</v>
      </c>
      <c r="B8322" s="3" t="s">
        <v>7980</v>
      </c>
      <c r="C8322" s="3" t="str">
        <f>IFERROR(__xludf.DUMMYFUNCTION("GOOGLETRANSLATE(B8322,""id"",""en"")"),"['activated', 'Magic', 'Call', 'Tetau', 'On', 'ilang', 'Credit', 'Activein', 'Package', 'Emergency', 'Tetau', 'Active', ' package ',' emergency ',' burden ',' debt ',' pulse ',' ceban ',' tomorrow ',' pagimana ',' cell ',' amsyong ',' saban ',' mah ',' bu"&amp;"seeeeee ' , '']")</f>
        <v>['activated', 'Magic', 'Call', 'Tetau', 'On', 'ilang', 'Credit', 'Activein', 'Package', 'Emergency', 'Tetau', 'Active', ' package ',' emergency ',' burden ',' debt ',' pulse ',' ceban ',' tomorrow ',' pagimana ',' cell ',' amsyong ',' saban ',' mah ',' buseeeeee ' , '']</v>
      </c>
      <c r="D8322" s="3">
        <v>1.0</v>
      </c>
    </row>
    <row r="8323" ht="15.75" customHeight="1">
      <c r="A8323" s="1">
        <v>8803.0</v>
      </c>
      <c r="B8323" s="3" t="s">
        <v>7981</v>
      </c>
      <c r="C8323" s="3" t="str">
        <f>IFERROR(__xludf.DUMMYFUNCTION("GOOGLETRANSLATE(B8323,""id"",""en"")"),"['Please', 'The network', 'repaired', 'ngak', 'signal', 'break up', 'expect', 'Telkomsel', '']")</f>
        <v>['Please', 'The network', 'repaired', 'ngak', 'signal', 'break up', 'expect', 'Telkomsel', '']</v>
      </c>
      <c r="D8323" s="3">
        <v>1.0</v>
      </c>
    </row>
    <row r="8324" ht="15.75" customHeight="1">
      <c r="A8324" s="1">
        <v>8804.0</v>
      </c>
      <c r="B8324" s="3" t="s">
        <v>7982</v>
      </c>
      <c r="C8324" s="3" t="str">
        <f>IFERROR(__xludf.DUMMYFUNCTION("GOOGLETRANSLATE(B8324,""id"",""en"")"),"['Ribet', 'enter', 'sense', 'Tuker', 'Points',' Persulit ',' Points', 'Exchange', 'Exchange', 'Points',' Harua ',' Ride ',' Limit ',' limit ',' according to ',' please ',' fix ',' system ',' etc. ',' detrimental ',' user ',' card ',' hello ',' prepaid ','"&amp;" pay ' , 'Ontime', 'progam', 'satisfied', 'according to', 'package', 'according to', '']")</f>
        <v>['Ribet', 'enter', 'sense', 'Tuker', 'Points',' Persulit ',' Points', 'Exchange', 'Exchange', 'Points',' Harua ',' Ride ',' Limit ',' limit ',' according to ',' please ',' fix ',' system ',' etc. ',' detrimental ',' user ',' card ',' hello ',' prepaid ',' pay ' , 'Ontime', 'progam', 'satisfied', 'according to', 'package', 'according to', '']</v>
      </c>
      <c r="D8324" s="3">
        <v>1.0</v>
      </c>
    </row>
    <row r="8325" ht="15.75" customHeight="1">
      <c r="A8325" s="1">
        <v>8805.0</v>
      </c>
      <c r="B8325" s="3" t="s">
        <v>7983</v>
      </c>
      <c r="C8325" s="3" t="str">
        <f>IFERROR(__xludf.DUMMYFUNCTION("GOOGLETRANSLATE(B8325,""id"",""en"")"),"['Love', 'Bintang', 'Severe', 'Very', 'Card', 'Hello', 'Signal', 'Loading', 'Wherever', 'Place', 'Signal', 'Severe', ' ugly ',' really ',' regret ',' migration ',' card ',' Hello ',' users', 'Telkomsel', 'times',' migration ',' card ',' Hello ',' signal '"&amp;" , 'Segini', 'Severe', '']")</f>
        <v>['Love', 'Bintang', 'Severe', 'Very', 'Card', 'Hello', 'Signal', 'Loading', 'Wherever', 'Place', 'Signal', 'Severe', ' ugly ',' really ',' regret ',' migration ',' card ',' Hello ',' users', 'Telkomsel', 'times',' migration ',' card ',' Hello ',' signal ' , 'Segini', 'Severe', '']</v>
      </c>
      <c r="D8325" s="3">
        <v>1.0</v>
      </c>
    </row>
    <row r="8326" ht="15.75" customHeight="1">
      <c r="A8326" s="1">
        <v>8806.0</v>
      </c>
      <c r="B8326" s="3" t="s">
        <v>7984</v>
      </c>
      <c r="C8326" s="3" t="str">
        <f>IFERROR(__xludf.DUMMYFUNCTION("GOOGLETRANSLATE(B8326,""id"",""en"")"),"['discount', 'combo', 'Sakti', '']")</f>
        <v>['discount', 'combo', 'Sakti', '']</v>
      </c>
      <c r="D8326" s="3">
        <v>1.0</v>
      </c>
    </row>
    <row r="8327" ht="15.75" customHeight="1">
      <c r="A8327" s="1">
        <v>8807.0</v>
      </c>
      <c r="B8327" s="3" t="s">
        <v>7985</v>
      </c>
      <c r="C8327" s="3" t="str">
        <f>IFERROR(__xludf.DUMMYFUNCTION("GOOGLETRANSLATE(B8327,""id"",""en"")"),"['likes', 'Telkomsel', 'Lottery', 'get', 'like', 'ajah', 'kituh', 'Named', 'love', 'wawwww', 'romantic', ""]")</f>
        <v>['likes', 'Telkomsel', 'Lottery', 'get', 'like', 'ajah', 'kituh', 'Named', 'love', 'wawwww', 'romantic', "]</v>
      </c>
      <c r="D8327" s="3">
        <v>5.0</v>
      </c>
    </row>
    <row r="8328" ht="15.75" customHeight="1">
      <c r="A8328" s="1">
        <v>8808.0</v>
      </c>
      <c r="B8328" s="3" t="s">
        <v>7986</v>
      </c>
      <c r="C8328" s="3" t="str">
        <f>IFERROR(__xludf.DUMMYFUNCTION("GOOGLETRANSLATE(B8328,""id"",""en"")"),"['package', 'guaranteed', 'cheap', 'promo', 'price', 'quota', 'steady', 'magic', ""]")</f>
        <v>['package', 'guaranteed', 'cheap', 'promo', 'price', 'quota', 'steady', 'magic', "]</v>
      </c>
      <c r="D8328" s="3">
        <v>5.0</v>
      </c>
    </row>
    <row r="8329" ht="15.75" customHeight="1">
      <c r="A8329" s="1">
        <v>8809.0</v>
      </c>
      <c r="B8329" s="3" t="s">
        <v>7987</v>
      </c>
      <c r="C8329" s="3" t="str">
        <f>IFERROR(__xludf.DUMMYFUNCTION("GOOGLETRANSLATE(B8329,""id"",""en"")"),"['expensive', 'price', 'Kwalias', 'bad', 'signal', 'Sometimes', 'disconnected', 'response', 'Please', 'Attention', 'Quality', 'Signal']")</f>
        <v>['expensive', 'price', 'Kwalias', 'bad', 'signal', 'Sometimes', 'disconnected', 'response', 'Please', 'Attention', 'Quality', 'Signal']</v>
      </c>
      <c r="D8329" s="3">
        <v>1.0</v>
      </c>
    </row>
    <row r="8330" ht="15.75" customHeight="1">
      <c r="A8330" s="1">
        <v>8810.0</v>
      </c>
      <c r="B8330" s="3" t="s">
        <v>7988</v>
      </c>
      <c r="C8330" s="3" t="str">
        <f>IFERROR(__xludf.DUMMYFUNCTION("GOOGLETRANSLATE(B8330,""id"",""en"")"),"['Telkomsel', 'good', 'big one', 'ugly', 'friend', 'knp', 'try', 'card', 'telkomsel', 'use', 'call', 'klau', ' Data ',' use ',' tree ',' net ',' good ',' Telkomsel ']")</f>
        <v>['Telkomsel', 'good', 'big one', 'ugly', 'friend', 'knp', 'try', 'card', 'telkomsel', 'use', 'call', 'klau', ' Data ',' use ',' tree ',' net ',' good ',' Telkomsel ']</v>
      </c>
      <c r="D8330" s="3">
        <v>1.0</v>
      </c>
    </row>
    <row r="8331" ht="15.75" customHeight="1">
      <c r="A8331" s="1">
        <v>8811.0</v>
      </c>
      <c r="B8331" s="3" t="s">
        <v>7989</v>
      </c>
      <c r="C8331" s="3" t="str">
        <f>IFERROR(__xludf.DUMMYFUNCTION("GOOGLETRANSLATE(B8331,""id"",""en"")"),"['Singal', 'KGA', 'Ngilak', 'Ngelagnya', 'oath', 'a month', 'Ampe', 'JT', 'buy', 'Paketan', 'singly', 'ugly', ' bat ',' please ',' Telkomsel ',' singally ',' repaired ']")</f>
        <v>['Singal', 'KGA', 'Ngilak', 'Ngelagnya', 'oath', 'a month', 'Ampe', 'JT', 'buy', 'Paketan', 'singly', 'ugly', ' bat ',' please ',' Telkomsel ',' singally ',' repaired ']</v>
      </c>
      <c r="D8331" s="3">
        <v>2.0</v>
      </c>
    </row>
    <row r="8332" ht="15.75" customHeight="1">
      <c r="A8332" s="1">
        <v>8812.0</v>
      </c>
      <c r="B8332" s="3" t="s">
        <v>7990</v>
      </c>
      <c r="C8332" s="3" t="str">
        <f>IFERROR(__xludf.DUMMYFUNCTION("GOOGLETRANSLATE(B8332,""id"",""en"")"),"['Hello', 'Telkomsel', 'comment', 'network', 'package', 'because' slow ',' exchange ',' Points ',' Daily ',' check ',' Telkomsel ',' exchange ',' succeed ',' network ',' Dataku ',' Telkomsel ',' pulseku ',' right ',' browsing ',' sms', 'access',' internet"&amp;" ',' non ',' non ' , 'Package', 'I see', 'right', 'check', 'pulses', 'stay', 'crunch', 'ngak', 'minutes', 'loss', 'network', ""]")</f>
        <v>['Hello', 'Telkomsel', 'comment', 'network', 'package', 'because' slow ',' exchange ',' Points ',' Daily ',' check ',' Telkomsel ',' exchange ',' succeed ',' network ',' Dataku ',' Telkomsel ',' pulseku ',' right ',' browsing ',' sms', 'access',' internet ',' non ',' non ' , 'Package', 'I see', 'right', 'check', 'pulses', 'stay', 'crunch', 'ngak', 'minutes', 'loss', 'network', "]</v>
      </c>
      <c r="D8332" s="3">
        <v>3.0</v>
      </c>
    </row>
    <row r="8333" ht="15.75" customHeight="1">
      <c r="A8333" s="1">
        <v>8813.0</v>
      </c>
      <c r="B8333" s="3" t="s">
        <v>7991</v>
      </c>
      <c r="C8333" s="3" t="str">
        <f>IFERROR(__xludf.DUMMYFUNCTION("GOOGLETRANSLATE(B8333,""id"",""en"")"),"['Price', 'above', 'TPI', 'Signal', 'Telkomsel', 'Difficult', 'Lho', 'Ngegame', 'Disemarang', 'City', 'Signal', 'Ngeleg', ' In the city ',' go home ',' village ',' Dipurwodadi ',' Severe ',' please ',' authorized ',' actually ',' so ',' cook ',' yes', 'in"&amp;" the city', 'semarang' , 'signal', 'ugly', 'office', 'telkom', 'there', 'near', 'undip', 'protest', 'there', 'fear', 'expelled', 'no', ' Protests', 'No', 'Change', 'Bengini', 'Makek', 'Telkomsel', 'Thn', 'Msh', 'Bgs']")</f>
        <v>['Price', 'above', 'TPI', 'Signal', 'Telkomsel', 'Difficult', 'Lho', 'Ngegame', 'Disemarang', 'City', 'Signal', 'Ngeleg', ' In the city ',' go home ',' village ',' Dipurwodadi ',' Severe ',' please ',' authorized ',' actually ',' so ',' cook ',' yes', 'in the city', 'semarang' , 'signal', 'ugly', 'office', 'telkom', 'there', 'near', 'undip', 'protest', 'there', 'fear', 'expelled', 'no', ' Protests', 'No', 'Change', 'Bengini', 'Makek', 'Telkomsel', 'Thn', 'Msh', 'Bgs']</v>
      </c>
      <c r="D8333" s="3">
        <v>2.0</v>
      </c>
    </row>
    <row r="8334" ht="15.75" customHeight="1">
      <c r="A8334" s="1">
        <v>8814.0</v>
      </c>
      <c r="B8334" s="3" t="s">
        <v>7992</v>
      </c>
      <c r="C8334" s="3" t="str">
        <f>IFERROR(__xludf.DUMMYFUNCTION("GOOGLETRANSLATE(B8334,""id"",""en"")"),"['Wonder', 'contents',' puksa ',' direct ',' pulse ',' truncated ',' buy ',' package ',' subscribe ',' buy ',' package ',' experience it ',' TLG ',' Telkomsel ',' cheating ',' that's', 'mgkn', 'damage', 'system', 'tlg', 'fix', 'detrimental', 'customer']")</f>
        <v>['Wonder', 'contents',' puksa ',' direct ',' pulse ',' truncated ',' buy ',' package ',' subscribe ',' buy ',' package ',' experience it ',' TLG ',' Telkomsel ',' cheating ',' that's', 'mgkn', 'damage', 'system', 'tlg', 'fix', 'detrimental', 'customer']</v>
      </c>
      <c r="D8334" s="3">
        <v>1.0</v>
      </c>
    </row>
    <row r="8335" ht="15.75" customHeight="1">
      <c r="A8335" s="1">
        <v>8815.0</v>
      </c>
      <c r="B8335" s="3" t="s">
        <v>7993</v>
      </c>
      <c r="C8335" s="3" t="str">
        <f>IFERROR(__xludf.DUMMYFUNCTION("GOOGLETRANSLATE(B8335,""id"",""en"")"),"['Abis', 'update', 'open', 'application', 'told', 'update', 'Loe', 'kate', 'cave', 'ball', 'pimpong', ""]")</f>
        <v>['Abis', 'update', 'open', 'application', 'told', 'update', 'Loe', 'kate', 'cave', 'ball', 'pimpong', "]</v>
      </c>
      <c r="D8335" s="3">
        <v>3.0</v>
      </c>
    </row>
    <row r="8336" ht="15.75" customHeight="1">
      <c r="A8336" s="1">
        <v>8816.0</v>
      </c>
      <c r="B8336" s="3" t="s">
        <v>7994</v>
      </c>
      <c r="C8336" s="3" t="str">
        <f>IFERROR(__xludf.DUMMYFUNCTION("GOOGLETRANSLATE(B8336,""id"",""en"")"),"['network', 'Telkomsel', 'already', 'Different', 'Kayak', 'smooth', 'Jaya', 'signal', 'already', 'slow', 'like', 'snail', ' card ',' expensive ',' please ',' fix ',' package ',' fill out ',' like ',' gini ',' tasty ',' indosat ',' ooredoo ',' already ',' "&amp;"cheap ' , 'fluent', '']")</f>
        <v>['network', 'Telkomsel', 'already', 'Different', 'Kayak', 'smooth', 'Jaya', 'signal', 'already', 'slow', 'like', 'snail', ' card ',' expensive ',' please ',' fix ',' package ',' fill out ',' like ',' gini ',' tasty ',' indosat ',' ooredoo ',' already ',' cheap ' , 'fluent', '']</v>
      </c>
      <c r="D8336" s="3">
        <v>1.0</v>
      </c>
    </row>
    <row r="8337" ht="15.75" customHeight="1">
      <c r="A8337" s="1">
        <v>8817.0</v>
      </c>
      <c r="B8337" s="3" t="s">
        <v>7995</v>
      </c>
      <c r="C8337" s="3" t="str">
        <f>IFERROR(__xludf.DUMMYFUNCTION("GOOGLETRANSLATE(B8337,""id"",""en"")"),"['Satisfied', 'connection', 'network', 'Telkomsel', 'release', 'connection', 'deteriorating', 'play', 'pub', 'annual', 'wear', 'Telkomsel', ' Because ',' People ',' Wear ',' Telkomsel ',' Change ',' Card ',' Oprator ',' Java ',' Please ',' Expand ',' Qual"&amp;"ity ',' Network ',' Signal ' , 'connection', 'data', 'bad']")</f>
        <v>['Satisfied', 'connection', 'network', 'Telkomsel', 'release', 'connection', 'deteriorating', 'play', 'pub', 'annual', 'wear', 'Telkomsel', ' Because ',' People ',' Wear ',' Telkomsel ',' Change ',' Card ',' Oprator ',' Java ',' Please ',' Expand ',' Quality ',' Network ',' Signal ' , 'connection', 'data', 'bad']</v>
      </c>
      <c r="D8337" s="3">
        <v>1.0</v>
      </c>
    </row>
    <row r="8338" ht="15.75" customHeight="1">
      <c r="A8338" s="1">
        <v>8818.0</v>
      </c>
      <c r="B8338" s="3" t="s">
        <v>7996</v>
      </c>
      <c r="C8338" s="3" t="str">
        <f>IFERROR(__xludf.DUMMYFUNCTION("GOOGLETRANSLATE(B8338,""id"",""en"")"),"['Help', 'information', 'leftover', 'balance', 'credit', 'package', 'data', 'remaining', 'buy', 'vocer', 'internet', 'inside', ' Grace ',' card ',' bother ',' telephone ',' search ']")</f>
        <v>['Help', 'information', 'leftover', 'balance', 'credit', 'package', 'data', 'remaining', 'buy', 'vocer', 'internet', 'inside', ' Grace ',' card ',' bother ',' telephone ',' search ']</v>
      </c>
      <c r="D8338" s="3">
        <v>5.0</v>
      </c>
    </row>
    <row r="8339" ht="15.75" customHeight="1">
      <c r="A8339" s="1">
        <v>8819.0</v>
      </c>
      <c r="B8339" s="3" t="s">
        <v>7997</v>
      </c>
      <c r="C8339" s="3" t="str">
        <f>IFERROR(__xludf.DUMMYFUNCTION("GOOGLETRANSLATE(B8339,""id"",""en"")"),"['Provider', 'rotten', 'here', 'BURIK', 'Telkomsel', 'felt', 'bad', 'Performance', 'damn', 'price', 'expensive', 'comparable', ' Capethane ',' quota ',' contents', 'quota', 'recommended']")</f>
        <v>['Provider', 'rotten', 'here', 'BURIK', 'Telkomsel', 'felt', 'bad', 'Performance', 'damn', 'price', 'expensive', 'comparable', ' Capethane ',' quota ',' contents', 'quota', 'recommended']</v>
      </c>
      <c r="D8339" s="3">
        <v>1.0</v>
      </c>
    </row>
    <row r="8340" ht="15.75" customHeight="1">
      <c r="A8340" s="1">
        <v>8820.0</v>
      </c>
      <c r="B8340" s="3" t="s">
        <v>7998</v>
      </c>
      <c r="C8340" s="3" t="str">
        <f>IFERROR(__xludf.DUMMYFUNCTION("GOOGLETRANSLATE(B8340,""id"",""en"")"),"['Improvement', 'Signal', 'Closed', 'Mending', 'Ngerugin', 'Buy', 'Package', 'Signal', 'Difficult', 'Untung', 'Trssss',' Performance ',' Thereaaa ',' ']")</f>
        <v>['Improvement', 'Signal', 'Closed', 'Mending', 'Ngerugin', 'Buy', 'Package', 'Signal', 'Difficult', 'Untung', 'Trssss',' Performance ',' Thereaaa ',' ']</v>
      </c>
      <c r="D8340" s="3">
        <v>1.0</v>
      </c>
    </row>
    <row r="8341" ht="15.75" customHeight="1">
      <c r="A8341" s="1">
        <v>8821.0</v>
      </c>
      <c r="B8341" s="3" t="s">
        <v>7999</v>
      </c>
      <c r="C8341" s="3" t="str">
        <f>IFERROR(__xludf.DUMMYFUNCTION("GOOGLETRANSLATE(B8341,""id"",""en"")"),"['emang', 'bner', 'cable', 'telkom', 'ocean', 'bite', 'megalodon']")</f>
        <v>['emang', 'bner', 'cable', 'telkom', 'ocean', 'bite', 'megalodon']</v>
      </c>
      <c r="D8341" s="3">
        <v>5.0</v>
      </c>
    </row>
    <row r="8342" ht="15.75" customHeight="1">
      <c r="A8342" s="1">
        <v>8822.0</v>
      </c>
      <c r="B8342" s="3" t="s">
        <v>8000</v>
      </c>
      <c r="C8342" s="3" t="str">
        <f>IFERROR(__xludf.DUMMYFUNCTION("GOOGLETRANSLATE(B8342,""id"",""en"")"),"['package', 'package', 'unlimited', 'Tiktok', 'Tiktokan', 'fraud', 'kah', 'replace', 'money', 'loss', 'responsible']")</f>
        <v>['package', 'package', 'unlimited', 'Tiktok', 'Tiktokan', 'fraud', 'kah', 'replace', 'money', 'loss', 'responsible']</v>
      </c>
      <c r="D8342" s="3">
        <v>1.0</v>
      </c>
    </row>
    <row r="8343" ht="15.75" customHeight="1">
      <c r="A8343" s="1">
        <v>8823.0</v>
      </c>
      <c r="B8343" s="3" t="s">
        <v>8001</v>
      </c>
      <c r="C8343" s="3" t="str">
        <f>IFERROR(__xludf.DUMMYFUNCTION("GOOGLETRANSLATE(B8343,""id"",""en"")"),"['loss',' really ',' I ',' Telkomsel ',' network ',' ilang ',' Mulu ',' signal ',' internet ',' ilang ',' mulu ',' me ',' top ',' credit ',' Telkomsel ',' right ',' ilang ',' signal ',' as a result ',' pulse ',' me ',' run out ',' package ',' top ',' ente"&amp;"red ' , 'Loss', 'I', 'Card', 'Laknat', 'Kapok', 'Poor', 'User', ""]")</f>
        <v>['loss',' really ',' I ',' Telkomsel ',' network ',' ilang ',' Mulu ',' signal ',' internet ',' ilang ',' mulu ',' me ',' top ',' credit ',' Telkomsel ',' right ',' ilang ',' signal ',' as a result ',' pulse ',' me ',' run out ',' package ',' top ',' entered ' , 'Loss', 'I', 'Card', 'Laknat', 'Kapok', 'Poor', 'User', "]</v>
      </c>
      <c r="D8343" s="3">
        <v>1.0</v>
      </c>
    </row>
    <row r="8344" ht="15.75" customHeight="1">
      <c r="A8344" s="1">
        <v>8824.0</v>
      </c>
      <c r="B8344" s="3" t="s">
        <v>8002</v>
      </c>
      <c r="C8344" s="3" t="str">
        <f>IFERROR(__xludf.DUMMYFUNCTION("GOOGLETRANSLATE(B8344,""id"",""en"")"),"['Disgust', 'dowload', 'Jngan', 'dowload', 'hpus',' ajja ',' already ',' list ',' quota ',' pulse ',' sufficient ',' fill ',' Credit ',' APK ',' Taik ']")</f>
        <v>['Disgust', 'dowload', 'Jngan', 'dowload', 'hpus',' ajja ',' already ',' list ',' quota ',' pulse ',' sufficient ',' fill ',' Credit ',' APK ',' Taik ']</v>
      </c>
      <c r="D8344" s="3">
        <v>1.0</v>
      </c>
    </row>
    <row r="8345" ht="15.75" customHeight="1">
      <c r="A8345" s="1">
        <v>8825.0</v>
      </c>
      <c r="B8345" s="3" t="s">
        <v>8003</v>
      </c>
      <c r="C8345" s="3" t="str">
        <f>IFERROR(__xludf.DUMMYFUNCTION("GOOGLETRANSLATE(B8345,""id"",""en"")"),"['Hopefully', 'Feel', 'Win', 'Lottery', 'Telkomsel', 'Hopefully', 'Success', 'Increases', 'Quality', 'Telkomsel']")</f>
        <v>['Hopefully', 'Feel', 'Win', 'Lottery', 'Telkomsel', 'Hopefully', 'Success', 'Increases', 'Quality', 'Telkomsel']</v>
      </c>
      <c r="D8345" s="3">
        <v>5.0</v>
      </c>
    </row>
    <row r="8346" ht="15.75" customHeight="1">
      <c r="A8346" s="1">
        <v>8826.0</v>
      </c>
      <c r="B8346" s="3" t="s">
        <v>8004</v>
      </c>
      <c r="C8346" s="3" t="str">
        <f>IFERROR(__xludf.DUMMYFUNCTION("GOOGLETRANSLATE(B8346,""id"",""en"")"),"['Confused', 'love', 'star', 'person', 'super', 'slow', 'oath', 'eager', 'buy', 'Telkomsel', 'moved', 'Haluan', ' operator', '']")</f>
        <v>['Confused', 'love', 'star', 'person', 'super', 'slow', 'oath', 'eager', 'buy', 'Telkomsel', 'moved', 'Haluan', ' operator', '']</v>
      </c>
      <c r="D8346" s="3">
        <v>1.0</v>
      </c>
    </row>
    <row r="8347" ht="15.75" customHeight="1">
      <c r="A8347" s="1">
        <v>8827.0</v>
      </c>
      <c r="B8347" s="3" t="s">
        <v>8005</v>
      </c>
      <c r="C8347" s="3" t="str">
        <f>IFERROR(__xludf.DUMMYFUNCTION("GOOGLETRANSLATE(B8347,""id"",""en"")"),"['Purchase', 'Package', 'Internet', 'Error', 'Bentar', 'Login', 'Pekah', 'sucks']")</f>
        <v>['Purchase', 'Package', 'Internet', 'Error', 'Bentar', 'Login', 'Pekah', 'sucks']</v>
      </c>
      <c r="D8347" s="3">
        <v>1.0</v>
      </c>
    </row>
    <row r="8348" ht="15.75" customHeight="1">
      <c r="A8348" s="1">
        <v>8828.0</v>
      </c>
      <c r="B8348" s="3" t="s">
        <v>8006</v>
      </c>
      <c r="C8348" s="3" t="str">
        <f>IFERROR(__xludf.DUMMYFUNCTION("GOOGLETRANSLATE(B8348,""id"",""en"")"),"['Telkomsel', 'tool', 'help', 'facilitate', 'multiply', 'stem', 'signal', 'Dalem', 'home', 'signal', 'Telkomsel', 'Dalem', ' home ',' rotten ',' severe ',' rather than ',' smartfren ',' please ',' help ',' min ',' ']")</f>
        <v>['Telkomsel', 'tool', 'help', 'facilitate', 'multiply', 'stem', 'signal', 'Dalem', 'home', 'signal', 'Telkomsel', 'Dalem', ' home ',' rotten ',' severe ',' rather than ',' smartfren ',' please ',' help ',' min ',' ']</v>
      </c>
      <c r="D8348" s="3">
        <v>3.0</v>
      </c>
    </row>
    <row r="8349" ht="15.75" customHeight="1">
      <c r="A8349" s="1">
        <v>8829.0</v>
      </c>
      <c r="B8349" s="3" t="s">
        <v>8007</v>
      </c>
      <c r="C8349" s="3" t="str">
        <f>IFERROR(__xludf.DUMMYFUNCTION("GOOGLETRANSLATE(B8349,""id"",""en"")"),"['Please', 'Donggggg', 'stop', 'subscribe', 'what', 'yaa', 'kaaaa', 'udh', 'try', 'search', 'application', 'Telkomsel', ' Information ',' please ',' really ', ""]")</f>
        <v>['Please', 'Donggggg', 'stop', 'subscribe', 'what', 'yaa', 'kaaaa', 'udh', 'try', 'search', 'application', 'Telkomsel', ' Information ',' please ',' really ', "]</v>
      </c>
      <c r="D8349" s="3">
        <v>1.0</v>
      </c>
    </row>
    <row r="8350" ht="15.75" customHeight="1">
      <c r="A8350" s="1">
        <v>8830.0</v>
      </c>
      <c r="B8350" s="3" t="s">
        <v>8008</v>
      </c>
      <c r="C8350" s="3" t="str">
        <f>IFERROR(__xludf.DUMMYFUNCTION("GOOGLETRANSLATE(B8350,""id"",""en"")"),"['Bungik', 'Telkomsel', 'sympathy', 'disappointed', 'customers',' loyal ',' Telkomsel ',' can ',' internet ',' BURIK ',' disappointing ',' Almt ',' Kajoran ',' Kec ',' Karanggayam ',' Kab ',' Kebumen ', ""]")</f>
        <v>['Bungik', 'Telkomsel', 'sympathy', 'disappointed', 'customers',' loyal ',' Telkomsel ',' can ',' internet ',' BURIK ',' disappointing ',' Almt ',' Kajoran ',' Kec ',' Karanggayam ',' Kab ',' Kebumen ', "]</v>
      </c>
      <c r="D8350" s="3">
        <v>1.0</v>
      </c>
    </row>
    <row r="8351" ht="15.75" customHeight="1">
      <c r="A8351" s="1">
        <v>8831.0</v>
      </c>
      <c r="B8351" s="3" t="s">
        <v>8009</v>
      </c>
      <c r="C8351" s="3" t="str">
        <f>IFERROR(__xludf.DUMMYFUNCTION("GOOGLETRANSLATE(B8351,""id"",""en"")"),"['Buy', 'Package', 'Learning', 'Taunya', 'Use', 'Learning', 'Zoom', 'Description']")</f>
        <v>['Buy', 'Package', 'Learning', 'Taunya', 'Use', 'Learning', 'Zoom', 'Description']</v>
      </c>
      <c r="D8351" s="3">
        <v>1.0</v>
      </c>
    </row>
    <row r="8352" ht="15.75" customHeight="1">
      <c r="A8352" s="1">
        <v>8832.0</v>
      </c>
      <c r="B8352" s="3" t="s">
        <v>8010</v>
      </c>
      <c r="C8352" s="3" t="str">
        <f>IFERROR(__xludf.DUMMYFUNCTION("GOOGLETRANSLATE(B8352,""id"",""en"")"),"['Telkomsel', 'expensive', 'network', 'broke', 'broke', 'slow', 'Telkomsel', 'skg', 'worst', 'kapok', 'Telkomsel', 'moved']")</f>
        <v>['Telkomsel', 'expensive', 'network', 'broke', 'broke', 'slow', 'Telkomsel', 'skg', 'worst', 'kapok', 'Telkomsel', 'moved']</v>
      </c>
      <c r="D8352" s="3">
        <v>1.0</v>
      </c>
    </row>
    <row r="8353" ht="15.75" customHeight="1">
      <c r="A8353" s="1">
        <v>8833.0</v>
      </c>
      <c r="B8353" s="3" t="s">
        <v>8011</v>
      </c>
      <c r="C8353" s="3" t="str">
        <f>IFERROR(__xludf.DUMMYFUNCTION("GOOGLETRANSLATE(B8353,""id"",""en"")"),"['Severe', 'Telkomsel', 'Internet', 'Telkomsel', 'Severe', 'Chat', 'Veronika', 'Ribet', 'Apalg', 'Custumer', 'Service', 'Ribet', ' Shame ',' Ama ',' Provider ',' Next ',' Simple ',' Ribet ',' Taken ',' Play ',' Game ',' Online ',' Severe ',' Really ',' Si"&amp;"ght ' , 'stable', 'lbh', 'drpd', 'staple', 'telekkomsel', 'provider', 'BURIK']")</f>
        <v>['Severe', 'Telkomsel', 'Internet', 'Telkomsel', 'Severe', 'Chat', 'Veronika', 'Ribet', 'Apalg', 'Custumer', 'Service', 'Ribet', ' Shame ',' Ama ',' Provider ',' Next ',' Simple ',' Ribet ',' Taken ',' Play ',' Game ',' Online ',' Severe ',' Really ',' Sight ' , 'stable', 'lbh', 'drpd', 'staple', 'telekkomsel', 'provider', 'BURIK']</v>
      </c>
      <c r="D8353" s="3">
        <v>1.0</v>
      </c>
    </row>
    <row r="8354" ht="15.75" customHeight="1">
      <c r="A8354" s="1">
        <v>8834.0</v>
      </c>
      <c r="B8354" s="3" t="s">
        <v>8012</v>
      </c>
      <c r="C8354" s="3" t="str">
        <f>IFERROR(__xludf.DUMMYFUNCTION("GOOGLETRANSLATE(B8354,""id"",""en"")"),"['', 'Telkomsel', 'signal', 'here', 'subscription', 'many years', 'disappointing', 'customer', 'moved', 'SIM', 'card', 'yellow', "" ]")</f>
        <v>['', 'Telkomsel', 'signal', 'here', 'subscription', 'many years', 'disappointing', 'customer', 'moved', 'SIM', 'card', 'yellow', " ]</v>
      </c>
      <c r="D8354" s="3">
        <v>1.0</v>
      </c>
    </row>
    <row r="8355" ht="15.75" customHeight="1">
      <c r="A8355" s="1">
        <v>8835.0</v>
      </c>
      <c r="B8355" s="3" t="s">
        <v>8013</v>
      </c>
      <c r="C8355" s="3" t="str">
        <f>IFERROR(__xludf.DUMMYFUNCTION("GOOGLETRANSLATE(B8355,""id"",""en"")"),"['Please', 'price', 'down', '']")</f>
        <v>['Please', 'price', 'down', '']</v>
      </c>
      <c r="D8355" s="3">
        <v>5.0</v>
      </c>
    </row>
    <row r="8356" ht="15.75" customHeight="1">
      <c r="A8356" s="1">
        <v>8836.0</v>
      </c>
      <c r="B8356" s="3" t="s">
        <v>8014</v>
      </c>
      <c r="C8356" s="3" t="str">
        <f>IFERROR(__xludf.DUMMYFUNCTION("GOOGLETRANSLATE(B8356,""id"",""en"")"),"['network', 'here', 'slow', 'really', 'according to', 'price', 'please', 'Telkomsel', 'fix', 'network', 'Telkomsel', 'week', ' disruption ',' package ',' expensive ',' disorder ',' tasty ',' really ',' basics', 'lose', 'network', 'axis']")</f>
        <v>['network', 'here', 'slow', 'really', 'according to', 'price', 'please', 'Telkomsel', 'fix', 'network', 'Telkomsel', 'week', ' disruption ',' package ',' expensive ',' disorder ',' tasty ',' really ',' basics', 'lose', 'network', 'axis']</v>
      </c>
      <c r="D8356" s="3">
        <v>5.0</v>
      </c>
    </row>
    <row r="8357" ht="15.75" customHeight="1">
      <c r="A8357" s="1">
        <v>8837.0</v>
      </c>
      <c r="B8357" s="3" t="s">
        <v>8015</v>
      </c>
      <c r="C8357" s="3" t="str">
        <f>IFERROR(__xludf.DUMMYFUNCTION("GOOGLETRANSLATE(B8357,""id"",""en"")"),"['Please', 'type', 'Kouta', 'used', 'For example', 'Kouta', 'Game', 'Dipake', 'Game', '']")</f>
        <v>['Please', 'type', 'Kouta', 'used', 'For example', 'Kouta', 'Game', 'Dipake', 'Game', '']</v>
      </c>
      <c r="D8357" s="3">
        <v>4.0</v>
      </c>
    </row>
    <row r="8358" ht="15.75" customHeight="1">
      <c r="A8358" s="1">
        <v>8838.0</v>
      </c>
      <c r="B8358" s="3" t="s">
        <v>8016</v>
      </c>
      <c r="C8358" s="3" t="str">
        <f>IFERROR(__xludf.DUMMYFUNCTION("GOOGLETRANSLATE(B8358,""id"",""en"")"),"['bang', 'suggestion', 'feature', 'choose', 'use', 'quota', 'tasty', 'addin', 'bang', 'features', '']")</f>
        <v>['bang', 'suggestion', 'feature', 'choose', 'use', 'quota', 'tasty', 'addin', 'bang', 'features', '']</v>
      </c>
      <c r="D8358" s="3">
        <v>3.0</v>
      </c>
    </row>
    <row r="8359" ht="15.75" customHeight="1">
      <c r="A8359" s="1">
        <v>8839.0</v>
      </c>
      <c r="B8359" s="3" t="s">
        <v>8017</v>
      </c>
      <c r="C8359" s="3" t="str">
        <f>IFERROR(__xludf.DUMMYFUNCTION("GOOGLETRANSLATE(B8359,""id"",""en"")"),"['Good', 'Install', 'spec', 'potatoes', 'kayak', 'ngelag', 'love', 'star']")</f>
        <v>['Good', 'Install', 'spec', 'potatoes', 'kayak', 'ngelag', 'love', 'star']</v>
      </c>
      <c r="D8359" s="3">
        <v>4.0</v>
      </c>
    </row>
    <row r="8360" ht="15.75" customHeight="1">
      <c r="A8360" s="1">
        <v>8840.0</v>
      </c>
      <c r="B8360" s="3" t="s">
        <v>8018</v>
      </c>
      <c r="C8360" s="3" t="str">
        <f>IFERROR(__xludf.DUMMYFUNCTION("GOOGLETRANSLATE(B8360,""id"",""en"")"),"['network', 'Telkomsel', 'slow', 'compared', 'card', 'Telkomsel', 'good', 'sinynya', 'bad', 'signal', ""]")</f>
        <v>['network', 'Telkomsel', 'slow', 'compared', 'card', 'Telkomsel', 'good', 'sinynya', 'bad', 'signal', "]</v>
      </c>
      <c r="D8360" s="3">
        <v>5.0</v>
      </c>
    </row>
    <row r="8361" ht="15.75" customHeight="1">
      <c r="A8361" s="1">
        <v>8841.0</v>
      </c>
      <c r="B8361" s="3" t="s">
        <v>8019</v>
      </c>
      <c r="C8361" s="3" t="str">
        <f>IFERROR(__xludf.DUMMYFUNCTION("GOOGLETRANSLATE(B8361,""id"",""en"")"),"['Package', 'Gamemax', 'Nge', 'Game', 'Tetep', 'Network', 'Stabill', 'Quota', 'Game', 'GB', 'Main', 'Game', ' Setabill ',' Gimanaa ',' Minn ']")</f>
        <v>['Package', 'Gamemax', 'Nge', 'Game', 'Tetep', 'Network', 'Stabill', 'Quota', 'Game', 'GB', 'Main', 'Game', ' Setabill ',' Gimanaa ',' Minn ']</v>
      </c>
      <c r="D8361" s="3">
        <v>1.0</v>
      </c>
    </row>
    <row r="8362" ht="15.75" customHeight="1">
      <c r="A8362" s="1">
        <v>8842.0</v>
      </c>
      <c r="B8362" s="3" t="s">
        <v>8020</v>
      </c>
      <c r="C8362" s="3" t="str">
        <f>IFERROR(__xludf.DUMMYFUNCTION("GOOGLETRANSLATE(B8362,""id"",""en"")"),"['application', 'Telkomsel', 'open', 'screen', 'empty', 'kalaw', 'right', 'open', 'downloads', 'smooth', '']")</f>
        <v>['application', 'Telkomsel', 'open', 'screen', 'empty', 'kalaw', 'right', 'open', 'downloads', 'smooth', '']</v>
      </c>
      <c r="D8362" s="3">
        <v>3.0</v>
      </c>
    </row>
    <row r="8363" ht="15.75" customHeight="1">
      <c r="A8363" s="1">
        <v>8843.0</v>
      </c>
      <c r="B8363" s="3" t="s">
        <v>8021</v>
      </c>
      <c r="C8363" s="3" t="str">
        <f>IFERROR(__xludf.DUMMYFUNCTION("GOOGLETRANSLATE(B8363,""id"",""en"")"),"['Package', 'Telkomsel', 'Syaa', 'Disappointed', 'Fill', 'Credit', 'Cut', 'Package', 'Internet', 'Network', 'Jelkk', 'Anyway', ' Disappointed ',' really ',' dehhhh ']")</f>
        <v>['Package', 'Telkomsel', 'Syaa', 'Disappointed', 'Fill', 'Credit', 'Cut', 'Package', 'Internet', 'Network', 'Jelkk', 'Anyway', ' Disappointed ',' really ',' dehhhh ']</v>
      </c>
      <c r="D8363" s="3">
        <v>1.0</v>
      </c>
    </row>
    <row r="8364" ht="15.75" customHeight="1">
      <c r="A8364" s="1">
        <v>8844.0</v>
      </c>
      <c r="B8364" s="3" t="s">
        <v>8022</v>
      </c>
      <c r="C8364" s="3" t="str">
        <f>IFERROR(__xludf.DUMMYFUNCTION("GOOGLETRANSLATE(B8364,""id"",""en"")"),"['Hopefully', 'Get', 'Sudar', 'Damaged', 'Sapa', 'ugly', 'Rich', 'friend']")</f>
        <v>['Hopefully', 'Get', 'Sudar', 'Damaged', 'Sapa', 'ugly', 'Rich', 'friend']</v>
      </c>
      <c r="D8364" s="3">
        <v>5.0</v>
      </c>
    </row>
    <row r="8365" ht="15.75" customHeight="1">
      <c r="A8365" s="1">
        <v>8845.0</v>
      </c>
      <c r="B8365" s="3" t="s">
        <v>8023</v>
      </c>
      <c r="C8365" s="3" t="str">
        <f>IFERROR(__xludf.DUMMYFUNCTION("GOOGLETRANSLATE(B8365,""id"",""en"")"),"['Dear', 'Customer', 'CARE', 'Please', 'Clarification', 'Often', 'Credit', 'Cutting', 'Out', 'Saldo', 'Used', 'Tlp', ' SMS ',' Package ',' Internet ',' ']")</f>
        <v>['Dear', 'Customer', 'CARE', 'Please', 'Clarification', 'Often', 'Credit', 'Cutting', 'Out', 'Saldo', 'Used', 'Tlp', ' SMS ',' Package ',' Internet ',' ']</v>
      </c>
      <c r="D8365" s="3">
        <v>3.0</v>
      </c>
    </row>
    <row r="8366" ht="15.75" customHeight="1">
      <c r="A8366" s="1">
        <v>8846.0</v>
      </c>
      <c r="B8366" s="3" t="s">
        <v>8024</v>
      </c>
      <c r="C8366" s="3" t="str">
        <f>IFERROR(__xludf.DUMMYFUNCTION("GOOGLETRANSLATE(B8366,""id"",""en"")"),"['quota', 'msh', 'pulses', 'sumps', 'detrimental', 'take', 'star', 'spirit', 'detrimental', 'user', ""]")</f>
        <v>['quota', 'msh', 'pulses', 'sumps', 'detrimental', 'take', 'star', 'spirit', 'detrimental', 'user', "]</v>
      </c>
      <c r="D8366" s="3">
        <v>5.0</v>
      </c>
    </row>
    <row r="8367" ht="15.75" customHeight="1">
      <c r="A8367" s="1">
        <v>8847.0</v>
      </c>
      <c r="B8367" s="3" t="s">
        <v>8025</v>
      </c>
      <c r="C8367" s="3" t="str">
        <f>IFERROR(__xludf.DUMMYFUNCTION("GOOGLETRANSLATE(B8367,""id"",""en"")"),"['Ribet', 'easy', 'accessed', '']")</f>
        <v>['Ribet', 'easy', 'accessed', '']</v>
      </c>
      <c r="D8367" s="3">
        <v>5.0</v>
      </c>
    </row>
    <row r="8368" ht="15.75" customHeight="1">
      <c r="A8368" s="1">
        <v>8848.0</v>
      </c>
      <c r="B8368" s="3" t="s">
        <v>8026</v>
      </c>
      <c r="C8368" s="3" t="str">
        <f>IFERROR(__xludf.DUMMYFUNCTION("GOOGLETRANSLATE(B8368,""id"",""en"")"),"['Telkomsel', 'update', 'kouta', 'free', 'buy', 'pulse']")</f>
        <v>['Telkomsel', 'update', 'kouta', 'free', 'buy', 'pulse']</v>
      </c>
      <c r="D8368" s="3">
        <v>5.0</v>
      </c>
    </row>
    <row r="8369" ht="15.75" customHeight="1">
      <c r="A8369" s="1">
        <v>8849.0</v>
      </c>
      <c r="B8369" s="3" t="s">
        <v>8027</v>
      </c>
      <c r="C8369" s="3" t="str">
        <f>IFERROR(__xludf.DUMMYFUNCTION("GOOGLETRANSLATE(B8369,""id"",""en"")"),"['Ribet', 'really', 'application', 'stay', 'open', 'directly', 'info', 'SIM', 'list', 'simple', 'knp', 'already', ' Login ',' UDH ',' Kya ',' Open ',' Account ',' Fill ', ""]")</f>
        <v>['Ribet', 'really', 'application', 'stay', 'open', 'directly', 'info', 'SIM', 'list', 'simple', 'knp', 'already', ' Login ',' UDH ',' Kya ',' Open ',' Account ',' Fill ', "]</v>
      </c>
      <c r="D8369" s="3">
        <v>1.0</v>
      </c>
    </row>
    <row r="8370" ht="15.75" customHeight="1">
      <c r="A8370" s="1">
        <v>8850.0</v>
      </c>
      <c r="B8370" s="3" t="s">
        <v>8028</v>
      </c>
      <c r="C8370" s="3" t="str">
        <f>IFERROR(__xludf.DUMMYFUNCTION("GOOGLETRANSLATE(B8370,""id"",""en"")"),"['', 'Telkomsel', 'Mantab', 'big' net ',' good ',' price ',' expensive ',' mantab ',' suggestion ',' Telkomsel ',' unlimited ',' boroos', "" ]")</f>
        <v>['', 'Telkomsel', 'Mantab', 'big' net ',' good ',' price ',' expensive ',' mantab ',' suggestion ',' Telkomsel ',' unlimited ',' boroos', " ]</v>
      </c>
      <c r="D8370" s="3">
        <v>5.0</v>
      </c>
    </row>
    <row r="8371" ht="15.75" customHeight="1">
      <c r="A8371" s="1">
        <v>8851.0</v>
      </c>
      <c r="B8371" s="3" t="s">
        <v>8029</v>
      </c>
      <c r="C8371" s="3" t="str">
        <f>IFERROR(__xludf.DUMMYFUNCTION("GOOGLETRANSLATE(B8371,""id"",""en"")"),"['Thank you', 'response', 'Hopefully', 'Telkomsel', 'Operator', 'Best', '']")</f>
        <v>['Thank you', 'response', 'Hopefully', 'Telkomsel', 'Operator', 'Best', '']</v>
      </c>
      <c r="D8371" s="3">
        <v>5.0</v>
      </c>
    </row>
    <row r="8372" ht="15.75" customHeight="1">
      <c r="A8372" s="1">
        <v>8852.0</v>
      </c>
      <c r="B8372" s="3" t="s">
        <v>8030</v>
      </c>
      <c r="C8372" s="3" t="str">
        <f>IFERROR(__xludf.DUMMYFUNCTION("GOOGLETRANSLATE(B8372,""id"",""en"")"),"['Hopefully', 'Sangangkin', 'Jaya']")</f>
        <v>['Hopefully', 'Sangangkin', 'Jaya']</v>
      </c>
      <c r="D8372" s="3">
        <v>5.0</v>
      </c>
    </row>
    <row r="8373" ht="15.75" customHeight="1">
      <c r="A8373" s="1">
        <v>8853.0</v>
      </c>
      <c r="B8373" s="3" t="s">
        <v>8031</v>
      </c>
      <c r="C8373" s="3" t="str">
        <f>IFERROR(__xludf.DUMMYFUNCTION("GOOGLETRANSLATE(B8373,""id"",""en"")"),"['thank', 'love', 'card', 'internet', 'fast']")</f>
        <v>['thank', 'love', 'card', 'internet', 'fast']</v>
      </c>
      <c r="D8373" s="3">
        <v>4.0</v>
      </c>
    </row>
    <row r="8374" ht="15.75" customHeight="1">
      <c r="A8374" s="1">
        <v>8854.0</v>
      </c>
      <c r="B8374" s="3" t="s">
        <v>8032</v>
      </c>
      <c r="C8374" s="3" t="str">
        <f>IFERROR(__xludf.DUMMYFUNCTION("GOOGLETRANSLATE(B8374,""id"",""en"")"),"['special','yak ',' bonus', 'yaqa']")</f>
        <v>['special','yak ',' bonus', 'yaqa']</v>
      </c>
      <c r="D8374" s="3">
        <v>5.0</v>
      </c>
    </row>
    <row r="8375" ht="15.75" customHeight="1">
      <c r="A8375" s="1">
        <v>8855.0</v>
      </c>
      <c r="B8375" s="3" t="s">
        <v>8033</v>
      </c>
      <c r="C8375" s="3" t="str">
        <f>IFERROR(__xludf.DUMMYFUNCTION("GOOGLETRANSLATE(B8375,""id"",""en"")"),"['Bener', 'disappointed', 'network', 'super', 'slow', 'super', 'expensive', 'super', 'loyal', 'Telkomsel', 'disappointing', 'quota', ' BNYK ',' Sometimes', 'Nggk', 'Ribet', 'Promo', 'Deh', 'Network', 'Tuhh', 'Multiven', ""]")</f>
        <v>['Bener', 'disappointed', 'network', 'super', 'slow', 'super', 'expensive', 'super', 'loyal', 'Telkomsel', 'disappointing', 'quota', ' BNYK ',' Sometimes', 'Nggk', 'Ribet', 'Promo', 'Deh', 'Network', 'Tuhh', 'Multiven', "]</v>
      </c>
      <c r="D8375" s="3">
        <v>1.0</v>
      </c>
    </row>
    <row r="8376" ht="15.75" customHeight="1">
      <c r="A8376" s="1">
        <v>8856.0</v>
      </c>
      <c r="B8376" s="3" t="s">
        <v>8034</v>
      </c>
      <c r="C8376" s="3" t="str">
        <f>IFERROR(__xludf.DUMMYFUNCTION("GOOGLETRANSLATE(B8376,""id"",""en"")"),"['use', 'Telkomsel', 'network', 'network', 'worst', 'network', 'die', 'package', 'internet', 'expensive', 'complement', 'gubris',' Mending ',' use ',' provider ']")</f>
        <v>['use', 'Telkomsel', 'network', 'network', 'worst', 'network', 'die', 'package', 'internet', 'expensive', 'complement', 'gubris',' Mending ',' use ',' provider ']</v>
      </c>
      <c r="D8376" s="3">
        <v>1.0</v>
      </c>
    </row>
    <row r="8377" ht="15.75" customHeight="1">
      <c r="A8377" s="1">
        <v>8857.0</v>
      </c>
      <c r="B8377" s="3" t="s">
        <v>8035</v>
      </c>
      <c r="C8377" s="3" t="str">
        <f>IFERROR(__xludf.DUMMYFUNCTION("GOOGLETRANSLATE(B8377,""id"",""en"")"),"['', 'Telkomsel', 'ugly', 'lie', 'Telkomsel', 'good', 'bangat']")</f>
        <v>['', 'Telkomsel', 'ugly', 'lie', 'Telkomsel', 'good', 'bangat']</v>
      </c>
      <c r="D8377" s="3">
        <v>5.0</v>
      </c>
    </row>
    <row r="8378" ht="15.75" customHeight="1">
      <c r="A8378" s="1">
        <v>8858.0</v>
      </c>
      <c r="B8378" s="3" t="s">
        <v>8036</v>
      </c>
      <c r="C8378" s="3" t="str">
        <f>IFERROR(__xludf.DUMMYFUNCTION("GOOGLETRANSLATE(B8378,""id"",""en"")"),"['Kluar', 'Application', 'Transaction', 'Please', 'Fix']")</f>
        <v>['Kluar', 'Application', 'Transaction', 'Please', 'Fix']</v>
      </c>
      <c r="D8378" s="3">
        <v>2.0</v>
      </c>
    </row>
    <row r="8379" ht="15.75" customHeight="1">
      <c r="A8379" s="1">
        <v>8859.0</v>
      </c>
      <c r="B8379" s="3" t="s">
        <v>8037</v>
      </c>
      <c r="C8379" s="3" t="str">
        <f>IFERROR(__xludf.DUMMYFUNCTION("GOOGLETRANSLATE(B8379,""id"",""en"")"),"['Telkomsel', 'ngeleggg', 'price', 'quota', 'ngeuntunjak', 'already', 'wasteful', 'jga', 'online', 'fast', 'really', 'ending', ' Ngeleggg ',' ']")</f>
        <v>['Telkomsel', 'ngeleggg', 'price', 'quota', 'ngeuntunjak', 'already', 'wasteful', 'jga', 'online', 'fast', 'really', 'ending', ' Ngeleggg ',' ']</v>
      </c>
      <c r="D8379" s="3">
        <v>1.0</v>
      </c>
    </row>
    <row r="8380" ht="15.75" customHeight="1">
      <c r="A8380" s="1">
        <v>8860.0</v>
      </c>
      <c r="B8380" s="3" t="s">
        <v>8038</v>
      </c>
      <c r="C8380" s="3" t="str">
        <f>IFERROR(__xludf.DUMMYFUNCTION("GOOGLETRANSLATE(B8380,""id"",""en"")"),"['number', 'have', 'package', 'expensive']")</f>
        <v>['number', 'have', 'package', 'expensive']</v>
      </c>
      <c r="D8380" s="3">
        <v>1.0</v>
      </c>
    </row>
    <row r="8381" ht="15.75" customHeight="1">
      <c r="A8381" s="1">
        <v>8861.0</v>
      </c>
      <c r="B8381" s="3" t="s">
        <v>8039</v>
      </c>
      <c r="C8381" s="3" t="str">
        <f>IFERROR(__xludf.DUMMYFUNCTION("GOOGLETRANSLATE(B8381,""id"",""en"")"),"['Wis', 'Putie', 'Muantap', 'Increase', 'Please', 'Quality', 'Network', 'Increase', '']")</f>
        <v>['Wis', 'Putie', 'Muantap', 'Increase', 'Please', 'Quality', 'Network', 'Increase', '']</v>
      </c>
      <c r="D8381" s="3">
        <v>5.0</v>
      </c>
    </row>
    <row r="8382" ht="15.75" customHeight="1">
      <c r="A8382" s="1">
        <v>8862.0</v>
      </c>
      <c r="B8382" s="3" t="s">
        <v>1659</v>
      </c>
      <c r="C8382" s="3" t="str">
        <f>IFERROR(__xludf.DUMMYFUNCTION("GOOGLETRANSLATE(B8382,""id"",""en"")"),"['', 'good']")</f>
        <v>['', 'good']</v>
      </c>
      <c r="D8382" s="3">
        <v>5.0</v>
      </c>
    </row>
    <row r="8383" ht="15.75" customHeight="1">
      <c r="A8383" s="1">
        <v>8863.0</v>
      </c>
      <c r="B8383" s="3" t="s">
        <v>8040</v>
      </c>
      <c r="C8383" s="3" t="str">
        <f>IFERROR(__xludf.DUMMYFUNCTION("GOOGLETRANSLATE(B8383,""id"",""en"")"),"['Application', 'Telkomsel', 'Error', 'Klu', 'Update']")</f>
        <v>['Application', 'Telkomsel', 'Error', 'Klu', 'Update']</v>
      </c>
      <c r="D8383" s="3">
        <v>5.0</v>
      </c>
    </row>
    <row r="8384" ht="15.75" customHeight="1">
      <c r="A8384" s="1">
        <v>8864.0</v>
      </c>
      <c r="B8384" s="3" t="s">
        <v>8041</v>
      </c>
      <c r="C8384" s="3" t="str">
        <f>IFERROR(__xludf.DUMMYFUNCTION("GOOGLETRANSLATE(B8384,""id"",""en"")"),"['Gag', 'login', 'troubling', 'signal', 'ugly', ""]")</f>
        <v>['Gag', 'login', 'troubling', 'signal', 'ugly', "]</v>
      </c>
      <c r="D8384" s="3">
        <v>5.0</v>
      </c>
    </row>
    <row r="8385" ht="15.75" customHeight="1">
      <c r="A8385" s="1">
        <v>8865.0</v>
      </c>
      <c r="B8385" s="3" t="s">
        <v>8042</v>
      </c>
      <c r="C8385" s="3" t="str">
        <f>IFERROR(__xludf.DUMMYFUNCTION("GOOGLETRANSLATE(B8385,""id"",""en"")"),"['Try', 'branch']")</f>
        <v>['Try', 'branch']</v>
      </c>
      <c r="D8385" s="3">
        <v>5.0</v>
      </c>
    </row>
    <row r="8386" ht="15.75" customHeight="1">
      <c r="A8386" s="1">
        <v>8866.0</v>
      </c>
      <c r="B8386" s="3" t="s">
        <v>8043</v>
      </c>
      <c r="C8386" s="3" t="str">
        <f>IFERROR(__xludf.DUMMYFUNCTION("GOOGLETRANSLATE(B8386,""id"",""en"")"),"['Network', 'bad', 'exam', 'online', 'play', 'game', 'calm']")</f>
        <v>['Network', 'bad', 'exam', 'online', 'play', 'game', 'calm']</v>
      </c>
      <c r="D8386" s="3">
        <v>1.0</v>
      </c>
    </row>
    <row r="8387" ht="15.75" customHeight="1">
      <c r="A8387" s="1">
        <v>8867.0</v>
      </c>
      <c r="B8387" s="3" t="s">
        <v>8044</v>
      </c>
      <c r="C8387" s="3" t="str">
        <f>IFERROR(__xludf.DUMMYFUNCTION("GOOGLETRANSLATE(B8387,""id"",""en"")"),"['network', 'slow', 'really', 'Sis',' buy ',' Package ',' ADO ',' Package ',' Game ',' Network ',' Leet ',' really ',' Sumpah ',' Covering ',' Buy ',' Package ',' Telkomsel ',' Network ',' Leet ',' Bangett ',' Yikau ',' Buy ',' Package ',' Telkomsel ',' M"&amp;"ending ' , 'Thinking', 'rich', 'package', 'ngak', 'use', 'tlong', 'admin', 'response', 'complaints',' consumer ',' expensive ',' doang ',' TPI ',' Quality ',' Lost ',' Operator ']")</f>
        <v>['network', 'slow', 'really', 'Sis',' buy ',' Package ',' ADO ',' Package ',' Game ',' Network ',' Leet ',' really ',' Sumpah ',' Covering ',' Buy ',' Package ',' Telkomsel ',' Network ',' Leet ',' Bangett ',' Yikau ',' Buy ',' Package ',' Telkomsel ',' Mending ' , 'Thinking', 'rich', 'package', 'ngak', 'use', 'tlong', 'admin', 'response', 'complaints',' consumer ',' expensive ',' doang ',' TPI ',' Quality ',' Lost ',' Operator ']</v>
      </c>
      <c r="D8387" s="3">
        <v>1.0</v>
      </c>
    </row>
    <row r="8388" ht="15.75" customHeight="1">
      <c r="A8388" s="1">
        <v>8868.0</v>
      </c>
      <c r="B8388" s="3" t="s">
        <v>8045</v>
      </c>
      <c r="C8388" s="3" t="str">
        <f>IFERROR(__xludf.DUMMYFUNCTION("GOOGLETRANSLATE(B8388,""id"",""en"")"),"['Maen', 'game', 'Ngelag', 'card', 'morning', 'noon', 'night', 'clock', 'mlm', 'ngelag', 'severe', 'really' Cards', 'Severe', 'card', '']")</f>
        <v>['Maen', 'game', 'Ngelag', 'card', 'morning', 'noon', 'night', 'clock', 'mlm', 'ngelag', 'severe', 'really' Cards', 'Severe', 'card', '']</v>
      </c>
      <c r="D8388" s="3">
        <v>1.0</v>
      </c>
    </row>
    <row r="8389" ht="15.75" customHeight="1">
      <c r="A8389" s="1">
        <v>8869.0</v>
      </c>
      <c r="B8389" s="3" t="s">
        <v>8046</v>
      </c>
      <c r="C8389" s="3" t="str">
        <f>IFERROR(__xludf.DUMMYFUNCTION("GOOGLETRANSLATE(B8389,""id"",""en"")"),"['The application', 'good', 'wear', 'card', 'credit', 'reduced', 'please', 'repaired', 'thank', 'love']")</f>
        <v>['The application', 'good', 'wear', 'card', 'credit', 'reduced', 'please', 'repaired', 'thank', 'love']</v>
      </c>
      <c r="D8389" s="3">
        <v>5.0</v>
      </c>
    </row>
    <row r="8390" ht="15.75" customHeight="1">
      <c r="A8390" s="1">
        <v>8870.0</v>
      </c>
      <c r="B8390" s="3" t="s">
        <v>8047</v>
      </c>
      <c r="C8390" s="3" t="str">
        <f>IFERROR(__xludf.DUMMYFUNCTION("GOOGLETRANSLATE(B8390,""id"",""en"")"),"['Love', 'Package', 'term', 'enthusiasts', '']")</f>
        <v>['Love', 'Package', 'term', 'enthusiasts', '']</v>
      </c>
      <c r="D8390" s="3">
        <v>3.0</v>
      </c>
    </row>
    <row r="8391" ht="15.75" customHeight="1">
      <c r="A8391" s="1">
        <v>8871.0</v>
      </c>
      <c r="B8391" s="3" t="s">
        <v>8048</v>
      </c>
      <c r="C8391" s="3" t="str">
        <f>IFERROR(__xludf.DUMMYFUNCTION("GOOGLETRANSLATE(B8391,""id"",""en"")"),"['Application', 'bgsssss', 'bangeeeeeetttt']")</f>
        <v>['Application', 'bgsssss', 'bangeeeeeetttt']</v>
      </c>
      <c r="D8391" s="3">
        <v>5.0</v>
      </c>
    </row>
    <row r="8392" ht="15.75" customHeight="1">
      <c r="A8392" s="1">
        <v>8872.0</v>
      </c>
      <c r="B8392" s="3" t="s">
        <v>8049</v>
      </c>
      <c r="C8392" s="3" t="str">
        <f>IFERROR(__xludf.DUMMYFUNCTION("GOOGLETRANSLATE(B8392,""id"",""en"")"),"['Kouta', 'unlimited', 'Rokan', 'downstream', 'BLM', 'admin', 'in a way', 'yaa', 'use', 'Telkomsel', 'best', ""]")</f>
        <v>['Kouta', 'unlimited', 'Rokan', 'downstream', 'BLM', 'admin', 'in a way', 'yaa', 'use', 'Telkomsel', 'best', "]</v>
      </c>
      <c r="D8392" s="3">
        <v>5.0</v>
      </c>
    </row>
    <row r="8393" ht="15.75" customHeight="1">
      <c r="A8393" s="1">
        <v>8873.0</v>
      </c>
      <c r="B8393" s="3" t="s">
        <v>8050</v>
      </c>
      <c r="C8393" s="3" t="str">
        <f>IFERROR(__xludf.DUMMYFUNCTION("GOOGLETRANSLATE(B8393,""id"",""en"")"),"['contents',' pulse ',' rb ',' trs', 'sumps',' date ',' rb ',' activate ',' package ',' anything ',' bad ',' system ',' Work ',' Please ',' Notice ',' Return ',' Credit ', ""]")</f>
        <v>['contents',' pulse ',' rb ',' trs', 'sumps',' date ',' rb ',' activate ',' package ',' anything ',' bad ',' system ',' Work ',' Please ',' Notice ',' Return ',' Credit ', "]</v>
      </c>
      <c r="D8393" s="3">
        <v>1.0</v>
      </c>
    </row>
    <row r="8394" ht="15.75" customHeight="1">
      <c r="A8394" s="1">
        <v>8874.0</v>
      </c>
      <c r="B8394" s="3" t="s">
        <v>8051</v>
      </c>
      <c r="C8394" s="3" t="str">
        <f>IFERROR(__xludf.DUMMYFUNCTION("GOOGLETRANSLATE(B8394,""id"",""en"")"),"['Satisfied', 'Application', 'Telkomsel', 'Accessible', 'Credit', 'Data']")</f>
        <v>['Satisfied', 'Application', 'Telkomsel', 'Accessible', 'Credit', 'Data']</v>
      </c>
      <c r="D8394" s="3">
        <v>5.0</v>
      </c>
    </row>
    <row r="8395" ht="15.75" customHeight="1">
      <c r="A8395" s="1">
        <v>8875.0</v>
      </c>
      <c r="B8395" s="3" t="s">
        <v>8052</v>
      </c>
      <c r="C8395" s="3" t="str">
        <f>IFERROR(__xludf.DUMMYFUNCTION("GOOGLETRANSLATE(B8395,""id"",""en"")"),"['Damaged', 'Network', 'East', 'Centraleng', 'Fast', 'Network', 'Trouble', 'Parahhh', ""]")</f>
        <v>['Damaged', 'Network', 'East', 'Centraleng', 'Fast', 'Network', 'Trouble', 'Parahhh', "]</v>
      </c>
      <c r="D8395" s="3">
        <v>1.0</v>
      </c>
    </row>
    <row r="8396" ht="15.75" customHeight="1">
      <c r="A8396" s="1">
        <v>8876.0</v>
      </c>
      <c r="B8396" s="3" t="s">
        <v>3644</v>
      </c>
      <c r="C8396" s="3" t="str">
        <f>IFERROR(__xludf.DUMMYFUNCTION("GOOGLETRANSLATE(B8396,""id"",""en"")"),"['Help', 'users', 'Telkomsel']")</f>
        <v>['Help', 'users', 'Telkomsel']</v>
      </c>
      <c r="D8396" s="3">
        <v>5.0</v>
      </c>
    </row>
    <row r="8397" ht="15.75" customHeight="1">
      <c r="A8397" s="1">
        <v>8877.0</v>
      </c>
      <c r="B8397" s="3" t="s">
        <v>8053</v>
      </c>
      <c r="C8397" s="3" t="str">
        <f>IFERROR(__xludf.DUMMYFUNCTION("GOOGLETRANSLATE(B8397,""id"",""en"")"),"['App', 'ugly', 'really', 'entered', 'difficult', 'link', 'verification', 'person', 'old', 'card', 'link', 'copy', ' seconds', 'Send', 'Link', 'Email', 'Season', 'Very']")</f>
        <v>['App', 'ugly', 'really', 'entered', 'difficult', 'link', 'verification', 'person', 'old', 'card', 'link', 'copy', ' seconds', 'Send', 'Link', 'Email', 'Season', 'Very']</v>
      </c>
      <c r="D8397" s="3">
        <v>1.0</v>
      </c>
    </row>
    <row r="8398" ht="15.75" customHeight="1">
      <c r="A8398" s="1">
        <v>8878.0</v>
      </c>
      <c r="B8398" s="3" t="s">
        <v>8054</v>
      </c>
      <c r="C8398" s="3" t="str">
        <f>IFERROR(__xludf.DUMMYFUNCTION("GOOGLETRANSLATE(B8398,""id"",""en"")"),"['already', 'package', 'expensive', 'network', 'slow', 'pulse', 'kagak', 'dftar', 'nominal', 'plsa', 'recommended', 'bangeett', ' Jeleeeeekkkkkkkkk ',' ']")</f>
        <v>['already', 'package', 'expensive', 'network', 'slow', 'pulse', 'kagak', 'dftar', 'nominal', 'plsa', 'recommended', 'bangeett', ' Jeleeeeekkkkkkkkk ',' ']</v>
      </c>
      <c r="D8398" s="3">
        <v>1.0</v>
      </c>
    </row>
    <row r="8399" ht="15.75" customHeight="1">
      <c r="A8399" s="1">
        <v>8879.0</v>
      </c>
      <c r="B8399" s="3" t="s">
        <v>8055</v>
      </c>
      <c r="C8399" s="3" t="str">
        <f>IFERROR(__xludf.DUMMYFUNCTION("GOOGLETRANSLATE(B8399,""id"",""en"")"),"['skrang', 'error', 'update', 'right', 'open', 'writing', 'upadate', 'gimna', 'siiii', 'expensive', 'error', 'anyaa', ' Ally ',' dehh ',' user ',' loyal ',' Telkomsel ',' gini ',' mending ',' replace ',' deh ',' card ',' ']")</f>
        <v>['skrang', 'error', 'update', 'right', 'open', 'writing', 'upadate', 'gimna', 'siiii', 'expensive', 'error', 'anyaa', ' Ally ',' dehh ',' user ',' loyal ',' Telkomsel ',' gini ',' mending ',' replace ',' deh ',' card ',' ']</v>
      </c>
      <c r="D8399" s="3">
        <v>1.0</v>
      </c>
    </row>
    <row r="8400" ht="15.75" customHeight="1">
      <c r="A8400" s="1">
        <v>8880.0</v>
      </c>
      <c r="B8400" s="3" t="s">
        <v>8056</v>
      </c>
      <c r="C8400" s="3" t="str">
        <f>IFERROR(__xludf.DUMMYFUNCTION("GOOGLETRANSLATE(B8400,""id"",""en"")"),"['application', 'buy', 'data', 'check', 'connection', 'mulu', 'connection', 'already', 'right', 'open', 'application', 'okay', ' ugly ',' mytelkomsel ',' skg ',' ngaaco ',' semalem ',' buy ',' quota ',' ']")</f>
        <v>['application', 'buy', 'data', 'check', 'connection', 'mulu', 'connection', 'already', 'right', 'open', 'application', 'okay', ' ugly ',' mytelkomsel ',' skg ',' ngaaco ',' semalem ',' buy ',' quota ',' ']</v>
      </c>
      <c r="D8400" s="3">
        <v>2.0</v>
      </c>
    </row>
    <row r="8401" ht="15.75" customHeight="1">
      <c r="A8401" s="1">
        <v>8881.0</v>
      </c>
      <c r="B8401" s="3" t="s">
        <v>8057</v>
      </c>
      <c r="C8401" s="3" t="str">
        <f>IFERROR(__xludf.DUMMYFUNCTION("GOOGLETRANSLATE(B8401,""id"",""en"")"),"['Application', 'complicated', '']")</f>
        <v>['Application', 'complicated', '']</v>
      </c>
      <c r="D8401" s="3">
        <v>4.0</v>
      </c>
    </row>
    <row r="8402" ht="15.75" customHeight="1">
      <c r="A8402" s="1">
        <v>8882.0</v>
      </c>
      <c r="B8402" s="3" t="s">
        <v>8058</v>
      </c>
      <c r="C8402" s="3" t="str">
        <f>IFERROR(__xludf.DUMMYFUNCTION("GOOGLETRANSLATE(B8402,""id"",""en"")"),"['Star', 'boss', 'klu', 'my apk', 'leg', 'cave', 'hilngain', 'star']")</f>
        <v>['Star', 'boss', 'klu', 'my apk', 'leg', 'cave', 'hilngain', 'star']</v>
      </c>
      <c r="D8402" s="3">
        <v>5.0</v>
      </c>
    </row>
    <row r="8403" ht="15.75" customHeight="1">
      <c r="A8403" s="1">
        <v>8883.0</v>
      </c>
      <c r="B8403" s="3" t="s">
        <v>8059</v>
      </c>
      <c r="C8403" s="3" t="str">
        <f>IFERROR(__xludf.DUMMYFUNCTION("GOOGLETRANSLATE(B8403,""id"",""en"")"),"['Package', 'Data', 'expensive', 'Network', 'ugly', 'Change', 'Switch', 'AXIS', '']")</f>
        <v>['Package', 'Data', 'expensive', 'Network', 'ugly', 'Change', 'Switch', 'AXIS', '']</v>
      </c>
      <c r="D8403" s="3">
        <v>1.0</v>
      </c>
    </row>
    <row r="8404" ht="15.75" customHeight="1">
      <c r="A8404" s="1">
        <v>8884.0</v>
      </c>
      <c r="B8404" s="3" t="s">
        <v>8060</v>
      </c>
      <c r="C8404" s="3" t="str">
        <f>IFERROR(__xludf.DUMMYFUNCTION("GOOGLETRANSLATE(B8404,""id"",""en"")"),"['Telkomsel', 'card', 'connection', 'code', 'MMI', 'valid', 'then', 'menu', 'service', 'Costomer', 'response', 'Memble']")</f>
        <v>['Telkomsel', 'card', 'connection', 'code', 'MMI', 'valid', 'then', 'menu', 'service', 'Costomer', 'response', 'Memble']</v>
      </c>
      <c r="D8404" s="3">
        <v>1.0</v>
      </c>
    </row>
    <row r="8405" ht="15.75" customHeight="1">
      <c r="A8405" s="1">
        <v>8885.0</v>
      </c>
      <c r="B8405" s="3" t="s">
        <v>8061</v>
      </c>
      <c r="C8405" s="3" t="str">
        <f>IFERROR(__xludf.DUMMYFUNCTION("GOOGLETRANSLATE(B8405,""id"",""en"")"),"['Disappointed', 'buy', 'Package', 'Kotakali', 'Package', 'Internet', 'Local', 'Changed', 'Location', 'Padaal', 'Use it', 'Place', ' times', 'bwli', 'quota', 'society', 'smooth', 'safe', 'trial', 'disappointed', 'location', 'internet', 'local', 'change']")</f>
        <v>['Disappointed', 'buy', 'Package', 'Kotakali', 'Package', 'Internet', 'Local', 'Changed', 'Location', 'Padaal', 'Use it', 'Place', ' times', 'bwli', 'quota', 'society', 'smooth', 'safe', 'trial', 'disappointed', 'location', 'internet', 'local', 'change']</v>
      </c>
      <c r="D8405" s="3">
        <v>1.0</v>
      </c>
    </row>
    <row r="8406" ht="15.75" customHeight="1">
      <c r="A8406" s="1">
        <v>8886.0</v>
      </c>
      <c r="B8406" s="3" t="s">
        <v>8062</v>
      </c>
      <c r="C8406" s="3" t="str">
        <f>IFERROR(__xludf.DUMMYFUNCTION("GOOGLETRANSLATE(B8406,""id"",""en"")"),"['signal', 'Telkomsel', 'down', 'yaa', 'pdhl', 'urban', 'broke', 'play', 'game', 'light', 'township', 'despair', ' Game ',' COD ',' Helloo ',' Telkom ',' Fix ',' Sousal ',' ']")</f>
        <v>['signal', 'Telkomsel', 'down', 'yaa', 'pdhl', 'urban', 'broke', 'play', 'game', 'light', 'township', 'despair', ' Game ',' COD ',' Helloo ',' Telkom ',' Fix ',' Sousal ',' ']</v>
      </c>
      <c r="D8406" s="3">
        <v>1.0</v>
      </c>
    </row>
    <row r="8407" ht="15.75" customHeight="1">
      <c r="A8407" s="1">
        <v>8887.0</v>
      </c>
      <c r="B8407" s="3" t="s">
        <v>8063</v>
      </c>
      <c r="C8407" s="3" t="str">
        <f>IFERROR(__xludf.DUMMYFUNCTION("GOOGLETRANSLATE(B8407,""id"",""en"")"),"['list', 'package', 'internet', 'experience', 'obstacles',' network ',' signal ',' good ',' already ',' try ',' many ',' times', ' Tetep ',' gabisa ']")</f>
        <v>['list', 'package', 'internet', 'experience', 'obstacles',' network ',' signal ',' good ',' already ',' try ',' many ',' times', ' Tetep ',' gabisa ']</v>
      </c>
      <c r="D8407" s="3">
        <v>1.0</v>
      </c>
    </row>
    <row r="8408" ht="15.75" customHeight="1">
      <c r="A8408" s="1">
        <v>8888.0</v>
      </c>
      <c r="B8408" s="3" t="s">
        <v>8064</v>
      </c>
      <c r="C8408" s="3" t="str">
        <f>IFERROR(__xludf.DUMMYFUNCTION("GOOGLETRANSLATE(B8408,""id"",""en"")"),"['Good', 'Application', 'Light', 'Like', 'Reward', 'Chek', 'Not bad', 'BGB', 'Exchange', 'Stamp', 'Feature', 'Easy', ' Package ',' Since ',' Combo ',' Sakti ',' Cheap ',' Meriah ',' ']")</f>
        <v>['Good', 'Application', 'Light', 'Like', 'Reward', 'Chek', 'Not bad', 'BGB', 'Exchange', 'Stamp', 'Feature', 'Easy', ' Package ',' Since ',' Combo ',' Sakti ',' Cheap ',' Meriah ',' ']</v>
      </c>
      <c r="D8408" s="3">
        <v>5.0</v>
      </c>
    </row>
    <row r="8409" ht="15.75" customHeight="1">
      <c r="A8409" s="1">
        <v>8889.0</v>
      </c>
      <c r="B8409" s="3" t="s">
        <v>8065</v>
      </c>
      <c r="C8409" s="3" t="str">
        <f>IFERROR(__xludf.DUMMYFUNCTION("GOOGLETRANSLATE(B8409,""id"",""en"")"),"['Ngeapain', 'Offer', 'Package', 'Network', 'Fix', 'Buy', 'Package', 'Use', 'Lag', 'Expensive', 'Card', 'Related', ' Google ',' Sudi ',' Telkomsel ',' The network ', ""]")</f>
        <v>['Ngeapain', 'Offer', 'Package', 'Network', 'Fix', 'Buy', 'Package', 'Use', 'Lag', 'Expensive', 'Card', 'Related', ' Google ',' Sudi ',' Telkomsel ',' The network ', "]</v>
      </c>
      <c r="D8409" s="3">
        <v>1.0</v>
      </c>
    </row>
    <row r="8410" ht="15.75" customHeight="1">
      <c r="A8410" s="1">
        <v>8890.0</v>
      </c>
      <c r="B8410" s="3" t="s">
        <v>8066</v>
      </c>
      <c r="C8410" s="3" t="str">
        <f>IFERROR(__xludf.DUMMYFUNCTION("GOOGLETRANSLATE(B8410,""id"",""en"")"),"['ugly', 'really', 'fraud', 'believe', 'contents',' pulse ',' buy ',' package ',' GB ',' pay ',' sms', 'enter', ' Congratulations', 'Package', 'Credit', 'Rp', 'On', 'Check', 'Credit', 'Live', 'Search', 'Koutaa', 'Cheap', 'Nidak', 'Buy' , 'Koutaa', 'check'"&amp;", 'pulse', 'credit', 'Rp', 'how', 'already', 'no', 'money', 'missing', 'change', 'loss',' Ndak ',' Telkomsel ',' use ',' Telkomsel ',' money ',' missing ',' ']")</f>
        <v>['ugly', 'really', 'fraud', 'believe', 'contents',' pulse ',' buy ',' package ',' GB ',' pay ',' sms', 'enter', ' Congratulations', 'Package', 'Credit', 'Rp', 'On', 'Check', 'Credit', 'Live', 'Search', 'Koutaa', 'Cheap', 'Nidak', 'Buy' , 'Koutaa', 'check', 'pulse', 'credit', 'Rp', 'how', 'already', 'no', 'money', 'missing', 'change', 'loss',' Ndak ',' Telkomsel ',' use ',' Telkomsel ',' money ',' missing ',' ']</v>
      </c>
      <c r="D8410" s="3">
        <v>1.0</v>
      </c>
    </row>
    <row r="8411" ht="15.75" customHeight="1">
      <c r="A8411" s="1">
        <v>8891.0</v>
      </c>
      <c r="B8411" s="3" t="s">
        <v>8067</v>
      </c>
      <c r="C8411" s="3" t="str">
        <f>IFERROR(__xludf.DUMMYFUNCTION("GOOGLETRANSLATE(B8411,""id"",""en"")"),"['Disappointed', 'cave', 'application', 'mytelkomsel', 'buy', 'package', 'kouta', 'internet', 'appear', 'message', 'sorry', 'disorder', ' system ',' fail ',' buy ',' ussd ',' kagak ',' code ',' how ',' telkomsel ',' please ',' application ',' mytelkomsel "&amp;"',' update ',' min ' , 'update', 'natural', 'failure', 'buy', 'package', 'kouta', 'internet', 'mytelkomsel']")</f>
        <v>['Disappointed', 'cave', 'application', 'mytelkomsel', 'buy', 'package', 'kouta', 'internet', 'appear', 'message', 'sorry', 'disorder', ' system ',' fail ',' buy ',' ussd ',' kagak ',' code ',' how ',' telkomsel ',' please ',' application ',' mytelkomsel ',' update ',' min ' , 'update', 'natural', 'failure', 'buy', 'package', 'kouta', 'internet', 'mytelkomsel']</v>
      </c>
      <c r="D8411" s="3">
        <v>2.0</v>
      </c>
    </row>
    <row r="8412" ht="15.75" customHeight="1">
      <c r="A8412" s="1">
        <v>8892.0</v>
      </c>
      <c r="B8412" s="3" t="s">
        <v>8068</v>
      </c>
      <c r="C8412" s="3" t="str">
        <f>IFERROR(__xludf.DUMMYFUNCTION("GOOGLETRANSLATE(B8412,""id"",""en"")"),"['Please', 'enter', 'complicated', 'sometimes', 'shipments', 'sometimes', 'run', 'komoogle', 'application', 'already']")</f>
        <v>['Please', 'enter', 'complicated', 'sometimes', 'shipments', 'sometimes', 'run', 'komoogle', 'application', 'already']</v>
      </c>
      <c r="D8412" s="3">
        <v>3.0</v>
      </c>
    </row>
    <row r="8413" ht="15.75" customHeight="1">
      <c r="A8413" s="1">
        <v>8893.0</v>
      </c>
      <c r="B8413" s="3" t="s">
        <v>8069</v>
      </c>
      <c r="C8413" s="3" t="str">
        <f>IFERROR(__xludf.DUMMYFUNCTION("GOOGLETRANSLATE(B8413,""id"",""en"")"),"['Good', 'Please', 'Tell', 'Knpa', 'Jrngan', 'Peket', 'Entertainment', 'Netflix', 'trimakasih']")</f>
        <v>['Good', 'Please', 'Tell', 'Knpa', 'Jrngan', 'Peket', 'Entertainment', 'Netflix', 'trimakasih']</v>
      </c>
      <c r="D8413" s="3">
        <v>3.0</v>
      </c>
    </row>
    <row r="8414" ht="15.75" customHeight="1">
      <c r="A8414" s="1">
        <v>8894.0</v>
      </c>
      <c r="B8414" s="3" t="s">
        <v>8070</v>
      </c>
      <c r="C8414" s="3" t="str">
        <f>IFERROR(__xludf.DUMMYFUNCTION("GOOGLETRANSLATE(B8414,""id"",""en"")"),"['Bangkee', 'Register', 'Package', 'OMG', 'Choice', 'Package', 'Healthy', 'Doang', 'Choice', 'Package', 'GB', 'GB', ' GB ',' Where ',' Woii ',' Activation ',' Package ',' ']")</f>
        <v>['Bangkee', 'Register', 'Package', 'OMG', 'Choice', 'Package', 'Healthy', 'Doang', 'Choice', 'Package', 'GB', 'GB', ' GB ',' Where ',' Woii ',' Activation ',' Package ',' ']</v>
      </c>
      <c r="D8414" s="3">
        <v>1.0</v>
      </c>
    </row>
    <row r="8415" ht="15.75" customHeight="1">
      <c r="A8415" s="1">
        <v>8895.0</v>
      </c>
      <c r="B8415" s="3" t="s">
        <v>8071</v>
      </c>
      <c r="C8415" s="3" t="str">
        <f>IFERROR(__xludf.DUMMYFUNCTION("GOOGLETRANSLATE(B8415,""id"",""en"")"),"['App', 'updated', 'good', 'opened', 'network', 'smooth', 'smooth', 'telkomsel', 'mah', 'regret', 'udh', 'updated', ' App ',' ']")</f>
        <v>['App', 'updated', 'good', 'opened', 'network', 'smooth', 'smooth', 'telkomsel', 'mah', 'regret', 'udh', 'updated', ' App ',' ']</v>
      </c>
      <c r="D8415" s="3">
        <v>1.0</v>
      </c>
    </row>
    <row r="8416" ht="15.75" customHeight="1">
      <c r="A8416" s="1">
        <v>8896.0</v>
      </c>
      <c r="B8416" s="3" t="s">
        <v>8072</v>
      </c>
      <c r="C8416" s="3" t="str">
        <f>IFERROR(__xludf.DUMMYFUNCTION("GOOGLETRANSLATE(B8416,""id"",""en"")"),"['package', 'cheap', 'since', 'change', 'number', 'package', 'cheerful', '']")</f>
        <v>['package', 'cheap', 'since', 'change', 'number', 'package', 'cheerful', '']</v>
      </c>
      <c r="D8416" s="3">
        <v>5.0</v>
      </c>
    </row>
    <row r="8417" ht="15.75" customHeight="1">
      <c r="A8417" s="1">
        <v>8897.0</v>
      </c>
      <c r="B8417" s="3" t="s">
        <v>8073</v>
      </c>
      <c r="C8417" s="3" t="str">
        <f>IFERROR(__xludf.DUMMYFUNCTION("GOOGLETRANSLATE(B8417,""id"",""en"")"),"['squeezing', 'customer', 'network', 'fix', 'learn', 'online', 'disturbed', 'sad', 'disappointed', 'as',' customer ',' keep ',' quality ',' quality ',' call ',' package ',' call ',' pulse ',' emang ',' pulses', 'run out', 'buy', 'package', 'call' , 'Sorry"&amp;"', 'Telkomsel', 'Sayonara', ""]")</f>
        <v>['squeezing', 'customer', 'network', 'fix', 'learn', 'online', 'disturbed', 'sad', 'disappointed', 'as',' customer ',' keep ',' quality ',' quality ',' call ',' package ',' call ',' pulse ',' emang ',' pulses', 'run out', 'buy', 'package', 'call' , 'Sorry', 'Telkomsel', 'Sayonara', "]</v>
      </c>
      <c r="D8417" s="3">
        <v>1.0</v>
      </c>
    </row>
    <row r="8418" ht="15.75" customHeight="1">
      <c r="A8418" s="1">
        <v>8898.0</v>
      </c>
      <c r="B8418" s="3" t="s">
        <v>8074</v>
      </c>
      <c r="C8418" s="3" t="str">
        <f>IFERROR(__xludf.DUMMYFUNCTION("GOOGLETRANSLATE(B8418,""id"",""en"")"),"['Kasi', 'star', 'update', 'complicated', 'entered', 'Say "",' error ',' wish ',""]")</f>
        <v>['Kasi', 'star', 'update', 'complicated', 'entered', 'Say ",' error ',' wish ',"]</v>
      </c>
      <c r="D8418" s="3">
        <v>1.0</v>
      </c>
    </row>
    <row r="8419" ht="15.75" customHeight="1">
      <c r="A8419" s="1">
        <v>8900.0</v>
      </c>
      <c r="B8419" s="3" t="s">
        <v>8075</v>
      </c>
      <c r="C8419" s="3" t="str">
        <f>IFERROR(__xludf.DUMMYFUNCTION("GOOGLETRANSLATE(B8419,""id"",""en"")"),"['Try', 'Try', 'Bener', 'Believe', 'Jaya', 'Telkomsel', ""]")</f>
        <v>['Try', 'Try', 'Bener', 'Believe', 'Jaya', 'Telkomsel', "]</v>
      </c>
      <c r="D8419" s="3">
        <v>5.0</v>
      </c>
    </row>
    <row r="8420" ht="15.75" customHeight="1">
      <c r="A8420" s="1">
        <v>8901.0</v>
      </c>
      <c r="B8420" s="3" t="s">
        <v>8076</v>
      </c>
      <c r="C8420" s="3" t="str">
        <f>IFERROR(__xludf.DUMMYFUNCTION("GOOGLETRANSLATE(B8420,""id"",""en"")"),"['number', 'remove', 'dri', 'application', 'enter', 'login', 'use', 'email', 'link', 'sent', 'sllu', 'valid', ' expired ',' kah ',' send ',' link ',' tsel ',' cook ',' link ',' sent ',' second ',' valid ',' expiration ',' strange ', ""]")</f>
        <v>['number', 'remove', 'dri', 'application', 'enter', 'login', 'use', 'email', 'link', 'sent', 'sllu', 'valid', ' expired ',' kah ',' send ',' link ',' tsel ',' cook ',' link ',' sent ',' second ',' valid ',' expiration ',' strange ', "]</v>
      </c>
      <c r="D8420" s="3">
        <v>1.0</v>
      </c>
    </row>
    <row r="8421" ht="15.75" customHeight="1">
      <c r="A8421" s="1">
        <v>8902.0</v>
      </c>
      <c r="B8421" s="3" t="s">
        <v>8077</v>
      </c>
      <c r="C8421" s="3" t="str">
        <f>IFERROR(__xludf.DUMMYFUNCTION("GOOGLETRANSLATE(B8421,""id"",""en"")"),"['Maling', 'credit', 'BUMN', 'Bad', 'culture', 'corruption', 'missing', 'cave', 'test', 'contents',' pulses', 'thousand', ' cave ',' data ',' wifi ',' simcard ',' telkomsel ',' tasty ',' really ',' thief ',' pulse ',' person ',' mulu ',' njing ',' per mon"&amp;"th ' , 'Customers',' Maling ',' Sampe ',' Disband ',' Management ',' Production ',' Telkomsel ',' Discard ',' Sea ',' Directors', 'Leech', 'Telkomsel', ' Stop ',' Send ',' Sajen ',' person ',' person ',' politics', 'star', ""]")</f>
        <v>['Maling', 'credit', 'BUMN', 'Bad', 'culture', 'corruption', 'missing', 'cave', 'test', 'contents',' pulses', 'thousand', ' cave ',' data ',' wifi ',' simcard ',' telkomsel ',' tasty ',' really ',' thief ',' pulse ',' person ',' mulu ',' njing ',' per month ' , 'Customers',' Maling ',' Sampe ',' Disband ',' Management ',' Production ',' Telkomsel ',' Discard ',' Sea ',' Directors', 'Leech', 'Telkomsel', ' Stop ',' Send ',' Sajen ',' person ',' person ',' politics', 'star', "]</v>
      </c>
      <c r="D8421" s="3">
        <v>1.0</v>
      </c>
    </row>
    <row r="8422" ht="15.75" customHeight="1">
      <c r="A8422" s="1">
        <v>8903.0</v>
      </c>
      <c r="B8422" s="3" t="s">
        <v>8078</v>
      </c>
      <c r="C8422" s="3" t="str">
        <f>IFERROR(__xludf.DUMMYFUNCTION("GOOGLETRANSLATE(B8422,""id"",""en"")"),"['Helpful', 'fast', 'check', 'quota', 'service', 'quota', 'easy', 'choice', 'sempga', 'in the future', 'price', 'cheap', ' ']")</f>
        <v>['Helpful', 'fast', 'check', 'quota', 'service', 'quota', 'easy', 'choice', 'sempga', 'in the future', 'price', 'cheap', ' ']</v>
      </c>
      <c r="D8422" s="3">
        <v>5.0</v>
      </c>
    </row>
    <row r="8423" ht="15.75" customHeight="1">
      <c r="A8423" s="1">
        <v>8904.0</v>
      </c>
      <c r="B8423" s="3" t="s">
        <v>8079</v>
      </c>
      <c r="C8423" s="3" t="str">
        <f>IFERROR(__xludf.DUMMYFUNCTION("GOOGLETRANSLATE(B8423,""id"",""en"")"),"['Fix', 'Quality', 'Waiter', 'Network', 'Disorders', 'BSA', 'Middle School', 'Clock', 'Disturbed']")</f>
        <v>['Fix', 'Quality', 'Waiter', 'Network', 'Disorders', 'BSA', 'Middle School', 'Clock', 'Disturbed']</v>
      </c>
      <c r="D8423" s="3">
        <v>1.0</v>
      </c>
    </row>
    <row r="8424" ht="15.75" customHeight="1">
      <c r="A8424" s="1">
        <v>8905.0</v>
      </c>
      <c r="B8424" s="3" t="s">
        <v>8080</v>
      </c>
      <c r="C8424" s="3" t="str">
        <f>IFERROR(__xludf.DUMMYFUNCTION("GOOGLETRANSLATE(B8424,""id"",""en"")"),"['UDH', 'update', 'entered', 'signal', 'bad', 'gmn', 'nie', 'chaotic', ""]")</f>
        <v>['UDH', 'update', 'entered', 'signal', 'bad', 'gmn', 'nie', 'chaotic', "]</v>
      </c>
      <c r="D8424" s="3">
        <v>1.0</v>
      </c>
    </row>
    <row r="8425" ht="15.75" customHeight="1">
      <c r="A8425" s="1">
        <v>8906.0</v>
      </c>
      <c r="B8425" s="3" t="s">
        <v>8081</v>
      </c>
      <c r="C8425" s="3" t="str">
        <f>IFERROR(__xludf.DUMMYFUNCTION("GOOGLETRANSLATE(B8425,""id"",""en"")"),"['Convenience', 'Purchase', 'PKET']")</f>
        <v>['Convenience', 'Purchase', 'PKET']</v>
      </c>
      <c r="D8425" s="3">
        <v>4.0</v>
      </c>
    </row>
    <row r="8426" ht="15.75" customHeight="1">
      <c r="A8426" s="1">
        <v>8907.0</v>
      </c>
      <c r="B8426" s="3" t="s">
        <v>8082</v>
      </c>
      <c r="C8426" s="3" t="str">
        <f>IFERROR(__xludf.DUMMYFUNCTION("GOOGLETRANSLATE(B8426,""id"",""en"")"),"['hi', 'application', 'blank', 'server', 'down', '']")</f>
        <v>['hi', 'application', 'blank', 'server', 'down', '']</v>
      </c>
      <c r="D8426" s="3">
        <v>4.0</v>
      </c>
    </row>
    <row r="8427" ht="15.75" customHeight="1">
      <c r="A8427" s="1">
        <v>8908.0</v>
      </c>
      <c r="B8427" s="3" t="s">
        <v>8083</v>
      </c>
      <c r="C8427" s="3" t="str">
        <f>IFERROR(__xludf.DUMMYFUNCTION("GOOGLETRANSLATE(B8427,""id"",""en"")"),"['Login', 'difficult', 'appears', 'session', 'try', 'session', 'login', 'directly', 'enter', ""]")</f>
        <v>['Login', 'difficult', 'appears', 'session', 'try', 'session', 'login', 'directly', 'enter', "]</v>
      </c>
      <c r="D8427" s="3">
        <v>3.0</v>
      </c>
    </row>
    <row r="8428" ht="15.75" customHeight="1">
      <c r="A8428" s="1">
        <v>8909.0</v>
      </c>
      <c r="B8428" s="3" t="s">
        <v>8084</v>
      </c>
      <c r="C8428" s="3" t="str">
        <f>IFERROR(__xludf.DUMMYFUNCTION("GOOGLETRANSLATE(B8428,""id"",""en"")"),"['Severe', 'already', 'point', 'check out', 'lock', 'out', 'own', 'repeated', 'bonus', 'quota', ""]")</f>
        <v>['Severe', 'already', 'point', 'check out', 'lock', 'out', 'own', 'repeated', 'bonus', 'quota', "]</v>
      </c>
      <c r="D8428" s="3">
        <v>1.0</v>
      </c>
    </row>
    <row r="8429" ht="15.75" customHeight="1">
      <c r="A8429" s="1">
        <v>8910.0</v>
      </c>
      <c r="B8429" s="3" t="s">
        <v>8085</v>
      </c>
      <c r="C8429" s="3" t="str">
        <f>IFERROR(__xludf.DUMMYFUNCTION("GOOGLETRANSLATE(B8429,""id"",""en"")"),"['Star', 'Delete', 'Change', 'Star', 'Understand', 'Because', 'Feel', 'Network', 'Telkomsel', 'Card', 'Discard', 'Card', ' Sya ']")</f>
        <v>['Star', 'Delete', 'Change', 'Star', 'Understand', 'Because', 'Feel', 'Network', 'Telkomsel', 'Card', 'Discard', 'Card', ' Sya ']</v>
      </c>
      <c r="D8429" s="3">
        <v>1.0</v>
      </c>
    </row>
    <row r="8430" ht="15.75" customHeight="1">
      <c r="A8430" s="1">
        <v>8911.0</v>
      </c>
      <c r="B8430" s="3" t="s">
        <v>8086</v>
      </c>
      <c r="C8430" s="3" t="str">
        <f>IFERROR(__xludf.DUMMYFUNCTION("GOOGLETRANSLATE(B8430,""id"",""en"")"),"['complicated', 'full', 'told', 'dislodial', 'then', 'download', 'lgi', 'application', 'full', 'rich', 'memory', 'poor']")</f>
        <v>['complicated', 'full', 'told', 'dislodial', 'then', 'download', 'lgi', 'application', 'full', 'rich', 'memory', 'poor']</v>
      </c>
      <c r="D8430" s="3">
        <v>4.0</v>
      </c>
    </row>
    <row r="8431" ht="15.75" customHeight="1">
      <c r="A8431" s="1">
        <v>8912.0</v>
      </c>
      <c r="B8431" s="3" t="s">
        <v>8087</v>
      </c>
      <c r="C8431" s="3" t="str">
        <f>IFERROR(__xludf.DUMMYFUNCTION("GOOGLETRANSLATE(B8431,""id"",""en"")"),"['reinstall', 'restart', 'error', 'disappointed', 'uninstall', 'used', '']")</f>
        <v>['reinstall', 'restart', 'error', 'disappointed', 'uninstall', 'used', '']</v>
      </c>
      <c r="D8431" s="3">
        <v>4.0</v>
      </c>
    </row>
    <row r="8432" ht="15.75" customHeight="1">
      <c r="A8432" s="1">
        <v>8913.0</v>
      </c>
      <c r="B8432" s="3" t="s">
        <v>8088</v>
      </c>
      <c r="C8432" s="3" t="str">
        <f>IFERROR(__xludf.DUMMYFUNCTION("GOOGLETRANSLATE(B8432,""id"",""en"")"),"['', 'Telkomsel', 'Sometimes', 'easy', 'entry', 'sometimes', 'difficult', 'knapa', 'simple', 'access', ""]")</f>
        <v>['', 'Telkomsel', 'Sometimes', 'easy', 'entry', 'sometimes', 'difficult', 'knapa', 'simple', 'access', "]</v>
      </c>
      <c r="D8432" s="3">
        <v>5.0</v>
      </c>
    </row>
    <row r="8433" ht="15.75" customHeight="1">
      <c r="A8433" s="1">
        <v>8914.0</v>
      </c>
      <c r="B8433" s="3" t="s">
        <v>8089</v>
      </c>
      <c r="C8433" s="3" t="str">
        <f>IFERROR(__xludf.DUMMYFUNCTION("GOOGLETRANSLATE(B8433,""id"",""en"")"),"['his application', 'signal', 'poor', 'forced', 'update', 'abis',' login ',' trs', 'signal', 'slow', 'pdhal', 'price', ' expensive ',' compared to ',' provider ',' ']")</f>
        <v>['his application', 'signal', 'poor', 'forced', 'update', 'abis',' login ',' trs', 'signal', 'slow', 'pdhal', 'price', ' expensive ',' compared to ',' provider ',' ']</v>
      </c>
      <c r="D8433" s="3">
        <v>1.0</v>
      </c>
    </row>
    <row r="8434" ht="15.75" customHeight="1">
      <c r="A8434" s="1">
        <v>8915.0</v>
      </c>
      <c r="B8434" s="3" t="s">
        <v>8090</v>
      </c>
      <c r="C8434" s="3" t="str">
        <f>IFERROR(__xludf.DUMMYFUNCTION("GOOGLETRANSLATE(B8434,""id"",""en"")"),"['like', 'njing', 'login', 'login', 'logged', 'difficult', 'tempekk']")</f>
        <v>['like', 'njing', 'login', 'login', 'logged', 'difficult', 'tempekk']</v>
      </c>
      <c r="D8434" s="3">
        <v>1.0</v>
      </c>
    </row>
    <row r="8435" ht="15.75" customHeight="1">
      <c r="A8435" s="1">
        <v>8916.0</v>
      </c>
      <c r="B8435" s="3" t="s">
        <v>8091</v>
      </c>
      <c r="C8435" s="3" t="str">
        <f>IFERROR(__xludf.DUMMYFUNCTION("GOOGLETRANSLATE(B8435,""id"",""en"")"),"['Application', 'Telkomsel', 'Good', 'Convenience', 'Migration', 'Prepaid', 'Postpaid', 'Network', 'Priority', 'Kayak', 'Leet']")</f>
        <v>['Application', 'Telkomsel', 'Good', 'Convenience', 'Migration', 'Prepaid', 'Postpaid', 'Network', 'Priority', 'Kayak', 'Leet']</v>
      </c>
      <c r="D8435" s="3">
        <v>2.0</v>
      </c>
    </row>
    <row r="8436" ht="15.75" customHeight="1">
      <c r="A8436" s="1">
        <v>8917.0</v>
      </c>
      <c r="B8436" s="3" t="s">
        <v>8092</v>
      </c>
      <c r="C8436" s="3" t="str">
        <f>IFERROR(__xludf.DUMMYFUNCTION("GOOGLETRANSLATE(B8436,""id"",""en"")"),"['Really', 'Help', 'at the same time', 'Custumer', 'leftover', 'quota', 'net', 'SDAH', 'Registered', 'told', 'Login', 'turn', ' clicked ',' error ',' mulu ',' fault ',' where ',' love ',' notif ',' disorder ',' network ']")</f>
        <v>['Really', 'Help', 'at the same time', 'Custumer', 'leftover', 'quota', 'net', 'SDAH', 'Registered', 'told', 'Login', 'turn', ' clicked ',' error ',' mulu ',' fault ',' where ',' love ',' notif ',' disorder ',' network ']</v>
      </c>
      <c r="D8436" s="3">
        <v>2.0</v>
      </c>
    </row>
    <row r="8437" ht="15.75" customHeight="1">
      <c r="A8437" s="1">
        <v>8918.0</v>
      </c>
      <c r="B8437" s="3" t="s">
        <v>8093</v>
      </c>
      <c r="C8437" s="3" t="str">
        <f>IFERROR(__xludf.DUMMYFUNCTION("GOOGLETRANSLATE(B8437,""id"",""en"")"),"['Signal', 'Severe', 'Out', 'Login', 'Application', 'Error', 'Selayed', 'Dear', 'Telkomsel', 'Rely on', 'Signal', 'Telkomsel', ' "", 'really', 'signal', 'login', 'application', 'forgiveness', 'error', 'please', 'fix', 'operator', '']")</f>
        <v>['Signal', 'Severe', 'Out', 'Login', 'Application', 'Error', 'Selayed', 'Dear', 'Telkomsel', 'Rely on', 'Signal', 'Telkomsel', ' ", 'really', 'signal', 'login', 'application', 'forgiveness', 'error', 'please', 'fix', 'operator', '']</v>
      </c>
      <c r="D8437" s="3">
        <v>2.0</v>
      </c>
    </row>
    <row r="8438" ht="15.75" customHeight="1">
      <c r="A8438" s="1">
        <v>8919.0</v>
      </c>
      <c r="B8438" s="3" t="s">
        <v>8094</v>
      </c>
      <c r="C8438" s="3" t="str">
        <f>IFERROR(__xludf.DUMMYFUNCTION("GOOGLETRANSLATE(B8438,""id"",""en"")"),"['Good', 'easy', 'price', 'package', 'satisfying', 'reach', '']")</f>
        <v>['Good', 'easy', 'price', 'package', 'satisfying', 'reach', '']</v>
      </c>
      <c r="D8438" s="3">
        <v>5.0</v>
      </c>
    </row>
    <row r="8439" ht="15.75" customHeight="1">
      <c r="A8439" s="1">
        <v>8920.0</v>
      </c>
      <c r="B8439" s="3" t="s">
        <v>8095</v>
      </c>
      <c r="C8439" s="3" t="str">
        <f>IFERROR(__xludf.DUMMYFUNCTION("GOOGLETRANSLATE(B8439,""id"",""en"")"),"['', 'opened', 'Application', 'Open', 'Delete', 'Download', 'reset', 'wasting', 'time', '']")</f>
        <v>['', 'opened', 'Application', 'Open', 'Delete', 'Download', 'reset', 'wasting', 'time', '']</v>
      </c>
      <c r="D8439" s="3">
        <v>1.0</v>
      </c>
    </row>
    <row r="8440" ht="15.75" customHeight="1">
      <c r="A8440" s="1">
        <v>8921.0</v>
      </c>
      <c r="B8440" s="3" t="s">
        <v>8096</v>
      </c>
      <c r="C8440" s="3" t="str">
        <f>IFERROR(__xludf.DUMMYFUNCTION("GOOGLETRANSLATE(B8440,""id"",""en"")"),"['Update', 'Tel', 'etc.', 'Quality', 'here', 'Good', 'Access', 'Download', 'APK', 'SPT', ""]")</f>
        <v>['Update', 'Tel', 'etc.', 'Quality', 'here', 'Good', 'Access', 'Download', 'APK', 'SPT', "]</v>
      </c>
      <c r="D8440" s="3">
        <v>1.0</v>
      </c>
    </row>
    <row r="8441" ht="15.75" customHeight="1">
      <c r="A8441" s="1">
        <v>8922.0</v>
      </c>
      <c r="B8441" s="3" t="s">
        <v>8097</v>
      </c>
      <c r="C8441" s="3" t="str">
        <f>IFERROR(__xludf.DUMMYFUNCTION("GOOGLETRANSLATE(B8441,""id"",""en"")"),"['Yesterday', 'error', 'login', 'please', 'repair']")</f>
        <v>['Yesterday', 'error', 'login', 'please', 'repair']</v>
      </c>
      <c r="D8441" s="3">
        <v>3.0</v>
      </c>
    </row>
    <row r="8442" ht="15.75" customHeight="1">
      <c r="A8442" s="1">
        <v>8923.0</v>
      </c>
      <c r="B8442" s="3" t="s">
        <v>8098</v>
      </c>
      <c r="C8442" s="3" t="str">
        <f>IFERROR(__xludf.DUMMYFUNCTION("GOOGLETRANSLATE(B8442,""id"",""en"")"),"['Congratulations',' Morning ',' Telkomsel ',' Sorry ',' Knp ',' Open ',' Application ',' Telkomsel ',' Check ',' Data ',' Buy ',' Quota ',' Application ',' Telkomsel ',' Open ']")</f>
        <v>['Congratulations',' Morning ',' Telkomsel ',' Sorry ',' Knp ',' Open ',' Application ',' Telkomsel ',' Check ',' Data ',' Buy ',' Quota ',' Application ',' Telkomsel ',' Open ']</v>
      </c>
      <c r="D8442" s="3">
        <v>4.0</v>
      </c>
    </row>
    <row r="8443" ht="15.75" customHeight="1">
      <c r="A8443" s="1">
        <v>8924.0</v>
      </c>
      <c r="B8443" s="3" t="s">
        <v>8099</v>
      </c>
      <c r="C8443" s="3" t="str">
        <f>IFERROR(__xludf.DUMMYFUNCTION("GOOGLETRANSLATE(B8443,""id"",""en"")"),"['Hadehhh', 'signal', 'ugly', 'bet', 'game', 'Emangggah', 'cheap', 'sii', 'signal', 'ampunn', 'dahh']")</f>
        <v>['Hadehhh', 'signal', 'ugly', 'bet', 'game', 'Emangggah', 'cheap', 'sii', 'signal', 'ampunn', 'dahh']</v>
      </c>
      <c r="D8443" s="3">
        <v>1.0</v>
      </c>
    </row>
    <row r="8444" ht="15.75" customHeight="1">
      <c r="A8444" s="1">
        <v>8925.0</v>
      </c>
      <c r="B8444" s="3" t="s">
        <v>8100</v>
      </c>
      <c r="C8444" s="3" t="str">
        <f>IFERROR(__xludf.DUMMYFUNCTION("GOOGLETRANSLATE(B8444,""id"",""en"")"),"['', 'log', 'pdhal', 'already', 'updated', 'UDH', 'Uninstall', 'Install', 'PDHL', 'Need', 'CPAT', 'Buy', 'Package ',' Internet ',' Disappointed ']")</f>
        <v>['', 'log', 'pdhal', 'already', 'updated', 'UDH', 'Uninstall', 'Install', 'PDHL', 'Need', 'CPAT', 'Buy', 'Package ',' Internet ',' Disappointed ']</v>
      </c>
      <c r="D8444" s="3">
        <v>1.0</v>
      </c>
    </row>
    <row r="8445" ht="15.75" customHeight="1">
      <c r="A8445" s="1">
        <v>8926.0</v>
      </c>
      <c r="B8445" s="3" t="s">
        <v>8101</v>
      </c>
      <c r="C8445" s="3" t="str">
        <f>IFERROR(__xludf.DUMMYFUNCTION("GOOGLETRANSLATE(B8445,""id"",""en"")"),"['chat', 'sent', 'connection', 'please', 'fix']")</f>
        <v>['chat', 'sent', 'connection', 'please', 'fix']</v>
      </c>
      <c r="D8445" s="3">
        <v>2.0</v>
      </c>
    </row>
    <row r="8446" ht="15.75" customHeight="1">
      <c r="A8446" s="1">
        <v>8927.0</v>
      </c>
      <c r="B8446" s="3" t="s">
        <v>8102</v>
      </c>
      <c r="C8446" s="3" t="str">
        <f>IFERROR(__xludf.DUMMYFUNCTION("GOOGLETRANSLATE(B8446,""id"",""en"")"),"['enter', 'application', 'enter', 'failed', 'error', 'ganguan']")</f>
        <v>['enter', 'application', 'enter', 'failed', 'error', 'ganguan']</v>
      </c>
      <c r="D8446" s="3">
        <v>4.0</v>
      </c>
    </row>
    <row r="8447" ht="15.75" customHeight="1">
      <c r="A8447" s="1">
        <v>8928.0</v>
      </c>
      <c r="B8447" s="3" t="s">
        <v>8103</v>
      </c>
      <c r="C8447" s="3" t="str">
        <f>IFERROR(__xludf.DUMMYFUNCTION("GOOGLETRANSLATE(B8447,""id"",""en"")"),"['Not bad', 'like', 'app', 'not', 'entered', 'told', 'change', 'number', 'what', 'sih']")</f>
        <v>['Not bad', 'like', 'app', 'not', 'entered', 'told', 'change', 'number', 'what', 'sih']</v>
      </c>
      <c r="D8447" s="3">
        <v>3.0</v>
      </c>
    </row>
    <row r="8448" ht="15.75" customHeight="1">
      <c r="A8448" s="1">
        <v>8929.0</v>
      </c>
      <c r="B8448" s="3" t="s">
        <v>8104</v>
      </c>
      <c r="C8448" s="3" t="str">
        <f>IFERROR(__xludf.DUMMYFUNCTION("GOOGLETRANSLATE(B8448,""id"",""en"")"),"['signal', 'enter', 'application', 'quota', 'please', 'Telkomsel']")</f>
        <v>['signal', 'enter', 'application', 'quota', 'please', 'Telkomsel']</v>
      </c>
      <c r="D8448" s="3">
        <v>1.0</v>
      </c>
    </row>
    <row r="8449" ht="15.75" customHeight="1">
      <c r="A8449" s="1">
        <v>8930.0</v>
      </c>
      <c r="B8449" s="3" t="s">
        <v>8105</v>
      </c>
      <c r="C8449" s="3" t="str">
        <f>IFERROR(__xludf.DUMMYFUNCTION("GOOGLETRANSLATE(B8449,""id"",""en"")"),"['Telkomsel', 'Knp', 'accessed', 'Ribet', 'buy', ""]")</f>
        <v>['Telkomsel', 'Knp', 'accessed', 'Ribet', 'buy', "]</v>
      </c>
      <c r="D8449" s="3">
        <v>1.0</v>
      </c>
    </row>
    <row r="8450" ht="15.75" customHeight="1">
      <c r="A8450" s="1">
        <v>8931.0</v>
      </c>
      <c r="B8450" s="3" t="s">
        <v>8106</v>
      </c>
      <c r="C8450" s="3" t="str">
        <f>IFERROR(__xludf.DUMMYFUNCTION("GOOGLETRANSLATE(B8450,""id"",""en"")"),"['purchase', 'quota', 'easy', 'cheap', 'love', 'response', 'feel', 'benefits', 'the application']")</f>
        <v>['purchase', 'quota', 'easy', 'cheap', 'love', 'response', 'feel', 'benefits', 'the application']</v>
      </c>
      <c r="D8450" s="3">
        <v>4.0</v>
      </c>
    </row>
    <row r="8451" ht="15.75" customHeight="1">
      <c r="A8451" s="1">
        <v>8932.0</v>
      </c>
      <c r="B8451" s="3" t="s">
        <v>8107</v>
      </c>
      <c r="C8451" s="3" t="str">
        <f>IFERROR(__xludf.DUMMYFUNCTION("GOOGLETRANSLATE(B8451,""id"",""en"")"),"['customer', 'valued', 'told', 'buy', 'package', 'expensive', 'migration', 'support', 'DIECH', 'quota', 'change', 'card', ' Sakti ',' Paketan ',' Eeh ',' Changed ',' Forced ',' Buy ',' Expensive ',' Bener ',' ']")</f>
        <v>['customer', 'valued', 'told', 'buy', 'package', 'expensive', 'migration', 'support', 'DIECH', 'quota', 'change', 'card', ' Sakti ',' Paketan ',' Eeh ',' Changed ',' Forced ',' Buy ',' Expensive ',' Bener ',' ']</v>
      </c>
      <c r="D8451" s="3">
        <v>1.0</v>
      </c>
    </row>
    <row r="8452" ht="15.75" customHeight="1">
      <c r="A8452" s="1">
        <v>8933.0</v>
      </c>
      <c r="B8452" s="3" t="s">
        <v>8108</v>
      </c>
      <c r="C8452" s="3" t="str">
        <f>IFERROR(__xludf.DUMMYFUNCTION("GOOGLETRANSLATE(B8452,""id"",""en"")"),"['Come', 'Threat', 'Signal', 'Kaga', 'Lost', 'Ama', 'Provider', 'Signal', 'Upload', 'Doang', 'Ngepain', 'Bad', ' management ',' signal ',' surprised ',' kuoata ',' internet ',' active ',' pulse ',' sucked ']")</f>
        <v>['Come', 'Threat', 'Signal', 'Kaga', 'Lost', 'Ama', 'Provider', 'Signal', 'Upload', 'Doang', 'Ngepain', 'Bad', ' management ',' signal ',' surprised ',' kuoata ',' internet ',' active ',' pulse ',' sucked ']</v>
      </c>
      <c r="D8452" s="3">
        <v>1.0</v>
      </c>
    </row>
    <row r="8453" ht="15.75" customHeight="1">
      <c r="A8453" s="1">
        <v>8934.0</v>
      </c>
      <c r="B8453" s="3" t="s">
        <v>8109</v>
      </c>
      <c r="C8453" s="3" t="str">
        <f>IFERROR(__xludf.DUMMYFUNCTION("GOOGLETRANSLATE(B8453,""id"",""en"")"),"['use', 'easy', 'easy', 'untunk', 'buy', 'kouta', 'internet', 'telephone', 'easy', 'promo', 'promo', 'telkomsel']")</f>
        <v>['use', 'easy', 'easy', 'untunk', 'buy', 'kouta', 'internet', 'telephone', 'easy', 'promo', 'promo', 'telkomsel']</v>
      </c>
      <c r="D8453" s="3">
        <v>5.0</v>
      </c>
    </row>
    <row r="8454" ht="15.75" customHeight="1">
      <c r="A8454" s="1">
        <v>8935.0</v>
      </c>
      <c r="B8454" s="3" t="s">
        <v>8110</v>
      </c>
      <c r="C8454" s="3" t="str">
        <f>IFERROR(__xludf.DUMMYFUNCTION("GOOGLETRANSLATE(B8454,""id"",""en"")"),"['called', 'upgrade', 'card', 'Hello', 'think', 'Severe', 'reliable', 'wfh', 'pairs',' wifi ',' provider ',' local ',' ',' vain ',' deh ',' card ',' hello ', ""]")</f>
        <v>['called', 'upgrade', 'card', 'Hello', 'think', 'Severe', 'reliable', 'wfh', 'pairs',' wifi ',' provider ',' local ',' ',' vain ',' deh ',' card ',' hello ', "]</v>
      </c>
      <c r="D8454" s="3">
        <v>1.0</v>
      </c>
    </row>
    <row r="8455" ht="15.75" customHeight="1">
      <c r="A8455" s="1">
        <v>8936.0</v>
      </c>
      <c r="B8455" s="3" t="s">
        <v>8111</v>
      </c>
      <c r="C8455" s="3" t="str">
        <f>IFERROR(__xludf.DUMMYFUNCTION("GOOGLETRANSLATE(B8455,""id"",""en"")"),"['price', 'my computer', 'expensive', 'sinynya', 'according to', 'price', 'oath', 'salt', 'already', 'subscribe', 'please', 'fix', ' Donk ',' signal ',' min ']")</f>
        <v>['price', 'my computer', 'expensive', 'sinynya', 'according to', 'price', 'oath', 'salt', 'already', 'subscribe', 'please', 'fix', ' Donk ',' signal ',' min ']</v>
      </c>
      <c r="D8455" s="3">
        <v>1.0</v>
      </c>
    </row>
    <row r="8456" ht="15.75" customHeight="1">
      <c r="A8456" s="1">
        <v>8937.0</v>
      </c>
      <c r="B8456" s="3" t="s">
        <v>8112</v>
      </c>
      <c r="C8456" s="3" t="str">
        <f>IFERROR(__xludf.DUMMYFUNCTION("GOOGLETRANSLATE(B8456,""id"",""en"")"),"['loggin', 'difficult', 'then', 'warning', 'session']")</f>
        <v>['loggin', 'difficult', 'then', 'warning', 'session']</v>
      </c>
      <c r="D8456" s="3">
        <v>1.0</v>
      </c>
    </row>
    <row r="8457" ht="15.75" customHeight="1">
      <c r="A8457" s="1">
        <v>8938.0</v>
      </c>
      <c r="B8457" s="3" t="s">
        <v>8113</v>
      </c>
      <c r="C8457" s="3" t="str">
        <f>IFERROR(__xludf.DUMMYFUNCTION("GOOGLETRANSLATE(B8457,""id"",""en"")"),"['poor']")</f>
        <v>['poor']</v>
      </c>
      <c r="D8457" s="3">
        <v>1.0</v>
      </c>
    </row>
    <row r="8458" ht="15.75" customHeight="1">
      <c r="A8458" s="1">
        <v>8939.0</v>
      </c>
      <c r="B8458" s="3" t="s">
        <v>8114</v>
      </c>
      <c r="C8458" s="3" t="str">
        <f>IFERROR(__xludf.DUMMYFUNCTION("GOOGLETRANSLATE(B8458,""id"",""en"")"),"['Min', 'Login', 'Yesterday', 'Login', 'Number']")</f>
        <v>['Min', 'Login', 'Yesterday', 'Login', 'Number']</v>
      </c>
      <c r="D8458" s="3">
        <v>3.0</v>
      </c>
    </row>
    <row r="8459" ht="15.75" customHeight="1">
      <c r="A8459" s="1">
        <v>8940.0</v>
      </c>
      <c r="B8459" s="3" t="s">
        <v>8115</v>
      </c>
      <c r="C8459" s="3" t="str">
        <f>IFERROR(__xludf.DUMMYFUNCTION("GOOGLETRANSLATE(B8459,""id"",""en"")"),"['Abis', 'update', 'enter']")</f>
        <v>['Abis', 'update', 'enter']</v>
      </c>
      <c r="D8459" s="3">
        <v>2.0</v>
      </c>
    </row>
    <row r="8460" ht="15.75" customHeight="1">
      <c r="A8460" s="1">
        <v>8941.0</v>
      </c>
      <c r="B8460" s="3" t="s">
        <v>8116</v>
      </c>
      <c r="C8460" s="3" t="str">
        <f>IFERROR(__xludf.DUMMYFUNCTION("GOOGLETRANSLATE(B8460,""id"",""en"")"),"['trobble', 'ngeta', 'ngeapain', 'quota', 'pending']")</f>
        <v>['trobble', 'ngeta', 'ngeapain', 'quota', 'pending']</v>
      </c>
      <c r="D8460" s="3">
        <v>3.0</v>
      </c>
    </row>
    <row r="8461" ht="15.75" customHeight="1">
      <c r="A8461" s="1">
        <v>8942.0</v>
      </c>
      <c r="B8461" s="3" t="s">
        <v>4228</v>
      </c>
      <c r="C8461" s="3" t="str">
        <f>IFERROR(__xludf.DUMMYFUNCTION("GOOGLETRANSLATE(B8461,""id"",""en"")"),"['Setia', 'Telkomsel']")</f>
        <v>['Setia', 'Telkomsel']</v>
      </c>
      <c r="D8461" s="3">
        <v>5.0</v>
      </c>
    </row>
    <row r="8462" ht="15.75" customHeight="1">
      <c r="A8462" s="1">
        <v>8943.0</v>
      </c>
      <c r="B8462" s="3" t="s">
        <v>8117</v>
      </c>
      <c r="C8462" s="3" t="str">
        <f>IFERROR(__xludf.DUMMYFUNCTION("GOOGLETRANSLATE(B8462,""id"",""en"")"),"['price', 'package', 'internet', 'expensive', 'quality', 'internet', 'bad', 'profider', 'Indonesia', 'network', 'difficult', 'disappointed', ' Balanced ',' Price ',' Package ',' Internet ',' ']")</f>
        <v>['price', 'package', 'internet', 'expensive', 'quality', 'internet', 'bad', 'profider', 'Indonesia', 'network', 'difficult', 'disappointed', ' Balanced ',' Price ',' Package ',' Internet ',' ']</v>
      </c>
      <c r="D8462" s="3">
        <v>1.0</v>
      </c>
    </row>
    <row r="8463" ht="15.75" customHeight="1">
      <c r="A8463" s="1">
        <v>8944.0</v>
      </c>
      <c r="B8463" s="3" t="s">
        <v>8118</v>
      </c>
      <c r="C8463" s="3" t="str">
        <f>IFERROR(__xludf.DUMMYFUNCTION("GOOGLETRANSLATE(B8463,""id"",""en"")"),"['signal', 'network', 'quota', 'main', 'dozens',' giga ',' used ',' internet ',' here ',' check ',' quota ',' use ',' reply ',' sms', 'internet', 'that's',' repaired ',' brother ',' brother ',' telkomsel ',' lho ',' cable ',' sea ',' beg ',' sorry ' , 'Lo"&amp;"ve', 'Rating', 'Criticism']")</f>
        <v>['signal', 'network', 'quota', 'main', 'dozens',' giga ',' used ',' internet ',' here ',' check ',' quota ',' use ',' reply ',' sms', 'internet', 'that's',' repaired ',' brother ',' brother ',' telkomsel ',' lho ',' cable ',' sea ',' beg ',' sorry ' , 'Love', 'Rating', 'Criticism']</v>
      </c>
      <c r="D8463" s="3">
        <v>1.0</v>
      </c>
    </row>
    <row r="8464" ht="15.75" customHeight="1">
      <c r="A8464" s="1">
        <v>8945.0</v>
      </c>
      <c r="B8464" s="3" t="s">
        <v>8119</v>
      </c>
      <c r="C8464" s="3" t="str">
        <f>IFERROR(__xludf.DUMMYFUNCTION("GOOGLETRANSLATE(B8464,""id"",""en"")"),"['disappointed', 'purchase', 'quota', 'pulse', 'buy', 'quota', 'internet', 'said', 'pulse', 'turn', 'buy', 'quota', ' Thanks', 'that's',' buy ',' quota ',' use ',' on the day ',' kayak ',' quota ',' quota ',' masoh ',' dipake ',' application ',' Telkomsel"&amp;" ' , 'Dipake', 'WhatsApp', '']")</f>
        <v>['disappointed', 'purchase', 'quota', 'pulse', 'buy', 'quota', 'internet', 'said', 'pulse', 'turn', 'buy', 'quota', ' Thanks', 'that's',' buy ',' quota ',' use ',' on the day ',' kayak ',' quota ',' quota ',' masoh ',' dipake ',' application ',' Telkomsel ' , 'Dipake', 'WhatsApp', '']</v>
      </c>
      <c r="D8464" s="3">
        <v>1.0</v>
      </c>
    </row>
    <row r="8465" ht="15.75" customHeight="1">
      <c r="A8465" s="1">
        <v>8946.0</v>
      </c>
      <c r="B8465" s="3" t="s">
        <v>8120</v>
      </c>
      <c r="C8465" s="3" t="str">
        <f>IFERROR(__xludf.DUMMYFUNCTION("GOOGLETRANSLATE(B8465,""id"",""en"")"),"['Complete', 'SKR', 'Heavy', 'Deed', 'Program', 'RAM', 'Fast']")</f>
        <v>['Complete', 'SKR', 'Heavy', 'Deed', 'Program', 'RAM', 'Fast']</v>
      </c>
      <c r="D8465" s="3">
        <v>5.0</v>
      </c>
    </row>
    <row r="8466" ht="15.75" customHeight="1">
      <c r="A8466" s="1">
        <v>8947.0</v>
      </c>
      <c r="B8466" s="3" t="s">
        <v>8121</v>
      </c>
      <c r="C8466" s="3" t="str">
        <f>IFERROR(__xludf.DUMMYFUNCTION("GOOGLETRANSLATE(B8466,""id"",""en"")"),"['network', 'here', 'chaotic', 'suggestion', 'use', 'Telkomsel', 'deh', 'nyesellll', 'package', 'expensive', 'the network', 'chaotic', ' Rarely ',' Way ',' Clock ',' Segini ',' Used ',' Ntah ',' Sampe ',' Buy ',' Package ',' Data ',' Sales', 'Already', 'C"&amp;"hange' , 'card', 'pepahhhhh', '']")</f>
        <v>['network', 'here', 'chaotic', 'suggestion', 'use', 'Telkomsel', 'deh', 'nyesellll', 'package', 'expensive', 'the network', 'chaotic', ' Rarely ',' Way ',' Clock ',' Segini ',' Used ',' Ntah ',' Sampe ',' Buy ',' Package ',' Data ',' Sales', 'Already', 'Change' , 'card', 'pepahhhhh', '']</v>
      </c>
      <c r="D8466" s="3">
        <v>1.0</v>
      </c>
    </row>
    <row r="8467" ht="15.75" customHeight="1">
      <c r="A8467" s="1">
        <v>8948.0</v>
      </c>
      <c r="B8467" s="3" t="s">
        <v>8122</v>
      </c>
      <c r="C8467" s="3" t="str">
        <f>IFERROR(__xludf.DUMMYFUNCTION("GOOGLETRANSLATE(B8467,""id"",""en"")"),"['Sorry', 'love', 'star', 'UDH', 'mAh', 'quota', 'Mahall', 'slow', 'application', 'gabisa', 'opened', 'jdi', ' MLS ',' LGI ',' Telkomsel ',' Bye ',' Edite ',' Telkomsel ',' apasiaii ',' signal ',' ugly ',' Bngt ',' good ',' TPI ',' Napa ' , 'problematic',"&amp;" 'bngtttt', 'yaallahhhhhhhh', 'Telkomsel', 'knpa', 'siiiiii', 'quota', 'gabisa', 'dipake', 'bill', 'pulled', 'pulse', ' Udh ',' contents', 'pulse', 'bills',' fought ',' right ',' gabisa ',' slow ',' bngt ',' telkomsel ',' original ',' gini ',' trs' , 'Cha"&amp;"nge', 'card', 'Tomorrow', 'Kapok', 'Telkomsel']")</f>
        <v>['Sorry', 'love', 'star', 'UDH', 'mAh', 'quota', 'Mahall', 'slow', 'application', 'gabisa', 'opened', 'jdi', ' MLS ',' LGI ',' Telkomsel ',' Bye ',' Edite ',' Telkomsel ',' apasiaii ',' signal ',' ugly ',' Bngt ',' good ',' TPI ',' Napa ' , 'problematic', 'bngtttt', 'yaallahhhhhhhh', 'Telkomsel', 'knpa', 'siiiiii', 'quota', 'gabisa', 'dipake', 'bill', 'pulled', 'pulse', ' Udh ',' contents', 'pulse', 'bills',' fought ',' right ',' gabisa ',' slow ',' bngt ',' telkomsel ',' original ',' gini ',' trs' , 'Change', 'card', 'Tomorrow', 'Kapok', 'Telkomsel']</v>
      </c>
      <c r="D8467" s="3">
        <v>1.0</v>
      </c>
    </row>
    <row r="8468" ht="15.75" customHeight="1">
      <c r="A8468" s="1">
        <v>8949.0</v>
      </c>
      <c r="B8468" s="3" t="s">
        <v>8123</v>
      </c>
      <c r="C8468" s="3" t="str">
        <f>IFERROR(__xludf.DUMMYFUNCTION("GOOGLETRANSLATE(B8468,""id"",""en"")"),"['mercy', 'emang', 'signal', 'internet', 'Telkomsel', 'feasible', 'package', 'run out', 'because', 'Karna', 'already', ' expired ',' Different ',' really ',' ads']")</f>
        <v>['mercy', 'emang', 'signal', 'internet', 'Telkomsel', 'feasible', 'package', 'run out', 'because', 'Karna', 'already', ' expired ',' Different ',' really ',' ads']</v>
      </c>
      <c r="D8468" s="3">
        <v>2.0</v>
      </c>
    </row>
    <row r="8469" ht="15.75" customHeight="1">
      <c r="A8469" s="1">
        <v>8950.0</v>
      </c>
      <c r="B8469" s="3" t="s">
        <v>8124</v>
      </c>
      <c r="C8469" s="3" t="str">
        <f>IFERROR(__xludf.DUMMYFUNCTION("GOOGLETRANSLATE(B8469,""id"",""en"")"),"['network', 'strange', 'WhatsApp', 'pending', 'gabisa', 'open', 'socmed', 'package', 'cheap', 'please', 'really', 'network', ' Choose ',' tsel ',' because ',' network ',' strong ',' fast ',' slow ',' gini ', ""]")</f>
        <v>['network', 'strange', 'WhatsApp', 'pending', 'gabisa', 'open', 'socmed', 'package', 'cheap', 'please', 'really', 'network', ' Choose ',' tsel ',' because ',' network ',' strong ',' fast ',' slow ',' gini ', "]</v>
      </c>
      <c r="D8469" s="3">
        <v>1.0</v>
      </c>
    </row>
    <row r="8470" ht="15.75" customHeight="1">
      <c r="A8470" s="1">
        <v>8951.0</v>
      </c>
      <c r="B8470" s="3" t="s">
        <v>8125</v>
      </c>
      <c r="C8470" s="3" t="str">
        <f>IFERROR(__xludf.DUMMYFUNCTION("GOOGLETRANSLATE(B8470,""id"",""en"")"),"['Network', 'Telkomsel', 'Error', 'Watch', 'Download', 'Game', 'APK', 'Chat', 'Open', 'Game', 'Online', 'Kouta', ' STEL ',' GB ',' Please ',' Fix ',' Error ',' Change ',' Network ']")</f>
        <v>['Network', 'Telkomsel', 'Error', 'Watch', 'Download', 'Game', 'APK', 'Chat', 'Open', 'Game', 'Online', 'Kouta', ' STEL ',' GB ',' Please ',' Fix ',' Error ',' Change ',' Network ']</v>
      </c>
      <c r="D8470" s="3">
        <v>1.0</v>
      </c>
    </row>
    <row r="8471" ht="15.75" customHeight="1">
      <c r="A8471" s="1">
        <v>8952.0</v>
      </c>
      <c r="B8471" s="3" t="s">
        <v>8126</v>
      </c>
      <c r="C8471" s="3" t="str">
        <f>IFERROR(__xludf.DUMMYFUNCTION("GOOGLETRANSLATE(B8471,""id"",""en"")"),"['disturbance', 'signal', 'vidcol', 'child', 'grandchild', 'Telkomsel', 'suggestion', 'network', 'signal', 'fix', 'good', 'all', ' thank you']")</f>
        <v>['disturbance', 'signal', 'vidcol', 'child', 'grandchild', 'Telkomsel', 'suggestion', 'network', 'signal', 'fix', 'good', 'all', ' thank you']</v>
      </c>
      <c r="D8471" s="3">
        <v>4.0</v>
      </c>
    </row>
    <row r="8472" ht="15.75" customHeight="1">
      <c r="A8472" s="1">
        <v>8953.0</v>
      </c>
      <c r="B8472" s="3" t="s">
        <v>8127</v>
      </c>
      <c r="C8472" s="3" t="str">
        <f>IFERROR(__xludf.DUMMYFUNCTION("GOOGLETRANSLATE(B8472,""id"",""en"")"),"['', 'Pepek', 'Network', 'Benerin', 'Network', 'Hampi', 'a month', 'finished', 'PRANUE', 'DUSTO', 'MAH', 'NEGRI', 'BORO ',' Network ',' Burik ',' gabisa ',' repaired ',' Males', 'make', 'Telkomtol']")</f>
        <v>['', 'Pepek', 'Network', 'Benerin', 'Network', 'Hampi', 'a month', 'finished', 'PRANUE', 'DUSTO', 'MAH', 'NEGRI', 'BORO ',' Network ',' Burik ',' gabisa ',' repaired ',' Males', 'make', 'Telkomtol']</v>
      </c>
      <c r="D8472" s="3">
        <v>1.0</v>
      </c>
    </row>
    <row r="8473" ht="15.75" customHeight="1">
      <c r="A8473" s="1">
        <v>8954.0</v>
      </c>
      <c r="B8473" s="3" t="s">
        <v>8128</v>
      </c>
      <c r="C8473" s="3" t="str">
        <f>IFERROR(__xludf.DUMMYFUNCTION("GOOGLETRANSLATE(B8473,""id"",""en"")"),"['Network', 'good', 'defective', 'expensive', 'buy', 'package', 'kayak', 'gini', 'network', 'ngeggames',' network ',' Telkomsel ',' TEI ']")</f>
        <v>['Network', 'good', 'defective', 'expensive', 'buy', 'package', 'kayak', 'gini', 'network', 'ngeggames',' network ',' Telkomsel ',' TEI ']</v>
      </c>
      <c r="D8473" s="3">
        <v>1.0</v>
      </c>
    </row>
    <row r="8474" ht="15.75" customHeight="1">
      <c r="A8474" s="1">
        <v>8955.0</v>
      </c>
      <c r="B8474" s="3" t="s">
        <v>8129</v>
      </c>
      <c r="C8474" s="3" t="str">
        <f>IFERROR(__xludf.DUMMYFUNCTION("GOOGLETRANSLATE(B8474,""id"",""en"")"),"['Quality', 'Network', 'SNGT', 'ugly', 'Fix', 'Network', 'Disconnect', ""]")</f>
        <v>['Quality', 'Network', 'SNGT', 'ugly', 'Fix', 'Network', 'Disconnect', "]</v>
      </c>
      <c r="D8474" s="3">
        <v>1.0</v>
      </c>
    </row>
    <row r="8475" ht="15.75" customHeight="1">
      <c r="A8475" s="1">
        <v>8956.0</v>
      </c>
      <c r="B8475" s="3" t="s">
        <v>8130</v>
      </c>
      <c r="C8475" s="3" t="str">
        <f>IFERROR(__xludf.DUMMYFUNCTION("GOOGLETRANSLATE(B8475,""id"",""en"")"),"['Network', 'Internet', 'Lemot', 'Region', 'City', 'Pekanbaru', 'Special', 'Kartini', 'Please', 'Increase', 'Service', 'Internet', ' thank you']")</f>
        <v>['Network', 'Internet', 'Lemot', 'Region', 'City', 'Pekanbaru', 'Special', 'Kartini', 'Please', 'Increase', 'Service', 'Internet', ' thank you']</v>
      </c>
      <c r="D8475" s="3">
        <v>1.0</v>
      </c>
    </row>
    <row r="8476" ht="15.75" customHeight="1">
      <c r="A8476" s="1">
        <v>8957.0</v>
      </c>
      <c r="B8476" s="3" t="s">
        <v>8131</v>
      </c>
      <c r="C8476" s="3" t="str">
        <f>IFERROR(__xludf.DUMMYFUNCTION("GOOGLETRANSLATE(B8476,""id"",""en"")"),"['disappointed', 'customer', 'signal', 'ugly', 'price', 'package', 'internet', 'expensive', 'disappointed', 'chat', 'ama', 'Veronika', ' Veronika ',' Monoton ',' invited ',' chat ',' discussed ',' internet ',' ngebosenin ',' name ',' price ',' internet ',"&amp;"' signal ',' reinforced ',' please ' , 'Marketing', 'repaired', '']")</f>
        <v>['disappointed', 'customer', 'signal', 'ugly', 'price', 'package', 'internet', 'expensive', 'disappointed', 'chat', 'ama', 'Veronika', ' Veronika ',' Monoton ',' invited ',' chat ',' discussed ',' internet ',' ngebosenin ',' name ',' price ',' internet ',' signal ',' reinforced ',' please ' , 'Marketing', 'repaired', '']</v>
      </c>
      <c r="D8476" s="3">
        <v>1.0</v>
      </c>
    </row>
    <row r="8477" ht="15.75" customHeight="1">
      <c r="A8477" s="1">
        <v>8958.0</v>
      </c>
      <c r="B8477" s="3" t="s">
        <v>8132</v>
      </c>
      <c r="C8477" s="3" t="str">
        <f>IFERROR(__xludf.DUMMYFUNCTION("GOOGLETRANSLATE(B8477,""id"",""en"")"),"['Changing', 'Easy', 'Transaction', 'Hargay', 'Save']")</f>
        <v>['Changing', 'Easy', 'Transaction', 'Hargay', 'Save']</v>
      </c>
      <c r="D8477" s="3">
        <v>5.0</v>
      </c>
    </row>
    <row r="8478" ht="15.75" customHeight="1">
      <c r="A8478" s="1">
        <v>8959.0</v>
      </c>
      <c r="B8478" s="3" t="s">
        <v>8133</v>
      </c>
      <c r="C8478" s="3" t="str">
        <f>IFERROR(__xludf.DUMMYFUNCTION("GOOGLETRANSLATE(B8478,""id"",""en"")"),"['lag', 'really', 'really', 'abis', 'buy', 'package', 'gunain', 'right', 'malem', 'morning', 'signal']")</f>
        <v>['lag', 'really', 'really', 'abis', 'buy', 'package', 'gunain', 'right', 'malem', 'morning', 'signal']</v>
      </c>
      <c r="D8478" s="3">
        <v>1.0</v>
      </c>
    </row>
    <row r="8479" ht="15.75" customHeight="1">
      <c r="A8479" s="1">
        <v>8960.0</v>
      </c>
      <c r="B8479" s="3" t="s">
        <v>8134</v>
      </c>
      <c r="C8479" s="3" t="str">
        <f>IFERROR(__xludf.DUMMYFUNCTION("GOOGLETRANSLATE(B8479,""id"",""en"")"),"['Telkomsel', 'failed', 'buy', 'package', 'internet', 'due to', 'credit', 'history', 'use', 'pulse', 'truncated', 'use', ' Internet ',' KB ',' setting ',' internet ',' use ',' SIM ',' ']")</f>
        <v>['Telkomsel', 'failed', 'buy', 'package', 'internet', 'due to', 'credit', 'history', 'use', 'pulse', 'truncated', 'use', ' Internet ',' KB ',' setting ',' internet ',' use ',' SIM ',' ']</v>
      </c>
      <c r="D8479" s="3">
        <v>1.0</v>
      </c>
    </row>
    <row r="8480" ht="15.75" customHeight="1">
      <c r="A8480" s="1">
        <v>8961.0</v>
      </c>
      <c r="B8480" s="3" t="s">
        <v>8135</v>
      </c>
      <c r="C8480" s="3" t="str">
        <f>IFERROR(__xludf.DUMMYFUNCTION("GOOGLETRANSLATE(B8480,""id"",""en"")"),"['City', 'Send', 'Pending', 'Muter', 'Daritadi', 'Great', 'Telkomsel', 'Change', 'Provider', 'Send', 'Telkomsel', 'Signal', ' Good ',' Apes', '']")</f>
        <v>['City', 'Send', 'Pending', 'Muter', 'Daritadi', 'Great', 'Telkomsel', 'Change', 'Provider', 'Send', 'Telkomsel', 'Signal', ' Good ',' Apes', '']</v>
      </c>
      <c r="D8480" s="3">
        <v>1.0</v>
      </c>
    </row>
    <row r="8481" ht="15.75" customHeight="1">
      <c r="A8481" s="1">
        <v>8962.0</v>
      </c>
      <c r="B8481" s="3" t="s">
        <v>8136</v>
      </c>
      <c r="C8481" s="3" t="str">
        <f>IFERROR(__xludf.DUMMYFUNCTION("GOOGLETRANSLATE(B8481,""id"",""en"")"),"['already', 'difficult', 'open', 'application', 'error', 'Telkomsel', 'responsibility', 'repair', 'solution']")</f>
        <v>['already', 'difficult', 'open', 'application', 'error', 'Telkomsel', 'responsibility', 'repair', 'solution']</v>
      </c>
      <c r="D8481" s="3">
        <v>1.0</v>
      </c>
    </row>
    <row r="8482" ht="15.75" customHeight="1">
      <c r="A8482" s="1">
        <v>8963.0</v>
      </c>
      <c r="B8482" s="3" t="s">
        <v>8137</v>
      </c>
      <c r="C8482" s="3" t="str">
        <f>IFERROR(__xludf.DUMMYFUNCTION("GOOGLETRANSLATE(B8482,""id"",""en"")"),"['package', 'quota', 'soaring', 'package', 'expensive', 'quality', 'signal', 'disappointing', '']")</f>
        <v>['package', 'quota', 'soaring', 'package', 'expensive', 'quality', 'signal', 'disappointing', '']</v>
      </c>
      <c r="D8482" s="3">
        <v>1.0</v>
      </c>
    </row>
    <row r="8483" ht="15.75" customHeight="1">
      <c r="A8483" s="1">
        <v>8964.0</v>
      </c>
      <c r="B8483" s="3" t="s">
        <v>8138</v>
      </c>
      <c r="C8483" s="3" t="str">
        <f>IFERROR(__xludf.DUMMYFUNCTION("GOOGLETRANSLATE(B8483,""id"",""en"")"),"['rating', 'segini', 'Please', 'please', 'signal', 'difficult', 'signal', 'connection', 'bad', 'PTS', 'please', 'operator', ' expensive ',' buy ',' kouta ',' open ',' no ',' see ',' group ',' no ',' notification ',' difficult ',' beg ',' fast ',' repair '"&amp;" ]")</f>
        <v>['rating', 'segini', 'Please', 'please', 'signal', 'difficult', 'signal', 'connection', 'bad', 'PTS', 'please', 'operator', ' expensive ',' buy ',' kouta ',' open ',' no ',' see ',' group ',' no ',' notification ',' difficult ',' beg ',' fast ',' repair ' ]</v>
      </c>
      <c r="D8483" s="3">
        <v>1.0</v>
      </c>
    </row>
    <row r="8484" ht="15.75" customHeight="1">
      <c r="A8484" s="1">
        <v>8965.0</v>
      </c>
      <c r="B8484" s="3" t="s">
        <v>8139</v>
      </c>
      <c r="C8484" s="3" t="str">
        <f>IFERROR(__xludf.DUMMYFUNCTION("GOOGLETRANSLATE(B8484,""id"",""en"")"),"['Please', 'sorry', 'Telkomsel', 'really', 'disorder', 'signal', 'ugly', 'attack', 'urban', 'village', 'plungok', 'ugly', ' very disappointed', '']")</f>
        <v>['Please', 'sorry', 'Telkomsel', 'really', 'disorder', 'signal', 'ugly', 'attack', 'urban', 'village', 'plungok', 'ugly', ' very disappointed', '']</v>
      </c>
      <c r="D8484" s="3">
        <v>1.0</v>
      </c>
    </row>
    <row r="8485" ht="15.75" customHeight="1">
      <c r="A8485" s="1">
        <v>8966.0</v>
      </c>
      <c r="B8485" s="3" t="s">
        <v>8140</v>
      </c>
      <c r="C8485" s="3" t="str">
        <f>IFERROR(__xludf.DUMMYFUNCTION("GOOGLETRANSLATE(B8485,""id"",""en"")"),"['please', 'Telkomsel', 'bot', 'customer', 'disappointed', 'service', 'price', 'expensive', 'quality', 'cheap', ""]")</f>
        <v>['please', 'Telkomsel', 'bot', 'customer', 'disappointed', 'service', 'price', 'expensive', 'quality', 'cheap', "]</v>
      </c>
      <c r="D8485" s="3">
        <v>1.0</v>
      </c>
    </row>
    <row r="8486" ht="15.75" customHeight="1">
      <c r="A8486" s="1">
        <v>8967.0</v>
      </c>
      <c r="B8486" s="3" t="s">
        <v>8141</v>
      </c>
      <c r="C8486" s="3" t="str">
        <f>IFERROR(__xludf.DUMMYFUNCTION("GOOGLETRANSLATE(B8486,""id"",""en"")"),"['Network', 'bad', 'times',' quota ',' TPI ',' Connected ',' Social ',' Media ',' Heaven ',' Severe ',' Need ',' Ryesel ',' Skrng ',' Select ',' Telkomsel ']")</f>
        <v>['Network', 'bad', 'times',' quota ',' TPI ',' Connected ',' Social ',' Media ',' Heaven ',' Severe ',' Need ',' Ryesel ',' Skrng ',' Select ',' Telkomsel ']</v>
      </c>
      <c r="D8486" s="3">
        <v>1.0</v>
      </c>
    </row>
    <row r="8487" ht="15.75" customHeight="1">
      <c r="A8487" s="1">
        <v>8968.0</v>
      </c>
      <c r="B8487" s="3" t="s">
        <v>8142</v>
      </c>
      <c r="C8487" s="3" t="str">
        <f>IFERROR(__xludf.DUMMYFUNCTION("GOOGLETRANSLATE(B8487,""id"",""en"")"),"['buy', 'package', 'expensive', 'signal', 'slow', 'grace', 'for a while', 'managing', 'number', 'grace', 'Indosat', 'delicious',' inexpensive']")</f>
        <v>['buy', 'package', 'expensive', 'signal', 'slow', 'grace', 'for a while', 'managing', 'number', 'grace', 'Indosat', 'delicious',' inexpensive']</v>
      </c>
      <c r="D8487" s="3">
        <v>1.0</v>
      </c>
    </row>
    <row r="8488" ht="15.75" customHeight="1">
      <c r="A8488" s="1">
        <v>8969.0</v>
      </c>
      <c r="B8488" s="3" t="s">
        <v>8143</v>
      </c>
      <c r="C8488" s="3" t="str">
        <f>IFERROR(__xludf.DUMMYFUNCTION("GOOGLETRANSLATE(B8488,""id"",""en"")"),"['Telkomsel', 'network', 'internet', 'good', 'severe', 'ugly', 'really', 'usage', 'wasteful', 'network', 'internet', 'neighbor', ' Change ',' Move ',' Uhhhh ',' ']")</f>
        <v>['Telkomsel', 'network', 'internet', 'good', 'severe', 'ugly', 'really', 'usage', 'wasteful', 'network', 'internet', 'neighbor', ' Change ',' Move ',' Uhhhh ',' ']</v>
      </c>
      <c r="D8488" s="3">
        <v>1.0</v>
      </c>
    </row>
    <row r="8489" ht="15.75" customHeight="1">
      <c r="A8489" s="1">
        <v>8970.0</v>
      </c>
      <c r="B8489" s="3" t="s">
        <v>8144</v>
      </c>
      <c r="C8489" s="3" t="str">
        <f>IFERROR(__xludf.DUMMYFUNCTION("GOOGLETRANSLATE(B8489,""id"",""en"")"),"['What', 'feeling', 'right', 'login', 'check', 'enter', 'application', 'told', 'login', 'error', 'please', 'fix', ' price ',' package ',' super ',' expensive ',' plus', 'error', 'application']")</f>
        <v>['What', 'feeling', 'right', 'login', 'check', 'enter', 'application', 'told', 'login', 'error', 'please', 'fix', ' price ',' package ',' super ',' expensive ',' plus', 'error', 'application']</v>
      </c>
      <c r="D8489" s="3">
        <v>1.0</v>
      </c>
    </row>
    <row r="8490" ht="15.75" customHeight="1">
      <c r="A8490" s="1">
        <v>8971.0</v>
      </c>
      <c r="B8490" s="3" t="s">
        <v>8145</v>
      </c>
      <c r="C8490" s="3" t="str">
        <f>IFERROR(__xludf.DUMMYFUNCTION("GOOGLETRANSLATE(B8490,""id"",""en"")"),"['Hellooooo', 'intention', 'gave', 'promo', 'unlimited', 'sosmed', 'gankhhhh', 'no', 'Isa', 'house', 'strange', 'really', ' Replace ',' card ']")</f>
        <v>['Hellooooo', 'intention', 'gave', 'promo', 'unlimited', 'sosmed', 'gankhhhh', 'no', 'Isa', 'house', 'strange', 'really', ' Replace ',' card ']</v>
      </c>
      <c r="D8490" s="3">
        <v>1.0</v>
      </c>
    </row>
    <row r="8491" ht="15.75" customHeight="1">
      <c r="A8491" s="1">
        <v>8972.0</v>
      </c>
      <c r="B8491" s="3" t="s">
        <v>8146</v>
      </c>
      <c r="C8491" s="3" t="str">
        <f>IFERROR(__xludf.DUMMYFUNCTION("GOOGLETRANSLATE(B8491,""id"",""en"")"),"['list', 'package', 'internet', 'difficult', 'failed', 'failed']")</f>
        <v>['list', 'package', 'internet', 'difficult', 'failed', 'failed']</v>
      </c>
      <c r="D8491" s="3">
        <v>1.0</v>
      </c>
    </row>
    <row r="8492" ht="15.75" customHeight="1">
      <c r="A8492" s="1">
        <v>8973.0</v>
      </c>
      <c r="B8492" s="3" t="s">
        <v>8147</v>
      </c>
      <c r="C8492" s="3" t="str">
        <f>IFERROR(__xludf.DUMMYFUNCTION("GOOGLETRANSLATE(B8492,""id"",""en"")"),"['users',' Telkomsel ',' Disappointed ',' Quality ',' Telkomsel ',' Bad ',' Network ',' Region ',' Sunter ',' Bad ',' Day ',' Price ',' Provider ',' sympathy ',' Telkomsel ',' expensive ',' provider ',' quality ',' bad ',' please ',' Consider ',' complain"&amp;"ts', 'customer', 'spam', 'loss' , 'customer', '']")</f>
        <v>['users',' Telkomsel ',' Disappointed ',' Quality ',' Telkomsel ',' Bad ',' Network ',' Region ',' Sunter ',' Bad ',' Day ',' Price ',' Provider ',' sympathy ',' Telkomsel ',' expensive ',' provider ',' quality ',' bad ',' please ',' Consider ',' complaints', 'customer', 'spam', 'loss' , 'customer', '']</v>
      </c>
      <c r="D8492" s="3">
        <v>1.0</v>
      </c>
    </row>
    <row r="8493" ht="15.75" customHeight="1">
      <c r="A8493" s="1">
        <v>8974.0</v>
      </c>
      <c r="B8493" s="3" t="s">
        <v>8148</v>
      </c>
      <c r="C8493" s="3" t="str">
        <f>IFERROR(__xludf.DUMMYFUNCTION("GOOGLETRANSLATE(B8493,""id"",""en"")"),"['signal', 'slow', 'severe', 'thought', 'Telkomsel', 'Meras',' Kek ',' gini ',' package ',' data ',' expensive ',' slow ',' Pulak ',' Cook ',' Kuata ',' Help ',' Dri ',' Kemdikbud ',' Fast ',' Dri ',' Buy ',' Data ',' cheat ',' Telkomsel ']")</f>
        <v>['signal', 'slow', 'severe', 'thought', 'Telkomsel', 'Meras',' Kek ',' gini ',' package ',' data ',' expensive ',' slow ',' Pulak ',' Cook ',' Kuata ',' Help ',' Dri ',' Kemdikbud ',' Fast ',' Dri ',' Buy ',' Data ',' cheat ',' Telkomsel ']</v>
      </c>
      <c r="D8493" s="3">
        <v>1.0</v>
      </c>
    </row>
    <row r="8494" ht="15.75" customHeight="1">
      <c r="A8494" s="1">
        <v>8975.0</v>
      </c>
      <c r="B8494" s="3" t="s">
        <v>8149</v>
      </c>
      <c r="C8494" s="3" t="str">
        <f>IFERROR(__xludf.DUMMYFUNCTION("GOOGLETRANSLATE(B8494,""id"",""en"")"),"['Severe', 'anjirrr', 'network', 'buy', 'promo', 'package', 'GB', 'use', 'network', 'slow', 'loss',' kepakai ',' Quota ',' Mending ',' Change ',' card ',' skrg ',' star ',' love ',' star ', ""]")</f>
        <v>['Severe', 'anjirrr', 'network', 'buy', 'promo', 'package', 'GB', 'use', 'network', 'slow', 'loss',' kepakai ',' Quota ',' Mending ',' Change ',' card ',' skrg ',' star ',' love ',' star ', "]</v>
      </c>
      <c r="D8494" s="3">
        <v>1.0</v>
      </c>
    </row>
    <row r="8495" ht="15.75" customHeight="1">
      <c r="A8495" s="1">
        <v>8976.0</v>
      </c>
      <c r="B8495" s="3" t="s">
        <v>8150</v>
      </c>
      <c r="C8495" s="3" t="str">
        <f>IFERROR(__xludf.DUMMYFUNCTION("GOOGLETRANSLATE(B8495,""id"",""en"")"),"['Star', 'collapsed', 'Karna', 'skrg', 'check', 'credit', 'quota', 'login', 'enter', 'fail', 'then', 'pdhl', ' signal ',' missing ']")</f>
        <v>['Star', 'collapsed', 'Karna', 'skrg', 'check', 'credit', 'quota', 'login', 'enter', 'fail', 'then', 'pdhl', ' signal ',' missing ']</v>
      </c>
      <c r="D8495" s="3">
        <v>2.0</v>
      </c>
    </row>
    <row r="8496" ht="15.75" customHeight="1">
      <c r="A8496" s="1">
        <v>8977.0</v>
      </c>
      <c r="B8496" s="3" t="s">
        <v>8151</v>
      </c>
      <c r="C8496" s="3" t="str">
        <f>IFERROR(__xludf.DUMMYFUNCTION("GOOGLETRANSLATE(B8496,""id"",""en"")"),"['strange', 'service', 'internet', 'local', 'locations', 'males']")</f>
        <v>['strange', 'service', 'internet', 'local', 'locations', 'males']</v>
      </c>
      <c r="D8496" s="3">
        <v>1.0</v>
      </c>
    </row>
    <row r="8497" ht="15.75" customHeight="1">
      <c r="A8497" s="1">
        <v>8978.0</v>
      </c>
      <c r="B8497" s="3" t="s">
        <v>8152</v>
      </c>
      <c r="C8497" s="3" t="str">
        <f>IFERROR(__xludf.DUMMYFUNCTION("GOOGLETRANSLATE(B8497,""id"",""en"")"),"['Daily', 'Chek', 'Claims',' Gift ',' Cept ',' Direct ',' Enter ',' Skrng ',' Udh ',' Claim ',' waaah ',' back ',' Money ',' cave ',' UDH ',' buy ',' package ',' WhatsApp ',' how ', ""]")</f>
        <v>['Daily', 'Chek', 'Claims',' Gift ',' Cept ',' Direct ',' Enter ',' Skrng ',' Udh ',' Claim ',' waaah ',' back ',' Money ',' cave ',' UDH ',' buy ',' package ',' WhatsApp ',' how ', "]</v>
      </c>
      <c r="D8497" s="3">
        <v>1.0</v>
      </c>
    </row>
    <row r="8498" ht="15.75" customHeight="1">
      <c r="A8498" s="1">
        <v>8979.0</v>
      </c>
      <c r="B8498" s="3" t="s">
        <v>8153</v>
      </c>
      <c r="C8498" s="3" t="str">
        <f>IFERROR(__xludf.DUMMYFUNCTION("GOOGLETRANSLATE(B8498,""id"",""en"")"),"['Telkom', 'buy', 'quota', 'salh', 'network', 'like', 'ngadet', 'cave', 'buy', 'pket', 'disorder', 'abis',' already ',' kotaa ',' ngadet ',' please ',' pay attention ',' again ']")</f>
        <v>['Telkom', 'buy', 'quota', 'salh', 'network', 'like', 'ngadet', 'cave', 'buy', 'pket', 'disorder', 'abis',' already ',' kotaa ',' ngadet ',' please ',' pay attention ',' again ']</v>
      </c>
      <c r="D8498" s="3">
        <v>5.0</v>
      </c>
    </row>
    <row r="8499" ht="15.75" customHeight="1">
      <c r="A8499" s="1">
        <v>8980.0</v>
      </c>
      <c r="B8499" s="3" t="s">
        <v>8154</v>
      </c>
      <c r="C8499" s="3" t="str">
        <f>IFERROR(__xludf.DUMMYFUNCTION("GOOGLETRANSLATE(B8499,""id"",""en"")"),"['likes', 'Nge', 'lag', 'contents', 'pulse', 'entry', 'expensive', 'doang', 'quality', 'poor']")</f>
        <v>['likes', 'Nge', 'lag', 'contents', 'pulse', 'entry', 'expensive', 'doang', 'quality', 'poor']</v>
      </c>
      <c r="D8499" s="3">
        <v>3.0</v>
      </c>
    </row>
    <row r="8500" ht="15.75" customHeight="1">
      <c r="A8500" s="1">
        <v>8981.0</v>
      </c>
      <c r="B8500" s="3" t="s">
        <v>8155</v>
      </c>
      <c r="C8500" s="3" t="str">
        <f>IFERROR(__xludf.DUMMYFUNCTION("GOOGLETRANSLATE(B8500,""id"",""en"")"),"['', 'entry', 'sense', 'browsing', 'play', 'game', 'online', 'ping', 'jumping', 'karuan', 'kek', 'gini', 'kah ',' quality ',' package ',' stayed ',' fast ',' according to ',' expectation ',' I think ',' price ',' quality ',' limp ',' aspects', 'network', "&amp;"'Bad', 'so', 'trimakasih']")</f>
        <v>['', 'entry', 'sense', 'browsing', 'play', 'game', 'online', 'ping', 'jumping', 'karuan', 'kek', 'gini', 'kah ',' quality ',' package ',' stayed ',' fast ',' according to ',' expectation ',' I think ',' price ',' quality ',' limp ',' aspects', 'network', 'Bad', 'so', 'trimakasih']</v>
      </c>
      <c r="D8500" s="3">
        <v>1.0</v>
      </c>
    </row>
    <row r="8501" ht="15.75" customHeight="1">
      <c r="A8501" s="1">
        <v>8982.0</v>
      </c>
      <c r="B8501" s="3" t="s">
        <v>8156</v>
      </c>
      <c r="C8501" s="3" t="str">
        <f>IFERROR(__xludf.DUMMYFUNCTION("GOOGLETRANSLATE(B8501,""id"",""en"")"),"['Give', 'Star', 'Min', 'Telkomsel', 'Send', 'Message', 'Muter', 'Muter', 'Min', 'Solution']")</f>
        <v>['Give', 'Star', 'Min', 'Telkomsel', 'Send', 'Message', 'Muter', 'Muter', 'Min', 'Solution']</v>
      </c>
      <c r="D8501" s="3">
        <v>5.0</v>
      </c>
    </row>
    <row r="8502" ht="15.75" customHeight="1">
      <c r="A8502" s="1">
        <v>8983.0</v>
      </c>
      <c r="B8502" s="3" t="s">
        <v>8157</v>
      </c>
      <c r="C8502" s="3" t="str">
        <f>IFERROR(__xludf.DUMMYFUNCTION("GOOGLETRANSLATE(B8502,""id"",""en"")"),"['Telkomsel', 'ugly', 'login', 'check', 'manual', 'blood', 'rough', 'network', 'dead', 'card', 'sters', ""]")</f>
        <v>['Telkomsel', 'ugly', 'login', 'check', 'manual', 'blood', 'rough', 'network', 'dead', 'card', 'sters', "]</v>
      </c>
      <c r="D8502" s="3">
        <v>1.0</v>
      </c>
    </row>
    <row r="8503" ht="15.75" customHeight="1">
      <c r="A8503" s="1">
        <v>8984.0</v>
      </c>
      <c r="B8503" s="3" t="s">
        <v>8158</v>
      </c>
      <c r="C8503" s="3" t="str">
        <f>IFERROR(__xludf.DUMMYFUNCTION("GOOGLETRANSLATE(B8503,""id"",""en"")"),"['', 'buy', 'kouta', 'internet', 'mini', 'modern', 'store', 'national', 'uda', 'mushroom', 'guess',' loss', 'really ',' Many ',' fold ',' buy ',' package ',' internet ',' IDR ',' HNY ',' DPT ',' Kouta ',' Internet ',' OMG ',' GB ', 'NGK', 'free', 'call', "&amp;"'ngk', 'sms',' free ',' ngk ',' use ',' guys', 'ngk', 'signal', 'destroyed', 'down ',' Sometimes', 'Sometimes',' Buy ',' Package ',' Kouta ',' Different ',' Management ',' Marketing ',' Star ']")</f>
        <v>['', 'buy', 'kouta', 'internet', 'mini', 'modern', 'store', 'national', 'uda', 'mushroom', 'guess',' loss', 'really ',' Many ',' fold ',' buy ',' package ',' internet ',' IDR ',' HNY ',' DPT ',' Kouta ',' Internet ',' OMG ',' GB ', 'NGK', 'free', 'call', 'ngk', 'sms',' free ',' ngk ',' use ',' guys', 'ngk', 'signal', 'destroyed', 'down ',' Sometimes', 'Sometimes',' Buy ',' Package ',' Kouta ',' Different ',' Management ',' Marketing ',' Star ']</v>
      </c>
      <c r="D8503" s="3">
        <v>1.0</v>
      </c>
    </row>
    <row r="8504" ht="15.75" customHeight="1">
      <c r="A8504" s="1">
        <v>8985.0</v>
      </c>
      <c r="B8504" s="3" t="s">
        <v>8159</v>
      </c>
      <c r="C8504" s="3" t="str">
        <f>IFERROR(__xludf.DUMMYFUNCTION("GOOGLETRANSLATE(B8504,""id"",""en"")"),"['Constraints', 'knpa', 'skrng', 'network', 'slow', 'repay', 'min', 'smooth', 'lgi', ""]")</f>
        <v>['Constraints', 'knpa', 'skrng', 'network', 'slow', 'repay', 'min', 'smooth', 'lgi', "]</v>
      </c>
      <c r="D8504" s="3">
        <v>5.0</v>
      </c>
    </row>
    <row r="8505" ht="15.75" customHeight="1">
      <c r="A8505" s="1">
        <v>8987.0</v>
      </c>
      <c r="B8505" s="3" t="s">
        <v>8160</v>
      </c>
      <c r="C8505" s="3" t="str">
        <f>IFERROR(__xludf.DUMMYFUNCTION("GOOGLETRANSLATE(B8505,""id"",""en"")"),"['', 'October', 'APK', 'Error', 'Log', 'sucks', ""]")</f>
        <v>['', 'October', 'APK', 'Error', 'Log', 'sucks', "]</v>
      </c>
      <c r="D8505" s="3">
        <v>1.0</v>
      </c>
    </row>
    <row r="8506" ht="15.75" customHeight="1">
      <c r="A8506" s="1">
        <v>8988.0</v>
      </c>
      <c r="B8506" s="3" t="s">
        <v>8161</v>
      </c>
      <c r="C8506" s="3" t="str">
        <f>IFERROR(__xludf.DUMMYFUNCTION("GOOGLETRANSLATE(B8506,""id"",""en"")"),"['Star', 'tasty', 'tired', 'tired', 'typing', 'review', 'how bad', 'signal', 'Telkomsel']")</f>
        <v>['Star', 'tasty', 'tired', 'tired', 'typing', 'review', 'how bad', 'signal', 'Telkomsel']</v>
      </c>
      <c r="D8506" s="3">
        <v>1.0</v>
      </c>
    </row>
    <row r="8507" ht="15.75" customHeight="1">
      <c r="A8507" s="1">
        <v>8989.0</v>
      </c>
      <c r="B8507" s="3" t="s">
        <v>8162</v>
      </c>
      <c r="C8507" s="3" t="str">
        <f>IFERROR(__xludf.DUMMYFUNCTION("GOOGLETRANSLATE(B8507,""id"",""en"")"),"['Provider', 'cheats',' ajg ',' signal ',' may ',' may ',' difficult ',' network ',' ugly ',' udh ',' hmpir ',' Buln ',' ugly ',' connection ',' shark ',' bite ',' cable ',' jdi ',' diversion ',' issue ',' telkomnyet ', ""]")</f>
        <v>['Provider', 'cheats',' ajg ',' signal ',' may ',' may ',' difficult ',' network ',' ugly ',' udh ',' hmpir ',' Buln ',' ugly ',' connection ',' shark ',' bite ',' cable ',' jdi ',' diversion ',' issue ',' telkomnyet ', "]</v>
      </c>
      <c r="D8507" s="3">
        <v>1.0</v>
      </c>
    </row>
    <row r="8508" ht="15.75" customHeight="1">
      <c r="A8508" s="1">
        <v>8990.0</v>
      </c>
      <c r="B8508" s="3" t="s">
        <v>8163</v>
      </c>
      <c r="C8508" s="3" t="str">
        <f>IFERROR(__xludf.DUMMYFUNCTION("GOOGLETRANSLATE(B8508,""id"",""en"")"),"['buy', 'Package', 'Telkomsel', 'Ngak', 'Enter', 'Enter', 'Ngak', 'Buy', 'Package', 'Data', 'Remnant', 'Payaah']")</f>
        <v>['buy', 'Package', 'Telkomsel', 'Ngak', 'Enter', 'Enter', 'Ngak', 'Buy', 'Package', 'Data', 'Remnant', 'Payaah']</v>
      </c>
      <c r="D8508" s="3">
        <v>1.0</v>
      </c>
    </row>
    <row r="8509" ht="15.75" customHeight="1">
      <c r="A8509" s="1">
        <v>8991.0</v>
      </c>
      <c r="B8509" s="3" t="s">
        <v>8164</v>
      </c>
      <c r="C8509" s="3" t="str">
        <f>IFERROR(__xludf.DUMMYFUNCTION("GOOGLETRANSLATE(B8509,""id"",""en"")"),"['response', 'Telkomsel', 'satisfying', 'responding', 'serious',' disappointing ',' sorry ',' Veronika ',' try ',' greet ',' thank ',' Sorry ',' about ',' this', 'Improving', 'Some', 'Things',' and ',' Will ',' Back ',' Soon ',' Say ',' Again ',' Later ' "&amp;", 'Start', 'Over', 'Thank', 'You', '']")</f>
        <v>['response', 'Telkomsel', 'satisfying', 'responding', 'serious',' disappointing ',' sorry ',' Veronika ',' try ',' greet ',' thank ',' Sorry ',' about ',' this', 'Improving', 'Some', 'Things',' and ',' Will ',' Back ',' Soon ',' Say ',' Again ',' Later ' , 'Start', 'Over', 'Thank', 'You', '']</v>
      </c>
      <c r="D8509" s="3">
        <v>1.0</v>
      </c>
    </row>
    <row r="8510" ht="15.75" customHeight="1">
      <c r="A8510" s="1">
        <v>8992.0</v>
      </c>
      <c r="B8510" s="3" t="s">
        <v>8165</v>
      </c>
      <c r="C8510" s="3" t="str">
        <f>IFERROR(__xludf.DUMMYFUNCTION("GOOGLETRANSLATE(B8510,""id"",""en"")"),"['Telkomsel', 'pulp', 'production', 'replace', 'quality', 'quality', 'integrity', 'get', 'profit', 'quality', 'provider', 'pulp', ' Quality ',' blas', '']")</f>
        <v>['Telkomsel', 'pulp', 'production', 'replace', 'quality', 'quality', 'integrity', 'get', 'profit', 'quality', 'provider', 'pulp', ' Quality ',' blas', '']</v>
      </c>
      <c r="D8510" s="3">
        <v>1.0</v>
      </c>
    </row>
    <row r="8511" ht="15.75" customHeight="1">
      <c r="A8511" s="1">
        <v>8993.0</v>
      </c>
      <c r="B8511" s="3" t="s">
        <v>8166</v>
      </c>
      <c r="C8511" s="3" t="str">
        <f>IFERROR(__xludf.DUMMYFUNCTION("GOOGLETRANSLATE(B8511,""id"",""en"")"),"['network', 'drained', 'emotion', 'cave', 'hold', 'until', 'progress',' sorry ',' say ',' bye ',' bye ',' telkom ',' ']")</f>
        <v>['network', 'drained', 'emotion', 'cave', 'hold', 'until', 'progress',' sorry ',' say ',' bye ',' bye ',' telkom ',' ']</v>
      </c>
      <c r="D8511" s="3">
        <v>2.0</v>
      </c>
    </row>
    <row r="8512" ht="15.75" customHeight="1">
      <c r="A8512" s="1">
        <v>8994.0</v>
      </c>
      <c r="B8512" s="3" t="s">
        <v>8167</v>
      </c>
      <c r="C8512" s="3" t="str">
        <f>IFERROR(__xludf.DUMMYFUNCTION("GOOGLETRANSLATE(B8512,""id"",""en"")"),"['Telkomsel', 'network', 'trouble', 'Telkomsel', 'like', 'log', 'package', 'users',' Telkomsel ',' price ',' buy ',' package ',' Friends', 'Different', ""]")</f>
        <v>['Telkomsel', 'network', 'trouble', 'Telkomsel', 'like', 'log', 'package', 'users',' Telkomsel ',' price ',' buy ',' package ',' Friends', 'Different', "]</v>
      </c>
      <c r="D8512" s="3">
        <v>2.0</v>
      </c>
    </row>
    <row r="8513" ht="15.75" customHeight="1">
      <c r="A8513" s="1">
        <v>8995.0</v>
      </c>
      <c r="B8513" s="3" t="s">
        <v>8168</v>
      </c>
      <c r="C8513" s="3" t="str">
        <f>IFERROR(__xludf.DUMMYFUNCTION("GOOGLETRANSLATE(B8513,""id"",""en"")"),"['Telkomsel', 'Severe', 'Kayak', 'Satan', 'Signal', 'Telkomsel', 'Untung', 'You', 'Take', 'Signal', 'You', 'Sell', ' Anjenngg ']")</f>
        <v>['Telkomsel', 'Severe', 'Kayak', 'Satan', 'Signal', 'Telkomsel', 'Untung', 'You', 'Take', 'Signal', 'You', 'Sell', ' Anjenngg ']</v>
      </c>
      <c r="D8513" s="3">
        <v>5.0</v>
      </c>
    </row>
    <row r="8514" ht="15.75" customHeight="1">
      <c r="A8514" s="1">
        <v>8996.0</v>
      </c>
      <c r="B8514" s="3" t="s">
        <v>8169</v>
      </c>
      <c r="C8514" s="3" t="str">
        <f>IFERROR(__xludf.DUMMYFUNCTION("GOOGLETRANSLATE(B8514,""id"",""en"")"),"['wih', 'cool', 'card', 'Telkomsel', 'signal', 'good', 'mending', 'pakek', 'deh', 'pakek', 'telkomsel', 'signal', ' critical', '']")</f>
        <v>['wih', 'cool', 'card', 'Telkomsel', 'signal', 'good', 'mending', 'pakek', 'deh', 'pakek', 'telkomsel', 'signal', ' critical', '']</v>
      </c>
      <c r="D8514" s="3">
        <v>1.0</v>
      </c>
    </row>
    <row r="8515" ht="15.75" customHeight="1">
      <c r="A8515" s="1">
        <v>8997.0</v>
      </c>
      <c r="B8515" s="3" t="s">
        <v>8170</v>
      </c>
      <c r="C8515" s="3" t="str">
        <f>IFERROR(__xludf.DUMMYFUNCTION("GOOGLETRANSLATE(B8515,""id"",""en"")"),"['quality', 'network', 'ugly', 'package', 'expensive', 'speed', 'internet', 'slow', 'rich', 'snail', 'said', 'the fastest', ' Taste ',' fix ',' fast ',' ']")</f>
        <v>['quality', 'network', 'ugly', 'package', 'expensive', 'speed', 'internet', 'slow', 'rich', 'snail', 'said', 'the fastest', ' Taste ',' fix ',' fast ',' ']</v>
      </c>
      <c r="D8515" s="3">
        <v>1.0</v>
      </c>
    </row>
    <row r="8516" ht="15.75" customHeight="1">
      <c r="A8516" s="1">
        <v>8998.0</v>
      </c>
      <c r="B8516" s="3" t="s">
        <v>8171</v>
      </c>
      <c r="C8516" s="3" t="str">
        <f>IFERROR(__xludf.DUMMYFUNCTION("GOOGLETRANSLATE(B8516,""id"",""en"")"),"['Gausah', 'download', 'Telkomsel', 'signal', 'ugly', 'bad', 'package', 'nge', 'pending', 'open', 'play', 'game', ' Ngellag ',' Severe ',' ']")</f>
        <v>['Gausah', 'download', 'Telkomsel', 'signal', 'ugly', 'bad', 'package', 'nge', 'pending', 'open', 'play', 'game', ' Ngellag ',' Severe ',' ']</v>
      </c>
      <c r="D8516" s="3">
        <v>1.0</v>
      </c>
    </row>
    <row r="8517" ht="15.75" customHeight="1">
      <c r="A8517" s="1">
        <v>8999.0</v>
      </c>
      <c r="B8517" s="3" t="s">
        <v>8172</v>
      </c>
      <c r="C8517" s="3" t="str">
        <f>IFERROR(__xludf.DUMMYFUNCTION("GOOGLETRANSLATE(B8517,""id"",""en"")"),"['why', 'NGK', 'opened', 'Telkomselku', 'Enter', 'already', 'put', 'Blsan', 'oops',' wrong ',' mean ',' point ',' Maybe ']")</f>
        <v>['why', 'NGK', 'opened', 'Telkomselku', 'Enter', 'already', 'put', 'Blsan', 'oops',' wrong ',' mean ',' point ',' Maybe ']</v>
      </c>
      <c r="D8517" s="3">
        <v>5.0</v>
      </c>
    </row>
    <row r="8518" ht="15.75" customHeight="1">
      <c r="A8518" s="1">
        <v>9000.0</v>
      </c>
      <c r="B8518" s="3" t="s">
        <v>8173</v>
      </c>
      <c r="C8518" s="3" t="str">
        <f>IFERROR(__xludf.DUMMYFUNCTION("GOOGLETRANSLATE(B8518,""id"",""en"")"),"['Star', 'min', 'good']")</f>
        <v>['Star', 'min', 'good']</v>
      </c>
      <c r="D8518" s="3">
        <v>5.0</v>
      </c>
    </row>
    <row r="8519" ht="15.75" customHeight="1">
      <c r="A8519" s="1">
        <v>9001.0</v>
      </c>
      <c r="B8519" s="3" t="s">
        <v>8174</v>
      </c>
      <c r="C8519" s="3" t="str">
        <f>IFERROR(__xludf.DUMMYFUNCTION("GOOGLETRANSLATE(B8519,""id"",""en"")"),"['package', 'call', 'expensive', 'rare', 'package', 'telephone']")</f>
        <v>['package', 'call', 'expensive', 'rare', 'package', 'telephone']</v>
      </c>
      <c r="D8519" s="3">
        <v>1.0</v>
      </c>
    </row>
    <row r="8520" ht="15.75" customHeight="1">
      <c r="A8520" s="1">
        <v>9002.0</v>
      </c>
      <c r="B8520" s="3" t="s">
        <v>8175</v>
      </c>
      <c r="C8520" s="3" t="str">
        <f>IFERROR(__xludf.DUMMYFUNCTION("GOOGLETRANSLATE(B8520,""id"",""en"")"),"['Hmm', 'UDH', 'Error', 'Telkomsel', 'Sometimes',' Sometimes', 'Lost', 'The Network', 'Please', 'Fix', 'Buy', 'Package', ' Please, 'repaired', '']")</f>
        <v>['Hmm', 'UDH', 'Error', 'Telkomsel', 'Sometimes',' Sometimes', 'Lost', 'The Network', 'Please', 'Fix', 'Buy', 'Package', ' Please, 'repaired', '']</v>
      </c>
      <c r="D8520" s="3">
        <v>1.0</v>
      </c>
    </row>
    <row r="8521" ht="15.75" customHeight="1">
      <c r="A8521" s="1">
        <v>9003.0</v>
      </c>
      <c r="B8521" s="3" t="s">
        <v>8176</v>
      </c>
      <c r="C8521" s="3" t="str">
        <f>IFERROR(__xludf.DUMMYFUNCTION("GOOGLETRANSLATE(B8521,""id"",""en"")"),"['Please', 'Login', 'MyTelkomsel', 'Yesterday', 'contents',' thousand ',' number ',' active ',' there ',' writing ',' oops', 'error', ' continuous', 'login']")</f>
        <v>['Please', 'Login', 'MyTelkomsel', 'Yesterday', 'contents',' thousand ',' number ',' active ',' there ',' writing ',' oops', 'error', ' continuous', 'login']</v>
      </c>
      <c r="D8521" s="3">
        <v>1.0</v>
      </c>
    </row>
    <row r="8522" ht="15.75" customHeight="1">
      <c r="A8522" s="1">
        <v>9004.0</v>
      </c>
      <c r="B8522" s="3" t="s">
        <v>8177</v>
      </c>
      <c r="C8522" s="3" t="str">
        <f>IFERROR(__xludf.DUMMYFUNCTION("GOOGLETRANSLATE(B8522,""id"",""en"")"),"['internet', 'error', 'bnar', 'fed up', 'high school', 'Telkomsel', 'disappointed', 'paid', 'expensive', 'satisfied', 'customers',' udh ',' ngadu ',' call ',' center ',' high school ',' result ',' mah ',' tmbah ',' severe ',' high school ',' skli ',' bsa "&amp;"',' used ',' pay ' , 'expensive', 'Lho', 'UDH', 'Ngadu', 'repaired', 'Mah', 'exercised', 'UDH', 'BNAR', 'MUAKKK', 'IAAA', '']")</f>
        <v>['internet', 'error', 'bnar', 'fed up', 'high school', 'Telkomsel', 'disappointed', 'paid', 'expensive', 'satisfied', 'customers',' udh ',' ngadu ',' call ',' center ',' high school ',' result ',' mah ',' tmbah ',' severe ',' high school ',' skli ',' bsa ',' used ',' pay ' , 'expensive', 'Lho', 'UDH', 'Ngadu', 'repaired', 'Mah', 'exercised', 'UDH', 'BNAR', 'MUAKKK', 'IAAA', '']</v>
      </c>
      <c r="D8522" s="3">
        <v>1.0</v>
      </c>
    </row>
    <row r="8523" ht="15.75" customHeight="1">
      <c r="A8523" s="1">
        <v>9005.0</v>
      </c>
      <c r="B8523" s="3" t="s">
        <v>8178</v>
      </c>
      <c r="C8523" s="3" t="str">
        <f>IFERROR(__xludf.DUMMYFUNCTION("GOOGLETRANSLATE(B8523,""id"",""en"")"),"['Severe', 'Package', 'Direct', 'Baerkunya', 'Sampe', 'October', ""]")</f>
        <v>['Severe', 'Package', 'Direct', 'Baerkunya', 'Sampe', 'October', "]</v>
      </c>
      <c r="D8523" s="3">
        <v>2.0</v>
      </c>
    </row>
    <row r="8524" ht="15.75" customHeight="1">
      <c r="A8524" s="1">
        <v>9006.0</v>
      </c>
      <c r="B8524" s="3" t="s">
        <v>8179</v>
      </c>
      <c r="C8524" s="3" t="str">
        <f>IFERROR(__xludf.DUMMYFUNCTION("GOOGLETRANSLATE(B8524,""id"",""en"")"),"['I', 'surprised', 'Ame', 'provider', 'sympathy', 'me', 'check', 'apply', 'package', 'me', 'week', 'date', ' May ',' KNPE ',' changed ',' date ',' sympathy ',' skg ',' disappointing ',' customer ',' comment ',' customer ',' org ',' satisfied ',' service '"&amp;" , 'sympathy', 'right', 'dilapidated', 'sympathy', 'skg', '']")</f>
        <v>['I', 'surprised', 'Ame', 'provider', 'sympathy', 'me', 'check', 'apply', 'package', 'me', 'week', 'date', ' May ',' KNPE ',' changed ',' date ',' sympathy ',' skg ',' disappointing ',' customer ',' comment ',' customer ',' org ',' satisfied ',' service ' , 'sympathy', 'right', 'dilapidated', 'sympathy', 'skg', '']</v>
      </c>
      <c r="D8524" s="3">
        <v>1.0</v>
      </c>
    </row>
    <row r="8525" ht="15.75" customHeight="1">
      <c r="A8525" s="1">
        <v>9007.0</v>
      </c>
      <c r="B8525" s="3" t="s">
        <v>8180</v>
      </c>
      <c r="C8525" s="3" t="str">
        <f>IFERROR(__xludf.DUMMYFUNCTION("GOOGLETRANSLATE(B8525,""id"",""en"")"),"['Telkomsel', 'Signal', 'Difficult', 'Internet', 'Severe', 'Disruption', 'then', 'Guarantee', 'TLKMSEL', 'SKRG', 'Disappointed', 'Switch', ' ']")</f>
        <v>['Telkomsel', 'Signal', 'Difficult', 'Internet', 'Severe', 'Disruption', 'then', 'Guarantee', 'TLKMSEL', 'SKRG', 'Disappointed', 'Switch', ' ']</v>
      </c>
      <c r="D8525" s="3">
        <v>1.0</v>
      </c>
    </row>
    <row r="8526" ht="15.75" customHeight="1">
      <c r="A8526" s="1">
        <v>9008.0</v>
      </c>
      <c r="B8526" s="3" t="s">
        <v>8181</v>
      </c>
      <c r="C8526" s="3" t="str">
        <f>IFERROR(__xludf.DUMMYFUNCTION("GOOGLETRANSLATE(B8526,""id"",""en"")"),"['contents', 'pulse', 'notif', 'pulse', 'ngk', 'increase', '']")</f>
        <v>['contents', 'pulse', 'notif', 'pulse', 'ngk', 'increase', '']</v>
      </c>
      <c r="D8526" s="3">
        <v>3.0</v>
      </c>
    </row>
    <row r="8527" ht="15.75" customHeight="1">
      <c r="A8527" s="1">
        <v>9009.0</v>
      </c>
      <c r="B8527" s="3" t="s">
        <v>8182</v>
      </c>
      <c r="C8527" s="3" t="str">
        <f>IFERROR(__xludf.DUMMYFUNCTION("GOOGLETRANSLATE(B8527,""id"",""en"")"),"['Connection', 'Telkomsel', 'night', 'Sometimes',' break up ',' reasons', 'bad', 'Sometimes',' login ',' reset ',' application ',' number ',' login ',' writing ',' error ',' wait ',' repeat ',' times', 'base', 'eaters',' money ',' customer ',' ']")</f>
        <v>['Connection', 'Telkomsel', 'night', 'Sometimes',' break up ',' reasons', 'bad', 'Sometimes',' login ',' reset ',' application ',' number ',' login ',' writing ',' error ',' wait ',' repeat ',' times', 'base', 'eaters',' money ',' customer ',' ']</v>
      </c>
      <c r="D8527" s="3">
        <v>1.0</v>
      </c>
    </row>
    <row r="8528" ht="15.75" customHeight="1">
      <c r="A8528" s="1">
        <v>9010.0</v>
      </c>
      <c r="B8528" s="3" t="s">
        <v>8183</v>
      </c>
      <c r="C8528" s="3" t="str">
        <f>IFERROR(__xludf.DUMMYFUNCTION("GOOGLETRANSLATE(B8528,""id"",""en"")"),"['network', 'Telkomsel', 'ugly', 'network', 'fast', 'udh', 'download', 'app', 'ttp', 'ugly', 'app', 'help', ' ']")</f>
        <v>['network', 'Telkomsel', 'ugly', 'network', 'fast', 'udh', 'download', 'app', 'ttp', 'ugly', 'app', 'help', ' ']</v>
      </c>
      <c r="D8528" s="3">
        <v>2.0</v>
      </c>
    </row>
    <row r="8529" ht="15.75" customHeight="1">
      <c r="A8529" s="1">
        <v>9011.0</v>
      </c>
      <c r="B8529" s="3" t="s">
        <v>8184</v>
      </c>
      <c r="C8529" s="3" t="str">
        <f>IFERROR(__xludf.DUMMYFUNCTION("GOOGLETRANSLATE(B8529,""id"",""en"")"),"['buy', 'Package', 'combo', 'account', 'enter', 'number', 'oops',' error ',' repeat ',' reinstall ',' Please ',' Telkomsel ',' maximize ',' the application ',' notification ',' clash ',' application ',' care ',' protected ',' ngeblank ',' screen ',' signa"&amp;"l ',' lost ', ""]")</f>
        <v>['buy', 'Package', 'combo', 'account', 'enter', 'number', 'oops',' error ',' repeat ',' reinstall ',' Please ',' Telkomsel ',' maximize ',' the application ',' notification ',' clash ',' application ',' care ',' protected ',' ngeblank ',' screen ',' signal ',' lost ', "]</v>
      </c>
      <c r="D8529" s="3">
        <v>1.0</v>
      </c>
    </row>
    <row r="8530" ht="15.75" customHeight="1">
      <c r="A8530" s="1">
        <v>9012.0</v>
      </c>
      <c r="B8530" s="3" t="s">
        <v>8185</v>
      </c>
      <c r="C8530" s="3" t="str">
        <f>IFERROR(__xludf.DUMMYFUNCTION("GOOGLETRANSLATE(B8530,""id"",""en"")"),"['signal', 'please', 'fix', 'clock', 'network', 'slow', 'Telkomsel', 'skrg', '']")</f>
        <v>['signal', 'please', 'fix', 'clock', 'network', 'slow', 'Telkomsel', 'skrg', '']</v>
      </c>
      <c r="D8530" s="3">
        <v>1.0</v>
      </c>
    </row>
    <row r="8531" ht="15.75" customHeight="1">
      <c r="A8531" s="1">
        <v>9013.0</v>
      </c>
      <c r="B8531" s="3" t="s">
        <v>8186</v>
      </c>
      <c r="C8531" s="3" t="str">
        <f>IFERROR(__xludf.DUMMYFUNCTION("GOOGLETRANSLATE(B8531,""id"",""en"")"),"['Telkomsel', 'clay', 'quota', 'opened', 'woiiiii', 'the application', 'opened', 'sorry', 'error', 'then', 'hrs',' gmn ',' ZMN ',' old school ',' junior high school ',' skrg ',' TTP ',' PKE ',' Telkomsel ',' now ',' SPT ',' slow ',' really ',' tlng ',' re"&amp;"paired ' , 'users', 'Telkomsel', 'chatty', 'plisssss']")</f>
        <v>['Telkomsel', 'clay', 'quota', 'opened', 'woiiiii', 'the application', 'opened', 'sorry', 'error', 'then', 'hrs',' gmn ',' ZMN ',' old school ',' junior high school ',' skrg ',' TTP ',' PKE ',' Telkomsel ',' now ',' SPT ',' slow ',' really ',' tlng ',' repaired ' , 'users', 'Telkomsel', 'chatty', 'plisssss']</v>
      </c>
      <c r="D8531" s="3">
        <v>3.0</v>
      </c>
    </row>
    <row r="8532" ht="15.75" customHeight="1">
      <c r="A8532" s="1">
        <v>9014.0</v>
      </c>
      <c r="B8532" s="3" t="s">
        <v>8187</v>
      </c>
      <c r="C8532" s="3" t="str">
        <f>IFERROR(__xludf.DUMMYFUNCTION("GOOGLETRANSLATE(B8532,""id"",""en"")"),"['application', 'check', 'credit', 'quota', 'difficult', 'login', 'already', 'deleted', 'donlot', 'difficult', 'login', 'replace', ' Logo ',' good ',' nyungsep ',' ']")</f>
        <v>['application', 'check', 'credit', 'quota', 'difficult', 'login', 'already', 'deleted', 'donlot', 'difficult', 'login', 'replace', ' Logo ',' good ',' nyungsep ',' ']</v>
      </c>
      <c r="D8532" s="3">
        <v>1.0</v>
      </c>
    </row>
    <row r="8533" ht="15.75" customHeight="1">
      <c r="A8533" s="1">
        <v>9015.0</v>
      </c>
      <c r="B8533" s="3" t="s">
        <v>8188</v>
      </c>
      <c r="C8533" s="3" t="str">
        <f>IFERROR(__xludf.DUMMYFUNCTION("GOOGLETRANSLATE(B8533,""id"",""en"")"),"['application', 'help', 'unfortunately', 'logout', 'login', 'difficult', ""]")</f>
        <v>['application', 'help', 'unfortunately', 'logout', 'login', 'difficult', "]</v>
      </c>
      <c r="D8533" s="3">
        <v>2.0</v>
      </c>
    </row>
    <row r="8534" ht="15.75" customHeight="1">
      <c r="A8534" s="1">
        <v>9016.0</v>
      </c>
      <c r="B8534" s="3" t="s">
        <v>8189</v>
      </c>
      <c r="C8534" s="3" t="str">
        <f>IFERROR(__xludf.DUMMYFUNCTION("GOOGLETRANSLATE(B8534,""id"",""en"")"),"['Open', 'application', 'woi', 'already', 'update', 'sumps', 'pulse']")</f>
        <v>['Open', 'application', 'woi', 'already', 'update', 'sumps', 'pulse']</v>
      </c>
      <c r="D8534" s="3">
        <v>1.0</v>
      </c>
    </row>
    <row r="8535" ht="15.75" customHeight="1">
      <c r="A8535" s="1">
        <v>9017.0</v>
      </c>
      <c r="B8535" s="3" t="s">
        <v>8190</v>
      </c>
      <c r="C8535" s="3" t="str">
        <f>IFERROR(__xludf.DUMMYFUNCTION("GOOGLETRANSLATE(B8535,""id"",""en"")"),"['Provider', 'Nge', 'lag', 'karuan', 'price', 'kouta', 'expensive', 'quality', 'garbage', 'promo', 'doang', 'signal', ' mAh ',' garbage ',' where ',' price ',' quality ',' price ',' expensive ',' quality ',' garbage ',' ngeleg ',' karuan ']")</f>
        <v>['Provider', 'Nge', 'lag', 'karuan', 'price', 'kouta', 'expensive', 'quality', 'garbage', 'promo', 'doang', 'signal', ' mAh ',' garbage ',' where ',' price ',' quality ',' price ',' expensive ',' quality ',' garbage ',' ngeleg ',' karuan ']</v>
      </c>
      <c r="D8535" s="3">
        <v>1.0</v>
      </c>
    </row>
    <row r="8536" ht="15.75" customHeight="1">
      <c r="A8536" s="1">
        <v>9018.0</v>
      </c>
      <c r="B8536" s="3" t="s">
        <v>8191</v>
      </c>
      <c r="C8536" s="3" t="str">
        <f>IFERROR(__xludf.DUMMYFUNCTION("GOOGLETRANSLATE(B8536,""id"",""en"")"),"['', 'signal', 'slow', 'speed', 'downhill', 'price', 'sold', 'expensive', 'Telkomsel', 'smooth']")</f>
        <v>['', 'signal', 'slow', 'speed', 'downhill', 'price', 'sold', 'expensive', 'Telkomsel', 'smooth']</v>
      </c>
      <c r="D8536" s="3">
        <v>1.0</v>
      </c>
    </row>
    <row r="8537" ht="15.75" customHeight="1">
      <c r="A8537" s="1">
        <v>9019.0</v>
      </c>
      <c r="B8537" s="3" t="s">
        <v>8192</v>
      </c>
      <c r="C8537" s="3" t="str">
        <f>IFERROR(__xludf.DUMMYFUNCTION("GOOGLETRANSLATE(B8537,""id"",""en"")"),"['App', 'Login', 'Wrong', 'Telkomsel', 'Package', 'GB', 'Weve', 'Signal', 'Telephone', 'Rotten', 'Signal', 'Empty', ' ']")</f>
        <v>['App', 'Login', 'Wrong', 'Telkomsel', 'Package', 'GB', 'Weve', 'Signal', 'Telephone', 'Rotten', 'Signal', 'Empty', ' ']</v>
      </c>
      <c r="D8537" s="3">
        <v>1.0</v>
      </c>
    </row>
    <row r="8538" ht="15.75" customHeight="1">
      <c r="A8538" s="1">
        <v>9020.0</v>
      </c>
      <c r="B8538" s="3" t="s">
        <v>8193</v>
      </c>
      <c r="C8538" s="3" t="str">
        <f>IFERROR(__xludf.DUMMYFUNCTION("GOOGLETRANSLATE(B8538,""id"",""en"")"),"['skrg', 'login', ""]")</f>
        <v>['skrg', 'login', "]</v>
      </c>
      <c r="D8538" s="3">
        <v>1.0</v>
      </c>
    </row>
    <row r="8539" ht="15.75" customHeight="1">
      <c r="A8539" s="1">
        <v>9021.0</v>
      </c>
      <c r="B8539" s="3" t="s">
        <v>8194</v>
      </c>
      <c r="C8539" s="3" t="str">
        <f>IFERROR(__xludf.DUMMYFUNCTION("GOOGLETRANSLATE(B8539,""id"",""en"")"),"['Telkomsel', 'wants',' Network ',' like ',' ilang ',' Nilagan ',' Package ',' buy ',' swear ',' Telkomsel ',' bankrupt ',' destroyed ',' destroyed ',' destroyed ']")</f>
        <v>['Telkomsel', 'wants',' Network ',' like ',' ilang ',' Nilagan ',' Package ',' buy ',' swear ',' Telkomsel ',' bankrupt ',' destroyed ',' destroyed ',' destroyed ']</v>
      </c>
      <c r="D8539" s="3">
        <v>1.0</v>
      </c>
    </row>
    <row r="8540" ht="15.75" customHeight="1">
      <c r="A8540" s="1">
        <v>9022.0</v>
      </c>
      <c r="B8540" s="3" t="s">
        <v>8195</v>
      </c>
      <c r="C8540" s="3" t="str">
        <f>IFERROR(__xludf.DUMMYFUNCTION("GOOGLETRANSLATE(B8540,""id"",""en"")"),"['application', 'good', 'right', 'told', 'enter', 'number', 'kagak', 'mulu', 'disappointed', 'customer', 'mulu', 'suck', ' pulses', 'experts',' steady ',' emg ',' ']")</f>
        <v>['application', 'good', 'right', 'told', 'enter', 'number', 'kagak', 'mulu', 'disappointed', 'customer', 'mulu', 'suck', ' pulses', 'experts',' steady ',' emg ',' ']</v>
      </c>
      <c r="D8540" s="3">
        <v>1.0</v>
      </c>
    </row>
    <row r="8541" ht="15.75" customHeight="1">
      <c r="A8541" s="1">
        <v>9023.0</v>
      </c>
      <c r="B8541" s="3" t="s">
        <v>8196</v>
      </c>
      <c r="C8541" s="3" t="str">
        <f>IFERROR(__xludf.DUMMYFUNCTION("GOOGLETRANSLATE(B8541,""id"",""en"")"),"['Good', 'errrr', 'network', 'Telkomsel', 'slow', 'really', 'mending', 'network', 'good', 'cheap', ""]")</f>
        <v>['Good', 'errrr', 'network', 'Telkomsel', 'slow', 'really', 'mending', 'network', 'good', 'cheap', "]</v>
      </c>
      <c r="D8541" s="3">
        <v>1.0</v>
      </c>
    </row>
    <row r="8542" ht="15.75" customHeight="1">
      <c r="A8542" s="1">
        <v>9024.0</v>
      </c>
      <c r="B8542" s="3" t="s">
        <v>8197</v>
      </c>
      <c r="C8542" s="3" t="str">
        <f>IFERROR(__xludf.DUMMYFUNCTION("GOOGLETRANSLATE(B8542,""id"",""en"")"),"['', 'entered', 'already', 'told', 'buy', 'card', 'APK', 'IMPULNN']")</f>
        <v>['', 'entered', 'already', 'told', 'buy', 'card', 'APK', 'IMPULNN']</v>
      </c>
      <c r="D8542" s="3">
        <v>1.0</v>
      </c>
    </row>
    <row r="8543" ht="15.75" customHeight="1">
      <c r="A8543" s="1">
        <v>9025.0</v>
      </c>
      <c r="B8543" s="3" t="s">
        <v>8198</v>
      </c>
      <c r="C8543" s="3" t="str">
        <f>IFERROR(__xludf.DUMMYFUNCTION("GOOGLETRANSLATE(B8543,""id"",""en"")"),"['Severe', 'Telkomsel', 'thousands', 'sekrg', 'ugly', '']")</f>
        <v>['Severe', 'Telkomsel', 'thousands', 'sekrg', 'ugly', '']</v>
      </c>
      <c r="D8543" s="3">
        <v>2.0</v>
      </c>
    </row>
    <row r="8544" ht="15.75" customHeight="1">
      <c r="A8544" s="1">
        <v>9026.0</v>
      </c>
      <c r="B8544" s="3" t="s">
        <v>8199</v>
      </c>
      <c r="C8544" s="3" t="str">
        <f>IFERROR(__xludf.DUMMYFUNCTION("GOOGLETRANSLATE(B8544,""id"",""en"")"),"['Enter', 'menu', 'Telkomsel', 'Telkomsel', 'advanced', 'disappointing', 'user', 'loyal', 'Telkomsel']")</f>
        <v>['Enter', 'menu', 'Telkomsel', 'Telkomsel', 'advanced', 'disappointing', 'user', 'loyal', 'Telkomsel']</v>
      </c>
      <c r="D8544" s="3">
        <v>1.0</v>
      </c>
    </row>
    <row r="8545" ht="15.75" customHeight="1">
      <c r="A8545" s="1">
        <v>9027.0</v>
      </c>
      <c r="B8545" s="3" t="s">
        <v>8200</v>
      </c>
      <c r="C8545" s="3" t="str">
        <f>IFERROR(__xludf.DUMMYFUNCTION("GOOGLETRANSLATE(B8545,""id"",""en"")"),"['The application', 'ugly', 'ter', 'log', 'out', 'difficult', 'really', 'bei', 'quota', 'application', 'disappear']")</f>
        <v>['The application', 'ugly', 'ter', 'log', 'out', 'difficult', 'really', 'bei', 'quota', 'application', 'disappear']</v>
      </c>
      <c r="D8545" s="3">
        <v>1.0</v>
      </c>
    </row>
    <row r="8546" ht="15.75" customHeight="1">
      <c r="A8546" s="1">
        <v>9028.0</v>
      </c>
      <c r="B8546" s="3" t="s">
        <v>8201</v>
      </c>
      <c r="C8546" s="3" t="str">
        <f>IFERROR(__xludf.DUMMYFUNCTION("GOOGLETRANSLATE(B8546,""id"",""en"")"),"['boss',' boss', 'network', 'enter', 'Application', 'MyTelkomsel', 'use', 'number', 'failed', 'signal', 'pulse', 'pelp', ' RAM ',' GB ',' Brand ',' Samsung ',' Note ',' Okay ',' Buy ',' Paketan ',' Use ',' Price ',' RECOMMENDATION ',' TEMEN ',' OK ' , 'bu"&amp;"y', 'package', 'pulse', 'perseverance', 'owe', 'Hadehhhh', 'watch', 'muter', 'kayak', 'package', 'complaint', 'hard', ' Boss', 'motion', 'fast', ""]")</f>
        <v>['boss',' boss', 'network', 'enter', 'Application', 'MyTelkomsel', 'use', 'number', 'failed', 'signal', 'pulse', 'pelp', ' RAM ',' GB ',' Brand ',' Samsung ',' Note ',' Okay ',' Buy ',' Paketan ',' Use ',' Price ',' RECOMMENDATION ',' TEMEN ',' OK ' , 'buy', 'package', 'pulse', 'perseverance', 'owe', 'Hadehhhh', 'watch', 'muter', 'kayak', 'package', 'complaint', 'hard', ' Boss', 'motion', 'fast', "]</v>
      </c>
      <c r="D8546" s="3">
        <v>3.0</v>
      </c>
    </row>
    <row r="8547" ht="15.75" customHeight="1">
      <c r="A8547" s="1">
        <v>9029.0</v>
      </c>
      <c r="B8547" s="3" t="s">
        <v>8202</v>
      </c>
      <c r="C8547" s="3" t="str">
        <f>IFERROR(__xludf.DUMMYFUNCTION("GOOGLETRANSLATE(B8547,""id"",""en"")"),"['Log', 'right', 'open', 'Telkomsel', 'emang', 'card']")</f>
        <v>['Log', 'right', 'open', 'Telkomsel', 'emang', 'card']</v>
      </c>
      <c r="D8547" s="3">
        <v>1.0</v>
      </c>
    </row>
    <row r="8548" ht="15.75" customHeight="1">
      <c r="A8548" s="1">
        <v>9030.0</v>
      </c>
      <c r="B8548" s="3" t="s">
        <v>8203</v>
      </c>
      <c r="C8548" s="3" t="str">
        <f>IFERROR(__xludf.DUMMYFUNCTION("GOOGLETRANSLATE(B8548,""id"",""en"")"),"['admin', 'please', 'ksih', 'solution', 'yeosu', 'korea', 'south', 'log', 'application', 'udh', 'reset', 'sgala', ' Msih ',' TTP ',' Oopss', 'Something', 'Wrong', 'Dmna', 'Tlong', 'Eee', 'Buy', 'Package', 'Roaming', 'Lwat', 'Application' , 'muahal', 'bnge"&amp;"t', 'min', 'use', 'application', 'cman', 'rb', 'gb', 'help', '']")</f>
        <v>['admin', 'please', 'ksih', 'solution', 'yeosu', 'korea', 'south', 'log', 'application', 'udh', 'reset', 'sgala', ' Msih ',' TTP ',' Oopss', 'Something', 'Wrong', 'Dmna', 'Tlong', 'Eee', 'Buy', 'Package', 'Roaming', 'Lwat', 'Application' , 'muahal', 'bnget', 'min', 'use', 'application', 'cman', 'rb', 'gb', 'help', '']</v>
      </c>
      <c r="D8548" s="3">
        <v>1.0</v>
      </c>
    </row>
    <row r="8549" ht="15.75" customHeight="1">
      <c r="A8549" s="1">
        <v>9031.0</v>
      </c>
      <c r="B8549" s="3" t="s">
        <v>8204</v>
      </c>
      <c r="C8549" s="3" t="str">
        <f>IFERROR(__xludf.DUMMYFUNCTION("GOOGLETRANSLATE(B8549,""id"",""en"")"),"['ugly', 'serious', 'strange', 'login', 'persuhit']")</f>
        <v>['ugly', 'serious', 'strange', 'login', 'persuhit']</v>
      </c>
      <c r="D8549" s="3">
        <v>1.0</v>
      </c>
    </row>
    <row r="8550" ht="15.75" customHeight="1">
      <c r="A8550" s="1">
        <v>9032.0</v>
      </c>
      <c r="B8550" s="3" t="s">
        <v>8205</v>
      </c>
      <c r="C8550" s="3" t="str">
        <f>IFERROR(__xludf.DUMMYFUNCTION("GOOGLETRANSLATE(B8550,""id"",""en"")"),"['Telkomsel', 'little', 'signal', 'lost', 'price', 'use', 'expensive', 'Pinda', 'prime', 'bay', 'Telkom', ""]")</f>
        <v>['Telkomsel', 'little', 'signal', 'lost', 'price', 'use', 'expensive', 'Pinda', 'prime', 'bay', 'Telkom', "]</v>
      </c>
      <c r="D8550" s="3">
        <v>1.0</v>
      </c>
    </row>
    <row r="8551" ht="15.75" customHeight="1">
      <c r="A8551" s="1">
        <v>9033.0</v>
      </c>
      <c r="B8551" s="3" t="s">
        <v>8206</v>
      </c>
      <c r="C8551" s="3" t="str">
        <f>IFERROR(__xludf.DUMMYFUNCTION("GOOGLETRANSLATE(B8551,""id"",""en"")"),"['', 'update', 'nyampahhhhh', 'open', 'salutt', 'performance', 'telkomsel', 'telkom', 'Telkomsel', 'forgiveness',' napa ',' nyampah ',' making it ', 'emotion', '']")</f>
        <v>['', 'update', 'nyampahhhhh', 'open', 'salutt', 'performance', 'telkomsel', 'telkom', 'Telkomsel', 'forgiveness',' napa ',' nyampah ',' making it ', 'emotion', '']</v>
      </c>
      <c r="D8551" s="3">
        <v>1.0</v>
      </c>
    </row>
    <row r="8552" ht="15.75" customHeight="1">
      <c r="A8552" s="1">
        <v>9034.0</v>
      </c>
      <c r="B8552" s="3" t="s">
        <v>8207</v>
      </c>
      <c r="C8552" s="3" t="str">
        <f>IFERROR(__xludf.DUMMYFUNCTION("GOOGLETRANSLATE(B8552,""id"",""en"")"),"['Login', 'Open', 'Opened', '']")</f>
        <v>['Login', 'Open', 'Opened', '']</v>
      </c>
      <c r="D8552" s="3">
        <v>1.0</v>
      </c>
    </row>
    <row r="8553" ht="15.75" customHeight="1">
      <c r="A8553" s="1">
        <v>9035.0</v>
      </c>
      <c r="B8553" s="3" t="s">
        <v>8208</v>
      </c>
      <c r="C8553" s="3" t="str">
        <f>IFERROR(__xludf.DUMMYFUNCTION("GOOGLETRANSLATE(B8553,""id"",""en"")"),"['bad', 'customer', 'monthly', 'package', 'thousand', 'signal', 'lose', 'provider', 'price', 'quota', 'below', 'signal', ' printed ',' open ',' slide ',' position ',' missing ',' signal ',' kah ',' intention ',' telkomsel ',' fix ',' network ',' bad ',' l"&amp;"evel ' , 'stable', 'disappointed', 'remote', 'area', 'edge', 'city', 'location', 'banguntapan', 'bantul', '']")</f>
        <v>['bad', 'customer', 'monthly', 'package', 'thousand', 'signal', 'lose', 'provider', 'price', 'quota', 'below', 'signal', ' printed ',' open ',' slide ',' position ',' missing ',' signal ',' kah ',' intention ',' telkomsel ',' fix ',' network ',' bad ',' level ' , 'stable', 'disappointed', 'remote', 'area', 'edge', 'city', 'location', 'banguntapan', 'bantul', '']</v>
      </c>
      <c r="D8553" s="3">
        <v>1.0</v>
      </c>
    </row>
    <row r="8554" ht="15.75" customHeight="1">
      <c r="A8554" s="1">
        <v>9036.0</v>
      </c>
      <c r="B8554" s="3" t="s">
        <v>8209</v>
      </c>
      <c r="C8554" s="3" t="str">
        <f>IFERROR(__xludf.DUMMYFUNCTION("GOOGLETRANSLATE(B8554,""id"",""en"")"),"['already', 'buy', 'pulse', 'stay', 'packagein', 'open', 'knpa', 'rb', 'woi', 'bought', ""]")</f>
        <v>['already', 'buy', 'pulse', 'stay', 'packagein', 'open', 'knpa', 'rb', 'woi', 'bought', "]</v>
      </c>
      <c r="D8554" s="3">
        <v>1.0</v>
      </c>
    </row>
    <row r="8555" ht="15.75" customHeight="1">
      <c r="A8555" s="1">
        <v>9037.0</v>
      </c>
      <c r="B8555" s="3" t="s">
        <v>8210</v>
      </c>
      <c r="C8555" s="3" t="str">
        <f>IFERROR(__xludf.DUMMYFUNCTION("GOOGLETRANSLATE(B8555,""id"",""en"")"),"['Telkomsel', 'quality', 'network', 'slow', 'please', 'repay', 'quality', 'network', 'yaaaa', 'customers',' Telkomsel ',' disappointed ',' Buy ',' Package ',' Expensive ',' Thank you ', ""]")</f>
        <v>['Telkomsel', 'quality', 'network', 'slow', 'please', 'repay', 'quality', 'network', 'yaaaa', 'customers',' Telkomsel ',' disappointed ',' Buy ',' Package ',' Expensive ',' Thank you ', "]</v>
      </c>
      <c r="D8555" s="3">
        <v>1.0</v>
      </c>
    </row>
    <row r="8556" ht="15.75" customHeight="1">
      <c r="A8556" s="1">
        <v>9038.0</v>
      </c>
      <c r="B8556" s="3" t="s">
        <v>8211</v>
      </c>
      <c r="C8556" s="3" t="str">
        <f>IFERROR(__xludf.DUMMYFUNCTION("GOOGLETRANSLATE(B8556,""id"",""en"")"),"['annoying', 'its network', 'compete', 'good', 'closed', 'Telkomsel', 'ngenes', 'customers', '']")</f>
        <v>['annoying', 'its network', 'compete', 'good', 'closed', 'Telkomsel', 'ngenes', 'customers', '']</v>
      </c>
      <c r="D8556" s="3">
        <v>1.0</v>
      </c>
    </row>
    <row r="8557" ht="15.75" customHeight="1">
      <c r="A8557" s="1">
        <v>9039.0</v>
      </c>
      <c r="B8557" s="3" t="s">
        <v>8212</v>
      </c>
      <c r="C8557" s="3" t="str">
        <f>IFERROR(__xludf.DUMMYFUNCTION("GOOGLETRANSLATE(B8557,""id"",""en"")"),"['Telkomsel', 'Limited', 'Limited', 'Good', 'Network', 'Indosat', 'Im', 'Indosat', 'Im', 'Like', 'Lost', 'Lost', ' Quality ',' Indosat ',' IM ',' rather than ',' Telkomsel ',' Telkomsel ',' Bali ',' Card ',' Telkomsel ',' City ',' Pulse ',' Full ',' Telko"&amp;"msel ' , 'user', 'Insterkan', 'City', 'pulses', 'expensive', 'network', 'limited', '']")</f>
        <v>['Telkomsel', 'Limited', 'Limited', 'Good', 'Network', 'Indosat', 'Im', 'Indosat', 'Im', 'Like', 'Lost', 'Lost', ' Quality ',' Indosat ',' IM ',' rather than ',' Telkomsel ',' Telkomsel ',' Bali ',' Card ',' Telkomsel ',' City ',' Pulse ',' Full ',' Telkomsel ' , 'user', 'Insterkan', 'City', 'pulses', 'expensive', 'network', 'limited', '']</v>
      </c>
      <c r="D8557" s="3">
        <v>1.0</v>
      </c>
    </row>
    <row r="8558" ht="15.75" customHeight="1">
      <c r="A8558" s="1">
        <v>9040.0</v>
      </c>
      <c r="B8558" s="3" t="s">
        <v>8213</v>
      </c>
      <c r="C8558" s="3" t="str">
        <f>IFERROR(__xludf.DUMMYFUNCTION("GOOGLETRANSLATE(B8558,""id"",""en"")"),"['here', 'Telkomsel', 'ugly', 'network', 'lalot', 'severe', 'want', 'santing', ""]")</f>
        <v>['here', 'Telkomsel', 'ugly', 'network', 'lalot', 'severe', 'want', 'santing', "]</v>
      </c>
      <c r="D8558" s="3">
        <v>1.0</v>
      </c>
    </row>
    <row r="8559" ht="15.75" customHeight="1">
      <c r="A8559" s="1">
        <v>9041.0</v>
      </c>
      <c r="B8559" s="3" t="s">
        <v>8214</v>
      </c>
      <c r="C8559" s="3" t="str">
        <f>IFERROR(__xludf.DUMMYFUNCTION("GOOGLETRANSLATE(B8559,""id"",""en"")"),"['Enter', 'Lho', 'quota', 'enter', 'internet', 'oh', '']")</f>
        <v>['Enter', 'Lho', 'quota', 'enter', 'internet', 'oh', '']</v>
      </c>
      <c r="D8559" s="3">
        <v>1.0</v>
      </c>
    </row>
    <row r="8560" ht="15.75" customHeight="1">
      <c r="A8560" s="1">
        <v>9042.0</v>
      </c>
      <c r="B8560" s="3" t="s">
        <v>8215</v>
      </c>
      <c r="C8560" s="3" t="str">
        <f>IFERROR(__xludf.DUMMYFUNCTION("GOOGLETRANSLATE(B8560,""id"",""en"")"),"['users',' loyal ',' Telkomsel ',' Satisfied ',' Service ',' Package ',' expensive ',' Provider ',' Quality ',' The Line ',' Top ',' Tasks', ' Linked ',' signal ',' in accordance ',' signal ',' stable ',' approaching ',' night ',' times', 'application', '"&amp;"Severe', 'login', 'clarity', 'provider' , 'Best', 'Seindonesia', '']")</f>
        <v>['users',' loyal ',' Telkomsel ',' Satisfied ',' Service ',' Package ',' expensive ',' Provider ',' Quality ',' The Line ',' Top ',' Tasks', ' Linked ',' signal ',' in accordance ',' signal ',' stable ',' approaching ',' night ',' times', 'application', 'Severe', 'login', 'clarity', 'provider' , 'Best', 'Seindonesia', '']</v>
      </c>
      <c r="D8560" s="3">
        <v>1.0</v>
      </c>
    </row>
    <row r="8561" ht="15.75" customHeight="1">
      <c r="A8561" s="1">
        <v>9043.0</v>
      </c>
      <c r="B8561" s="3" t="s">
        <v>8216</v>
      </c>
      <c r="C8561" s="3" t="str">
        <f>IFERROR(__xludf.DUMMYFUNCTION("GOOGLETRANSLATE(B8561,""id"",""en"")"),"['Telkomsel', 'here', 'slow', 'severe', 'package', 'data', 'expensive', 'according to', 'disappointed', 'Lahhh', ""]")</f>
        <v>['Telkomsel', 'here', 'slow', 'severe', 'package', 'data', 'expensive', 'according to', 'disappointed', 'Lahhh', "]</v>
      </c>
      <c r="D8561" s="3">
        <v>2.0</v>
      </c>
    </row>
    <row r="8562" ht="15.75" customHeight="1">
      <c r="A8562" s="1">
        <v>9044.0</v>
      </c>
      <c r="B8562" s="3" t="s">
        <v>8217</v>
      </c>
      <c r="C8562" s="3" t="str">
        <f>IFERROR(__xludf.DUMMYFUNCTION("GOOGLETRANSLATE(B8562,""id"",""en"")"),"['Application', 'Application', 'Login', 'Disappointing']")</f>
        <v>['Application', 'Application', 'Login', 'Disappointing']</v>
      </c>
      <c r="D8562" s="3">
        <v>1.0</v>
      </c>
    </row>
    <row r="8563" ht="15.75" customHeight="1">
      <c r="A8563" s="1">
        <v>9045.0</v>
      </c>
      <c r="B8563" s="3" t="s">
        <v>8218</v>
      </c>
      <c r="C8563" s="3" t="str">
        <f>IFERROR(__xludf.DUMMYFUNCTION("GOOGLETRANSLATE(B8563,""id"",""en"")"),"['bgussssassssssssssssssss', 'banggggggggggettttt', 'APK', 'easy', 'access', 'quota', 'complicated', '']")</f>
        <v>['bgussssassssssssssssssss', 'banggggggggggettttt', 'APK', 'easy', 'access', 'quota', 'complicated', '']</v>
      </c>
      <c r="D8563" s="3">
        <v>5.0</v>
      </c>
    </row>
    <row r="8564" ht="15.75" customHeight="1">
      <c r="A8564" s="1">
        <v>9046.0</v>
      </c>
      <c r="B8564" s="3" t="s">
        <v>8219</v>
      </c>
      <c r="C8564" s="3" t="str">
        <f>IFERROR(__xludf.DUMMYFUNCTION("GOOGLETRANSLATE(B8564,""id"",""en"")"),"['no', 'stable', 'open', 'page', 'package', 'internet', 'connection', '']")</f>
        <v>['no', 'stable', 'open', 'page', 'package', 'internet', 'connection', '']</v>
      </c>
      <c r="D8564" s="3">
        <v>5.0</v>
      </c>
    </row>
    <row r="8565" ht="15.75" customHeight="1">
      <c r="A8565" s="1">
        <v>9047.0</v>
      </c>
      <c r="B8565" s="3" t="s">
        <v>8220</v>
      </c>
      <c r="C8565" s="3" t="str">
        <f>IFERROR(__xludf.DUMMYFUNCTION("GOOGLETRANSLATE(B8565,""id"",""en"")"),"['Wonder', 'difficult', 'bngt', 'login', 'ooops', 'error', 'annoying', 'emang']")</f>
        <v>['Wonder', 'difficult', 'bngt', 'login', 'ooops', 'error', 'annoying', 'emang']</v>
      </c>
      <c r="D8565" s="3">
        <v>1.0</v>
      </c>
    </row>
    <row r="8566" ht="15.75" customHeight="1">
      <c r="A8566" s="1">
        <v>9048.0</v>
      </c>
      <c r="B8566" s="3" t="s">
        <v>8221</v>
      </c>
      <c r="C8566" s="3" t="str">
        <f>IFERROR(__xludf.DUMMYFUNCTION("GOOGLETRANSLATE(B8566,""id"",""en"")"),"['defective', 'ad', 'then', 'right', 'turn', 'UDH', 'ISI', 'Credit', 'buy', 'logout', 'sndri', 'ga'k', ' Open ',' application ',' n ',' ']")</f>
        <v>['defective', 'ad', 'then', 'right', 'turn', 'UDH', 'ISI', 'Credit', 'buy', 'logout', 'sndri', 'ga'k', ' Open ',' application ',' n ',' ']</v>
      </c>
      <c r="D8566" s="3">
        <v>2.0</v>
      </c>
    </row>
    <row r="8567" ht="15.75" customHeight="1">
      <c r="A8567" s="1">
        <v>9049.0</v>
      </c>
      <c r="B8567" s="3" t="s">
        <v>8222</v>
      </c>
      <c r="C8567" s="3" t="str">
        <f>IFERROR(__xludf.DUMMYFUNCTION("GOOGLETRANSLATE(B8567,""id"",""en"")"),"['', 'Refleated', 'Provider', 'Laen', 'Farah', 'Nyusul', 'Slow', 'Udh', 'Messions',' Msh ',' Kek ',' Gni ',' remember ',' Yee ',' Slalu ',' Fall ',' Indeed ',' Provider ',' Scam ', ""]")</f>
        <v>['', 'Refleated', 'Provider', 'Laen', 'Farah', 'Nyusul', 'Slow', 'Udh', 'Messions',' Msh ',' Kek ',' Gni ',' remember ',' Yee ',' Slalu ',' Fall ',' Indeed ',' Provider ',' Scam ', "]</v>
      </c>
      <c r="D8567" s="3">
        <v>1.0</v>
      </c>
    </row>
    <row r="8568" ht="15.75" customHeight="1">
      <c r="A8568" s="1">
        <v>9050.0</v>
      </c>
      <c r="B8568" s="3" t="s">
        <v>8223</v>
      </c>
      <c r="C8568" s="3" t="str">
        <f>IFERROR(__xludf.DUMMYFUNCTION("GOOGLETRANSLATE(B8568,""id"",""en"")"),"['Telkomsel', 'Yutub', 'good', 'night', 'above', 'clock', 'play', 'medsos',' nggk ',' yutub ',' quota ',' position ',' Surabaya ',' Gerangan ',' ']")</f>
        <v>['Telkomsel', 'Yutub', 'good', 'night', 'above', 'clock', 'play', 'medsos',' nggk ',' yutub ',' quota ',' position ',' Surabaya ',' Gerangan ',' ']</v>
      </c>
      <c r="D8568" s="3">
        <v>1.0</v>
      </c>
    </row>
    <row r="8569" ht="15.75" customHeight="1">
      <c r="A8569" s="1">
        <v>9051.0</v>
      </c>
      <c r="B8569" s="3" t="s">
        <v>8224</v>
      </c>
      <c r="C8569" s="3" t="str">
        <f>IFERROR(__xludf.DUMMYFUNCTION("GOOGLETRANSLATE(B8569,""id"",""en"")"),"['entry', 'application', 'description', 'oops', 'error', 'number', '']")</f>
        <v>['entry', 'application', 'description', 'oops', 'error', 'number', '']</v>
      </c>
      <c r="D8569" s="3">
        <v>1.0</v>
      </c>
    </row>
    <row r="8570" ht="15.75" customHeight="1">
      <c r="A8570" s="1">
        <v>9052.0</v>
      </c>
      <c r="B8570" s="3" t="s">
        <v>8225</v>
      </c>
      <c r="C8570" s="3" t="str">
        <f>IFERROR(__xludf.DUMMYFUNCTION("GOOGLETRANSLATE(B8570,""id"",""en"")"),"['Difficult', 'really', 'enter', 'already', 'delete', 'cache', 'to', 'install', 'reset', 'tetep', 'no', 'enter']")</f>
        <v>['Difficult', 'really', 'enter', 'already', 'delete', 'cache', 'to', 'install', 'reset', 'tetep', 'no', 'enter']</v>
      </c>
      <c r="D8570" s="3">
        <v>1.0</v>
      </c>
    </row>
    <row r="8571" ht="15.75" customHeight="1">
      <c r="A8571" s="1">
        <v>9053.0</v>
      </c>
      <c r="B8571" s="3" t="s">
        <v>8226</v>
      </c>
      <c r="C8571" s="3" t="str">
        <f>IFERROR(__xludf.DUMMYFUNCTION("GOOGLETRANSLATE(B8571,""id"",""en"")"),"['update', 'logout', 'login', 'difficult', 'login', ""]")</f>
        <v>['update', 'logout', 'login', 'difficult', 'login', "]</v>
      </c>
      <c r="D8571" s="3">
        <v>2.0</v>
      </c>
    </row>
    <row r="8572" ht="15.75" customHeight="1">
      <c r="A8572" s="1">
        <v>9054.0</v>
      </c>
      <c r="B8572" s="3" t="s">
        <v>8227</v>
      </c>
      <c r="C8572" s="3" t="str">
        <f>IFERROR(__xludf.DUMMYFUNCTION("GOOGLETRANSLATE(B8572,""id"",""en"")"),"['person', 'people', 'application', 'makes it easier', 'Telkomsel', 'login', 'gabisa', 'error', 'just', 'until', 'sampe', 'blank', ' display ',' lockscreen ',' confused ',' weighing ',' application ',' sampe ',' blank ',' size ',' hundreds', 'game', 'lift"&amp;"', 'please', 'company' , 'Bener', 'shy', 'ama', 'tower', 'writing', 'company', 'he explained', 'eyes', 'blind', 'his service', 'poor', ""]")</f>
        <v>['person', 'people', 'application', 'makes it easier', 'Telkomsel', 'login', 'gabisa', 'error', 'just', 'until', 'sampe', 'blank', ' display ',' lockscreen ',' confused ',' weighing ',' application ',' sampe ',' blank ',' size ',' hundreds', 'game', 'lift', 'please', 'company' , 'Bener', 'shy', 'ama', 'tower', 'writing', 'company', 'he explained', 'eyes', 'blind', 'his service', 'poor', "]</v>
      </c>
      <c r="D8572" s="3">
        <v>1.0</v>
      </c>
    </row>
    <row r="8573" ht="15.75" customHeight="1">
      <c r="A8573" s="1">
        <v>9055.0</v>
      </c>
      <c r="B8573" s="3" t="s">
        <v>8228</v>
      </c>
      <c r="C8573" s="3" t="str">
        <f>IFERROR(__xludf.DUMMYFUNCTION("GOOGLETRANSLATE(B8573,""id"",""en"")"),"['Have', 'Login', 'TPI', 'Error', 'Try', ""]")</f>
        <v>['Have', 'Login', 'TPI', 'Error', 'Try', "]</v>
      </c>
      <c r="D8573" s="3">
        <v>5.0</v>
      </c>
    </row>
    <row r="8574" ht="15.75" customHeight="1">
      <c r="A8574" s="1">
        <v>9056.0</v>
      </c>
      <c r="B8574" s="3" t="s">
        <v>8229</v>
      </c>
      <c r="C8574" s="3" t="str">
        <f>IFERROR(__xludf.DUMMYFUNCTION("GOOGLETRANSLATE(B8574,""id"",""en"")"),"['Application', 'Update', 'Heavy', 'Enter', 'Continues', 'Auto', 'Unistal']")</f>
        <v>['Application', 'Update', 'Heavy', 'Enter', 'Continues', 'Auto', 'Unistal']</v>
      </c>
      <c r="D8574" s="3">
        <v>1.0</v>
      </c>
    </row>
    <row r="8575" ht="15.75" customHeight="1">
      <c r="A8575" s="1">
        <v>9057.0</v>
      </c>
      <c r="B8575" s="3" t="s">
        <v>8230</v>
      </c>
      <c r="C8575" s="3" t="str">
        <f>IFERROR(__xludf.DUMMYFUNCTION("GOOGLETRANSLATE(B8575,""id"",""en"")"),"['application', 'idiot', 'log', 'out', 'difficult', 'enter', 'handy', 'download', 'download', 'application']")</f>
        <v>['application', 'idiot', 'log', 'out', 'difficult', 'enter', 'handy', 'download', 'download', 'application']</v>
      </c>
      <c r="D8575" s="3">
        <v>1.0</v>
      </c>
    </row>
    <row r="8576" ht="15.75" customHeight="1">
      <c r="A8576" s="1">
        <v>9058.0</v>
      </c>
      <c r="B8576" s="3" t="s">
        <v>8231</v>
      </c>
      <c r="C8576" s="3" t="str">
        <f>IFERROR(__xludf.DUMMYFUNCTION("GOOGLETRANSLATE(B8576,""id"",""en"")"),"['The network', 'ugly', 'because', 'attacked', 'shark', 'connection', 'Yeee', ""]")</f>
        <v>['The network', 'ugly', 'because', 'attacked', 'shark', 'connection', 'Yeee', "]</v>
      </c>
      <c r="D8576" s="3">
        <v>1.0</v>
      </c>
    </row>
    <row r="8577" ht="15.75" customHeight="1">
      <c r="A8577" s="1">
        <v>9059.0</v>
      </c>
      <c r="B8577" s="3" t="s">
        <v>8232</v>
      </c>
      <c r="C8577" s="3" t="str">
        <f>IFERROR(__xludf.DUMMYFUNCTION("GOOGLETRANSLATE(B8577,""id"",""en"")"),"['AJH', 'Recommend', 'Telkomsel', 'Provider', 'Cheapest', 'Signal', 'Good', 'Ehh', 'Malem', 'Open', 'Application']")</f>
        <v>['AJH', 'Recommend', 'Telkomsel', 'Provider', 'Cheapest', 'Signal', 'Good', 'Ehh', 'Malem', 'Open', 'Application']</v>
      </c>
      <c r="D8577" s="3">
        <v>3.0</v>
      </c>
    </row>
    <row r="8578" ht="15.75" customHeight="1">
      <c r="A8578" s="1">
        <v>9060.0</v>
      </c>
      <c r="B8578" s="3" t="s">
        <v>8233</v>
      </c>
      <c r="C8578" s="3" t="str">
        <f>IFERROR(__xludf.DUMMYFUNCTION("GOOGLETRANSLATE(B8578,""id"",""en"")"),"['Application', 'Telkomsel', 'trs', 'enter', 'option', 'failed', 'just', 'min']")</f>
        <v>['Application', 'Telkomsel', 'trs', 'enter', 'option', 'failed', 'just', 'min']</v>
      </c>
      <c r="D8578" s="3">
        <v>1.0</v>
      </c>
    </row>
    <row r="8579" ht="15.75" customHeight="1">
      <c r="A8579" s="1">
        <v>9061.0</v>
      </c>
      <c r="B8579" s="3" t="s">
        <v>8234</v>
      </c>
      <c r="C8579" s="3" t="str">
        <f>IFERROR(__xludf.DUMMYFUNCTION("GOOGLETRANSLATE(B8579,""id"",""en"")"),"['Telkomsel', 'Severe', 'network', 'destroyed', 'Telkomsel', 'Leading', 'skrg', 'Telkomsel', 'backward', 'appeal', 'provider', 'Telkomsel', ' Close ',' Customer ',' move away ',' Move ',' Provider ']")</f>
        <v>['Telkomsel', 'Severe', 'network', 'destroyed', 'Telkomsel', 'Leading', 'skrg', 'Telkomsel', 'backward', 'appeal', 'provider', 'Telkomsel', ' Close ',' Customer ',' move away ',' Move ',' Provider ']</v>
      </c>
      <c r="D8579" s="3">
        <v>1.0</v>
      </c>
    </row>
    <row r="8580" ht="15.75" customHeight="1">
      <c r="A8580" s="1">
        <v>9062.0</v>
      </c>
      <c r="B8580" s="3" t="s">
        <v>8235</v>
      </c>
      <c r="C8580" s="3" t="str">
        <f>IFERROR(__xludf.DUMMYFUNCTION("GOOGLETRANSLATE(B8580,""id"",""en"")"),"['Telkomsel', 'package', 'expensive', 'network', 'bad', 'Sekai', 'according to', 'ith', 'price', 'package', ""]")</f>
        <v>['Telkomsel', 'package', 'expensive', 'network', 'bad', 'Sekai', 'according to', 'ith', 'price', 'package', "]</v>
      </c>
      <c r="D8580" s="3">
        <v>1.0</v>
      </c>
    </row>
    <row r="8581" ht="15.75" customHeight="1">
      <c r="A8581" s="1">
        <v>9063.0</v>
      </c>
      <c r="B8581" s="3" t="s">
        <v>8236</v>
      </c>
      <c r="C8581" s="3" t="str">
        <f>IFERROR(__xludf.DUMMYFUNCTION("GOOGLETRANSLATE(B8581,""id"",""en"")"),"['Telkomsel', 'garbage', 'update', 'October', 'Gabisa', 'Login', 'Account', 'Telkomsel', 'Diakknya', 'number', 'WhatsApp', 'Telkomsel', ' send ',' message ',' login ',' reset ']")</f>
        <v>['Telkomsel', 'garbage', 'update', 'October', 'Gabisa', 'Login', 'Account', 'Telkomsel', 'Diakknya', 'number', 'WhatsApp', 'Telkomsel', ' send ',' message ',' login ',' reset ']</v>
      </c>
      <c r="D8581" s="3">
        <v>1.0</v>
      </c>
    </row>
    <row r="8582" ht="15.75" customHeight="1">
      <c r="A8582" s="1">
        <v>9064.0</v>
      </c>
      <c r="B8582" s="3" t="s">
        <v>8237</v>
      </c>
      <c r="C8582" s="3" t="str">
        <f>IFERROR(__xludf.DUMMYFUNCTION("GOOGLETRANSLATE(B8582,""id"",""en"")"),"['update', 'enter', 'login', 'strange', 'check', 'leftover', 'package', 'pulse', 'fail', 'mulu', 'login', 'strange', ' Kayak ',' intention ',' update ',' disappointed ']")</f>
        <v>['update', 'enter', 'login', 'strange', 'check', 'leftover', 'package', 'pulse', 'fail', 'mulu', 'login', 'strange', ' Kayak ',' intention ',' update ',' disappointed ']</v>
      </c>
      <c r="D8582" s="3">
        <v>1.0</v>
      </c>
    </row>
    <row r="8583" ht="15.75" customHeight="1">
      <c r="A8583" s="1">
        <v>9065.0</v>
      </c>
      <c r="B8583" s="3" t="s">
        <v>8238</v>
      </c>
      <c r="C8583" s="3" t="str">
        <f>IFERROR(__xludf.DUMMYFUNCTION("GOOGLETRANSLATE(B8583,""id"",""en"")"),"['buy', 'pulse', 'rb', 'tuker', 'quota', 'buy', 'rb', 'check', 'app', 'error']")</f>
        <v>['buy', 'pulse', 'rb', 'tuker', 'quota', 'buy', 'rb', 'check', 'app', 'error']</v>
      </c>
      <c r="D8583" s="3">
        <v>3.0</v>
      </c>
    </row>
    <row r="8584" ht="15.75" customHeight="1">
      <c r="A8584" s="1">
        <v>9066.0</v>
      </c>
      <c r="B8584" s="3" t="s">
        <v>8239</v>
      </c>
      <c r="C8584" s="3" t="str">
        <f>IFERROR(__xludf.DUMMYFUNCTION("GOOGLETRANSLATE(B8584,""id"",""en"")"),"['Provider', 'bug', 'application', 'hope', 'repaired', 'unfortunate', 'provider', 'biggest', 'Indonesia', 'bug', 'right', 'login', ' cards', 'read', 'error', 'repeat', 'pulp']")</f>
        <v>['Provider', 'bug', 'application', 'hope', 'repaired', 'unfortunate', 'provider', 'biggest', 'Indonesia', 'bug', 'right', 'login', ' cards', 'read', 'error', 'repeat', 'pulp']</v>
      </c>
      <c r="D8584" s="3">
        <v>1.0</v>
      </c>
    </row>
    <row r="8585" ht="15.75" customHeight="1">
      <c r="A8585" s="1">
        <v>9067.0</v>
      </c>
      <c r="B8585" s="3" t="s">
        <v>8240</v>
      </c>
      <c r="C8585" s="3" t="str">
        <f>IFERROR(__xludf.DUMMYFUNCTION("GOOGLETRANSLATE(B8585,""id"",""en"")"),"['Provider', 'corrupt', 'mAh', 'contents',' credit ',' ilang ',' quota ',' road ',' network ',' really ',' Lost ',' price ',' expensive ',' kontooollll ']")</f>
        <v>['Provider', 'corrupt', 'mAh', 'contents',' credit ',' ilang ',' quota ',' road ',' network ',' really ',' Lost ',' price ',' expensive ',' kontooollll ']</v>
      </c>
      <c r="D8585" s="3">
        <v>1.0</v>
      </c>
    </row>
    <row r="8586" ht="15.75" customHeight="1">
      <c r="A8586" s="1">
        <v>9068.0</v>
      </c>
      <c r="B8586" s="3" t="s">
        <v>8241</v>
      </c>
      <c r="C8586" s="3" t="str">
        <f>IFERROR(__xludf.DUMMYFUNCTION("GOOGLETRANSLATE(B8586,""id"",""en"")"),"['Woii', 'Network', 'Benerin', 'Price', 'Doang', 'Expensive', 'Network', 'Kek', 'Trash', 'Provider', 'Kek', 'Gini', ' its quality ',' here ',' virtue ',' bad ',' kepakai ',' regret ',' already ',' home ',' provider ',' good ',' now ',' already ',' rich ' "&amp;", 'disconcerant', 'garbage', '']")</f>
        <v>['Woii', 'Network', 'Benerin', 'Price', 'Doang', 'Expensive', 'Network', 'Kek', 'Trash', 'Provider', 'Kek', 'Gini', ' its quality ',' here ',' virtue ',' bad ',' kepakai ',' regret ',' already ',' home ',' provider ',' good ',' now ',' already ',' rich ' , 'disconcerant', 'garbage', '']</v>
      </c>
      <c r="D8586" s="3">
        <v>1.0</v>
      </c>
    </row>
    <row r="8587" ht="15.75" customHeight="1">
      <c r="A8587" s="1">
        <v>9069.0</v>
      </c>
      <c r="B8587" s="3" t="s">
        <v>8242</v>
      </c>
      <c r="C8587" s="3" t="str">
        <f>IFERROR(__xludf.DUMMYFUNCTION("GOOGLETRANSLATE(B8587,""id"",""en"")"),"['Please', 'Network', 'Restore', 'Severe', 'Bored', 'Already', 'Intention', 'Change', 'Provider']")</f>
        <v>['Please', 'Network', 'Restore', 'Severe', 'Bored', 'Already', 'Intention', 'Change', 'Provider']</v>
      </c>
      <c r="D8587" s="3">
        <v>1.0</v>
      </c>
    </row>
    <row r="8588" ht="15.75" customHeight="1">
      <c r="A8588" s="1">
        <v>9070.0</v>
      </c>
      <c r="B8588" s="3" t="s">
        <v>8243</v>
      </c>
      <c r="C8588" s="3" t="str">
        <f>IFERROR(__xludf.DUMMYFUNCTION("GOOGLETRANSLATE(B8588,""id"",""en"")"),"['Forgiveness', 'Daahhh', 'The network', 'oath', 'slow', 'really', 'watch', 'Story', 'TAIL']")</f>
        <v>['Forgiveness', 'Daahhh', 'The network', 'oath', 'slow', 'really', 'watch', 'Story', 'TAIL']</v>
      </c>
      <c r="D8588" s="3">
        <v>1.0</v>
      </c>
    </row>
    <row r="8589" ht="15.75" customHeight="1">
      <c r="A8589" s="1">
        <v>9071.0</v>
      </c>
      <c r="B8589" s="3" t="s">
        <v>8244</v>
      </c>
      <c r="C8589" s="3" t="str">
        <f>IFERROR(__xludf.DUMMYFUNCTION("GOOGLETRANSLATE(B8589,""id"",""en"")"),"['package', 'quota', 'internet', 'expensive', 'bills',' late ',' pay ',' signal ',' rotten ',' improvement ',' improvement ',' signal ',' Move ',' Provider ',' disappointing ',' ']")</f>
        <v>['package', 'quota', 'internet', 'expensive', 'bills',' late ',' pay ',' signal ',' rotten ',' improvement ',' improvement ',' signal ',' Move ',' Provider ',' disappointing ',' ']</v>
      </c>
      <c r="D8589" s="3">
        <v>1.0</v>
      </c>
    </row>
    <row r="8590" ht="15.75" customHeight="1">
      <c r="A8590" s="1">
        <v>9072.0</v>
      </c>
      <c r="B8590" s="3" t="s">
        <v>8245</v>
      </c>
      <c r="C8590" s="3" t="str">
        <f>IFERROR(__xludf.DUMMYFUNCTION("GOOGLETRANSLATE(B8590,""id"",""en"")"),"['sinynyal', 'stable', 'changed', 'no', 'good', 'signal', 'improved', 'hopefully', 'Telkomsel', 'rival', 'operator', 'signal', ' Expensive ',' ']")</f>
        <v>['sinynyal', 'stable', 'changed', 'no', 'good', 'signal', 'improved', 'hopefully', 'Telkomsel', 'rival', 'operator', 'signal', ' Expensive ',' ']</v>
      </c>
      <c r="D8590" s="3">
        <v>1.0</v>
      </c>
    </row>
    <row r="8591" ht="15.75" customHeight="1">
      <c r="A8591" s="1">
        <v>9073.0</v>
      </c>
      <c r="B8591" s="3" t="s">
        <v>8246</v>
      </c>
      <c r="C8591" s="3" t="str">
        <f>IFERROR(__xludf.DUMMYFUNCTION("GOOGLETRANSLATE(B8591,""id"",""en"")"),"['Hey', 'Telkomsel', 'your application', 'already', 'spoiled', 'signal', 'stable', 'difficult', 'open', 'your signal', 'ugly', 'really', ' Kayak ',' garbage ',' useful ',' how ',' Consumen ',' Telkomsel ',' signal ',' ugly ',' check ',' application ',' en"&amp;"ter ',' Gara ',' signal ' , 'ugly', 'then', 'what', 'hey', 'Telkomsel', ""]")</f>
        <v>['Hey', 'Telkomsel', 'your application', 'already', 'spoiled', 'signal', 'stable', 'difficult', 'open', 'your signal', 'ugly', 'really', ' Kayak ',' garbage ',' useful ',' how ',' Consumen ',' Telkomsel ',' signal ',' ugly ',' check ',' application ',' enter ',' Gara ',' signal ' , 'ugly', 'then', 'what', 'hey', 'Telkomsel', "]</v>
      </c>
      <c r="D8591" s="3">
        <v>1.0</v>
      </c>
    </row>
    <row r="8592" ht="15.75" customHeight="1">
      <c r="A8592" s="1">
        <v>9074.0</v>
      </c>
      <c r="B8592" s="3" t="s">
        <v>8247</v>
      </c>
      <c r="C8592" s="3" t="str">
        <f>IFERROR(__xludf.DUMMYFUNCTION("GOOGLETRANSLATE(B8592,""id"",""en"")"),"['already', 'contents', 'quota', 'already', 'update', 'tetep', 'open', 'app', 'wish', '']")</f>
        <v>['already', 'contents', 'quota', 'already', 'update', 'tetep', 'open', 'app', 'wish', '']</v>
      </c>
      <c r="D8592" s="3">
        <v>1.0</v>
      </c>
    </row>
    <row r="8593" ht="15.75" customHeight="1">
      <c r="A8593" s="1">
        <v>9075.0</v>
      </c>
      <c r="B8593" s="3" t="s">
        <v>8248</v>
      </c>
      <c r="C8593" s="3" t="str">
        <f>IFERROR(__xludf.DUMMYFUNCTION("GOOGLETRANSLATE(B8593,""id"",""en"")"),"['Application', 'problematic', 'interrupted', 'disappointed']")</f>
        <v>['Application', 'problematic', 'interrupted', 'disappointed']</v>
      </c>
      <c r="D8593" s="3">
        <v>1.0</v>
      </c>
    </row>
    <row r="8594" ht="15.75" customHeight="1">
      <c r="A8594" s="1">
        <v>9076.0</v>
      </c>
      <c r="B8594" s="3" t="s">
        <v>8249</v>
      </c>
      <c r="C8594" s="3" t="str">
        <f>IFERROR(__xludf.DUMMYFUNCTION("GOOGLETRANSLATE(B8594,""id"",""en"")"),"['bad', 'difficult', 'login', 'emergency', 'disappointing', 'use', 'device', 'qualified', '']")</f>
        <v>['bad', 'difficult', 'login', 'emergency', 'disappointing', 'use', 'device', 'qualified', '']</v>
      </c>
      <c r="D8594" s="3">
        <v>1.0</v>
      </c>
    </row>
    <row r="8595" ht="15.75" customHeight="1">
      <c r="A8595" s="1">
        <v>9077.0</v>
      </c>
      <c r="B8595" s="3" t="s">
        <v>8250</v>
      </c>
      <c r="C8595" s="3" t="str">
        <f>IFERROR(__xludf.DUMMYFUNCTION("GOOGLETRANSLATE(B8595,""id"",""en"")"),"['number', 'msk', 'option', 'error', 'bsa', 'used']")</f>
        <v>['number', 'msk', 'option', 'error', 'bsa', 'used']</v>
      </c>
      <c r="D8595" s="3">
        <v>1.0</v>
      </c>
    </row>
    <row r="8596" ht="15.75" customHeight="1">
      <c r="A8596" s="1">
        <v>9078.0</v>
      </c>
      <c r="B8596" s="3" t="s">
        <v>8251</v>
      </c>
      <c r="C8596" s="3" t="str">
        <f>IFERROR(__xludf.DUMMYFUNCTION("GOOGLETRANSLATE(B8596,""id"",""en"")"),"['network', 'burrik', 'or', 'signal', 'ugly', 'price', 'the most expensive', 'surprised', 'update', 'mulu', 'gada', 'improvement', ' turn ',' check ',' get ',' gift ',' gabisa ',' enter ',' apk ',' tsel ',' provider ',' rotten ',' expensive ',' hrus', 'se"&amp;"rvice' , 'Good', 'Brantas', 'Sono', 'Person', 'Mouse', 'Basic', 'Provider', 'Dzolim']")</f>
        <v>['network', 'burrik', 'or', 'signal', 'ugly', 'price', 'the most expensive', 'surprised', 'update', 'mulu', 'gada', 'improvement', ' turn ',' check ',' get ',' gift ',' gabisa ',' enter ',' apk ',' tsel ',' provider ',' rotten ',' expensive ',' hrus', 'service' , 'Good', 'Brantas', 'Sono', 'Person', 'Mouse', 'Basic', 'Provider', 'Dzolim']</v>
      </c>
      <c r="D8596" s="3">
        <v>1.0</v>
      </c>
    </row>
    <row r="8597" ht="15.75" customHeight="1">
      <c r="A8597" s="1">
        <v>9079.0</v>
      </c>
      <c r="B8597" s="3" t="s">
        <v>8252</v>
      </c>
      <c r="C8597" s="3" t="str">
        <f>IFERROR(__xludf.DUMMYFUNCTION("GOOGLETRANSLATE(B8597,""id"",""en"")"),"['Telkomsel', 'garbage', 'package', 'signal', 'sll', 'slow', 'used', 'internet', 'run out', 'pulse', 'main', 'packetan', ' SLL ']")</f>
        <v>['Telkomsel', 'garbage', 'package', 'signal', 'sll', 'slow', 'used', 'internet', 'run out', 'pulse', 'main', 'packetan', ' SLL ']</v>
      </c>
      <c r="D8597" s="3">
        <v>1.0</v>
      </c>
    </row>
    <row r="8598" ht="15.75" customHeight="1">
      <c r="A8598" s="1">
        <v>9080.0</v>
      </c>
      <c r="B8598" s="3" t="s">
        <v>8253</v>
      </c>
      <c r="C8598" s="3" t="str">
        <f>IFERROR(__xludf.DUMMYFUNCTION("GOOGLETRANSLATE(B8598,""id"",""en"")"),"['application', 'makes it easier', 'customer', 'make it difficult', 'login', 'difficult', 'really', 'updated', 'Masi', 'run', 'normal', 'update', ' Login ',' signal ',' ']")</f>
        <v>['application', 'makes it easier', 'customer', 'make it difficult', 'login', 'difficult', 'really', 'updated', 'Masi', 'run', 'normal', 'update', ' Login ',' signal ',' ']</v>
      </c>
      <c r="D8598" s="3">
        <v>1.0</v>
      </c>
    </row>
    <row r="8599" ht="15.75" customHeight="1">
      <c r="A8599" s="1">
        <v>9081.0</v>
      </c>
      <c r="B8599" s="3" t="s">
        <v>8254</v>
      </c>
      <c r="C8599" s="3" t="str">
        <f>IFERROR(__xludf.DUMMYFUNCTION("GOOGLETRANSLATE(B8599,""id"",""en"")"),"['Please', 'daritadi', 'log', 'out', 'automatic', 'already', 'it's good', 'really', 'please', 'lahhh', 'develop', ""]")</f>
        <v>['Please', 'daritadi', 'log', 'out', 'automatic', 'already', 'it's good', 'really', 'please', 'lahhh', 'develop', "]</v>
      </c>
      <c r="D8599" s="3">
        <v>2.0</v>
      </c>
    </row>
    <row r="8600" ht="15.75" customHeight="1">
      <c r="A8600" s="1">
        <v>9082.0</v>
      </c>
      <c r="B8600" s="3" t="s">
        <v>8255</v>
      </c>
      <c r="C8600" s="3" t="str">
        <f>IFERROR(__xludf.DUMMYFUNCTION("GOOGLETRANSLATE(B8600,""id"",""en"")"),"['complaints',' community ',' users', 'Telkomsel', 'response', 'fix', 'quality', 'nets',' area ',' already ',' criticism ',' good ',' response']")</f>
        <v>['complaints',' community ',' users', 'Telkomsel', 'response', 'fix', 'quality', 'nets',' area ',' already ',' criticism ',' good ',' response']</v>
      </c>
      <c r="D8600" s="3">
        <v>1.0</v>
      </c>
    </row>
    <row r="8601" ht="15.75" customHeight="1">
      <c r="A8601" s="1">
        <v>9083.0</v>
      </c>
      <c r="B8601" s="3" t="s">
        <v>8256</v>
      </c>
      <c r="C8601" s="3" t="str">
        <f>IFERROR(__xludf.DUMMYFUNCTION("GOOGLETRANSLATE(B8601,""id"",""en"")"),"['account', 'purchase', 'package', 'try', 'enter', 'repeat', 'times',' try ',' appear ',' error ',' please ',' error ',' Account ',' Telkomsel ']")</f>
        <v>['account', 'purchase', 'package', 'try', 'enter', 'repeat', 'times',' try ',' appear ',' error ',' please ',' error ',' Account ',' Telkomsel ']</v>
      </c>
      <c r="D8601" s="3">
        <v>1.0</v>
      </c>
    </row>
    <row r="8602" ht="15.75" customHeight="1">
      <c r="A8602" s="1">
        <v>9084.0</v>
      </c>
      <c r="B8602" s="3" t="s">
        <v>8257</v>
      </c>
      <c r="C8602" s="3" t="str">
        <f>IFERROR(__xludf.DUMMYFUNCTION("GOOGLETRANSLATE(B8602,""id"",""en"")"),"['application', 'quality', 'already', 'a year', 'APK', 'login', 'base', 'potato', '']")</f>
        <v>['application', 'quality', 'already', 'a year', 'APK', 'login', 'base', 'potato', '']</v>
      </c>
      <c r="D8602" s="3">
        <v>1.0</v>
      </c>
    </row>
    <row r="8603" ht="15.75" customHeight="1">
      <c r="A8603" s="1">
        <v>9085.0</v>
      </c>
      <c r="B8603" s="3" t="s">
        <v>8258</v>
      </c>
      <c r="C8603" s="3" t="str">
        <f>IFERROR(__xludf.DUMMYFUNCTION("GOOGLETRANSLATE(B8603,""id"",""en"")"),"['sympathy', 'error', 'how', 'signal', 'full', 'kouta', 'full', 'access', 'internet', 'open', 'etc.', 'gabisa']")</f>
        <v>['sympathy', 'error', 'how', 'signal', 'full', 'kouta', 'full', 'access', 'internet', 'open', 'etc.', 'gabisa']</v>
      </c>
      <c r="D8603" s="3">
        <v>5.0</v>
      </c>
    </row>
    <row r="8604" ht="15.75" customHeight="1">
      <c r="A8604" s="1">
        <v>9086.0</v>
      </c>
      <c r="B8604" s="3" t="s">
        <v>8259</v>
      </c>
      <c r="C8604" s="3" t="str">
        <f>IFERROR(__xludf.DUMMYFUNCTION("GOOGLETRANSLATE(B8604,""id"",""en"")"),"['Provider', 'expensive', 'quality', 'poor', 'buy', 'expensive', 'lose', 'quality', 'price', 'cheap', 'error', 'signal', ' Lose ',' Moving ',' Provider ',' Fix ',' Gini ',' Closed ',' Telkomsel ',' Open ',' Loss', 'People', 'Nipu', 'Provider', 'Price' , '"&amp;"expensive', 'quality', 'good', 'hah', 'nipu', 'canal']")</f>
        <v>['Provider', 'expensive', 'quality', 'poor', 'buy', 'expensive', 'lose', 'quality', 'price', 'cheap', 'error', 'signal', ' Lose ',' Moving ',' Provider ',' Fix ',' Gini ',' Closed ',' Telkomsel ',' Open ',' Loss', 'People', 'Nipu', 'Provider', 'Price' , 'expensive', 'quality', 'good', 'hah', 'nipu', 'canal']</v>
      </c>
      <c r="D8604" s="3">
        <v>1.0</v>
      </c>
    </row>
    <row r="8605" ht="15.75" customHeight="1">
      <c r="A8605" s="1">
        <v>9087.0</v>
      </c>
      <c r="B8605" s="3" t="s">
        <v>8260</v>
      </c>
      <c r="C8605" s="3" t="str">
        <f>IFERROR(__xludf.DUMMYFUNCTION("GOOGLETRANSLATE(B8605,""id"",""en"")"),"['min', 'please', 'network', 'difficult', 'network', 'Telkomsel', 'min', 'please', 'min']")</f>
        <v>['min', 'please', 'network', 'difficult', 'network', 'Telkomsel', 'min', 'please', 'min']</v>
      </c>
      <c r="D8605" s="3">
        <v>1.0</v>
      </c>
    </row>
    <row r="8606" ht="15.75" customHeight="1">
      <c r="A8606" s="1">
        <v>9088.0</v>
      </c>
      <c r="B8606" s="3" t="s">
        <v>8261</v>
      </c>
      <c r="C8606" s="3" t="str">
        <f>IFERROR(__xludf.DUMMYFUNCTION("GOOGLETRANSLATE(B8606,""id"",""en"")"),"['Telkomsel', 'detrimental', 'community', 'quota', 'internet', 'expensive', 'kuta', 'dense', 'kantel', 'ok', 'maklumi', 'network', ' LEG ',' improvement ',' really ',' unfortunate ',' Telkomsel ',' little ',' take up ',' bags', 'community', 'Different', '"&amp;"neighbors',' next door ',' im ' , 'cheap', 'festive', 'network', 'okh', 'customer', 'summarine', 'satisfied', 'service', 'telkomsel', 'world', 'hereafter', 'born', ' Inner ',' Sya ',' sincere ',' sorry ',' ']")</f>
        <v>['Telkomsel', 'detrimental', 'community', 'quota', 'internet', 'expensive', 'kuta', 'dense', 'kantel', 'ok', 'maklumi', 'network', ' LEG ',' improvement ',' really ',' unfortunate ',' Telkomsel ',' little ',' take up ',' bags', 'community', 'Different', 'neighbors',' next door ',' im ' , 'cheap', 'festive', 'network', 'okh', 'customer', 'summarine', 'satisfied', 'service', 'telkomsel', 'world', 'hereafter', 'born', ' Inner ',' Sya ',' sincere ',' sorry ',' ']</v>
      </c>
      <c r="D8606" s="3">
        <v>1.0</v>
      </c>
    </row>
    <row r="8607" ht="15.75" customHeight="1">
      <c r="A8607" s="1">
        <v>9089.0</v>
      </c>
      <c r="B8607" s="3" t="s">
        <v>8262</v>
      </c>
      <c r="C8607" s="3" t="str">
        <f>IFERROR(__xludf.DUMMYFUNCTION("GOOGLETRANSLATE(B8607,""id"",""en"")"),"['Telkomsel', 'Region', 'Siborong', 'Borong', 'Tapanuli', 'North', 'Sumatran', 'North', 'kog', 'Sinyal', 'ugly', 'disorder', ' signal ',' switch ',' operator ',' next door ',' please ',' noticed ']")</f>
        <v>['Telkomsel', 'Region', 'Siborong', 'Borong', 'Tapanuli', 'North', 'Sumatran', 'North', 'kog', 'Sinyal', 'ugly', 'disorder', ' signal ',' switch ',' operator ',' next door ',' please ',' noticed ']</v>
      </c>
      <c r="D8607" s="3">
        <v>1.0</v>
      </c>
    </row>
    <row r="8608" ht="15.75" customHeight="1">
      <c r="A8608" s="1">
        <v>9090.0</v>
      </c>
      <c r="B8608" s="3" t="s">
        <v>8263</v>
      </c>
      <c r="C8608" s="3" t="str">
        <f>IFERROR(__xludf.DUMMYFUNCTION("GOOGLETRANSLATE(B8608,""id"",""en"")"),"['treat', 'customer', 'cool', 'quota', 'login', 'apk', 'told', 'login', 'login', 'reset', 'error', 'wifi', ' Safe ',' smooth ',' login ',' UDH ',' quota ',' trs', 'login', 'reset', 'intention', 'woyy', 'please', 'lahhh', ""]")</f>
        <v>['treat', 'customer', 'cool', 'quota', 'login', 'apk', 'told', 'login', 'login', 'reset', 'error', 'wifi', ' Safe ',' smooth ',' login ',' UDH ',' quota ',' trs', 'login', 'reset', 'intention', 'woyy', 'please', 'lahhh', "]</v>
      </c>
      <c r="D8608" s="3">
        <v>1.0</v>
      </c>
    </row>
    <row r="8609" ht="15.75" customHeight="1">
      <c r="A8609" s="1">
        <v>9091.0</v>
      </c>
      <c r="B8609" s="3" t="s">
        <v>8264</v>
      </c>
      <c r="C8609" s="3" t="str">
        <f>IFERROR(__xludf.DUMMYFUNCTION("GOOGLETRANSLATE(B8609,""id"",""en"")"),"['chaotic', 'quota', 'internet', 'GB', 'Hadeuhh', 'Provider', 'strange', 'Embed', 'network', 'super', 'trash', 'loss',' consumers', 'like', 'disappointed', 'in the future', 'yahh', 'real', 'garbage', 'loss',' gini ',' mending ',' move ', ""]")</f>
        <v>['chaotic', 'quota', 'internet', 'GB', 'Hadeuhh', 'Provider', 'strange', 'Embed', 'network', 'super', 'trash', 'loss',' consumers', 'like', 'disappointed', 'in the future', 'yahh', 'real', 'garbage', 'loss',' gini ',' mending ',' move ', "]</v>
      </c>
      <c r="D8609" s="3">
        <v>1.0</v>
      </c>
    </row>
    <row r="8610" ht="15.75" customHeight="1">
      <c r="A8610" s="1">
        <v>9092.0</v>
      </c>
      <c r="B8610" s="3" t="s">
        <v>8265</v>
      </c>
      <c r="C8610" s="3" t="str">
        <f>IFERROR(__xludf.DUMMYFUNCTION("GOOGLETRANSLATE(B8610,""id"",""en"")"),"['Slmat', 'MLM', 'sympathy', 'Errr', 'Donk', 'internet', 'Jangn', 'disorder', 'people', 'communication', 'family', 'community', ' sympathy ',' disruption ',' sich ',' please ',' fix ',' tasturbation ',' right ',' klau ',' disruption ',' move ',' prime ','"&amp;" sympathy ',' good ' , 'Napa', 'ugly', 'sich', 'trima', 'love', '']")</f>
        <v>['Slmat', 'MLM', 'sympathy', 'Errr', 'Donk', 'internet', 'Jangn', 'disorder', 'people', 'communication', 'family', 'community', ' sympathy ',' disruption ',' sich ',' please ',' fix ',' tasturbation ',' right ',' klau ',' disruption ',' move ',' prime ',' sympathy ',' good ' , 'Napa', 'ugly', 'sich', 'trima', 'love', '']</v>
      </c>
      <c r="D8610" s="3">
        <v>3.0</v>
      </c>
    </row>
    <row r="8611" ht="15.75" customHeight="1">
      <c r="A8611" s="1">
        <v>9093.0</v>
      </c>
      <c r="B8611" s="3" t="s">
        <v>8266</v>
      </c>
      <c r="C8611" s="3" t="str">
        <f>IFERROR(__xludf.DUMMYFUNCTION("GOOGLETRANSLATE(B8611,""id"",""en"")"),"['Provider', 'sgt', 'loyal', 'provider', 'unfortunately', 'Telkomsel', 'loyal', 'customer', 'network', 'price', 'kualutas',' Makiiiiin ',' Nyungsep ',' head ',' meek ',' rival ',' yaa ',' mdh ',' future ',' provider ',' lbh ',' ']")</f>
        <v>['Provider', 'sgt', 'loyal', 'provider', 'unfortunately', 'Telkomsel', 'loyal', 'customer', 'network', 'price', 'kualutas',' Makiiiiin ',' Nyungsep ',' head ',' meek ',' rival ',' yaa ',' mdh ',' future ',' provider ',' lbh ',' ']</v>
      </c>
      <c r="D8611" s="3">
        <v>1.0</v>
      </c>
    </row>
    <row r="8612" ht="15.75" customHeight="1">
      <c r="A8612" s="1">
        <v>9094.0</v>
      </c>
      <c r="B8612" s="3" t="s">
        <v>8267</v>
      </c>
      <c r="C8612" s="3" t="str">
        <f>IFERROR(__xludf.DUMMYFUNCTION("GOOGLETRANSLATE(B8612,""id"",""en"")"),"['App', 'version', 'the latest', 'difficult', 'really', 'login', 'log', 'out', 'right', 'login', 'confirm', 'sms',' Like ',' Error ', ""]")</f>
        <v>['App', 'version', 'the latest', 'difficult', 'really', 'login', 'log', 'out', 'right', 'login', 'confirm', 'sms',' Like ',' Error ', "]</v>
      </c>
      <c r="D8612" s="3">
        <v>3.0</v>
      </c>
    </row>
    <row r="8613" ht="15.75" customHeight="1">
      <c r="A8613" s="1">
        <v>9095.0</v>
      </c>
      <c r="B8613" s="3" t="s">
        <v>8268</v>
      </c>
      <c r="C8613" s="3" t="str">
        <f>IFERROR(__xludf.DUMMYFUNCTION("GOOGLETRANSLATE(B8613,""id"",""en"")"),"['Network', 'DBWH', 'Sometimes',' DBWH ',' HILNG ',' PDHL ',' date ',' City ',' Gnti ',' card ',' Syg ',' Orng ',' Padah ',' all ',' please ',' fix ',' network ',' severe ',' anjinggg ',' ']")</f>
        <v>['Network', 'DBWH', 'Sometimes',' DBWH ',' HILNG ',' PDHL ',' date ',' City ',' Gnti ',' card ',' Syg ',' Orng ',' Padah ',' all ',' please ',' fix ',' network ',' severe ',' anjinggg ',' ']</v>
      </c>
      <c r="D8613" s="3">
        <v>1.0</v>
      </c>
    </row>
    <row r="8614" ht="15.75" customHeight="1">
      <c r="A8614" s="1">
        <v>9096.0</v>
      </c>
      <c r="B8614" s="3" t="s">
        <v>8269</v>
      </c>
      <c r="C8614" s="3" t="str">
        <f>IFERROR(__xludf.DUMMYFUNCTION("GOOGLETRANSLATE(B8614,""id"",""en"")"),"['quota', 'doang', 'expensive', 'already', 'card', 'hello', 'network', 'sometimes',' down ',' what ',' funds', 'corrupted', ' bagged ',' official ',' his official ',' according to ',' price ',' jdi ',' think ',' replace ',' provider ']")</f>
        <v>['quota', 'doang', 'expensive', 'already', 'card', 'hello', 'network', 'sometimes',' down ',' what ',' funds', 'corrupted', ' bagged ',' official ',' his official ',' according to ',' price ',' jdi ',' think ',' replace ',' provider ']</v>
      </c>
      <c r="D8614" s="3">
        <v>1.0</v>
      </c>
    </row>
    <row r="8615" ht="15.75" customHeight="1">
      <c r="A8615" s="1">
        <v>9097.0</v>
      </c>
      <c r="B8615" s="3" t="s">
        <v>8270</v>
      </c>
      <c r="C8615" s="3" t="str">
        <f>IFERROR(__xludf.DUMMYFUNCTION("GOOGLETRANSLATE(B8615,""id"",""en"")"),"['bad', 'delay', 'buy', 'package', 'internet', 'sometimes', 'error', 'log', 'signal', 'lost']")</f>
        <v>['bad', 'delay', 'buy', 'package', 'internet', 'sometimes', 'error', 'log', 'signal', 'lost']</v>
      </c>
      <c r="D8615" s="3">
        <v>1.0</v>
      </c>
    </row>
    <row r="8616" ht="15.75" customHeight="1">
      <c r="A8616" s="1">
        <v>9098.0</v>
      </c>
      <c r="B8616" s="3" t="s">
        <v>8271</v>
      </c>
      <c r="C8616" s="3" t="str">
        <f>IFERROR(__xludf.DUMMYFUNCTION("GOOGLETRANSLATE(B8616,""id"",""en"")"),"['', 'update', 'application', 'Telkomsel', 'bad', 'really', 'mas',' application ',' Telkomsel ',' no ',' open ',' aka ',' no ',' Login ',' Sometimes', 'Telkomsel', 'peskan', 'no', 'click', 'Huuuf', 'nilep', 'pulse', 'quota', 'Telkomsel', 'base', 'thief']")</f>
        <v>['', 'update', 'application', 'Telkomsel', 'bad', 'really', 'mas',' application ',' Telkomsel ',' no ',' open ',' aka ',' no ',' Login ',' Sometimes', 'Telkomsel', 'peskan', 'no', 'click', 'Huuuf', 'nilep', 'pulse', 'quota', 'Telkomsel', 'base', 'thief']</v>
      </c>
      <c r="D8616" s="3">
        <v>1.0</v>
      </c>
    </row>
    <row r="8617" ht="15.75" customHeight="1">
      <c r="A8617" s="1">
        <v>9099.0</v>
      </c>
      <c r="B8617" s="3" t="s">
        <v>8272</v>
      </c>
      <c r="C8617" s="3" t="str">
        <f>IFERROR(__xludf.DUMMYFUNCTION("GOOGLETRANSLATE(B8617,""id"",""en"")"),"['Telkomsel', 'signal', 'Ancuuuuuuur', 'Severe']")</f>
        <v>['Telkomsel', 'signal', 'Ancuuuuuuur', 'Severe']</v>
      </c>
      <c r="D8617" s="3">
        <v>1.0</v>
      </c>
    </row>
    <row r="8618" ht="15.75" customHeight="1">
      <c r="A8618" s="1">
        <v>9100.0</v>
      </c>
      <c r="B8618" s="3" t="s">
        <v>8273</v>
      </c>
      <c r="C8618" s="3" t="str">
        <f>IFERROR(__xludf.DUMMYFUNCTION("GOOGLETRANSLATE(B8618,""id"",""en"")"),"['Telkomsel', 'update', 'network', 'ugly', 'missing', 'service', 'bad', 'think', 'luck', 'doank', 'already', 'package', ' expensive ',' network ',' slow ',' regret ',' ']")</f>
        <v>['Telkomsel', 'update', 'network', 'ugly', 'missing', 'service', 'bad', 'think', 'luck', 'doank', 'already', 'package', ' expensive ',' network ',' slow ',' regret ',' ']</v>
      </c>
      <c r="D8618" s="3">
        <v>3.0</v>
      </c>
    </row>
    <row r="8619" ht="15.75" customHeight="1">
      <c r="A8619" s="1">
        <v>9101.0</v>
      </c>
      <c r="B8619" s="3" t="s">
        <v>8274</v>
      </c>
      <c r="C8619" s="3" t="str">
        <f>IFERROR(__xludf.DUMMYFUNCTION("GOOGLETRANSLATE(B8619,""id"",""en"")"),"['come here', 'complicated', 'update', 'gabisa', 'install', 'reset', '']")</f>
        <v>['come here', 'complicated', 'update', 'gabisa', 'install', 'reset', '']</v>
      </c>
      <c r="D8619" s="3">
        <v>1.0</v>
      </c>
    </row>
    <row r="8620" ht="15.75" customHeight="1">
      <c r="A8620" s="1">
        <v>9102.0</v>
      </c>
      <c r="B8620" s="3" t="s">
        <v>8275</v>
      </c>
      <c r="C8620" s="3" t="str">
        <f>IFERROR(__xludf.DUMMYFUNCTION("GOOGLETRANSLATE(B8620,""id"",""en"")"),"['Telkomsel', 'Telkomsel', 'service', 'users', 'Telkomsel', 'signal', 'disorder', 'Telkomsel']")</f>
        <v>['Telkomsel', 'Telkomsel', 'service', 'users', 'Telkomsel', 'signal', 'disorder', 'Telkomsel']</v>
      </c>
      <c r="D8620" s="3">
        <v>1.0</v>
      </c>
    </row>
    <row r="8621" ht="15.75" customHeight="1">
      <c r="A8621" s="1">
        <v>9103.0</v>
      </c>
      <c r="B8621" s="3" t="s">
        <v>8276</v>
      </c>
      <c r="C8621" s="3" t="str">
        <f>IFERROR(__xludf.DUMMYFUNCTION("GOOGLETRANSLATE(B8621,""id"",""en"")"),"['Error', 'Application', 'TOP', 'Log', 'Out', 'Login', 'Hmm', 'Yesterday', 'Network', 'Application', 'Bug', 'Move', ' Features', 'SMS', 'Move', 'Profider', '']")</f>
        <v>['Error', 'Application', 'TOP', 'Log', 'Out', 'Login', 'Hmm', 'Yesterday', 'Network', 'Application', 'Bug', 'Move', ' Features', 'SMS', 'Move', 'Profider', '']</v>
      </c>
      <c r="D8621" s="3">
        <v>1.0</v>
      </c>
    </row>
    <row r="8622" ht="15.75" customHeight="1">
      <c r="A8622" s="1">
        <v>9104.0</v>
      </c>
      <c r="B8622" s="3" t="s">
        <v>8277</v>
      </c>
      <c r="C8622" s="3" t="str">
        <f>IFERROR(__xludf.DUMMYFUNCTION("GOOGLETRANSLATE(B8622,""id"",""en"")"),"['Hello', 'difficult', 'login', 'check', 'bill', 'please', 'help']")</f>
        <v>['Hello', 'difficult', 'login', 'check', 'bill', 'please', 'help']</v>
      </c>
      <c r="D8622" s="3">
        <v>5.0</v>
      </c>
    </row>
    <row r="8623" ht="15.75" customHeight="1">
      <c r="A8623" s="1">
        <v>9105.0</v>
      </c>
      <c r="B8623" s="3" t="s">
        <v>8278</v>
      </c>
      <c r="C8623" s="3" t="str">
        <f>IFERROR(__xludf.DUMMYFUNCTION("GOOGLETRANSLATE(B8623,""id"",""en"")"),"['Telkomsel', 'signal', 'please', 'repaired', 'error', '']")</f>
        <v>['Telkomsel', 'signal', 'please', 'repaired', 'error', '']</v>
      </c>
      <c r="D8623" s="3">
        <v>2.0</v>
      </c>
    </row>
    <row r="8624" ht="15.75" customHeight="1">
      <c r="A8624" s="1">
        <v>9106.0</v>
      </c>
      <c r="B8624" s="3" t="s">
        <v>8279</v>
      </c>
      <c r="C8624" s="3" t="str">
        <f>IFERROR(__xludf.DUMMYFUNCTION("GOOGLETRANSLATE(B8624,""id"",""en"")"),"['HBS', 'update', 'bookmark', 'package', 'missing', 'bookmark', 'package', 'night', 'already', 'price', 'package', 'expensive', ' already ',' kyk ',' leech ',' ']")</f>
        <v>['HBS', 'update', 'bookmark', 'package', 'missing', 'bookmark', 'package', 'night', 'already', 'price', 'package', 'expensive', ' already ',' kyk ',' leech ',' ']</v>
      </c>
      <c r="D8624" s="3">
        <v>1.0</v>
      </c>
    </row>
    <row r="8625" ht="15.75" customHeight="1">
      <c r="A8625" s="1">
        <v>9107.0</v>
      </c>
      <c r="B8625" s="3" t="s">
        <v>8280</v>
      </c>
      <c r="C8625" s="3" t="str">
        <f>IFERROR(__xludf.DUMMYFUNCTION("GOOGLETRANSLATE(B8625,""id"",""en"")"),"['Provider', 'pulp', 'pulp', 'patient', 'era', 'bye']")</f>
        <v>['Provider', 'pulp', 'pulp', 'patient', 'era', 'bye']</v>
      </c>
      <c r="D8625" s="3">
        <v>1.0</v>
      </c>
    </row>
    <row r="8626" ht="15.75" customHeight="1">
      <c r="A8626" s="1">
        <v>9108.0</v>
      </c>
      <c r="B8626" s="3" t="s">
        <v>8281</v>
      </c>
      <c r="C8626" s="3" t="str">
        <f>IFERROR(__xludf.DUMMYFUNCTION("GOOGLETRANSLATE(B8626,""id"",""en"")"),"['fox', 'star', 'open', 'app', 'use', 'network', 'wifi', 'home', 'error', 'network', 'use', 'network', ' SIM ',' Telkom ',' App ',' smooth ',' Package ',' Out ',' Buy ',' PKE ',' APP ',' HRS ',' PKE ',' Network ',' Telkom ' , 'Klau', 'PKai', 'Network', 'E"&amp;"rror', 'Mulu', 'Moving', 'Seblah', 'Ribet', ""]")</f>
        <v>['fox', 'star', 'open', 'app', 'use', 'network', 'wifi', 'home', 'error', 'network', 'use', 'network', ' SIM ',' Telkom ',' App ',' smooth ',' Package ',' Out ',' Buy ',' PKE ',' APP ',' HRS ',' PKE ',' Network ',' Telkom ' , 'Klau', 'PKai', 'Network', 'Error', 'Mulu', 'Moving', 'Seblah', 'Ribet', "]</v>
      </c>
      <c r="D8626" s="3">
        <v>2.0</v>
      </c>
    </row>
    <row r="8627" ht="15.75" customHeight="1">
      <c r="A8627" s="1">
        <v>9109.0</v>
      </c>
      <c r="B8627" s="3" t="s">
        <v>8282</v>
      </c>
      <c r="C8627" s="3" t="str">
        <f>IFERROR(__xludf.DUMMYFUNCTION("GOOGLETRANSLATE(B8627,""id"",""en"")"),"['Update', 'enter', 'error', 'then', 'his writing']")</f>
        <v>['Update', 'enter', 'error', 'then', 'his writing']</v>
      </c>
      <c r="D8627" s="3">
        <v>2.0</v>
      </c>
    </row>
    <row r="8628" ht="15.75" customHeight="1">
      <c r="A8628" s="1">
        <v>9110.0</v>
      </c>
      <c r="B8628" s="3" t="s">
        <v>8283</v>
      </c>
      <c r="C8628" s="3" t="str">
        <f>IFERROR(__xludf.DUMMYFUNCTION("GOOGLETRANSLATE(B8628,""id"",""en"")"),"['Sorry', 'Star', 'Dour', 'Network', 'Telkomsel', 'Season', 'Data', 'Loading', 'Forgiveness',' Wrong ',' User ',' Cell ',' Like ',' promo ',' Telkomsel ',' Telkomsel ',' network ',' decreases', 'yok', 'yok', 'repaired', 'network', 'loss',' buy ',' combo '"&amp;" , 'Sakti', 'unlimited', 'slow', 'nnton', 'vidio', 'said', 'unlimited', 'darling', 'slow', '']")</f>
        <v>['Sorry', 'Star', 'Dour', 'Network', 'Telkomsel', 'Season', 'Data', 'Loading', 'Forgiveness',' Wrong ',' User ',' Cell ',' Like ',' promo ',' Telkomsel ',' Telkomsel ',' network ',' decreases', 'yok', 'yok', 'repaired', 'network', 'loss',' buy ',' combo ' , 'Sakti', 'unlimited', 'slow', 'nnton', 'vidio', 'said', 'unlimited', 'darling', 'slow', '']</v>
      </c>
      <c r="D8628" s="3">
        <v>1.0</v>
      </c>
    </row>
    <row r="8629" ht="15.75" customHeight="1">
      <c r="A8629" s="1">
        <v>9111.0</v>
      </c>
      <c r="B8629" s="3" t="s">
        <v>8284</v>
      </c>
      <c r="C8629" s="3" t="str">
        <f>IFERROR(__xludf.DUMMYFUNCTION("GOOGLETRANSLATE(B8629,""id"",""en"")"),"['Telkomsel', 'Telkomsel', 'The network', 'Buriik', 'Beraiiki', 'block']")</f>
        <v>['Telkomsel', 'Telkomsel', 'The network', 'Buriik', 'Beraiiki', 'block']</v>
      </c>
      <c r="D8629" s="3">
        <v>1.0</v>
      </c>
    </row>
    <row r="8630" ht="15.75" customHeight="1">
      <c r="A8630" s="1">
        <v>9112.0</v>
      </c>
      <c r="B8630" s="3" t="s">
        <v>8285</v>
      </c>
      <c r="C8630" s="3" t="str">
        <f>IFERROR(__xludf.DUMMYFUNCTION("GOOGLETRANSLATE(B8630,""id"",""en"")"),"['signal', 'life', 'Tangsel', 'Network', 'Telkomsel', 'Bad', 'Provider', 'Indonesia', 'Hadeuuhhh']")</f>
        <v>['signal', 'life', 'Tangsel', 'Network', 'Telkomsel', 'Bad', 'Provider', 'Indonesia', 'Hadeuuhhh']</v>
      </c>
      <c r="D8630" s="3">
        <v>1.0</v>
      </c>
    </row>
    <row r="8631" ht="15.75" customHeight="1">
      <c r="A8631" s="1">
        <v>9113.0</v>
      </c>
      <c r="B8631" s="3" t="s">
        <v>8286</v>
      </c>
      <c r="C8631" s="3" t="str">
        <f>IFERROR(__xludf.DUMMYFUNCTION("GOOGLETRANSLATE(B8631,""id"",""en"")"),"['Severe', 'Knp', 'Difficult', 'Entering', 'APP', 'MyTelkomsel', 'Padhal', 'Number', 'Knp', 'Lock', 'Out', 'Input', ' number ',' difficult ',' entry ',' severe ',' kau ']")</f>
        <v>['Severe', 'Knp', 'Difficult', 'Entering', 'APP', 'MyTelkomsel', 'Padhal', 'Number', 'Knp', 'Lock', 'Out', 'Input', ' number ',' difficult ',' entry ',' severe ',' kau ']</v>
      </c>
      <c r="D8631" s="3">
        <v>2.0</v>
      </c>
    </row>
    <row r="8632" ht="15.75" customHeight="1">
      <c r="A8632" s="1">
        <v>9114.0</v>
      </c>
      <c r="B8632" s="3" t="s">
        <v>8287</v>
      </c>
      <c r="C8632" s="3" t="str">
        <f>IFERROR(__xludf.DUMMYFUNCTION("GOOGLETRANSLATE(B8632,""id"",""en"")"),"['owner', 'provider', 'Telkomsel', 'employees', 'Telkomsel', 'rolls', 'mat', 'package', 'expensive', 'signal', 'trobel', ""]")</f>
        <v>['owner', 'provider', 'Telkomsel', 'employees', 'Telkomsel', 'rolls', 'mat', 'package', 'expensive', 'signal', 'trobel', "]</v>
      </c>
      <c r="D8632" s="3">
        <v>1.0</v>
      </c>
    </row>
    <row r="8633" ht="15.75" customHeight="1">
      <c r="A8633" s="1">
        <v>9115.0</v>
      </c>
      <c r="B8633" s="3" t="s">
        <v>8288</v>
      </c>
      <c r="C8633" s="3" t="str">
        <f>IFERROR(__xludf.DUMMYFUNCTION("GOOGLETRANSLATE(B8633,""id"",""en"")"),"['Weight', 'NOT', 'Suitable', 'Region', 'Signal', 'Weak', ""]")</f>
        <v>['Weight', 'NOT', 'Suitable', 'Region', 'Signal', 'Weak', "]</v>
      </c>
      <c r="D8633" s="3">
        <v>3.0</v>
      </c>
    </row>
    <row r="8634" ht="15.75" customHeight="1">
      <c r="A8634" s="1">
        <v>9116.0</v>
      </c>
      <c r="B8634" s="3" t="s">
        <v>8289</v>
      </c>
      <c r="C8634" s="3" t="str">
        <f>IFERROR(__xludf.DUMMYFUNCTION("GOOGLETRANSLATE(B8634,""id"",""en"")"),"['Disappointed', 'really', 'already', 'believes', 'many years', 'trobel', 'really', 'for days', 'severe', 'wooooiiiiii']")</f>
        <v>['Disappointed', 'really', 'already', 'believes', 'many years', 'trobel', 'really', 'for days', 'severe', 'wooooiiiiii']</v>
      </c>
      <c r="D8634" s="3">
        <v>1.0</v>
      </c>
    </row>
    <row r="8635" ht="15.75" customHeight="1">
      <c r="A8635" s="1">
        <v>9117.0</v>
      </c>
      <c r="B8635" s="3" t="s">
        <v>8290</v>
      </c>
      <c r="C8635" s="3" t="str">
        <f>IFERROR(__xludf.DUMMYFUNCTION("GOOGLETRANSLATE(B8635,""id"",""en"")"),"['', 'Registration', 'appears', 'writing', 'card', 'process', 'check', 'active', 'buy', 'loss', 'buy', 'Telkomsel', "" ]")</f>
        <v>['', 'Registration', 'appears', 'writing', 'card', 'process', 'check', 'active', 'buy', 'loss', 'buy', 'Telkomsel', " ]</v>
      </c>
      <c r="D8635" s="3">
        <v>1.0</v>
      </c>
    </row>
    <row r="8636" ht="15.75" customHeight="1">
      <c r="A8636" s="1">
        <v>9118.0</v>
      </c>
      <c r="B8636" s="3" t="s">
        <v>8291</v>
      </c>
      <c r="C8636" s="3" t="str">
        <f>IFERROR(__xludf.DUMMYFUNCTION("GOOGLETRANSLATE(B8636,""id"",""en"")"),"['Signal', 'Telkomsel', 'Bad', 'World', 'PLN', 'PLN', 'Dead', 'Signal', 'Dead', 'Kalok', 'Can', 'Service', ' signal ',' pull out ',' tower ',' caline ',' village ',' besadi ',' unplug ',' ']")</f>
        <v>['Signal', 'Telkomsel', 'Bad', 'World', 'PLN', 'PLN', 'Dead', 'Signal', 'Dead', 'Kalok', 'Can', 'Service', ' signal ',' pull out ',' tower ',' caline ',' village ',' besadi ',' unplug ',' ']</v>
      </c>
      <c r="D8636" s="3">
        <v>1.0</v>
      </c>
    </row>
    <row r="8637" ht="15.75" customHeight="1">
      <c r="A8637" s="1">
        <v>9119.0</v>
      </c>
      <c r="B8637" s="3" t="s">
        <v>8292</v>
      </c>
      <c r="C8637" s="3" t="str">
        <f>IFERROR(__xludf.DUMMYFUNCTION("GOOGLETRANSLATE(B8637,""id"",""en"")"),"['', 'quality', 'already', 'package', 'expensive', 'signal', 'ugly', 'Telkomsel', 'cheats',' community ',' regret ',' I ',' use ',' Telkomsel ']")</f>
        <v>['', 'quality', 'already', 'package', 'expensive', 'signal', 'ugly', 'Telkomsel', 'cheats',' community ',' regret ',' I ',' use ',' Telkomsel ']</v>
      </c>
      <c r="D8637" s="3">
        <v>1.0</v>
      </c>
    </row>
    <row r="8638" ht="15.75" customHeight="1">
      <c r="A8638" s="1">
        <v>9120.0</v>
      </c>
      <c r="B8638" s="3" t="s">
        <v>8293</v>
      </c>
      <c r="C8638" s="3" t="str">
        <f>IFERROR(__xludf.DUMMYFUNCTION("GOOGLETRANSLATE(B8638,""id"",""en"")"),"['Note', 'Noh', 'complaints',' Customer ',' ngelamin ',' instability ',' internet ',' gini ',' telkomnyet ',' network ',' internet ',' different ',' card ',' bar ',' network ',' speed ',' telkomnyet ',' original ',' road ',' report ',' answer ',' told ','"&amp;" refresh ',' result ',' zero ' , 'Bye', 'Bye', 'Telkomtol', '']")</f>
        <v>['Note', 'Noh', 'complaints',' Customer ',' ngelamin ',' instability ',' internet ',' gini ',' telkomnyet ',' network ',' internet ',' different ',' card ',' bar ',' network ',' speed ',' telkomnyet ',' original ',' road ',' report ',' answer ',' told ',' refresh ',' result ',' zero ' , 'Bye', 'Bye', 'Telkomtol', '']</v>
      </c>
      <c r="D8638" s="3">
        <v>1.0</v>
      </c>
    </row>
    <row r="8639" ht="15.75" customHeight="1">
      <c r="A8639" s="1">
        <v>9121.0</v>
      </c>
      <c r="B8639" s="3" t="s">
        <v>8294</v>
      </c>
      <c r="C8639" s="3" t="str">
        <f>IFERROR(__xludf.DUMMYFUNCTION("GOOGLETRANSLATE(B8639,""id"",""en"")"),"['Disappointed', 'service', 'Telkomsel', 'times',' emang ',' teledor ',' active ',' number ',' forget ',' correct ',' package ',' data ',' expensive ',' use ',' data ',' forget ',' grace ', ""]")</f>
        <v>['Disappointed', 'service', 'Telkomsel', 'times',' emang ',' teledor ',' active ',' number ',' forget ',' correct ',' package ',' data ',' expensive ',' use ',' data ',' forget ',' grace ', "]</v>
      </c>
      <c r="D8639" s="3">
        <v>1.0</v>
      </c>
    </row>
    <row r="8640" ht="15.75" customHeight="1">
      <c r="A8640" s="1">
        <v>9122.0</v>
      </c>
      <c r="B8640" s="3" t="s">
        <v>8295</v>
      </c>
      <c r="C8640" s="3" t="str">
        <f>IFERROR(__xludf.DUMMYFUNCTION("GOOGLETRANSLATE(B8640,""id"",""en"")"),"['Network', 'how', 'ngeleg', 'already', 'that's', 'package', 'expensive', 'mending', 'buy', 'card']")</f>
        <v>['Network', 'how', 'ngeleg', 'already', 'that's', 'package', 'expensive', 'mending', 'buy', 'card']</v>
      </c>
      <c r="D8640" s="3">
        <v>1.0</v>
      </c>
    </row>
    <row r="8641" ht="15.75" customHeight="1">
      <c r="A8641" s="1">
        <v>9123.0</v>
      </c>
      <c r="B8641" s="3" t="s">
        <v>8296</v>
      </c>
      <c r="C8641" s="3" t="str">
        <f>IFERROR(__xludf.DUMMYFUNCTION("GOOGLETRANSLATE(B8641,""id"",""en"")"),"['wkwkwkk', 'fraudster', 'package', 'unlimited', 'mna', 'mna', 'hapir', 'half', 'package', 'normal', 'promo', 'entered', ' Sense ',' Bambang ', ""]")</f>
        <v>['wkwkwkk', 'fraudster', 'package', 'unlimited', 'mna', 'mna', 'hapir', 'half', 'package', 'normal', 'promo', 'entered', ' Sense ',' Bambang ', "]</v>
      </c>
      <c r="D8641" s="3">
        <v>1.0</v>
      </c>
    </row>
    <row r="8642" ht="15.75" customHeight="1">
      <c r="A8642" s="1">
        <v>9124.0</v>
      </c>
      <c r="B8642" s="3" t="s">
        <v>8297</v>
      </c>
      <c r="C8642" s="3" t="str">
        <f>IFERROR(__xludf.DUMMYFUNCTION("GOOGLETRANSLATE(B8642,""id"",""en"")"),"['The application', 'already', 'good', 'just', 'kalu', 'open', 'mytelkomsel', 'internet', 'run', 'application', 'Telkomsel', 'open', ' Loading ',' LGI ',' TPI ',' Internet ',' Walking ',' MyTelLOne ',' Except ',' Delete ',' Background ',' Walking ',' Plea"&amp;"se ',' Fix ', ""]")</f>
        <v>['The application', 'already', 'good', 'just', 'kalu', 'open', 'mytelkomsel', 'internet', 'run', 'application', 'Telkomsel', 'open', ' Loading ',' LGI ',' TPI ',' Internet ',' Walking ',' MyTelLOne ',' Except ',' Delete ',' Background ',' Walking ',' Please ',' Fix ', "]</v>
      </c>
      <c r="D8642" s="3">
        <v>5.0</v>
      </c>
    </row>
    <row r="8643" ht="15.75" customHeight="1">
      <c r="A8643" s="1">
        <v>9125.0</v>
      </c>
      <c r="B8643" s="3" t="s">
        <v>8298</v>
      </c>
      <c r="C8643" s="3" t="str">
        <f>IFERROR(__xludf.DUMMYFUNCTION("GOOGLETRANSLATE(B8643,""id"",""en"")"),"['Member', 'family', 'at home', 'Telkomsel', 'KNP', 'Different', 'card', 'Different', 'Package', 'Child', 'School', 'Online', ' expensive ',' logically ',' zone ',' price ',' wasteful ',' leftover ',' pulse ',' run out ',' sumps', 'please', 'fix', 'qualit"&amp;"y', ""]")</f>
        <v>['Member', 'family', 'at home', 'Telkomsel', 'KNP', 'Different', 'card', 'Different', 'Package', 'Child', 'School', 'Online', ' expensive ',' logically ',' zone ',' price ',' wasteful ',' leftover ',' pulse ',' run out ',' sumps', 'please', 'fix', 'quality', "]</v>
      </c>
      <c r="D8643" s="3">
        <v>3.0</v>
      </c>
    </row>
    <row r="8644" ht="15.75" customHeight="1">
      <c r="A8644" s="1">
        <v>9126.0</v>
      </c>
      <c r="B8644" s="3" t="s">
        <v>8299</v>
      </c>
      <c r="C8644" s="3" t="str">
        <f>IFERROR(__xludf.DUMMYFUNCTION("GOOGLETRANSLATE(B8644,""id"",""en"")"),"['Ngeleg', 'Please', 'Fix', 'Sexous',' Think ',' Signal ',' JLK ',' Gini ',' Price ',' Package ',' Expensive ',' waste ',' Thinking ',' Adan ',' Society ',' Signal ',' JLK ',' Price ',' Down ',' ']")</f>
        <v>['Ngeleg', 'Please', 'Fix', 'Sexous',' Think ',' Signal ',' JLK ',' Gini ',' Price ',' Package ',' Expensive ',' waste ',' Thinking ',' Adan ',' Society ',' Signal ',' JLK ',' Price ',' Down ',' ']</v>
      </c>
      <c r="D8644" s="3">
        <v>1.0</v>
      </c>
    </row>
    <row r="8645" ht="15.75" customHeight="1">
      <c r="A8645" s="1">
        <v>9127.0</v>
      </c>
      <c r="B8645" s="3" t="s">
        <v>8300</v>
      </c>
      <c r="C8645" s="3" t="str">
        <f>IFERROR(__xludf.DUMMYFUNCTION("GOOGLETRANSLATE(B8645,""id"",""en"")"),"['here', 'lemooooooooootttt', 'toll', 'ng', 'enhanced', '']")</f>
        <v>['here', 'lemooooooooootttt', 'toll', 'ng', 'enhanced', '']</v>
      </c>
      <c r="D8645" s="3">
        <v>2.0</v>
      </c>
    </row>
    <row r="8646" ht="15.75" customHeight="1">
      <c r="A8646" s="1">
        <v>9128.0</v>
      </c>
      <c r="B8646" s="3" t="s">
        <v>8301</v>
      </c>
      <c r="C8646" s="3" t="str">
        <f>IFERROR(__xludf.DUMMYFUNCTION("GOOGLETRANSLATE(B8646,""id"",""en"")"),"['Network', 'Please', 'Increase', 'Network', 'Hard', 'Reach', 'Network', 'Troble', 'Thank "",' Love ',' Hopefully ',' forward ',' Greetings', 'Success',' Telkomsel ',' ']")</f>
        <v>['Network', 'Please', 'Increase', 'Network', 'Hard', 'Reach', 'Network', 'Troble', 'Thank ",' Love ',' Hopefully ',' forward ',' Greetings', 'Success',' Telkomsel ',' ']</v>
      </c>
      <c r="D8646" s="3">
        <v>3.0</v>
      </c>
    </row>
    <row r="8647" ht="15.75" customHeight="1">
      <c r="A8647" s="1">
        <v>9129.0</v>
      </c>
      <c r="B8647" s="3" t="s">
        <v>8302</v>
      </c>
      <c r="C8647" s="3" t="str">
        <f>IFERROR(__xludf.DUMMYFUNCTION("GOOGLETRANSLATE(B8647,""id"",""en"")"),"['network', 'Telkomsel', 'slow', 'kayak', 'network', 'slow', 'really', 'mending', 'switch', 'provider', ""]")</f>
        <v>['network', 'Telkomsel', 'slow', 'kayak', 'network', 'slow', 'really', 'mending', 'switch', 'provider', "]</v>
      </c>
      <c r="D8647" s="3">
        <v>1.0</v>
      </c>
    </row>
    <row r="8648" ht="15.75" customHeight="1">
      <c r="A8648" s="1">
        <v>9130.0</v>
      </c>
      <c r="B8648" s="3" t="s">
        <v>8303</v>
      </c>
      <c r="C8648" s="3" t="str">
        <f>IFERROR(__xludf.DUMMYFUNCTION("GOOGLETRANSLATE(B8648,""id"",""en"")"),"['Updated', 'used', 'error', 'system', 'beg', 'repair']")</f>
        <v>['Updated', 'used', 'error', 'system', 'beg', 'repair']</v>
      </c>
      <c r="D8648" s="3">
        <v>1.0</v>
      </c>
    </row>
    <row r="8649" ht="15.75" customHeight="1">
      <c r="A8649" s="1">
        <v>9131.0</v>
      </c>
      <c r="B8649" s="3" t="s">
        <v>8304</v>
      </c>
      <c r="C8649" s="3" t="str">
        <f>IFERROR(__xludf.DUMMYFUNCTION("GOOGLETRANSLATE(B8649,""id"",""en"")"),"['Telkomsel', 'network', 'slow', 'play', 'game', 'kalaw', 'night', 'network', 'internet', 'bus']")</f>
        <v>['Telkomsel', 'network', 'slow', 'play', 'game', 'kalaw', 'night', 'network', 'internet', 'bus']</v>
      </c>
      <c r="D8649" s="3">
        <v>1.0</v>
      </c>
    </row>
    <row r="8650" ht="15.75" customHeight="1">
      <c r="A8650" s="1">
        <v>9132.0</v>
      </c>
      <c r="B8650" s="3" t="s">
        <v>8305</v>
      </c>
      <c r="C8650" s="3" t="str">
        <f>IFERROR(__xludf.DUMMYFUNCTION("GOOGLETRANSLATE(B8650,""id"",""en"")"),"['upgrade', 'signal', 'severe', 'already', 'extra', 'kouta', 'junior high school', 'grace', 'abis',' kouta ',' gara ',' signal ',' Severe ',' card ',' skrg ',' severe ',' signal ',' &lt;br&gt; ',' pay ',' stiap ',' kouta ']")</f>
        <v>['upgrade', 'signal', 'severe', 'already', 'extra', 'kouta', 'junior high school', 'grace', 'abis',' kouta ',' gara ',' signal ',' Severe ',' card ',' skrg ',' severe ',' signal ',' &lt;br&gt; ',' pay ',' stiap ',' kouta ']</v>
      </c>
      <c r="D8650" s="3">
        <v>1.0</v>
      </c>
    </row>
    <row r="8651" ht="15.75" customHeight="1">
      <c r="A8651" s="1">
        <v>9133.0</v>
      </c>
      <c r="B8651" s="3" t="s">
        <v>8306</v>
      </c>
      <c r="C8651" s="3" t="str">
        <f>IFERROR(__xludf.DUMMYFUNCTION("GOOGLETRANSLATE(B8651,""id"",""en"")"),"['buy', 'quota', 'emergency', 'psahal', 'paid it in', 'friend', 'pay off', 'borrow', 'quota', 'emergency', 'Please', 'assisted']")</f>
        <v>['buy', 'quota', 'emergency', 'psahal', 'paid it in', 'friend', 'pay off', 'borrow', 'quota', 'emergency', 'Please', 'assisted']</v>
      </c>
      <c r="D8651" s="3">
        <v>3.0</v>
      </c>
    </row>
    <row r="8652" ht="15.75" customHeight="1">
      <c r="A8652" s="1">
        <v>9134.0</v>
      </c>
      <c r="B8652" s="3" t="s">
        <v>8307</v>
      </c>
      <c r="C8652" s="3" t="str">
        <f>IFERROR(__xludf.DUMMYFUNCTION("GOOGLETRANSLATE(B8652,""id"",""en"")"),"['suck', 'pulse', 'sampe', 'dry', 'asw', 'service', 'safe', 'pulse', 'package', 'internet', 'run out', 'bodo', ' Bodo ',' ']")</f>
        <v>['suck', 'pulse', 'sampe', 'dry', 'asw', 'service', 'safe', 'pulse', 'package', 'internet', 'run out', 'bodo', ' Bodo ',' ']</v>
      </c>
      <c r="D8652" s="3">
        <v>1.0</v>
      </c>
    </row>
    <row r="8653" ht="15.75" customHeight="1">
      <c r="A8653" s="1">
        <v>9135.0</v>
      </c>
      <c r="B8653" s="3" t="s">
        <v>8308</v>
      </c>
      <c r="C8653" s="3" t="str">
        <f>IFERROR(__xludf.DUMMYFUNCTION("GOOGLETRANSLATE(B8653,""id"",""en"")"),"['Thieves',' Credit ',' Credit ',' I've, 'Out', 'Wasted', 'Happy', 'Azab', 'Pas',' Death ', ""]")</f>
        <v>['Thieves',' Credit ',' Credit ',' I've, 'Out', 'Wasted', 'Happy', 'Azab', 'Pas',' Death ', "]</v>
      </c>
      <c r="D8653" s="3">
        <v>1.0</v>
      </c>
    </row>
    <row r="8654" ht="15.75" customHeight="1">
      <c r="A8654" s="1">
        <v>9136.0</v>
      </c>
      <c r="B8654" s="3" t="s">
        <v>8309</v>
      </c>
      <c r="C8654" s="3" t="str">
        <f>IFERROR(__xludf.DUMMYFUNCTION("GOOGLETRANSLATE(B8654,""id"",""en"")"),"['ADH', 'please', 'Telkom', 'The network', 'repaired', 'disappointing', 'Customer', 'Peanggan', 'Satisfied', 'Due to', 'Lag', 'Severe', ' harm ',' plus', 'package', 'data', 'expensive', 'buy', 'pallet', 'expensive', 'signal', 'slow', 'lag', 'gajelas',' pl"&amp;"ease ' , 'Telkomsel', 'actioned', 'continued', 'quality', 'signal', 'comfortable', 'Telkomsel']")</f>
        <v>['ADH', 'please', 'Telkom', 'The network', 'repaired', 'disappointing', 'Customer', 'Peanggan', 'Satisfied', 'Due to', 'Lag', 'Severe', ' harm ',' plus', 'package', 'data', 'expensive', 'buy', 'pallet', 'expensive', 'signal', 'slow', 'lag', 'gajelas',' please ' , 'Telkomsel', 'actioned', 'continued', 'quality', 'signal', 'comfortable', 'Telkomsel']</v>
      </c>
      <c r="D8654" s="3">
        <v>1.0</v>
      </c>
    </row>
    <row r="8655" ht="15.75" customHeight="1">
      <c r="A8655" s="1">
        <v>9137.0</v>
      </c>
      <c r="B8655" s="3" t="s">
        <v>8310</v>
      </c>
      <c r="C8655" s="3" t="str">
        <f>IFERROR(__xludf.DUMMYFUNCTION("GOOGLETRANSLATE(B8655,""id"",""en"")"),"['network', 'Telkomsel', 'skrng', 'quality', 'defective', 'lag', 'network', 'down', 'emng', 'good', 'skrng', 'provider', ' Complaints', 'Numpang', 'name', 'tsel', 'now', 'msh', 'that's',' okay ',' move ',' provider ',' already ',' as good ', ""]")</f>
        <v>['network', 'Telkomsel', 'skrng', 'quality', 'defective', 'lag', 'network', 'down', 'emng', 'good', 'skrng', 'provider', ' Complaints', 'Numpang', 'name', 'tsel', 'now', 'msh', 'that's',' okay ',' move ',' provider ',' already ',' as good ', "]</v>
      </c>
      <c r="D8655" s="3">
        <v>1.0</v>
      </c>
    </row>
    <row r="8656" ht="15.75" customHeight="1">
      <c r="A8656" s="1">
        <v>9138.0</v>
      </c>
      <c r="B8656" s="3" t="s">
        <v>8311</v>
      </c>
      <c r="C8656" s="3" t="str">
        <f>IFERROR(__xludf.DUMMYFUNCTION("GOOGLETRANSLATE(B8656,""id"",""en"")"),"['check', 'pulse', 'quota', 'diverse', 'features', 'lucky', 'gift', 'bonus']")</f>
        <v>['check', 'pulse', 'quota', 'diverse', 'features', 'lucky', 'gift', 'bonus']</v>
      </c>
      <c r="D8656" s="3">
        <v>4.0</v>
      </c>
    </row>
    <row r="8657" ht="15.75" customHeight="1">
      <c r="A8657" s="1">
        <v>9139.0</v>
      </c>
      <c r="B8657" s="3" t="s">
        <v>8312</v>
      </c>
      <c r="C8657" s="3" t="str">
        <f>IFERROR(__xludf.DUMMYFUNCTION("GOOGLETRANSLATE(B8657,""id"",""en"")"),"['Quality', 'Network', 'Please', 'Fix', 'User', 'loyal', 'Telkomsel', 'Disappointed', 'Network', 'Main', 'Game', 'Disturbed', ' Stayed ',' around ',' Jakarta ',' center ',' office ',' center ',' Telkomsel ',' hope ',' in the future ',' improvement ',' tha"&amp;"nk ',' love ']")</f>
        <v>['Quality', 'Network', 'Please', 'Fix', 'User', 'loyal', 'Telkomsel', 'Disappointed', 'Network', 'Main', 'Game', 'Disturbed', ' Stayed ',' around ',' Jakarta ',' center ',' office ',' center ',' Telkomsel ',' hope ',' in the future ',' improvement ',' thank ',' love ']</v>
      </c>
      <c r="D8657" s="3">
        <v>2.0</v>
      </c>
    </row>
    <row r="8658" ht="15.75" customHeight="1">
      <c r="A8658" s="1">
        <v>9140.0</v>
      </c>
      <c r="B8658" s="3" t="s">
        <v>8313</v>
      </c>
      <c r="C8658" s="3" t="str">
        <f>IFERROR(__xludf.DUMMYFUNCTION("GOOGLETRANSLATE(B8658,""id"",""en"")"),"['cave', 'related', 'BUMN', 'sick', 'heart', 'love', 'package', 'cheap', 'appears',' activation ',' package ',' activation ',' package ',' balance ',' leftover ',' rb ',' bonus', 'package', 'Rp', 'appears',' leftover ',' balance ',' promo ',' package ',' "&amp;"Rp ' , 'Nongol', 'activation', 'package', 'call', 'given', 'bonus',' credit ',' rb ',' call ',' call ',' cut ',' balance ',' package ',' Belik ',' cave ',' wonder ',' koq ',' human ',' genius', '']")</f>
        <v>['cave', 'related', 'BUMN', 'sick', 'heart', 'love', 'package', 'cheap', 'appears',' activation ',' package ',' activation ',' package ',' balance ',' leftover ',' rb ',' bonus', 'package', 'Rp', 'appears',' leftover ',' balance ',' promo ',' package ',' Rp ' , 'Nongol', 'activation', 'package', 'call', 'given', 'bonus',' credit ',' rb ',' call ',' call ',' cut ',' balance ',' package ',' Belik ',' cave ',' wonder ',' koq ',' human ',' genius', '']</v>
      </c>
      <c r="D8658" s="3">
        <v>2.0</v>
      </c>
    </row>
    <row r="8659" ht="15.75" customHeight="1">
      <c r="A8659" s="1">
        <v>9141.0</v>
      </c>
      <c r="B8659" s="3" t="s">
        <v>8314</v>
      </c>
      <c r="C8659" s="3" t="str">
        <f>IFERROR(__xludf.DUMMYFUNCTION("GOOGLETRANSLATE(B8659,""id"",""en"")"),"['Woy', 'Anjingg', 'Card', 'Indo', 'Leg', 'Bangsadd', 'Kuwota', 'Buy', 'Asw', ""]")</f>
        <v>['Woy', 'Anjingg', 'Card', 'Indo', 'Leg', 'Bangsadd', 'Kuwota', 'Buy', 'Asw', "]</v>
      </c>
      <c r="D8659" s="3">
        <v>5.0</v>
      </c>
    </row>
    <row r="8660" ht="15.75" customHeight="1">
      <c r="A8660" s="1">
        <v>9142.0</v>
      </c>
      <c r="B8660" s="3" t="s">
        <v>8315</v>
      </c>
      <c r="C8660" s="3" t="str">
        <f>IFERROR(__xludf.DUMMYFUNCTION("GOOGLETRANSLATE(B8660,""id"",""en"")"),"['Tranfer', 'pulse', 'number', 'wrong', 'Mulu', 'Ribet', ""]")</f>
        <v>['Tranfer', 'pulse', 'number', 'wrong', 'Mulu', 'Ribet', "]</v>
      </c>
      <c r="D8660" s="3">
        <v>1.0</v>
      </c>
    </row>
    <row r="8661" ht="15.75" customHeight="1">
      <c r="A8661" s="1">
        <v>9143.0</v>
      </c>
      <c r="B8661" s="3" t="s">
        <v>8316</v>
      </c>
      <c r="C8661" s="3" t="str">
        <f>IFERROR(__xludf.DUMMYFUNCTION("GOOGLETRANSLATE(B8661,""id"",""en"")"),"['Woy', 'Telkom', 'buy', 'expensive', 'network', 'ngelg', 'severe', 'please', 'correct', 'network', 'corruption', 'mulu', ' Really ',' Kayak ',' Banteng ',' Red ',' ']")</f>
        <v>['Woy', 'Telkom', 'buy', 'expensive', 'network', 'ngelg', 'severe', 'please', 'correct', 'network', 'corruption', 'mulu', ' Really ',' Kayak ',' Banteng ',' Red ',' ']</v>
      </c>
      <c r="D8661" s="3">
        <v>1.0</v>
      </c>
    </row>
    <row r="8662" ht="15.75" customHeight="1">
      <c r="A8662" s="1">
        <v>9144.0</v>
      </c>
      <c r="B8662" s="3" t="s">
        <v>8317</v>
      </c>
      <c r="C8662" s="3" t="str">
        <f>IFERROR(__xludf.DUMMYFUNCTION("GOOGLETRANSLATE(B8662,""id"",""en"")"),"['already', 'stage', 'believes',' cable ',' Telkomsel ',' already ',' ilang ',' ketelen ',' megalodon ',' tower ',' devastated ',' Ultraman ',' signal ',' usually ',' kb ',' ngupil ',' no ',' strong ',' teacher ',' gave ',' task ',' mandatory ',' google '"&amp;",' kamvret ',' water ' , 'Eyes',' Sia ',' Sia ',' Gara ',' book ',' no ',' complete ',' book ',' lesson ',' already ',' stage ',' loss', ' benefit', '']")</f>
        <v>['already', 'stage', 'believes',' cable ',' Telkomsel ',' already ',' ilang ',' ketelen ',' megalodon ',' tower ',' devastated ',' Ultraman ',' signal ',' usually ',' kb ',' ngupil ',' no ',' strong ',' teacher ',' gave ',' task ',' mandatory ',' google ',' kamvret ',' water ' , 'Eyes',' Sia ',' Sia ',' Gara ',' book ',' no ',' complete ',' book ',' lesson ',' already ',' stage ',' loss', ' benefit', '']</v>
      </c>
      <c r="D8662" s="3">
        <v>1.0</v>
      </c>
    </row>
    <row r="8663" ht="15.75" customHeight="1">
      <c r="A8663" s="1">
        <v>9145.0</v>
      </c>
      <c r="B8663" s="3" t="s">
        <v>8318</v>
      </c>
      <c r="C8663" s="3" t="str">
        <f>IFERROR(__xludf.DUMMYFUNCTION("GOOGLETRANSLATE(B8663,""id"",""en"")"),"['GMNA', 'Telkomsel', 'Threat', 'Benerin', 'Pay', 'Expensive', 'Signal', 'Gada', 'Blas', 'ilang', 'Safe']")</f>
        <v>['GMNA', 'Telkomsel', 'Threat', 'Benerin', 'Pay', 'Expensive', 'Signal', 'Gada', 'Blas', 'ilang', 'Safe']</v>
      </c>
      <c r="D8663" s="3">
        <v>1.0</v>
      </c>
    </row>
    <row r="8664" ht="15.75" customHeight="1">
      <c r="A8664" s="1">
        <v>9146.0</v>
      </c>
      <c r="B8664" s="3" t="s">
        <v>8319</v>
      </c>
      <c r="C8664" s="3" t="str">
        <f>IFERROR(__xludf.DUMMYFUNCTION("GOOGLETRANSLATE(B8664,""id"",""en"")"),"['comfort', 'relationship', 'communication', 'care', 'forest', 'connected', 'network', 'Telkomsel', 'thank', 'love', ""]")</f>
        <v>['comfort', 'relationship', 'communication', 'care', 'forest', 'connected', 'network', 'Telkomsel', 'thank', 'love', "]</v>
      </c>
      <c r="D8664" s="3">
        <v>5.0</v>
      </c>
    </row>
    <row r="8665" ht="15.75" customHeight="1">
      <c r="A8665" s="1">
        <v>9147.0</v>
      </c>
      <c r="B8665" s="3" t="s">
        <v>8320</v>
      </c>
      <c r="C8665" s="3" t="str">
        <f>IFERROR(__xludf.DUMMYFUNCTION("GOOGLETRANSLATE(B8665,""id"",""en"")"),"['Steady', 'quota', 'cheap', 'people', 'like']")</f>
        <v>['Steady', 'quota', 'cheap', 'people', 'like']</v>
      </c>
      <c r="D8665" s="3">
        <v>2.0</v>
      </c>
    </row>
    <row r="8666" ht="15.75" customHeight="1">
      <c r="A8666" s="1">
        <v>9148.0</v>
      </c>
      <c r="B8666" s="3" t="s">
        <v>8321</v>
      </c>
      <c r="C8666" s="3" t="str">
        <f>IFERROR(__xludf.DUMMYFUNCTION("GOOGLETRANSLATE(B8666,""id"",""en"")"),"['MauaaahaaaaAllll', 'really', 'package', 'number', 'number', 'husband', 'cheap', 'package', 'Telkomsel', 'Select', 'Nihh', 'Leleeeett', ' Bangeettt ',' turn ',' promo ',' buy ',' package ', ""]")</f>
        <v>['MauaaahaaaaAllll', 'really', 'package', 'number', 'number', 'husband', 'cheap', 'package', 'Telkomsel', 'Select', 'Nihh', 'Leleeeett', ' Bangeettt ',' turn ',' promo ',' buy ',' package ', "]</v>
      </c>
      <c r="D8666" s="3">
        <v>1.0</v>
      </c>
    </row>
    <row r="8667" ht="15.75" customHeight="1">
      <c r="A8667" s="1">
        <v>9149.0</v>
      </c>
      <c r="B8667" s="3" t="s">
        <v>8322</v>
      </c>
      <c r="C8667" s="3" t="str">
        <f>IFERROR(__xludf.DUMMYFUNCTION("GOOGLETRANSLATE(B8667,""id"",""en"")"),"['package', 'internet', 'expensive', 'Bangat', 'popular', 'circles',' signal ',' rotten ',' loss', 'buy', 'package', 'internet', ' Expensive ',' ']")</f>
        <v>['package', 'internet', 'expensive', 'Bangat', 'popular', 'circles',' signal ',' rotten ',' loss', 'buy', 'package', 'internet', ' Expensive ',' ']</v>
      </c>
      <c r="D8667" s="3">
        <v>1.0</v>
      </c>
    </row>
    <row r="8668" ht="15.75" customHeight="1">
      <c r="A8668" s="1">
        <v>9150.0</v>
      </c>
      <c r="B8668" s="3" t="s">
        <v>8323</v>
      </c>
      <c r="C8668" s="3" t="str">
        <f>IFERROR(__xludf.DUMMYFUNCTION("GOOGLETRANSLATE(B8668,""id"",""en"")"),"['Increases',' aspects', 'network', 'loost', 'conection', 'in the area', 'Most', 'use', 'network', 'Telkomsel', 'sometimes',' complain ',' It's weak ',' network ',' ']")</f>
        <v>['Increases',' aspects', 'network', 'loost', 'conection', 'in the area', 'Most', 'use', 'network', 'Telkomsel', 'sometimes',' complain ',' It's weak ',' network ',' ']</v>
      </c>
      <c r="D8668" s="3">
        <v>4.0</v>
      </c>
    </row>
    <row r="8669" ht="15.75" customHeight="1">
      <c r="A8669" s="1">
        <v>9151.0</v>
      </c>
      <c r="B8669" s="3" t="s">
        <v>8324</v>
      </c>
      <c r="C8669" s="3" t="str">
        <f>IFERROR(__xludf.DUMMYFUNCTION("GOOGLETRANSLATE(B8669,""id"",""en"")"),"['method', 'payment', 'app', 'Telkomsel', 'pulse', 'method', 'application', 'Telkomsel', 'friend']")</f>
        <v>['method', 'payment', 'app', 'Telkomsel', 'pulse', 'method', 'application', 'Telkomsel', 'friend']</v>
      </c>
      <c r="D8669" s="3">
        <v>4.0</v>
      </c>
    </row>
    <row r="8670" ht="15.75" customHeight="1">
      <c r="A8670" s="1">
        <v>9152.0</v>
      </c>
      <c r="B8670" s="3" t="s">
        <v>8325</v>
      </c>
      <c r="C8670" s="3" t="str">
        <f>IFERROR(__xludf.DUMMYFUNCTION("GOOGLETRANSLATE(B8670,""id"",""en"")"),"['Good', 'cmn', 'gmn', 'klw', 'exchange', 'point', 'lottery', 'prnh', 'can', 'news', 'thanks']")</f>
        <v>['Good', 'cmn', 'gmn', 'klw', 'exchange', 'point', 'lottery', 'prnh', 'can', 'news', 'thanks']</v>
      </c>
      <c r="D8670" s="3">
        <v>4.0</v>
      </c>
    </row>
    <row r="8671" ht="15.75" customHeight="1">
      <c r="A8671" s="1">
        <v>9153.0</v>
      </c>
      <c r="B8671" s="3" t="s">
        <v>8326</v>
      </c>
      <c r="C8671" s="3" t="str">
        <f>IFERROR(__xludf.DUMMYFUNCTION("GOOGLETRANSLATE(B8671,""id"",""en"")"),"['Sometimes', 'promotion', 'hoax', 'accessed', 'internet', 'slow']")</f>
        <v>['Sometimes', 'promotion', 'hoax', 'accessed', 'internet', 'slow']</v>
      </c>
      <c r="D8671" s="3">
        <v>1.0</v>
      </c>
    </row>
    <row r="8672" ht="15.75" customHeight="1">
      <c r="A8672" s="1">
        <v>9154.0</v>
      </c>
      <c r="B8672" s="3" t="s">
        <v>8327</v>
      </c>
      <c r="C8672" s="3" t="str">
        <f>IFERROR(__xludf.DUMMYFUNCTION("GOOGLETRANSLATE(B8672,""id"",""en"")"),"['It's easy', 'suggest', 'application', 'open', 'connected', 'internet']")</f>
        <v>['It's easy', 'suggest', 'application', 'open', 'connected', 'internet']</v>
      </c>
      <c r="D8672" s="3">
        <v>5.0</v>
      </c>
    </row>
    <row r="8673" ht="15.75" customHeight="1">
      <c r="A8673" s="1">
        <v>9155.0</v>
      </c>
      <c r="B8673" s="3" t="s">
        <v>8328</v>
      </c>
      <c r="C8673" s="3" t="str">
        <f>IFERROR(__xludf.DUMMYFUNCTION("GOOGLETRANSLATE(B8673,""id"",""en"")"),"['week', 'enter', 'app', 'Telkomsel', 'can', 'load', 'page', 'sorry', 'error', 'system', 'follow', 'program', ' Check ',' Please ',' Help ']")</f>
        <v>['week', 'enter', 'app', 'Telkomsel', 'can', 'load', 'page', 'sorry', 'error', 'system', 'follow', 'program', ' Check ',' Please ',' Help ']</v>
      </c>
      <c r="D8673" s="3">
        <v>2.0</v>
      </c>
    </row>
    <row r="8674" ht="15.75" customHeight="1">
      <c r="A8674" s="1">
        <v>9156.0</v>
      </c>
      <c r="B8674" s="3" t="s">
        <v>8329</v>
      </c>
      <c r="C8674" s="3" t="str">
        <f>IFERROR(__xludf.DUMMYFUNCTION("GOOGLETRANSLATE(B8674,""id"",""en"")"),"['Love', 'Bintang', 'Karna', 'opened', 'Application', 'Application', 'Open', 'Something', 'Something', 'Went', 'Wrong', 'Geblek', ' Angel ',' Angel ',' Angel ',' signal ',' a year ',' signal ',' error ',' Angel ',' Angel ',' difficult ',' ']")</f>
        <v>['Love', 'Bintang', 'Karna', 'opened', 'Application', 'Application', 'Open', 'Something', 'Something', 'Went', 'Wrong', 'Geblek', ' Angel ',' Angel ',' Angel ',' signal ',' a year ',' signal ',' error ',' Angel ',' Angel ',' difficult ',' ']</v>
      </c>
      <c r="D8674" s="3">
        <v>1.0</v>
      </c>
    </row>
    <row r="8675" ht="15.75" customHeight="1">
      <c r="A8675" s="1">
        <v>9157.0</v>
      </c>
      <c r="B8675" s="3" t="s">
        <v>8330</v>
      </c>
      <c r="C8675" s="3" t="str">
        <f>IFERROR(__xludf.DUMMYFUNCTION("GOOGLETRANSLATE(B8675,""id"",""en"")"),"['Update', 'then', 'TPI', 'Function', 'France', 'Prepertua', 'Severe', 'Disruption', 'then', '']")</f>
        <v>['Update', 'then', 'TPI', 'Function', 'France', 'Prepertua', 'Severe', 'Disruption', 'then', '']</v>
      </c>
      <c r="D8675" s="3">
        <v>1.0</v>
      </c>
    </row>
    <row r="8676" ht="15.75" customHeight="1">
      <c r="A8676" s="1">
        <v>9158.0</v>
      </c>
      <c r="B8676" s="3" t="s">
        <v>8331</v>
      </c>
      <c r="C8676" s="3" t="str">
        <f>IFERROR(__xludf.DUMMYFUNCTION("GOOGLETRANSLATE(B8676,""id"",""en"")"),"['contents', 'pulse', 'balance', 'direct', 'nuruin', 'package', 'internet', 'pulse', 'direct', 'luded']")</f>
        <v>['contents', 'pulse', 'balance', 'direct', 'nuruin', 'package', 'internet', 'pulse', 'direct', 'luded']</v>
      </c>
      <c r="D8676" s="3">
        <v>1.0</v>
      </c>
    </row>
    <row r="8677" ht="15.75" customHeight="1">
      <c r="A8677" s="1">
        <v>9159.0</v>
      </c>
      <c r="B8677" s="3" t="s">
        <v>8332</v>
      </c>
      <c r="C8677" s="3" t="str">
        <f>IFERROR(__xludf.DUMMYFUNCTION("GOOGLETRANSLATE(B8677,""id"",""en"")"),"['slow', 'bar', 'full', 'enter', 'loby', 'game', 'yellow', 'right', 'dalem', 'game', 'road', 'severe']")</f>
        <v>['slow', 'bar', 'full', 'enter', 'loby', 'game', 'yellow', 'right', 'dalem', 'game', 'road', 'severe']</v>
      </c>
      <c r="D8677" s="3">
        <v>3.0</v>
      </c>
    </row>
    <row r="8678" ht="15.75" customHeight="1">
      <c r="A8678" s="1">
        <v>9160.0</v>
      </c>
      <c r="B8678" s="3" t="s">
        <v>8333</v>
      </c>
      <c r="C8678" s="3" t="str">
        <f>IFERROR(__xludf.DUMMYFUNCTION("GOOGLETRANSLATE(B8678,""id"",""en"")"),"['SIH', 'BONUS', 'TLPN', 'PAS', 'CALL', 'Credit', 'Kepotkng', 'Please', 'Noted', ""]")</f>
        <v>['SIH', 'BONUS', 'TLPN', 'PAS', 'CALL', 'Credit', 'Kepotkng', 'Please', 'Noted', "]</v>
      </c>
      <c r="D8678" s="3">
        <v>1.0</v>
      </c>
    </row>
    <row r="8679" ht="15.75" customHeight="1">
      <c r="A8679" s="1">
        <v>9161.0</v>
      </c>
      <c r="B8679" s="3" t="s">
        <v>8334</v>
      </c>
      <c r="C8679" s="3" t="str">
        <f>IFERROR(__xludf.DUMMYFUNCTION("GOOGLETRANSLATE(B8679,""id"",""en"")"),"['Help', 'network', 'Telkomsel', 'Reliable', 'reach', 'remote', 'country', 'spirit', ""]")</f>
        <v>['Help', 'network', 'Telkomsel', 'Reliable', 'reach', 'remote', 'country', 'spirit', "]</v>
      </c>
      <c r="D8679" s="3">
        <v>4.0</v>
      </c>
    </row>
    <row r="8680" ht="15.75" customHeight="1">
      <c r="A8680" s="1">
        <v>9162.0</v>
      </c>
      <c r="B8680" s="3" t="s">
        <v>8335</v>
      </c>
      <c r="C8680" s="3" t="str">
        <f>IFERROR(__xludf.DUMMYFUNCTION("GOOGLETRANSLATE(B8680,""id"",""en"")"),"['Ter', 'inspiration', 'application', 'many years',' customers', 'Telkomsel', 'forward', 'Telkomsel', 'following', 'development', 'technology', 'the world', ' ']")</f>
        <v>['Ter', 'inspiration', 'application', 'many years',' customers', 'Telkomsel', 'forward', 'Telkomsel', 'following', 'development', 'technology', 'the world', ' ']</v>
      </c>
      <c r="D8680" s="3">
        <v>5.0</v>
      </c>
    </row>
    <row r="8681" ht="15.75" customHeight="1">
      <c r="A8681" s="1">
        <v>9163.0</v>
      </c>
      <c r="B8681" s="3" t="s">
        <v>8336</v>
      </c>
      <c r="C8681" s="3" t="str">
        <f>IFERROR(__xludf.DUMMYFUNCTION("GOOGLETRANSLATE(B8681,""id"",""en"")"),"['Mampus',' stay ',' blur ',' customers', 'moved', 'Indosat', 'emang', 'yes',' Telkomsel ',' corruption ',' credit ',' ilang ',' Stop ',' use ',' Telkomsel ',' ']")</f>
        <v>['Mampus',' stay ',' blur ',' customers', 'moved', 'Indosat', 'emang', 'yes',' Telkomsel ',' corruption ',' credit ',' ilang ',' Stop ',' use ',' Telkomsel ',' ']</v>
      </c>
      <c r="D8681" s="3">
        <v>1.0</v>
      </c>
    </row>
    <row r="8682" ht="15.75" customHeight="1">
      <c r="A8682" s="1">
        <v>9164.0</v>
      </c>
      <c r="B8682" s="3" t="s">
        <v>8337</v>
      </c>
      <c r="C8682" s="3" t="str">
        <f>IFERROR(__xludf.DUMMYFUNCTION("GOOGLETRANSLATE(B8682,""id"",""en"")"),"['Network', 'stable', 'play', 'game', 'already', 'subscribe', 'Telkomsel', 'disappointed']")</f>
        <v>['Network', 'stable', 'play', 'game', 'already', 'subscribe', 'Telkomsel', 'disappointed']</v>
      </c>
      <c r="D8682" s="3">
        <v>1.0</v>
      </c>
    </row>
    <row r="8683" ht="15.75" customHeight="1">
      <c r="A8683" s="1">
        <v>9165.0</v>
      </c>
      <c r="B8683" s="3" t="s">
        <v>8338</v>
      </c>
      <c r="C8683" s="3" t="str">
        <f>IFERROR(__xludf.DUMMYFUNCTION("GOOGLETRANSLATE(B8683,""id"",""en"")"),"['Klok', 'Kukasi', 'Bintang', 'Pekek', 'Telkomse', 'Mudh', 'Han', 'Disappointed', 'Gyk', 'Network', 'Trash', 'Pket', ' Internet ',' expensive ',' replace ',' card ',' ']")</f>
        <v>['Klok', 'Kukasi', 'Bintang', 'Pekek', 'Telkomse', 'Mudh', 'Han', 'Disappointed', 'Gyk', 'Network', 'Trash', 'Pket', ' Internet ',' expensive ',' replace ',' card ',' ']</v>
      </c>
      <c r="D8683" s="3">
        <v>1.0</v>
      </c>
    </row>
    <row r="8684" ht="15.75" customHeight="1">
      <c r="A8684" s="1">
        <v>9166.0</v>
      </c>
      <c r="B8684" s="3" t="s">
        <v>8339</v>
      </c>
      <c r="C8684" s="3" t="str">
        <f>IFERROR(__xludf.DUMMYFUNCTION("GOOGLETRANSLATE(B8684,""id"",""en"")"),"['Welcome', 'failed', 'Legend', 'Gara', 'Gara', 'signal', 'broken', 'broken', 'woooooohhhhhhhh', 'Ganbatte', ""]")</f>
        <v>['Welcome', 'failed', 'Legend', 'Gara', 'Gara', 'signal', 'broken', 'broken', 'woooooohhhhhhhh', 'Ganbatte', "]</v>
      </c>
      <c r="D8684" s="3">
        <v>1.0</v>
      </c>
    </row>
    <row r="8685" ht="15.75" customHeight="1">
      <c r="A8685" s="1">
        <v>9167.0</v>
      </c>
      <c r="B8685" s="3" t="s">
        <v>8340</v>
      </c>
      <c r="C8685" s="3" t="str">
        <f>IFERROR(__xludf.DUMMYFUNCTION("GOOGLETRANSLATE(B8685,""id"",""en"")"),"['buy', 'quota', 'ngak', 'use', 'buy', 'expensive', 'expensive', 'ngak', 'telkomsel', 'good', 'disappointed']")</f>
        <v>['buy', 'quota', 'ngak', 'use', 'buy', 'expensive', 'expensive', 'ngak', 'telkomsel', 'good', 'disappointed']</v>
      </c>
      <c r="D8685" s="3">
        <v>1.0</v>
      </c>
    </row>
    <row r="8686" ht="15.75" customHeight="1">
      <c r="A8686" s="1">
        <v>9168.0</v>
      </c>
      <c r="B8686" s="3" t="s">
        <v>8341</v>
      </c>
      <c r="C8686" s="3" t="str">
        <f>IFERROR(__xludf.DUMMYFUNCTION("GOOGLETRANSLATE(B8686,""id"",""en"")"),"['subscription', 'internet', 'Telkomsel', 'see', 'provider', 'laen', 'price', 'lbh', 'cheap', 'quality', 'subscription', 'internet', ' Telkomsel ',' MuaaahhaAll ',' bye ',' ']")</f>
        <v>['subscription', 'internet', 'Telkomsel', 'see', 'provider', 'laen', 'price', 'lbh', 'cheap', 'quality', 'subscription', 'internet', ' Telkomsel ',' MuaaahhaAll ',' bye ',' ']</v>
      </c>
      <c r="D8686" s="3">
        <v>1.0</v>
      </c>
    </row>
    <row r="8687" ht="15.75" customHeight="1">
      <c r="A8687" s="1">
        <v>9169.0</v>
      </c>
      <c r="B8687" s="3" t="s">
        <v>8342</v>
      </c>
      <c r="C8687" s="3" t="str">
        <f>IFERROR(__xludf.DUMMYFUNCTION("GOOGLETRANSLATE(B8687,""id"",""en"")"),"['Download', 'Telkomsel', 'Read', 'Complain', 'Customer', 'Forced', 'Uninstall', 'Klu', 'ATW', 'org', 'kmplain', 'Naturally', ' Complaints', 'Telkomsel', 'chaotic', 'deh', 'Telkomsel', '']")</f>
        <v>['Download', 'Telkomsel', 'Read', 'Complain', 'Customer', 'Forced', 'Uninstall', 'Klu', 'ATW', 'org', 'kmplain', 'Naturally', ' Complaints', 'Telkomsel', 'chaotic', 'deh', 'Telkomsel', '']</v>
      </c>
      <c r="D8687" s="3">
        <v>2.0</v>
      </c>
    </row>
    <row r="8688" ht="15.75" customHeight="1">
      <c r="A8688" s="1">
        <v>9170.0</v>
      </c>
      <c r="B8688" s="3" t="s">
        <v>8343</v>
      </c>
      <c r="C8688" s="3" t="str">
        <f>IFERROR(__xludf.DUMMYFUNCTION("GOOGLETRANSLATE(B8688,""id"",""en"")"),"['friend', 'friend', 'buy', 'Telkom', 'buy', 'bought', 'telkom', 'crazy', 'network', 'disappointed', 'Telkom', ' children ',' children ',' learn ',' network ',' Please ',' friend ',' friend ',' buy ',' telkom ',' bending ',' bought ']")</f>
        <v>['friend', 'friend', 'buy', 'Telkom', 'buy', 'bought', 'telkom', 'crazy', 'network', 'disappointed', 'Telkom', ' children ',' children ',' learn ',' network ',' Please ',' friend ',' friend ',' buy ',' telkom ',' bending ',' bought ']</v>
      </c>
      <c r="D8688" s="3">
        <v>1.0</v>
      </c>
    </row>
    <row r="8689" ht="15.75" customHeight="1">
      <c r="A8689" s="1">
        <v>9171.0</v>
      </c>
      <c r="B8689" s="3" t="s">
        <v>8344</v>
      </c>
      <c r="C8689" s="3" t="str">
        <f>IFERROR(__xludf.DUMMYFUNCTION("GOOGLETRANSLATE(B8689,""id"",""en"")"),"['Woy', 'Min', 'Benerin', 'Signal', 'Card', 'Doang', 'Expensive', 'Benerin', 'Signal', 'Waiting', 'User', 'Emotion', ' Ngeta ',' difficult ',' Nge ',' game ',' browsing ',' difficult ',' ']")</f>
        <v>['Woy', 'Min', 'Benerin', 'Signal', 'Card', 'Doang', 'Expensive', 'Benerin', 'Signal', 'Waiting', 'User', 'Emotion', ' Ngeta ',' difficult ',' Nge ',' game ',' browsing ',' difficult ',' ']</v>
      </c>
      <c r="D8689" s="3">
        <v>1.0</v>
      </c>
    </row>
    <row r="8690" ht="15.75" customHeight="1">
      <c r="A8690" s="1">
        <v>9172.0</v>
      </c>
      <c r="B8690" s="3" t="s">
        <v>8345</v>
      </c>
      <c r="C8690" s="3" t="str">
        <f>IFERROR(__xludf.DUMMYFUNCTION("GOOGLETRANSLATE(B8690,""id"",""en"")"),"['ask', 'buy', 'quota', 'unlimited', 'max', 'GB', 'GB', 'quota', 'main', 'GB', 'quota', 'Loka', ' GB ',' quota ',' maxtreem ',' right ',' usage ',' quota ',' main ',' smooth ',' internet ',' usage ',' internet ',' loka ',' kaka ' , 'Nggk', 'package', 'ngg"&amp;"k', 'road', 'sometimes',' sometimes', 'jaln', 'kli', 'signal', 'beg', 'enlightenment', 'thank', ' love']")</f>
        <v>['ask', 'buy', 'quota', 'unlimited', 'max', 'GB', 'GB', 'quota', 'main', 'GB', 'quota', 'Loka', ' GB ',' quota ',' maxtreem ',' right ',' usage ',' quota ',' main ',' smooth ',' internet ',' usage ',' internet ',' loka ',' kaka ' , 'Nggk', 'package', 'nggk', 'road', 'sometimes',' sometimes', 'jaln', 'kli', 'signal', 'beg', 'enlightenment', 'thank', ' love']</v>
      </c>
      <c r="D8690" s="3">
        <v>5.0</v>
      </c>
    </row>
    <row r="8691" ht="15.75" customHeight="1">
      <c r="A8691" s="1">
        <v>9173.0</v>
      </c>
      <c r="B8691" s="3" t="s">
        <v>8346</v>
      </c>
      <c r="C8691" s="3" t="str">
        <f>IFERROR(__xludf.DUMMYFUNCTION("GOOGLETRANSLATE(B8691,""id"",""en"")"),"['Nealin', 'credit', 'ilang', 'Sumpot', 'Mulu', 'no', 'subscribe', 'package', 'NSP', 'the like', 'check', 'transaction', ' No ',' Internet ',' On ',' Telkomsel ',' here ',' ']")</f>
        <v>['Nealin', 'credit', 'ilang', 'Sumpot', 'Mulu', 'no', 'subscribe', 'package', 'NSP', 'the like', 'check', 'transaction', ' No ',' Internet ',' On ',' Telkomsel ',' here ',' ']</v>
      </c>
      <c r="D8691" s="3">
        <v>1.0</v>
      </c>
    </row>
    <row r="8692" ht="15.75" customHeight="1">
      <c r="A8692" s="1">
        <v>9174.0</v>
      </c>
      <c r="B8692" s="3" t="s">
        <v>8347</v>
      </c>
      <c r="C8692" s="3" t="str">
        <f>IFERROR(__xludf.DUMMYFUNCTION("GOOGLETRANSLATE(B8692,""id"",""en"")"),"['TOP', 'link', 'buy', 'pulse', 'app', 'telkom', 'cost', 'additional', 'already', 'payment', 'smooth', 'balance', ' Linkaja ',' Reduced ',' Tapiii ',' Pulses', 'Enter', 'Get', 'SMS', 'MyTelkomsel', 'Payment', 'Successful', 'Current', 'balance', 'Linkaja' "&amp;", 'Cut "",' how ',' drained ',' balance ',' gave ',' pulses', 'that's',' ']")</f>
        <v>['TOP', 'link', 'buy', 'pulse', 'app', 'telkom', 'cost', 'additional', 'already', 'payment', 'smooth', 'balance', ' Linkaja ',' Reduced ',' Tapiii ',' Pulses', 'Enter', 'Get', 'SMS', 'MyTelkomsel', 'Payment', 'Successful', 'Current', 'balance', 'Linkaja' , 'Cut ",' how ',' drained ',' balance ',' gave ',' pulses', 'that's',' ']</v>
      </c>
      <c r="D8692" s="3">
        <v>1.0</v>
      </c>
    </row>
    <row r="8693" ht="15.75" customHeight="1">
      <c r="A8693" s="1">
        <v>9175.0</v>
      </c>
      <c r="B8693" s="3" t="s">
        <v>8348</v>
      </c>
      <c r="C8693" s="3" t="str">
        <f>IFERROR(__xludf.DUMMYFUNCTION("GOOGLETRANSLATE(B8693,""id"",""en"")"),"['signal', 'signal', 'you', 'praise', 'praise', 'default', 'pingen', 'ngebanting', 'Telkomsel', 'open']")</f>
        <v>['signal', 'signal', 'you', 'praise', 'praise', 'default', 'pingen', 'ngebanting', 'Telkomsel', 'open']</v>
      </c>
      <c r="D8693" s="3">
        <v>1.0</v>
      </c>
    </row>
    <row r="8694" ht="15.75" customHeight="1">
      <c r="A8694" s="1">
        <v>9176.0</v>
      </c>
      <c r="B8694" s="3" t="s">
        <v>8349</v>
      </c>
      <c r="C8694" s="3" t="str">
        <f>IFERROR(__xludf.DUMMYFUNCTION("GOOGLETRANSLATE(B8694,""id"",""en"")"),"['Great', 'Telkomsel', 'Buy', 'Package', 'Credit', 'Sumpot', 'Package', 'Get', 'Increase', 'Straws',' Credit ',' Telkomsel ',' Kapok ']")</f>
        <v>['Great', 'Telkomsel', 'Buy', 'Package', 'Credit', 'Sumpot', 'Package', 'Get', 'Increase', 'Straws',' Credit ',' Telkomsel ',' Kapok ']</v>
      </c>
      <c r="D8694" s="3">
        <v>5.0</v>
      </c>
    </row>
    <row r="8695" ht="15.75" customHeight="1">
      <c r="A8695" s="1">
        <v>9177.0</v>
      </c>
      <c r="B8695" s="3" t="s">
        <v>8350</v>
      </c>
      <c r="C8695" s="3" t="str">
        <f>IFERROR(__xludf.DUMMYFUNCTION("GOOGLETRANSLATE(B8695,""id"",""en"")"),"['please', 'Telkomsel', 'buy', 'package', 'pulse', 'right', 'payment', 'sms',' sisap ',' puksabyabg ',' have ',' sufficient ',' Please ',' Fill ',' reset ',' Credit ',' Loss', 'Features',' Key ',' Credit ',' Automatic ',' Credit ',' Sumpot ',' Thank you '"&amp;",' Telkomsel ' ]")</f>
        <v>['please', 'Telkomsel', 'buy', 'package', 'pulse', 'right', 'payment', 'sms',' sisap ',' puksabyabg ',' have ',' sufficient ',' Please ',' Fill ',' reset ',' Credit ',' Loss', 'Features',' Key ',' Credit ',' Automatic ',' Credit ',' Sumpot ',' Thank you ',' Telkomsel ' ]</v>
      </c>
      <c r="D8695" s="3">
        <v>2.0</v>
      </c>
    </row>
    <row r="8696" ht="15.75" customHeight="1">
      <c r="A8696" s="1">
        <v>9178.0</v>
      </c>
      <c r="B8696" s="3" t="s">
        <v>8351</v>
      </c>
      <c r="C8696" s="3" t="str">
        <f>IFERROR(__xludf.DUMMYFUNCTION("GOOGLETRANSLATE(B8696,""id"",""en"")"),"['signal', 'move', 'provider', 'Next', 'UDH', 'Pay', 'expensive', 'signal', 'cheap']")</f>
        <v>['signal', 'move', 'provider', 'Next', 'UDH', 'Pay', 'expensive', 'signal', 'cheap']</v>
      </c>
      <c r="D8696" s="3">
        <v>1.0</v>
      </c>
    </row>
    <row r="8697" ht="15.75" customHeight="1">
      <c r="A8697" s="1">
        <v>9179.0</v>
      </c>
      <c r="B8697" s="3" t="s">
        <v>8352</v>
      </c>
      <c r="C8697" s="3" t="str">
        <f>IFERROR(__xludf.DUMMYFUNCTION("GOOGLETRANSLATE(B8697,""id"",""en"")"),"['signal', 'strong', 'package', 'cheap', 'card', 'card', 'Telkomsel', 'Sakti', 'If', 'Sakti', 'star']")</f>
        <v>['signal', 'strong', 'package', 'cheap', 'card', 'card', 'Telkomsel', 'Sakti', 'If', 'Sakti', 'star']</v>
      </c>
      <c r="D8697" s="3">
        <v>4.0</v>
      </c>
    </row>
    <row r="8698" ht="15.75" customHeight="1">
      <c r="A8698" s="1">
        <v>9180.0</v>
      </c>
      <c r="B8698" s="3" t="s">
        <v>8353</v>
      </c>
      <c r="C8698" s="3" t="str">
        <f>IFERROR(__xludf.DUMMYFUNCTION("GOOGLETRANSLATE(B8698,""id"",""en"")"),"['code', 'Deal', 'quota', 'cheap', 'used', 'already', 'use', 'love', 'star', ""]")</f>
        <v>['code', 'Deal', 'quota', 'cheap', 'used', 'already', 'use', 'love', 'star', "]</v>
      </c>
      <c r="D8698" s="3">
        <v>3.0</v>
      </c>
    </row>
    <row r="8699" ht="15.75" customHeight="1">
      <c r="A8699" s="1">
        <v>9181.0</v>
      </c>
      <c r="B8699" s="3" t="s">
        <v>8354</v>
      </c>
      <c r="C8699" s="3" t="str">
        <f>IFERROR(__xludf.DUMMYFUNCTION("GOOGLETRANSLATE(B8699,""id"",""en"")"),"['ugly', 'network', 'lost', 'network', 'ugly', 'play', 'game', 'network', 'connection', 'disconnected', 'package', 'expensive', ' Quality ',' Increase ',' ']")</f>
        <v>['ugly', 'network', 'lost', 'network', 'ugly', 'play', 'game', 'network', 'connection', 'disconnected', 'package', 'expensive', ' Quality ',' Increase ',' ']</v>
      </c>
      <c r="D8699" s="3">
        <v>1.0</v>
      </c>
    </row>
    <row r="8700" ht="15.75" customHeight="1">
      <c r="A8700" s="1">
        <v>9182.0</v>
      </c>
      <c r="B8700" s="3" t="s">
        <v>8355</v>
      </c>
      <c r="C8700" s="3" t="str">
        <f>IFERROR(__xludf.DUMMYFUNCTION("GOOGLETRANSLATE(B8700,""id"",""en"")"),"['Send', 'SMS', 'Ngegulating', 'People', 'Play', 'Games', 'Get', 'SMS', 'Play', 'Send']")</f>
        <v>['Send', 'SMS', 'Ngegulating', 'People', 'Play', 'Games', 'Get', 'SMS', 'Play', 'Send']</v>
      </c>
      <c r="D8700" s="3">
        <v>1.0</v>
      </c>
    </row>
    <row r="8701" ht="15.75" customHeight="1">
      <c r="A8701" s="1">
        <v>9183.0</v>
      </c>
      <c r="B8701" s="3" t="s">
        <v>8356</v>
      </c>
      <c r="C8701" s="3" t="str">
        <f>IFERROR(__xludf.DUMMYFUNCTION("GOOGLETRANSLATE(B8701,""id"",""en"")"),"['down', 'star', 'sich', 'run out', 'update', 'application', 'stable', 'network', 'error', 'watch', 'connection', 'smooth', ' ']")</f>
        <v>['down', 'star', 'sich', 'run out', 'update', 'application', 'stable', 'network', 'error', 'watch', 'connection', 'smooth', ' ']</v>
      </c>
      <c r="D8701" s="3">
        <v>2.0</v>
      </c>
    </row>
    <row r="8702" ht="15.75" customHeight="1">
      <c r="A8702" s="1">
        <v>9184.0</v>
      </c>
      <c r="B8702" s="3" t="s">
        <v>8357</v>
      </c>
      <c r="C8702" s="3" t="str">
        <f>IFERROR(__xludf.DUMMYFUNCTION("GOOGLETRANSLATE(B8702,""id"",""en"")"),"['', 'Sinyal', 'Disorders',' Nga ',' Tomorrow ',' Continues', 'Nga', 'Sell', 'Online', 'Bener', 'Disturbed', 'Nga', 'work ',' Disorders', 'for days',' bother ',' people ']")</f>
        <v>['', 'Sinyal', 'Disorders',' Nga ',' Tomorrow ',' Continues', 'Nga', 'Sell', 'Online', 'Bener', 'Disturbed', 'Nga', 'work ',' Disorders', 'for days',' bother ',' people ']</v>
      </c>
      <c r="D8702" s="3">
        <v>5.0</v>
      </c>
    </row>
    <row r="8703" ht="15.75" customHeight="1">
      <c r="A8703" s="1">
        <v>9185.0</v>
      </c>
      <c r="B8703" s="3" t="s">
        <v>8358</v>
      </c>
      <c r="C8703" s="3" t="str">
        <f>IFERROR(__xludf.DUMMYFUNCTION("GOOGLETRANSLATE(B8703,""id"",""en"")"),"['NGGX', 'buy', 'package', 'printed', 'disorder', 'system', 'beg', 'The info']")</f>
        <v>['NGGX', 'buy', 'package', 'printed', 'disorder', 'system', 'beg', 'The info']</v>
      </c>
      <c r="D8703" s="3">
        <v>5.0</v>
      </c>
    </row>
    <row r="8704" ht="15.75" customHeight="1">
      <c r="A8704" s="1">
        <v>9186.0</v>
      </c>
      <c r="B8704" s="3" t="s">
        <v>8359</v>
      </c>
      <c r="C8704" s="3" t="str">
        <f>IFERROR(__xludf.DUMMYFUNCTION("GOOGLETRANSLATE(B8704,""id"",""en"")"),"['signal', 'destroyed', 'call', 'disorder', 'internet', 'expensive', 'severe', 'network', 'Thun', 'sya', 'user', 'Telkomsel', ' disappointed ',' week ',' tracet ',' because ',' network ',' sabari ',' week ',' like ',' gini ',' sorry ',' moved ',' provider"&amp;" ',' next door ' , 'destroyed', 'all', 'business', ""]")</f>
        <v>['signal', 'destroyed', 'call', 'disorder', 'internet', 'expensive', 'severe', 'network', 'Thun', 'sya', 'user', 'Telkomsel', ' disappointed ',' week ',' tracet ',' because ',' network ',' sabari ',' week ',' like ',' gini ',' sorry ',' moved ',' provider ',' next door ' , 'destroyed', 'all', 'business', "]</v>
      </c>
      <c r="D8704" s="3">
        <v>1.0</v>
      </c>
    </row>
    <row r="8705" ht="15.75" customHeight="1">
      <c r="A8705" s="1">
        <v>9187.0</v>
      </c>
      <c r="B8705" s="3" t="s">
        <v>8360</v>
      </c>
      <c r="C8705" s="3" t="str">
        <f>IFERROR(__xludf.DUMMYFUNCTION("GOOGLETRANSLATE(B8705,""id"",""en"")"),"['The network', 'disappointing', 'price', 'package', 'buy', 'type', 'package', 'month']")</f>
        <v>['The network', 'disappointing', 'price', 'package', 'buy', 'type', 'package', 'month']</v>
      </c>
      <c r="D8705" s="3">
        <v>1.0</v>
      </c>
    </row>
    <row r="8706" ht="15.75" customHeight="1">
      <c r="A8706" s="1">
        <v>9188.0</v>
      </c>
      <c r="B8706" s="3" t="s">
        <v>8361</v>
      </c>
      <c r="C8706" s="3" t="str">
        <f>IFERROR(__xludf.DUMMYFUNCTION("GOOGLETRANSLATE(B8706,""id"",""en"")"),"['Network', 'Stable', 'Main', 'Game', 'Free', 'Fire', 'Max', 'Network', 'Network', 'Lost', 'Signal', 'Please', ' Fix ',' Tissue ',' Telkomsel ',' told ',' Fix ',' comment ',' ']")</f>
        <v>['Network', 'Stable', 'Main', 'Game', 'Free', 'Fire', 'Max', 'Network', 'Network', 'Lost', 'Signal', 'Please', ' Fix ',' Tissue ',' Telkomsel ',' told ',' Fix ',' comment ',' ']</v>
      </c>
      <c r="D8706" s="3">
        <v>1.0</v>
      </c>
    </row>
    <row r="8707" ht="15.75" customHeight="1">
      <c r="A8707" s="1">
        <v>9189.0</v>
      </c>
      <c r="B8707" s="3" t="s">
        <v>8362</v>
      </c>
      <c r="C8707" s="3" t="str">
        <f>IFERROR(__xludf.DUMMYFUNCTION("GOOGLETRANSLATE(B8707,""id"",""en"")"),"['How', 'Telkomsel', 'buy', 'package', 'internet', 'combo', 'expensive', 'expensive', 'network', 'bad', 'really', 'worth', ' home ',' no ',' village ',' really ',' area ',' city ',' network ',' signal ',' masya ',' God ',' bad ',' Kakira ',' Telkomsel ' ,"&amp;" 'The network', 'good', 'disappointed', 'Telkomsel', 'additional', 'here', 'signal', 'already', 'severe', 'area', 'home', 'signal', ' Telkomsel ',' Top ',' bad ',' really ',' signal ',' ugly ',' Satisfied ',' ']")</f>
        <v>['How', 'Telkomsel', 'buy', 'package', 'internet', 'combo', 'expensive', 'expensive', 'network', 'bad', 'really', 'worth', ' home ',' no ',' village ',' really ',' area ',' city ',' network ',' signal ',' masya ',' God ',' bad ',' Kakira ',' Telkomsel ' , 'The network', 'good', 'disappointed', 'Telkomsel', 'additional', 'here', 'signal', 'already', 'severe', 'area', 'home', 'signal', ' Telkomsel ',' Top ',' bad ',' really ',' signal ',' ugly ',' Satisfied ',' ']</v>
      </c>
      <c r="D8707" s="3">
        <v>3.0</v>
      </c>
    </row>
    <row r="8708" ht="15.75" customHeight="1">
      <c r="A8708" s="1">
        <v>9190.0</v>
      </c>
      <c r="B8708" s="3" t="s">
        <v>8363</v>
      </c>
      <c r="C8708" s="3" t="str">
        <f>IFERROR(__xludf.DUMMYFUNCTION("GOOGLETRANSLATE(B8708,""id"",""en"")"),"['good', 'application', 'cheap', 'buy', 'pulse', 'napa', 'see', 'see', 'good']")</f>
        <v>['good', 'application', 'cheap', 'buy', 'pulse', 'napa', 'see', 'see', 'good']</v>
      </c>
      <c r="D8708" s="3">
        <v>5.0</v>
      </c>
    </row>
    <row r="8709" ht="15.75" customHeight="1">
      <c r="A8709" s="1">
        <v>9191.0</v>
      </c>
      <c r="B8709" s="3" t="s">
        <v>8364</v>
      </c>
      <c r="C8709" s="3" t="str">
        <f>IFERROR(__xludf.DUMMYFUNCTION("GOOGLETRANSLATE(B8709,""id"",""en"")"),"['no', 'according to', 'need', 'expensive', 'package', 'already', 'jlk', 'network', 'how', 'buy', 'package', 'cheap', ' right ',' click ',' expensive ',' play ',' package ']")</f>
        <v>['no', 'according to', 'need', 'expensive', 'package', 'already', 'jlk', 'network', 'how', 'buy', 'package', 'cheap', ' right ',' click ',' expensive ',' play ',' package ']</v>
      </c>
      <c r="D8709" s="3">
        <v>1.0</v>
      </c>
    </row>
    <row r="8710" ht="15.75" customHeight="1">
      <c r="A8710" s="1">
        <v>9192.0</v>
      </c>
      <c r="B8710" s="3" t="s">
        <v>8365</v>
      </c>
      <c r="C8710" s="3" t="str">
        <f>IFERROR(__xludf.DUMMYFUNCTION("GOOGLETRANSLATE(B8710,""id"",""en"")"),"['great', 'signal', 'rare', 'nyanol', 'pulo', 'toad', 'city', 'tegal', '']")</f>
        <v>['great', 'signal', 'rare', 'nyanol', 'pulo', 'toad', 'city', 'tegal', '']</v>
      </c>
      <c r="D8710" s="3">
        <v>3.0</v>
      </c>
    </row>
    <row r="8711" ht="15.75" customHeight="1">
      <c r="A8711" s="1">
        <v>9193.0</v>
      </c>
      <c r="B8711" s="3" t="s">
        <v>8366</v>
      </c>
      <c r="C8711" s="3" t="str">
        <f>IFERROR(__xludf.DUMMYFUNCTION("GOOGLETRANSLATE(B8711,""id"",""en"")"),"['A ',' logo ',' replace ',' refresher ',' good ',' difficult ',' access', 'yaa', 'how', 'packagein', 'data', 'the application']")</f>
        <v>['A ',' logo ',' replace ',' refresher ',' good ',' difficult ',' access', 'yaa', 'how', 'packagein', 'data', 'the application']</v>
      </c>
      <c r="D8711" s="3">
        <v>2.0</v>
      </c>
    </row>
    <row r="8712" ht="15.75" customHeight="1">
      <c r="A8712" s="1">
        <v>9194.0</v>
      </c>
      <c r="B8712" s="3" t="s">
        <v>8367</v>
      </c>
      <c r="C8712" s="3" t="str">
        <f>IFERROR(__xludf.DUMMYFUNCTION("GOOGLETRANSLATE(B8712,""id"",""en"")"),"['The network', 'error', 'quota', 'expensive', 'suits', 'quality']")</f>
        <v>['The network', 'error', 'quota', 'expensive', 'suits', 'quality']</v>
      </c>
      <c r="D8712" s="3">
        <v>2.0</v>
      </c>
    </row>
    <row r="8713" ht="15.75" customHeight="1">
      <c r="A8713" s="1">
        <v>9195.0</v>
      </c>
      <c r="B8713" s="3" t="s">
        <v>8368</v>
      </c>
      <c r="C8713" s="3" t="str">
        <f>IFERROR(__xludf.DUMMYFUNCTION("GOOGLETRANSLATE(B8713,""id"",""en"")"),"['', 'comment', 'below', 'Network', 'ugly', 'Telkomsel', 'Ujan', 'a little', 'direct', 'dim', 'signal', 'strange', 'level ',' LGI ',' company ',' advanced ',' developed ',' bankrupt ',' company ',' Kasian ',' employee ',' ']")</f>
        <v>['', 'comment', 'below', 'Network', 'ugly', 'Telkomsel', 'Ujan', 'a little', 'direct', 'dim', 'signal', 'strange', 'level ',' LGI ',' company ',' advanced ',' developed ',' bankrupt ',' company ',' Kasian ',' employee ',' ']</v>
      </c>
      <c r="D8713" s="3">
        <v>1.0</v>
      </c>
    </row>
    <row r="8714" ht="15.75" customHeight="1">
      <c r="A8714" s="1">
        <v>9196.0</v>
      </c>
      <c r="B8714" s="3" t="s">
        <v>8369</v>
      </c>
      <c r="C8714" s="3" t="str">
        <f>IFERROR(__xludf.DUMMYFUNCTION("GOOGLETRANSLATE(B8714,""id"",""en"")"),"['Telkomsel', 'Credit', 'Reduced', 'You', 'Suck', 'Where', 'Internet', 'Call', 'SMS', 'MMS', 'Thank "",' Tel ',' Even then ',' Telkomsel ',' credit ',' reduced ',' ']")</f>
        <v>['Telkomsel', 'Credit', 'Reduced', 'You', 'Suck', 'Where', 'Internet', 'Call', 'SMS', 'MMS', 'Thank ",' Tel ',' Even then ',' Telkomsel ',' credit ',' reduced ',' ']</v>
      </c>
      <c r="D8714" s="3">
        <v>1.0</v>
      </c>
    </row>
    <row r="8715" ht="15.75" customHeight="1">
      <c r="A8715" s="1">
        <v>9197.0</v>
      </c>
      <c r="B8715" s="3" t="s">
        <v>8370</v>
      </c>
      <c r="C8715" s="3" t="str">
        <f>IFERROR(__xludf.DUMMYFUNCTION("GOOGLETRANSLATE(B8715,""id"",""en"")"),"['FUP', 'Lower', 'Package', 'Unlimited', 'Please', 'Understood', 'Activities',' Lecture ',' Meeting ',' Zoom ',' Google ',' Meet ',' application ',' video ',' conference ',' please ',' comment ',' read ',' change ',' ']")</f>
        <v>['FUP', 'Lower', 'Package', 'Unlimited', 'Please', 'Understood', 'Activities',' Lecture ',' Meeting ',' Zoom ',' Google ',' Meet ',' application ',' video ',' conference ',' please ',' comment ',' read ',' change ',' ']</v>
      </c>
      <c r="D8715" s="3">
        <v>1.0</v>
      </c>
    </row>
    <row r="8716" ht="15.75" customHeight="1">
      <c r="A8716" s="1">
        <v>9198.0</v>
      </c>
      <c r="B8716" s="3" t="s">
        <v>8371</v>
      </c>
      <c r="C8716" s="3" t="str">
        <f>IFERROR(__xludf.DUMMYFUNCTION("GOOGLETRANSLATE(B8716,""id"",""en"")"),"['situ', 'operator', 'thief', 'SMS', 'pulse', 'internet', 'non', 'package', 'check', 'quota', 'GB', 'pulse', ' consumed ',' ']")</f>
        <v>['situ', 'operator', 'thief', 'SMS', 'pulse', 'internet', 'non', 'package', 'check', 'quota', 'GB', 'pulse', ' consumed ',' ']</v>
      </c>
      <c r="D8716" s="3">
        <v>1.0</v>
      </c>
    </row>
    <row r="8717" ht="15.75" customHeight="1">
      <c r="A8717" s="1">
        <v>9199.0</v>
      </c>
      <c r="B8717" s="3" t="s">
        <v>8372</v>
      </c>
      <c r="C8717" s="3" t="str">
        <f>IFERROR(__xludf.DUMMYFUNCTION("GOOGLETRANSLATE(B8717,""id"",""en"")"),"['UDH', 'eat', 'Taik', 'Telkomsel', 'Take', 'package', 'emergency', 'said', 'pay off', 'package', 'emergency', 'please', ' Telkomsel ',' Indonesia ',' repair ',' kontollllllllllllllllllllllllllllllllllllllllll ']")</f>
        <v>['UDH', 'eat', 'Taik', 'Telkomsel', 'Take', 'package', 'emergency', 'said', 'pay off', 'package', 'emergency', 'please', ' Telkomsel ',' Indonesia ',' repair ',' kontollllllllllllllllllllllllllllllllllllllllll ']</v>
      </c>
      <c r="D8717" s="3">
        <v>1.0</v>
      </c>
    </row>
    <row r="8718" ht="15.75" customHeight="1">
      <c r="A8718" s="1">
        <v>9200.0</v>
      </c>
      <c r="B8718" s="3" t="s">
        <v>8373</v>
      </c>
      <c r="C8718" s="3" t="str">
        <f>IFERROR(__xludf.DUMMYFUNCTION("GOOGLETRANSLATE(B8718,""id"",""en"")"),"['Disappointed', 'Telkomsel', 'buy', 'package', 'education', 'kepai', 'quota', 'main', 'quota', 'main', 'filled', 'use', ' zoom ',' reduced ',' package ',' education ',' quota ',' main ',' klu ',' package ',' education ',' buy ',' rigged ',' klu ',' buy '"&amp;" , 'package', 'pendidika', 'use', 'zoom', 'package', 'education', 'reduced', 'please', 'telkomsel', 'pay attention', 'cheating', 'consumer', ' Please ',' ']")</f>
        <v>['Disappointed', 'Telkomsel', 'buy', 'package', 'education', 'kepai', 'quota', 'main', 'quota', 'main', 'filled', 'use', ' zoom ',' reduced ',' package ',' education ',' quota ',' main ',' klu ',' package ',' education ',' buy ',' rigged ',' klu ',' buy ' , 'package', 'pendidika', 'use', 'zoom', 'package', 'education', 'reduced', 'please', 'telkomsel', 'pay attention', 'cheating', 'consumer', ' Please ',' ']</v>
      </c>
      <c r="D8718" s="3">
        <v>2.0</v>
      </c>
    </row>
    <row r="8719" ht="15.75" customHeight="1">
      <c r="A8719" s="1">
        <v>9201.0</v>
      </c>
      <c r="B8719" s="3" t="s">
        <v>8374</v>
      </c>
      <c r="C8719" s="3" t="str">
        <f>IFERROR(__xludf.DUMMYFUNCTION("GOOGLETRANSLATE(B8719,""id"",""en"")"),"['Severe' application ',' credit ',' intention ',' pairs ',' package ',' Sakti ',' price ',' pulses ',' sufficient ',' submit ',' application ',' Credit ',' Reduced ',' Harmed ',' Application ',' ']")</f>
        <v>['Severe' application ',' credit ',' intention ',' pairs ',' package ',' Sakti ',' price ',' pulses ',' sufficient ',' submit ',' application ',' Credit ',' Reduced ',' Harmed ',' Application ',' ']</v>
      </c>
      <c r="D8719" s="3">
        <v>1.0</v>
      </c>
    </row>
    <row r="8720" ht="15.75" customHeight="1">
      <c r="A8720" s="1">
        <v>9202.0</v>
      </c>
      <c r="B8720" s="3" t="s">
        <v>8375</v>
      </c>
      <c r="C8720" s="3" t="str">
        <f>IFERROR(__xludf.DUMMYFUNCTION("GOOGLETRANSLATE(B8720,""id"",""en"")"),"['Application', 'MyTelkomsel', 'Error', 'Posts', 'Loading', 'Page', 'Solution', 'Nua', ""]")</f>
        <v>['Application', 'MyTelkomsel', 'Error', 'Posts', 'Loading', 'Page', 'Solution', 'Nua', "]</v>
      </c>
      <c r="D8720" s="3">
        <v>1.0</v>
      </c>
    </row>
    <row r="8721" ht="15.75" customHeight="1">
      <c r="A8721" s="1">
        <v>9203.0</v>
      </c>
      <c r="B8721" s="3" t="s">
        <v>8376</v>
      </c>
      <c r="C8721" s="3" t="str">
        <f>IFERROR(__xludf.DUMMYFUNCTION("GOOGLETRANSLATE(B8721,""id"",""en"")"),"['Severe', 'signal', 'really', 'mAh', 'package', 'expensive', 'all', 'package', 'woyy', 'admin', 'read', 'complaint', ' Customers', 'Jngn', 'wanted', 'lucky', 'doang', ""]")</f>
        <v>['Severe', 'signal', 'really', 'mAh', 'package', 'expensive', 'all', 'package', 'woyy', 'admin', 'read', 'complaint', ' Customers', 'Jngn', 'wanted', 'lucky', 'doang', "]</v>
      </c>
      <c r="D8721" s="3">
        <v>1.0</v>
      </c>
    </row>
    <row r="8722" ht="15.75" customHeight="1">
      <c r="A8722" s="1">
        <v>9204.0</v>
      </c>
      <c r="B8722" s="3" t="s">
        <v>8377</v>
      </c>
      <c r="C8722" s="3" t="str">
        <f>IFERROR(__xludf.DUMMYFUNCTION("GOOGLETRANSLATE(B8722,""id"",""en"")"),"['', 'satisfied', 'amplication', 'update']")</f>
        <v>['', 'satisfied', 'amplication', 'update']</v>
      </c>
      <c r="D8722" s="3">
        <v>5.0</v>
      </c>
    </row>
    <row r="8723" ht="15.75" customHeight="1">
      <c r="A8723" s="1">
        <v>9205.0</v>
      </c>
      <c r="B8723" s="3" t="s">
        <v>8378</v>
      </c>
      <c r="C8723" s="3" t="str">
        <f>IFERROR(__xludf.DUMMYFUNCTION("GOOGLETRANSLATE(B8723,""id"",""en"")"),"['strange', 'yesterday', 'told', 'update', 'finished', 'right', 'open', 'application', 'update', 'update', 'playstore', 'playstore', ' Update ',' Provider ',' weird ']")</f>
        <v>['strange', 'yesterday', 'told', 'update', 'finished', 'right', 'open', 'application', 'update', 'update', 'playstore', 'playstore', ' Update ',' Provider ',' weird ']</v>
      </c>
      <c r="D8723" s="3">
        <v>1.0</v>
      </c>
    </row>
    <row r="8724" ht="15.75" customHeight="1">
      <c r="A8724" s="1">
        <v>9206.0</v>
      </c>
      <c r="B8724" s="3" t="s">
        <v>8379</v>
      </c>
      <c r="C8724" s="3" t="str">
        <f>IFERROR(__xludf.DUMMYFUNCTION("GOOGLETRANSLATE(B8724,""id"",""en"")"),"['application', 'gajelas',' buy ',' package ',' turn on ',' data ',' refresh ',' tip ',' end ',' pulse ',' sumps', 'gabisa', ' Buy ',' Stress']")</f>
        <v>['application', 'gajelas',' buy ',' package ',' turn on ',' data ',' refresh ',' tip ',' end ',' pulse ',' sumps', 'gabisa', ' Buy ',' Stress']</v>
      </c>
      <c r="D8724" s="3">
        <v>1.0</v>
      </c>
    </row>
    <row r="8725" ht="15.75" customHeight="1">
      <c r="A8725" s="1">
        <v>9207.0</v>
      </c>
      <c r="B8725" s="3" t="s">
        <v>8380</v>
      </c>
      <c r="C8725" s="3" t="str">
        <f>IFERROR(__xludf.DUMMYFUNCTION("GOOGLETRANSLATE(B8725,""id"",""en"")"),"['Disappointed', 'Telkomsel', 'UDH', 'Tens',' Signal ',' Slow ',' Severe ',' Package ',' Signal ',' ilang ',' Nge ',' lag ',' Please, 'Fix', 'Bgini', 'Loss', 'loyal', 'Karna', 'fast', 'slow', 'internet', 'open', 'youtube', 'slow', 'signal' , 'Sometimes', "&amp;"'disappointed', 'fix', 'please']")</f>
        <v>['Disappointed', 'Telkomsel', 'UDH', 'Tens',' Signal ',' Slow ',' Severe ',' Package ',' Signal ',' ilang ',' Nge ',' lag ',' Please, 'Fix', 'Bgini', 'Loss', 'loyal', 'Karna', 'fast', 'slow', 'internet', 'open', 'youtube', 'slow', 'signal' , 'Sometimes', 'disappointed', 'fix', 'please']</v>
      </c>
      <c r="D8725" s="3">
        <v>3.0</v>
      </c>
    </row>
    <row r="8726" ht="15.75" customHeight="1">
      <c r="A8726" s="1">
        <v>9208.0</v>
      </c>
      <c r="B8726" s="3" t="s">
        <v>8381</v>
      </c>
      <c r="C8726" s="3" t="str">
        <f>IFERROR(__xludf.DUMMYFUNCTION("GOOGLETRANSLATE(B8726,""id"",""en"")"),"['quota', 'offered', 'difficult', 'reach', 'pandemic', 'access',' internet ',' eat ',' confused ',' prioritize ',' wandered ',' land ',' people ',' please ',' quota ',' lower ',' price ']")</f>
        <v>['quota', 'offered', 'difficult', 'reach', 'pandemic', 'access',' internet ',' eat ',' confused ',' prioritize ',' wandered ',' land ',' people ',' please ',' quota ',' lower ',' price ']</v>
      </c>
      <c r="D8726" s="3">
        <v>2.0</v>
      </c>
    </row>
    <row r="8727" ht="15.75" customHeight="1">
      <c r="A8727" s="1">
        <v>9209.0</v>
      </c>
      <c r="B8727" s="3" t="s">
        <v>8382</v>
      </c>
      <c r="C8727" s="3" t="str">
        <f>IFERROR(__xludf.DUMMYFUNCTION("GOOGLETRANSLATE(B8727,""id"",""en"")"),"['umpteent', 'time', 'Please', 'System', 'Customer', 'Package', 'Internet', 'Out', 'Direct', 'Suck', 'Credit', 'Crazy', ' Tsel ',' UDH ',' forgetfulness', 'quota', 'run out', 'intention', 'morning', 'buy', 'package', 'morning', 'pulse', 'Udh', 'Udh' , 'bu"&amp;"y', 'pulse', 'RB', 'activated', 'package', 'tomorrow', 'crazy', 'udh', 'wrong', 'please', 'system', ""]")</f>
        <v>['umpteent', 'time', 'Please', 'System', 'Customer', 'Package', 'Internet', 'Out', 'Direct', 'Suck', 'Credit', 'Crazy', ' Tsel ',' UDH ',' forgetfulness', 'quota', 'run out', 'intention', 'morning', 'buy', 'package', 'morning', 'pulse', 'Udh', 'Udh' , 'buy', 'pulse', 'RB', 'activated', 'package', 'tomorrow', 'crazy', 'udh', 'wrong', 'please', 'system', "]</v>
      </c>
      <c r="D8727" s="3">
        <v>1.0</v>
      </c>
    </row>
    <row r="8728" ht="15.75" customHeight="1">
      <c r="A8728" s="1">
        <v>9210.0</v>
      </c>
      <c r="B8728" s="3" t="s">
        <v>8383</v>
      </c>
      <c r="C8728" s="3" t="str">
        <f>IFERROR(__xludf.DUMMYFUNCTION("GOOGLETRANSLATE(B8728,""id"",""en"")"),"['threat', 'network', 'game', 'no', 'reason', 'network', 'sudden', 'kintil', 'emang']")</f>
        <v>['threat', 'network', 'game', 'no', 'reason', 'network', 'sudden', 'kintil', 'emang']</v>
      </c>
      <c r="D8728" s="3">
        <v>1.0</v>
      </c>
    </row>
    <row r="8729" ht="15.75" customHeight="1">
      <c r="A8729" s="1">
        <v>9211.0</v>
      </c>
      <c r="B8729" s="3" t="s">
        <v>8384</v>
      </c>
      <c r="C8729" s="3" t="str">
        <f>IFERROR(__xludf.DUMMYFUNCTION("GOOGLETRANSLATE(B8729,""id"",""en"")"),"['Severe', 'signal', 'price', 'then', 'sya', 'send', 'link', 'package', 'KNPA', 'opened', 'use', ""]")</f>
        <v>['Severe', 'signal', 'price', 'then', 'sya', 'send', 'link', 'package', 'KNPA', 'opened', 'use', "]</v>
      </c>
      <c r="D8729" s="3">
        <v>1.0</v>
      </c>
    </row>
    <row r="8730" ht="15.75" customHeight="1">
      <c r="A8730" s="1">
        <v>9212.0</v>
      </c>
      <c r="B8730" s="3" t="s">
        <v>8385</v>
      </c>
      <c r="C8730" s="3" t="str">
        <f>IFERROR(__xludf.DUMMYFUNCTION("GOOGLETRANSLATE(B8730,""id"",""en"")"),"['born', 'owekowek', 'until', 'son', 'Telkomsel', 'tuk', 'slamper']")</f>
        <v>['born', 'owekowek', 'until', 'son', 'Telkomsel', 'tuk', 'slamper']</v>
      </c>
      <c r="D8730" s="3">
        <v>5.0</v>
      </c>
    </row>
    <row r="8731" ht="15.75" customHeight="1">
      <c r="A8731" s="1">
        <v>9213.0</v>
      </c>
      <c r="B8731" s="3" t="s">
        <v>8386</v>
      </c>
      <c r="C8731" s="3" t="str">
        <f>IFERROR(__xludf.DUMMYFUNCTION("GOOGLETRANSLATE(B8731,""id"",""en"")"),"['Please', 'repaired', 'systemnyamm', 'slow', 'renewal', 'apk', 'help', 'emotion', ""]")</f>
        <v>['Please', 'repaired', 'systemnyamm', 'slow', 'renewal', 'apk', 'help', 'emotion', "]</v>
      </c>
      <c r="D8731" s="3">
        <v>3.0</v>
      </c>
    </row>
    <row r="8732" ht="15.75" customHeight="1">
      <c r="A8732" s="1">
        <v>9214.0</v>
      </c>
      <c r="B8732" s="3" t="s">
        <v>8387</v>
      </c>
      <c r="C8732" s="3" t="str">
        <f>IFERROR(__xludf.DUMMYFUNCTION("GOOGLETRANSLATE(B8732,""id"",""en"")"),"['Please', 'Network', 'Telkomsel', 'repaired', 'Telkomsel', 'checked', 'pulse', 'package', 'September', 'signal', 'chaos',' disappointed ',' heavy', '']")</f>
        <v>['Please', 'Network', 'Telkomsel', 'repaired', 'Telkomsel', 'checked', 'pulse', 'package', 'September', 'signal', 'chaos',' disappointed ',' heavy', '']</v>
      </c>
      <c r="D8732" s="3">
        <v>1.0</v>
      </c>
    </row>
    <row r="8733" ht="15.75" customHeight="1">
      <c r="A8733" s="1">
        <v>9215.0</v>
      </c>
      <c r="B8733" s="3" t="s">
        <v>8388</v>
      </c>
      <c r="C8733" s="3" t="str">
        <f>IFERROR(__xludf.DUMMYFUNCTION("GOOGLETRANSLATE(B8733,""id"",""en"")"),"['application', 'good', 'help', 'signal', 'area', 'village', 'good']")</f>
        <v>['application', 'good', 'help', 'signal', 'area', 'village', 'good']</v>
      </c>
      <c r="D8733" s="3">
        <v>3.0</v>
      </c>
    </row>
    <row r="8734" ht="15.75" customHeight="1">
      <c r="A8734" s="1">
        <v>9216.0</v>
      </c>
      <c r="B8734" s="3" t="s">
        <v>8389</v>
      </c>
      <c r="C8734" s="3" t="str">
        <f>IFERROR(__xludf.DUMMYFUNCTION("GOOGLETRANSLATE(B8734,""id"",""en"")"),"['Telkomsel', 'best', 'provides', 'network', 'internet', 'apply', 'price', 'kak']")</f>
        <v>['Telkomsel', 'best', 'provides', 'network', 'internet', 'apply', 'price', 'kak']</v>
      </c>
      <c r="D8734" s="3">
        <v>5.0</v>
      </c>
    </row>
    <row r="8735" ht="15.75" customHeight="1">
      <c r="A8735" s="1">
        <v>9217.0</v>
      </c>
      <c r="B8735" s="3" t="s">
        <v>8390</v>
      </c>
      <c r="C8735" s="3" t="str">
        <f>IFERROR(__xludf.DUMMYFUNCTION("GOOGLETRANSLATE(B8735,""id"",""en"")"),"['Logout', 'Update', 'Comfortable']")</f>
        <v>['Logout', 'Update', 'Comfortable']</v>
      </c>
      <c r="D8735" s="3">
        <v>2.0</v>
      </c>
    </row>
    <row r="8736" ht="15.75" customHeight="1">
      <c r="A8736" s="1">
        <v>9218.0</v>
      </c>
      <c r="B8736" s="3" t="s">
        <v>8391</v>
      </c>
      <c r="C8736" s="3" t="str">
        <f>IFERROR(__xludf.DUMMYFUNCTION("GOOGLETRANSLATE(B8736,""id"",""en"")"),"['easy', 'choice', 'rates', 'request', 'coverage', 'circles', 'medium', 'thank', 'love', ""]")</f>
        <v>['easy', 'choice', 'rates', 'request', 'coverage', 'circles', 'medium', 'thank', 'love', "]</v>
      </c>
      <c r="D8736" s="3">
        <v>3.0</v>
      </c>
    </row>
    <row r="8737" ht="15.75" customHeight="1">
      <c r="A8737" s="1">
        <v>9219.0</v>
      </c>
      <c r="B8737" s="3" t="s">
        <v>8392</v>
      </c>
      <c r="C8737" s="3" t="str">
        <f>IFERROR(__xludf.DUMMYFUNCTION("GOOGLETRANSLATE(B8737,""id"",""en"")"),"['', 'love', 'star', 'star', 'match', 'star', 'love', 'karna', 'telkomsel', 'already', 'like', 'slow', 'the connection ',' expensive ',' package ',' plus', 'package', 'unlimited', 'restricted', 'mending', 'given', 'name', 'unlimited', ""]")</f>
        <v>['', 'love', 'star', 'star', 'match', 'star', 'love', 'karna', 'telkomsel', 'already', 'like', 'slow', 'the connection ',' expensive ',' package ',' plus', 'package', 'unlimited', 'restricted', 'mending', 'given', 'name', 'unlimited', "]</v>
      </c>
      <c r="D8737" s="3">
        <v>1.0</v>
      </c>
    </row>
    <row r="8738" ht="15.75" customHeight="1">
      <c r="A8738" s="1">
        <v>9220.0</v>
      </c>
      <c r="B8738" s="3" t="s">
        <v>8393</v>
      </c>
      <c r="C8738" s="3" t="str">
        <f>IFERROR(__xludf.DUMMYFUNCTION("GOOGLETRANSLATE(B8738,""id"",""en"")"),"['Network', 'good', 'yes', 'smooth', 'as soon as', 'ugly', 'missing', 'no', 'telephone', 'cellular', 'rare', 'sucks']")</f>
        <v>['Network', 'good', 'yes', 'smooth', 'as soon as', 'ugly', 'missing', 'no', 'telephone', 'cellular', 'rare', 'sucks']</v>
      </c>
      <c r="D8738" s="3">
        <v>3.0</v>
      </c>
    </row>
    <row r="8739" ht="15.75" customHeight="1">
      <c r="A8739" s="1">
        <v>9221.0</v>
      </c>
      <c r="B8739" s="3" t="s">
        <v>8394</v>
      </c>
      <c r="C8739" s="3" t="str">
        <f>IFERROR(__xludf.DUMMYFUNCTION("GOOGLETRANSLATE(B8739,""id"",""en"")"),"['Service', 'complete', 'it's easy', 'people', 'access',' telephone ',' remote ',' country ',' keep ',' taps', 'service', 'sampi', ' people ',' lay ',' wear ',' telephone ']")</f>
        <v>['Service', 'complete', 'it's easy', 'people', 'access',' telephone ',' remote ',' country ',' keep ',' taps', 'service', 'sampi', ' people ',' lay ',' wear ',' telephone ']</v>
      </c>
      <c r="D8739" s="3">
        <v>5.0</v>
      </c>
    </row>
    <row r="8740" ht="15.75" customHeight="1">
      <c r="A8740" s="1">
        <v>9222.0</v>
      </c>
      <c r="B8740" s="3" t="s">
        <v>8395</v>
      </c>
      <c r="C8740" s="3" t="str">
        <f>IFERROR(__xludf.DUMMYFUNCTION("GOOGLETRANSLATE(B8740,""id"",""en"")"),"['Customer', 'loyal', 'Telkomsel', 'Network', 'Good', 'Network', 'Ngadat', 'Please', 'Fix', 'Quality', 'Network', 'Thank you']")</f>
        <v>['Customer', 'loyal', 'Telkomsel', 'Network', 'Good', 'Network', 'Ngadat', 'Please', 'Fix', 'Quality', 'Network', 'Thank you']</v>
      </c>
      <c r="D8740" s="3">
        <v>4.0</v>
      </c>
    </row>
    <row r="8741" ht="15.75" customHeight="1">
      <c r="A8741" s="1">
        <v>9223.0</v>
      </c>
      <c r="B8741" s="3" t="s">
        <v>8396</v>
      </c>
      <c r="C8741" s="3" t="str">
        <f>IFERROR(__xludf.DUMMYFUNCTION("GOOGLETRANSLATE(B8741,""id"",""en"")"),"['price', 'package', 'cunning', 'package', 'eliminated', 'replaced', 'combo', 'sakti', 'cheap', 'rb', 'return', 'packetan', ' Combo ',' Sakti ',' Price ',' Affordable ']")</f>
        <v>['price', 'package', 'cunning', 'package', 'eliminated', 'replaced', 'combo', 'sakti', 'cheap', 'rb', 'return', 'packetan', ' Combo ',' Sakti ',' Price ',' Affordable ']</v>
      </c>
      <c r="D8741" s="3">
        <v>1.0</v>
      </c>
    </row>
    <row r="8742" ht="15.75" customHeight="1">
      <c r="A8742" s="1">
        <v>9224.0</v>
      </c>
      <c r="B8742" s="3" t="s">
        <v>8397</v>
      </c>
      <c r="C8742" s="3" t="str">
        <f>IFERROR(__xludf.DUMMYFUNCTION("GOOGLETRANSLATE(B8742,""id"",""en"")"),"['Please', 'said', 'Telkomsel', 'Koutaa', 'Abis',' pulse ',' sumps', 'udh', 'lgsng', 'dipake', 'the network', 'suck', ' Credit ',' Kasian ',' org ',' org ',' buy ',' pulse ',' then ',' Sumpot ', ""]")</f>
        <v>['Please', 'said', 'Telkomsel', 'Koutaa', 'Abis',' pulse ',' sumps', 'udh', 'lgsng', 'dipake', 'the network', 'suck', ' Credit ',' Kasian ',' org ',' org ',' buy ',' pulse ',' then ',' Sumpot ', "]</v>
      </c>
      <c r="D8742" s="3">
        <v>2.0</v>
      </c>
    </row>
    <row r="8743" ht="15.75" customHeight="1">
      <c r="A8743" s="1">
        <v>9225.0</v>
      </c>
      <c r="B8743" s="3" t="s">
        <v>8398</v>
      </c>
      <c r="C8743" s="3" t="str">
        <f>IFERROR(__xludf.DUMMYFUNCTION("GOOGLETRANSLATE(B8743,""id"",""en"")"),"['Please', 'sorry', 'provider', 'Telkomsel', 'buy', 'package', 'buy', 'bought', 'description', 'Please', 'sorry', 'purchase', ' Products', 'Please', 'Overcome', 'Purchase', 'Package']")</f>
        <v>['Please', 'sorry', 'provider', 'Telkomsel', 'buy', 'package', 'buy', 'bought', 'description', 'Please', 'sorry', 'purchase', ' Products', 'Please', 'Overcome', 'Purchase', 'Package']</v>
      </c>
      <c r="D8743" s="3">
        <v>1.0</v>
      </c>
    </row>
    <row r="8744" ht="15.75" customHeight="1">
      <c r="A8744" s="1">
        <v>9226.0</v>
      </c>
      <c r="B8744" s="3" t="s">
        <v>8399</v>
      </c>
      <c r="C8744" s="3" t="str">
        <f>IFERROR(__xludf.DUMMYFUNCTION("GOOGLETRANSLATE(B8744,""id"",""en"")"),"['min', 'quota', 'multimedia', 'good', 'join', 'quota', 'main', '']")</f>
        <v>['min', 'quota', 'multimedia', 'good', 'join', 'quota', 'main', '']</v>
      </c>
      <c r="D8744" s="3">
        <v>2.0</v>
      </c>
    </row>
    <row r="8745" ht="15.75" customHeight="1">
      <c r="A8745" s="1">
        <v>9227.0</v>
      </c>
      <c r="B8745" s="3" t="s">
        <v>8400</v>
      </c>
      <c r="C8745" s="3" t="str">
        <f>IFERROR(__xludf.DUMMYFUNCTION("GOOGLETRANSLATE(B8745,""id"",""en"")"),"['Disappointed', 'Contact', 'Admin', 'Veronica', 'conversation', 'Say "",' Understand ',' Credit ',' Reduced ',' Quota ',' Internet ',""]")</f>
        <v>['Disappointed', 'Contact', 'Admin', 'Veronica', 'conversation', 'Say ",' Understand ',' Credit ',' Reduced ',' Quota ',' Internet ',"]</v>
      </c>
      <c r="D8745" s="3">
        <v>1.0</v>
      </c>
    </row>
    <row r="8746" ht="15.75" customHeight="1">
      <c r="A8746" s="1">
        <v>9228.0</v>
      </c>
      <c r="B8746" s="3" t="s">
        <v>8401</v>
      </c>
      <c r="C8746" s="3" t="str">
        <f>IFERROR(__xludf.DUMMYFUNCTION("GOOGLETRANSLATE(B8746,""id"",""en"")"),"['play', 'suck', 'pulse', 'quota', 'tibatiba', 'abis', 'notif', 'approval', 'user', 'please', 'repair']")</f>
        <v>['play', 'suck', 'pulse', 'quota', 'tibatiba', 'abis', 'notif', 'approval', 'user', 'please', 'repair']</v>
      </c>
      <c r="D8746" s="3">
        <v>1.0</v>
      </c>
    </row>
    <row r="8747" ht="15.75" customHeight="1">
      <c r="A8747" s="1">
        <v>9229.0</v>
      </c>
      <c r="B8747" s="3" t="s">
        <v>8402</v>
      </c>
      <c r="C8747" s="3" t="str">
        <f>IFERROR(__xludf.DUMMYFUNCTION("GOOGLETRANSLATE(B8747,""id"",""en"")"),"['', 'data', 'run out', 'pulse', 'brush', 'buy', 'data', 'free', 'video', 'etc.', 'price', 'expensive', 'belongs ',' Government ',' Trading ',' Article ',' Pancasila ',' Revenue ',' Folk ',' Indonesia ',' On ',' Card ',' Short ']")</f>
        <v>['', 'data', 'run out', 'pulse', 'brush', 'buy', 'data', 'free', 'video', 'etc.', 'price', 'expensive', 'belongs ',' Government ',' Trading ',' Article ',' Pancasila ',' Revenue ',' Folk ',' Indonesia ',' On ',' Card ',' Short ']</v>
      </c>
      <c r="D8747" s="3">
        <v>1.0</v>
      </c>
    </row>
    <row r="8748" ht="15.75" customHeight="1">
      <c r="A8748" s="1">
        <v>9230.0</v>
      </c>
      <c r="B8748" s="3" t="s">
        <v>8403</v>
      </c>
      <c r="C8748" s="3" t="str">
        <f>IFERROR(__xludf.DUMMYFUNCTION("GOOGLETRANSLATE(B8748,""id"",""en"")"),"['France', 'Update', 'APK', 'User', 'Disturbed', 'Used', 'Update', 'Open', 'Must', 'Update', 'Macem', 'Update', ' Feelings', 'signal', 'Telkomsel', 'disorders',' here ',' Telkomsel ',' expensive ',' quality ',' declined ']")</f>
        <v>['France', 'Update', 'APK', 'User', 'Disturbed', 'Used', 'Update', 'Open', 'Must', 'Update', 'Macem', 'Update', ' Feelings', 'signal', 'Telkomsel', 'disorders',' here ',' Telkomsel ',' expensive ',' quality ',' declined ']</v>
      </c>
      <c r="D8748" s="3">
        <v>1.0</v>
      </c>
    </row>
    <row r="8749" ht="15.75" customHeight="1">
      <c r="A8749" s="1">
        <v>9231.0</v>
      </c>
      <c r="B8749" s="3" t="s">
        <v>8404</v>
      </c>
      <c r="C8749" s="3" t="str">
        <f>IFERROR(__xludf.DUMMYFUNCTION("GOOGLETRANSLATE(B8749,""id"",""en"")"),"['Package', 'Telkomsel', 'strange', 'buy', 'ngilance', 'Telkomsel', 'forward', 'user', 'Telkomsel', 'disappointed', ""]")</f>
        <v>['Package', 'Telkomsel', 'strange', 'buy', 'ngilance', 'Telkomsel', 'forward', 'user', 'Telkomsel', 'disappointed', "]</v>
      </c>
      <c r="D8749" s="3">
        <v>1.0</v>
      </c>
    </row>
    <row r="8750" ht="15.75" customHeight="1">
      <c r="A8750" s="1">
        <v>9232.0</v>
      </c>
      <c r="B8750" s="3" t="s">
        <v>8405</v>
      </c>
      <c r="C8750" s="3" t="str">
        <f>IFERROR(__xludf.DUMMYFUNCTION("GOOGLETRANSLATE(B8750,""id"",""en"")"),"['yahh', 'list', 'package', 'internet', 'Telkomsel', 'times', 'list', 'results', 'network', 'disorder']")</f>
        <v>['yahh', 'list', 'package', 'internet', 'Telkomsel', 'times', 'list', 'results', 'network', 'disorder']</v>
      </c>
      <c r="D8750" s="3">
        <v>2.0</v>
      </c>
    </row>
    <row r="8751" ht="15.75" customHeight="1">
      <c r="A8751" s="1">
        <v>9233.0</v>
      </c>
      <c r="B8751" s="3" t="s">
        <v>8406</v>
      </c>
      <c r="C8751" s="3" t="str">
        <f>IFERROR(__xludf.DUMMYFUNCTION("GOOGLETRANSLATE(B8751,""id"",""en"")"),"['Satisfied', 'Telkomsel', 'Package', 'Internet', 'Offers',' Cheap ',' Cheap ',' Benefit ',' Telkomsel ',' Accept ',' Love ',' Telkomsel ',' ']")</f>
        <v>['Satisfied', 'Telkomsel', 'Package', 'Internet', 'Offers',' Cheap ',' Cheap ',' Benefit ',' Telkomsel ',' Accept ',' Love ',' Telkomsel ',' ']</v>
      </c>
      <c r="D8751" s="3">
        <v>5.0</v>
      </c>
    </row>
    <row r="8752" ht="15.75" customHeight="1">
      <c r="A8752" s="1">
        <v>9234.0</v>
      </c>
      <c r="B8752" s="3" t="s">
        <v>8407</v>
      </c>
      <c r="C8752" s="3" t="str">
        <f>IFERROR(__xludf.DUMMYFUNCTION("GOOGLETRANSLATE(B8752,""id"",""en"")"),"['signal', 'Sampe', 'corrupted', 'Rain', 'admin', 'reason']")</f>
        <v>['signal', 'Sampe', 'corrupted', 'Rain', 'admin', 'reason']</v>
      </c>
      <c r="D8752" s="3">
        <v>1.0</v>
      </c>
    </row>
    <row r="8753" ht="15.75" customHeight="1">
      <c r="A8753" s="1">
        <v>9235.0</v>
      </c>
      <c r="B8753" s="3" t="s">
        <v>8408</v>
      </c>
      <c r="C8753" s="3" t="str">
        <f>IFERROR(__xludf.DUMMYFUNCTION("GOOGLETRANSLATE(B8753,""id"",""en"")"),"['users',' Telkomsel ',' father ',' use ',' dri ',' number ',' number ',' until ',' number ',' please ',' care ',' consumer ',' location ',' signal ',' bar ',' package ',' mankin ',' expensive ',' sya ',' entry ',' application ',' telkomsel ',' udh ',' in"&amp;"put ',' number ' , 'button', 'enter', 'bsa', 'presset']")</f>
        <v>['users',' Telkomsel ',' father ',' use ',' dri ',' number ',' number ',' until ',' number ',' please ',' care ',' consumer ',' location ',' signal ',' bar ',' package ',' mankin ',' expensive ',' sya ',' entry ',' application ',' telkomsel ',' udh ',' input ',' number ' , 'button', 'enter', 'bsa', 'presset']</v>
      </c>
      <c r="D8753" s="3">
        <v>3.0</v>
      </c>
    </row>
    <row r="8754" ht="15.75" customHeight="1">
      <c r="A8754" s="1">
        <v>9236.0</v>
      </c>
      <c r="B8754" s="3" t="s">
        <v>8409</v>
      </c>
      <c r="C8754" s="3" t="str">
        <f>IFERROR(__xludf.DUMMYFUNCTION("GOOGLETRANSLATE(B8754,""id"",""en"")"),"['Knp', 'Package', 'Multimedia', 'Opened', 'YouTube', 'Current', 'Current', 'Spotify', 'Music', 'Opened', 'Quality', 'Leet', ' The title ',' Multimedia ',' Media ',' Package ',' Video ',' Music ',' Games', 'Tilong', 'Repaired', 'Komen', 'Play', 'Wait', 'W"&amp;"ait' , 'lag', '']")</f>
        <v>['Knp', 'Package', 'Multimedia', 'Opened', 'YouTube', 'Current', 'Current', 'Spotify', 'Music', 'Opened', 'Quality', 'Leet', ' The title ',' Multimedia ',' Media ',' Package ',' Video ',' Music ',' Games', 'Tilong', 'Repaired', 'Komen', 'Play', 'Wait', 'Wait' , 'lag', '']</v>
      </c>
      <c r="D8754" s="3">
        <v>1.0</v>
      </c>
    </row>
    <row r="8755" ht="15.75" customHeight="1">
      <c r="A8755" s="1">
        <v>9237.0</v>
      </c>
      <c r="B8755" s="3" t="s">
        <v>8410</v>
      </c>
      <c r="C8755" s="3" t="str">
        <f>IFERROR(__xludf.DUMMYFUNCTION("GOOGLETRANSLATE(B8755,""id"",""en"")"),"['Udeh', 'Gajelas',' Telkomsel ',' Severe ',' System ',' Purchase ',' Package ',' Cheerful ',' Yesterday ',' Stupid ',' times', 'reading', ' succeeded ',' package ',' enter ',' enter ',' buy ',' package ',' Telkomsel ',' already ',' expensive ',' really '"&amp;",' udeh ',' rich ',' kenceng ' , 'signal', 'signal', 'Sometimes',' slow ',' package ',' expensive ',' gamalu ',' three ',' three ',' package ',' cheap ',' network ',' Stable ',' Telkomsel ',' Hucredrr ',' UDH ',' BANGKRUTTTTT ',' ']")</f>
        <v>['Udeh', 'Gajelas',' Telkomsel ',' Severe ',' System ',' Purchase ',' Package ',' Cheerful ',' Yesterday ',' Stupid ',' times', 'reading', ' succeeded ',' package ',' enter ',' enter ',' buy ',' package ',' Telkomsel ',' already ',' expensive ',' really ',' udeh ',' rich ',' kenceng ' , 'signal', 'signal', 'Sometimes',' slow ',' package ',' expensive ',' gamalu ',' three ',' three ',' package ',' cheap ',' network ',' Stable ',' Telkomsel ',' Hucredrr ',' UDH ',' BANGKRUTTTTT ',' ']</v>
      </c>
      <c r="D8755" s="3">
        <v>1.0</v>
      </c>
    </row>
    <row r="8756" ht="15.75" customHeight="1">
      <c r="A8756" s="1">
        <v>9238.0</v>
      </c>
      <c r="B8756" s="3" t="s">
        <v>8411</v>
      </c>
      <c r="C8756" s="3" t="str">
        <f>IFERROR(__xludf.DUMMYFUNCTION("GOOGLETRANSLATE(B8756,""id"",""en"")"),"['Please', 'Note', 'Min', 'People', 'Make', 'Telkomsel', 'Already', 'Brpa', 'Liat', 'Card', 'Dri', 'Make', ' krtu ',' smpe ',' skrng ',' mah ',' mlah ',' ugly ',' ssemngkin ',' expensive ',' jdi ',' nnti ',' orng ',' switch ' , 'cheap', 'quality', 'dri', "&amp;"'telkimssel']")</f>
        <v>['Please', 'Note', 'Min', 'People', 'Make', 'Telkomsel', 'Already', 'Brpa', 'Liat', 'Card', 'Dri', 'Make', ' krtu ',' smpe ',' skrng ',' mah ',' mlah ',' ugly ',' ssemngkin ',' expensive ',' jdi ',' nnti ',' orng ',' switch ' , 'cheap', 'quality', 'dri', 'telkimssel']</v>
      </c>
      <c r="D8756" s="3">
        <v>5.0</v>
      </c>
    </row>
    <row r="8757" ht="15.75" customHeight="1">
      <c r="A8757" s="1">
        <v>9239.0</v>
      </c>
      <c r="B8757" s="3" t="s">
        <v>8412</v>
      </c>
      <c r="C8757" s="3" t="str">
        <f>IFERROR(__xludf.DUMMYFUNCTION("GOOGLETRANSLATE(B8757,""id"",""en"")"),"['The application', 'Activate', 'Package', 'MIFI', 'Notification', 'System', 'Disruption', 'Please', 'Telkomsel', 'fix']")</f>
        <v>['The application', 'Activate', 'Package', 'MIFI', 'Notification', 'System', 'Disruption', 'Please', 'Telkomsel', 'fix']</v>
      </c>
      <c r="D8757" s="3">
        <v>2.0</v>
      </c>
    </row>
    <row r="8758" ht="15.75" customHeight="1">
      <c r="A8758" s="1">
        <v>9240.0</v>
      </c>
      <c r="B8758" s="3" t="s">
        <v>8413</v>
      </c>
      <c r="C8758" s="3" t="str">
        <f>IFERROR(__xludf.DUMMYFUNCTION("GOOGLETRANSLATE(B8758,""id"",""en"")"),"['Please', 'Telkom', 'Kouta', 'Main', 'Buy', 'Combo', 'Sakti', 'Darling', 'Multimedia', 'Suggestions', 'Thank you', ""]")</f>
        <v>['Please', 'Telkom', 'Kouta', 'Main', 'Buy', 'Combo', 'Sakti', 'Darling', 'Multimedia', 'Suggestions', 'Thank you', "]</v>
      </c>
      <c r="D8758" s="3">
        <v>3.0</v>
      </c>
    </row>
    <row r="8759" ht="15.75" customHeight="1">
      <c r="A8759" s="1">
        <v>9241.0</v>
      </c>
      <c r="B8759" s="3" t="s">
        <v>8414</v>
      </c>
      <c r="C8759" s="3" t="str">
        <f>IFERROR(__xludf.DUMMYFUNCTION("GOOGLETRANSLATE(B8759,""id"",""en"")"),"['jekek', 'baget', 'network', 'telkomsel', 'dimna', 'dimna', 'quota', 'mah', 'expensive', 'network', 'ugly', 'klu', ' Dragine ',' Change ',' Indosat ']")</f>
        <v>['jekek', 'baget', 'network', 'telkomsel', 'dimna', 'dimna', 'quota', 'mah', 'expensive', 'network', 'ugly', 'klu', ' Dragine ',' Change ',' Indosat ']</v>
      </c>
      <c r="D8759" s="3">
        <v>1.0</v>
      </c>
    </row>
    <row r="8760" ht="15.75" customHeight="1">
      <c r="A8760" s="1">
        <v>9242.0</v>
      </c>
      <c r="B8760" s="3" t="s">
        <v>8415</v>
      </c>
      <c r="C8760" s="3" t="str">
        <f>IFERROR(__xludf.DUMMYFUNCTION("GOOGLETRANSLATE(B8760,""id"",""en"")"),"['sucked', 'pulse', 'sequence', 'suck', 'package', 'data', 'all', 'net', 'suck', 'severe', 'loss',' yaa ',' nyedot ',' provider ',' strong ',' in the area ',' I ',' I ',' blacklist ',' severe ',' pulse ',' sucked ',' full ',' no ',' eat ' , 'pulses', 'bar"&amp;"ter', 'pulse']")</f>
        <v>['sucked', 'pulse', 'sequence', 'suck', 'package', 'data', 'all', 'net', 'suck', 'severe', 'loss',' yaa ',' nyedot ',' provider ',' strong ',' in the area ',' I ',' I ',' blacklist ',' severe ',' pulse ',' sucked ',' full ',' no ',' eat ' , 'pulses', 'barter', 'pulse']</v>
      </c>
      <c r="D8760" s="3">
        <v>1.0</v>
      </c>
    </row>
    <row r="8761" ht="15.75" customHeight="1">
      <c r="A8761" s="1">
        <v>9243.0</v>
      </c>
      <c r="B8761" s="3" t="s">
        <v>8416</v>
      </c>
      <c r="C8761" s="3" t="str">
        <f>IFERROR(__xludf.DUMMYFUNCTION("GOOGLETRANSLATE(B8761,""id"",""en"")"),"['environment', 'home', 'gather', 'play', 'game', 'together', 'disorder', 'network', 'spirit', 'increase', ""]")</f>
        <v>['environment', 'home', 'gather', 'play', 'game', 'together', 'disorder', 'network', 'spirit', 'increase', "]</v>
      </c>
      <c r="D8761" s="3">
        <v>1.0</v>
      </c>
    </row>
    <row r="8762" ht="15.75" customHeight="1">
      <c r="A8762" s="1">
        <v>9244.0</v>
      </c>
      <c r="B8762" s="3" t="s">
        <v>8417</v>
      </c>
      <c r="C8762" s="3" t="str">
        <f>IFERROR(__xludf.DUMMYFUNCTION("GOOGLETRANSLATE(B8762,""id"",""en"")"),"['Card', 'Sultan', 'Network', 'Leet', 'Telkomsel', 'Nipu', 'Community', 'Gini', 'Change', 'Operator']")</f>
        <v>['Card', 'Sultan', 'Network', 'Leet', 'Telkomsel', 'Nipu', 'Community', 'Gini', 'Change', 'Operator']</v>
      </c>
      <c r="D8762" s="3">
        <v>1.0</v>
      </c>
    </row>
    <row r="8763" ht="15.75" customHeight="1">
      <c r="A8763" s="1">
        <v>9245.0</v>
      </c>
      <c r="B8763" s="3" t="s">
        <v>8418</v>
      </c>
      <c r="C8763" s="3" t="str">
        <f>IFERROR(__xludf.DUMMYFUNCTION("GOOGLETRANSLATE(B8763,""id"",""en"")"),"['friend', 'friend', 'Mending', 'Change', 'card', 'use', 'Telkomsel', 'Trima', 'telephone', 'internet', 'card', 'smartfren', ' card ',' IM ',' Oredo ',' good ',' Gaes', 'hope', 'move', 'operator']")</f>
        <v>['friend', 'friend', 'Mending', 'Change', 'card', 'use', 'Telkomsel', 'Trima', 'telephone', 'internet', 'card', 'smartfren', ' card ',' IM ',' Oredo ',' good ',' Gaes', 'hope', 'move', 'operator']</v>
      </c>
      <c r="D8763" s="3">
        <v>1.0</v>
      </c>
    </row>
    <row r="8764" ht="15.75" customHeight="1">
      <c r="A8764" s="1">
        <v>9246.0</v>
      </c>
      <c r="B8764" s="3" t="s">
        <v>8419</v>
      </c>
      <c r="C8764" s="3" t="str">
        <f>IFERROR(__xludf.DUMMYFUNCTION("GOOGLETRANSLATE(B8764,""id"",""en"")"),"['already', 'Download', 'open', 'Telkomsel', 'list', 'Heating', 'missing', 'told', 'Load', 'reset', 'please', 'Honest', ' Mending ',' Telkomsel ',' ']")</f>
        <v>['already', 'Download', 'open', 'Telkomsel', 'list', 'Heating', 'missing', 'told', 'Load', 'reset', 'please', 'Honest', ' Mending ',' Telkomsel ',' ']</v>
      </c>
      <c r="D8764" s="3">
        <v>1.0</v>
      </c>
    </row>
    <row r="8765" ht="15.75" customHeight="1">
      <c r="A8765" s="1">
        <v>9247.0</v>
      </c>
      <c r="B8765" s="3" t="s">
        <v>8420</v>
      </c>
      <c r="C8765" s="3" t="str">
        <f>IFERROR(__xludf.DUMMYFUNCTION("GOOGLETRANSLATE(B8765,""id"",""en"")"),"['Telkomsel', 'sucked', 'pulse', 'quota', 'internet', 'pulse', 'rupiah', 'buy', 'pulse', 'money', 'pulse', 'thousand', ' Telkomsel ',' crisis', 'pandemic', '']")</f>
        <v>['Telkomsel', 'sucked', 'pulse', 'quota', 'internet', 'pulse', 'rupiah', 'buy', 'pulse', 'money', 'pulse', 'thousand', ' Telkomsel ',' crisis', 'pandemic', '']</v>
      </c>
      <c r="D8765" s="3">
        <v>1.0</v>
      </c>
    </row>
    <row r="8766" ht="15.75" customHeight="1">
      <c r="A8766" s="1">
        <v>9248.0</v>
      </c>
      <c r="B8766" s="3" t="s">
        <v>8421</v>
      </c>
      <c r="C8766" s="3" t="str">
        <f>IFERROR(__xludf.DUMMYFUNCTION("GOOGLETRANSLATE(B8766,""id"",""en"")"),"['usually', 'sucked', 'pulse', 'trs',' package ',' odd ',' in ',' price ',' marketing ',' leech ',' land ',' Telkomsel ',' tar ',' leftover ',' pulse ',' sucked ',' deh ']")</f>
        <v>['usually', 'sucked', 'pulse', 'trs',' package ',' odd ',' in ',' price ',' marketing ',' leech ',' land ',' Telkomsel ',' tar ',' leftover ',' pulse ',' sucked ',' deh ']</v>
      </c>
      <c r="D8766" s="3">
        <v>1.0</v>
      </c>
    </row>
    <row r="8767" ht="15.75" customHeight="1">
      <c r="A8767" s="1">
        <v>9249.0</v>
      </c>
      <c r="B8767" s="3" t="s">
        <v>8422</v>
      </c>
      <c r="C8767" s="3" t="str">
        <f>IFERROR(__xludf.DUMMYFUNCTION("GOOGLETRANSLATE(B8767,""id"",""en"")"),"['The application', 'SDA', 'STAY', 'Network', 'Telkomsel', 'Error', 'Use', 'Telkomsel', 'Kenpa', 'Skarang', 'Leisa', 'Leet', ' Enhanced ',' Strength ',' The Line ',' Reduced ',' Sorry ',' Use ',' Telkomsel ',' ']")</f>
        <v>['The application', 'SDA', 'STAY', 'Network', 'Telkomsel', 'Error', 'Use', 'Telkomsel', 'Kenpa', 'Skarang', 'Leisa', 'Leet', ' Enhanced ',' Strength ',' The Line ',' Reduced ',' Sorry ',' Use ',' Telkomsel ',' ']</v>
      </c>
      <c r="D8767" s="3">
        <v>3.0</v>
      </c>
    </row>
    <row r="8768" ht="15.75" customHeight="1">
      <c r="A8768" s="1">
        <v>9250.0</v>
      </c>
      <c r="B8768" s="3" t="s">
        <v>8423</v>
      </c>
      <c r="C8768" s="3" t="str">
        <f>IFERROR(__xludf.DUMMYFUNCTION("GOOGLETRANSLATE(B8768,""id"",""en"")"),"['slow', 'buy', 'Package', 'CONT', 'YOU']")</f>
        <v>['slow', 'buy', 'Package', 'CONT', 'YOU']</v>
      </c>
      <c r="D8768" s="3">
        <v>1.0</v>
      </c>
    </row>
    <row r="8769" ht="15.75" customHeight="1">
      <c r="A8769" s="1">
        <v>9251.0</v>
      </c>
      <c r="B8769" s="3" t="s">
        <v>8424</v>
      </c>
      <c r="C8769" s="3" t="str">
        <f>IFERROR(__xludf.DUMMYFUNCTION("GOOGLETRANSLATE(B8769,""id"",""en"")"),"['usually', 'sorry', 'kaka', 'improvement', 'provider', 'country', 'quality', 'item', 'garbage', 'cave', 'bought', 'debt', ' GB ',' package ',' cave ',' can ',' buy ',' real ',' full ',' speed ',' signal ',' slow ',' rich ',' product ',' rubbish ' ]")</f>
        <v>['usually', 'sorry', 'kaka', 'improvement', 'provider', 'country', 'quality', 'item', 'garbage', 'cave', 'bought', 'debt', ' GB ',' package ',' cave ',' can ',' buy ',' real ',' full ',' speed ',' signal ',' slow ',' rich ',' product ',' rubbish ' ]</v>
      </c>
      <c r="D8769" s="3">
        <v>1.0</v>
      </c>
    </row>
    <row r="8770" ht="15.75" customHeight="1">
      <c r="A8770" s="1">
        <v>9252.0</v>
      </c>
      <c r="B8770" s="3" t="s">
        <v>8425</v>
      </c>
      <c r="C8770" s="3" t="str">
        <f>IFERROR(__xludf.DUMMYFUNCTION("GOOGLETRANSLATE(B8770,""id"",""en"")"),"['Customer', 'Telkomsel', 'NOT', 'CHEAP', 'PACKAGE', 'COMPETITION', 'Relax', 'bought', 'expensive', 'Telkomsel', 'Severe', ""]")</f>
        <v>['Customer', 'Telkomsel', 'NOT', 'CHEAP', 'PACKAGE', 'COMPETITION', 'Relax', 'bought', 'expensive', 'Telkomsel', 'Severe', "]</v>
      </c>
      <c r="D8770" s="3">
        <v>1.0</v>
      </c>
    </row>
    <row r="8771" ht="15.75" customHeight="1">
      <c r="A8771" s="1">
        <v>9253.0</v>
      </c>
      <c r="B8771" s="3" t="s">
        <v>8426</v>
      </c>
      <c r="C8771" s="3" t="str">
        <f>IFERROR(__xludf.DUMMYFUNCTION("GOOGLETRANSLATE(B8771,""id"",""en"")"),"['Telkomsel', 'no' package ',' data ',' telephone ',' etc. ',' super ',' expensive ',' forgiveness ',' mainly ',' expensive ',' network ',' Super ',' slow ',' ']")</f>
        <v>['Telkomsel', 'no' package ',' data ',' telephone ',' etc. ',' super ',' expensive ',' forgiveness ',' mainly ',' expensive ',' network ',' Super ',' slow ',' ']</v>
      </c>
      <c r="D8771" s="3">
        <v>1.0</v>
      </c>
    </row>
    <row r="8772" ht="15.75" customHeight="1">
      <c r="A8772" s="1">
        <v>9254.0</v>
      </c>
      <c r="B8772" s="3" t="s">
        <v>8427</v>
      </c>
      <c r="C8772" s="3" t="str">
        <f>IFERROR(__xludf.DUMMYFUNCTION("GOOGLETRANSLATE(B8772,""id"",""en"")"),"['Good', 'just', 'sometimes',' package ',' delay ',' blpas', 'bought', 'please', 'fix', 'min', 'complicated', 'bat', ' Not bad ',' good ',' star ',' GPP ',' ']")</f>
        <v>['Good', 'just', 'sometimes',' package ',' delay ',' blpas', 'bought', 'please', 'fix', 'min', 'complicated', 'bat', ' Not bad ',' good ',' star ',' GPP ',' ']</v>
      </c>
      <c r="D8772" s="3">
        <v>4.0</v>
      </c>
    </row>
    <row r="8773" ht="15.75" customHeight="1">
      <c r="A8773" s="1">
        <v>9255.0</v>
      </c>
      <c r="B8773" s="3" t="s">
        <v>8428</v>
      </c>
      <c r="C8773" s="3" t="str">
        <f>IFERROR(__xludf.DUMMYFUNCTION("GOOGLETRANSLATE(B8773,""id"",""en"")"),"['network', 'repaired', 'should', 'class',' Telkomsel ',' shame ',' problematic ',' network ',' Telkomsel ',' dummers', 'provider', 'consumer', ' use', '']")</f>
        <v>['network', 'repaired', 'should', 'class',' Telkomsel ',' shame ',' problematic ',' network ',' Telkomsel ',' dummers', 'provider', 'consumer', ' use', '']</v>
      </c>
      <c r="D8773" s="3">
        <v>1.0</v>
      </c>
    </row>
    <row r="8774" ht="15.75" customHeight="1">
      <c r="A8774" s="1">
        <v>9256.0</v>
      </c>
      <c r="B8774" s="3" t="s">
        <v>8429</v>
      </c>
      <c r="C8774" s="3" t="str">
        <f>IFERROR(__xludf.DUMMYFUNCTION("GOOGLETRANSLATE(B8774,""id"",""en"")"),"['expensive', 'package', 'signal', 'sometimes',' like ',' stable ',' hospot ',' laptop ',' severe ',' really ',' slow ',' price ',' Paketan ',' Consistent ',' Change ',' Change ',' Price ',' Terips', ""]")</f>
        <v>['expensive', 'package', 'signal', 'sometimes',' like ',' stable ',' hospot ',' laptop ',' severe ',' really ',' slow ',' price ',' Paketan ',' Consistent ',' Change ',' Change ',' Price ',' Terips', "]</v>
      </c>
      <c r="D8774" s="3">
        <v>2.0</v>
      </c>
    </row>
    <row r="8775" ht="15.75" customHeight="1">
      <c r="A8775" s="1">
        <v>9257.0</v>
      </c>
      <c r="B8775" s="3" t="s">
        <v>8430</v>
      </c>
      <c r="C8775" s="3" t="str">
        <f>IFERROR(__xludf.DUMMYFUNCTION("GOOGLETRANSLATE(B8775,""id"",""en"")"),"['Help', 'price', 'offered', 'Hadia', 'enthusiasm', 'exchanges', 'coin', 'achieved', 'can', 'gone', 'heheeee']")</f>
        <v>['Help', 'price', 'offered', 'Hadia', 'enthusiasm', 'exchanges', 'coin', 'achieved', 'can', 'gone', 'heheeee']</v>
      </c>
      <c r="D8775" s="3">
        <v>4.0</v>
      </c>
    </row>
    <row r="8776" ht="15.75" customHeight="1">
      <c r="A8776" s="1">
        <v>9258.0</v>
      </c>
      <c r="B8776" s="3" t="s">
        <v>8431</v>
      </c>
      <c r="C8776" s="3" t="str">
        <f>IFERROR(__xludf.DUMMYFUNCTION("GOOGLETRANSLATE(B8776,""id"",""en"")"),"['Star', 'Khan', 'expensive', 'love', 'star', 'hotel', 'star', 'expensive', '']")</f>
        <v>['Star', 'Khan', 'expensive', 'love', 'star', 'hotel', 'star', 'expensive', '']</v>
      </c>
      <c r="D8776" s="3">
        <v>5.0</v>
      </c>
    </row>
    <row r="8777" ht="15.75" customHeight="1">
      <c r="A8777" s="1">
        <v>9259.0</v>
      </c>
      <c r="B8777" s="3" t="s">
        <v>8432</v>
      </c>
      <c r="C8777" s="3" t="str">
        <f>IFERROR(__xludf.DUMMYFUNCTION("GOOGLETRANSLATE(B8777,""id"",""en"")"),"['network', 'internet', 'area', 'chaotic', 'traveling', 'area', 'rural', 'decent', 'crowded', 'network', 'internet', 'Telkomsel', ' bad', '']")</f>
        <v>['network', 'internet', 'area', 'chaotic', 'traveling', 'area', 'rural', 'decent', 'crowded', 'network', 'internet', 'Telkomsel', ' bad', '']</v>
      </c>
      <c r="D8777" s="3">
        <v>1.0</v>
      </c>
    </row>
    <row r="8778" ht="15.75" customHeight="1">
      <c r="A8778" s="1">
        <v>9260.0</v>
      </c>
      <c r="B8778" s="3" t="s">
        <v>8433</v>
      </c>
      <c r="C8778" s="3" t="str">
        <f>IFERROR(__xludf.DUMMYFUNCTION("GOOGLETRANSLATE(B8778,""id"",""en"")"),"['Telkomsel', 'Kontoll', 'Update', 'Teros', 'Network', 'repaired', '']")</f>
        <v>['Telkomsel', 'Kontoll', 'Update', 'Teros', 'Network', 'repaired', '']</v>
      </c>
      <c r="D8778" s="3">
        <v>1.0</v>
      </c>
    </row>
    <row r="8779" ht="15.75" customHeight="1">
      <c r="A8779" s="1">
        <v>9261.0</v>
      </c>
      <c r="B8779" s="3" t="s">
        <v>8434</v>
      </c>
      <c r="C8779" s="3" t="str">
        <f>IFERROR(__xludf.DUMMYFUNCTION("GOOGLETRANSLATE(B8779,""id"",""en"")"),"['Package', 'expensive', 'Teparted', 'Tele', 'Combo', 'skrg', 'Call', 'Delete', 'Combo', 'Sakti', 'Unlimited', 'Max', ' Loss', 'GB', 'Instagram', 'ICT', 'Tokk', 'Etc.', ""]")</f>
        <v>['Package', 'expensive', 'Teparted', 'Tele', 'Combo', 'skrg', 'Call', 'Delete', 'Combo', 'Sakti', 'Unlimited', 'Max', ' Loss', 'GB', 'Instagram', 'ICT', 'Tokk', 'Etc.', "]</v>
      </c>
      <c r="D8779" s="3">
        <v>1.0</v>
      </c>
    </row>
    <row r="8780" ht="15.75" customHeight="1">
      <c r="A8780" s="1">
        <v>9262.0</v>
      </c>
      <c r="B8780" s="3" t="s">
        <v>8435</v>
      </c>
      <c r="C8780" s="3" t="str">
        <f>IFERROR(__xludf.DUMMYFUNCTION("GOOGLETRANSLATE(B8780,""id"",""en"")"),"['Main', 'Loading', 'Network', 'Package', 'Expensive', 'Please', 'Repaired', 'Jngan', 'Eat', 'Pnghat', 'above', 'Suffering', ' person']")</f>
        <v>['Main', 'Loading', 'Network', 'Package', 'Expensive', 'Please', 'Repaired', 'Jngan', 'Eat', 'Pnghat', 'above', 'Suffering', ' person']</v>
      </c>
      <c r="D8780" s="3">
        <v>1.0</v>
      </c>
    </row>
    <row r="8781" ht="15.75" customHeight="1">
      <c r="A8781" s="1">
        <v>9263.0</v>
      </c>
      <c r="B8781" s="3" t="s">
        <v>8436</v>
      </c>
      <c r="C8781" s="3" t="str">
        <f>IFERROR(__xludf.DUMMYFUNCTION("GOOGLETRANSLATE(B8781,""id"",""en"")"),"['hahaha', 'buy', 'package', 'application', 'Telkomsel', 'response', 'really', 'minutes',' transaction ',' process', 'package', 'enter', ' Lose ',' landslide ',' ama ',' provider ',' BUMN ',' yaaaaaaaaaaaaaaaaaaaaaaaaaaaa")</f>
        <v>['hahaha', 'buy', 'package', 'application', 'Telkomsel', 'response', 'really', 'minutes',' transaction ',' process', 'package', 'enter', ' Lose ',' landslide ',' ama ',' provider ',' BUMN ',' yaaaaaaaaaaaaaaaaaaaaaaaaaaaa</v>
      </c>
      <c r="D8781" s="3">
        <v>1.0</v>
      </c>
    </row>
    <row r="8782" ht="15.75" customHeight="1">
      <c r="A8782" s="1">
        <v>9264.0</v>
      </c>
      <c r="B8782" s="3" t="s">
        <v>8437</v>
      </c>
      <c r="C8782" s="3" t="str">
        <f>IFERROR(__xludf.DUMMYFUNCTION("GOOGLETRANSLATE(B8782,""id"",""en"")"),"['The application', 'Ngeblank', 'Telkomsel', 'ugly', 'network', 'slow', 'really', 'application', 'accessible', 'quota', 'expensive', 'price', ' According to ',' Dipplet ', ""]")</f>
        <v>['The application', 'Ngeblank', 'Telkomsel', 'ugly', 'network', 'slow', 'really', 'application', 'accessible', 'quota', 'expensive', 'price', ' According to ',' Dipplet ', "]</v>
      </c>
      <c r="D8782" s="3">
        <v>1.0</v>
      </c>
    </row>
    <row r="8783" ht="15.75" customHeight="1">
      <c r="A8783" s="1">
        <v>9265.0</v>
      </c>
      <c r="B8783" s="3" t="s">
        <v>8438</v>
      </c>
      <c r="C8783" s="3" t="str">
        <f>IFERROR(__xludf.DUMMYFUNCTION("GOOGLETRANSLATE(B8783,""id"",""en"")"),"['Buy', 'Game', 'Google', 'Play', 'Pay', 'Telkomsel', 'Payment', 'Already', 'Enter', 'Bill', 'Game', 'Nambah', ' ']")</f>
        <v>['Buy', 'Game', 'Google', 'Play', 'Pay', 'Telkomsel', 'Payment', 'Already', 'Enter', 'Bill', 'Game', 'Nambah', ' ']</v>
      </c>
      <c r="D8783" s="3">
        <v>1.0</v>
      </c>
    </row>
    <row r="8784" ht="15.75" customHeight="1">
      <c r="A8784" s="1">
        <v>9266.0</v>
      </c>
      <c r="B8784" s="3" t="s">
        <v>8439</v>
      </c>
      <c r="C8784" s="3" t="str">
        <f>IFERROR(__xludf.DUMMYFUNCTION("GOOGLETRANSLATE(B8784,""id"",""en"")"),"['The network', 'ugly', 'buy', 'package', 'expensive', 'watch', 'youtube', 'difficult', 'play', 'game', 'mending', 'operator', ' Watch ',' YouTube ',' Media ',' Social ',' Network ',' Stable ',' Package ',' Cheap ',' ']")</f>
        <v>['The network', 'ugly', 'buy', 'package', 'expensive', 'watch', 'youtube', 'difficult', 'play', 'game', 'mending', 'operator', ' Watch ',' YouTube ',' Media ',' Social ',' Network ',' Stable ',' Package ',' Cheap ',' ']</v>
      </c>
      <c r="D8784" s="3">
        <v>1.0</v>
      </c>
    </row>
    <row r="8785" ht="15.75" customHeight="1">
      <c r="A8785" s="1">
        <v>9267.0</v>
      </c>
      <c r="B8785" s="3" t="s">
        <v>8440</v>
      </c>
      <c r="C8785" s="3" t="str">
        <f>IFERROR(__xludf.DUMMYFUNCTION("GOOGLETRANSLATE(B8785,""id"",""en"")"),"['', 'Install', 'since', 'update', 'mentok', 'empty']")</f>
        <v>['', 'Install', 'since', 'update', 'mentok', 'empty']</v>
      </c>
      <c r="D8785" s="3">
        <v>1.0</v>
      </c>
    </row>
    <row r="8786" ht="15.75" customHeight="1">
      <c r="A8786" s="1">
        <v>9268.0</v>
      </c>
      <c r="B8786" s="3" t="s">
        <v>8441</v>
      </c>
      <c r="C8786" s="3" t="str">
        <f>IFERROR(__xludf.DUMMYFUNCTION("GOOGLETRANSLATE(B8786,""id"",""en"")"),"['Application', 'updated', 'Download', 'told', 'Update', 'Telkomsel']")</f>
        <v>['Application', 'updated', 'Download', 'told', 'Update', 'Telkomsel']</v>
      </c>
      <c r="D8786" s="3">
        <v>2.0</v>
      </c>
    </row>
    <row r="8787" ht="15.75" customHeight="1">
      <c r="A8787" s="1">
        <v>9269.0</v>
      </c>
      <c r="B8787" s="3" t="s">
        <v>8442</v>
      </c>
      <c r="C8787" s="3" t="str">
        <f>IFERROR(__xludf.DUMMYFUNCTION("GOOGLETRANSLATE(B8787,""id"",""en"")"),"['Network', 'Please', 'Fix', 'KB', 'Severe', 'People', 'Save', 'Downlod', 'File', 'Gede', 'MB', 'FAIL', ' Gara ',' Gara ',' signal ',' location ',' Cikarang ']")</f>
        <v>['Network', 'Please', 'Fix', 'KB', 'Severe', 'People', 'Save', 'Downlod', 'File', 'Gede', 'MB', 'FAIL', ' Gara ',' Gara ',' signal ',' location ',' Cikarang ']</v>
      </c>
      <c r="D8787" s="3">
        <v>1.0</v>
      </c>
    </row>
    <row r="8788" ht="15.75" customHeight="1">
      <c r="A8788" s="1">
        <v>9270.0</v>
      </c>
      <c r="B8788" s="3" t="s">
        <v>8443</v>
      </c>
      <c r="C8788" s="3" t="str">
        <f>IFERROR(__xludf.DUMMYFUNCTION("GOOGLETRANSLATE(B8788,""id"",""en"")"),"['Delicious', 'use', 'IM', 'RB', 'Telkomsel', 'RB', 'full', 'just', 'GB', ""]")</f>
        <v>['Delicious', 'use', 'IM', 'RB', 'Telkomsel', 'RB', 'full', 'just', 'GB', "]</v>
      </c>
      <c r="D8788" s="3">
        <v>2.0</v>
      </c>
    </row>
    <row r="8789" ht="15.75" customHeight="1">
      <c r="A8789" s="1">
        <v>9271.0</v>
      </c>
      <c r="B8789" s="3" t="s">
        <v>8444</v>
      </c>
      <c r="C8789" s="3" t="str">
        <f>IFERROR(__xludf.DUMMYFUNCTION("GOOGLETRANSLATE(B8789,""id"",""en"")"),"['Xevia every', 'times',' buy ',' quota ',' written ',' purchase ',' limit ',' usage ',' quota ',' internet ',' buy ',' check ',' Reduced ',' please ',' repaired ',' disappointing ',' customer ',' loyal ',' Telkomsel ',' ']")</f>
        <v>['Xevia every', 'times',' buy ',' quota ',' written ',' purchase ',' limit ',' usage ',' quota ',' internet ',' buy ',' check ',' Reduced ',' please ',' repaired ',' disappointing ',' customer ',' loyal ',' Telkomsel ',' ']</v>
      </c>
      <c r="D8789" s="3">
        <v>1.0</v>
      </c>
    </row>
    <row r="8790" ht="15.75" customHeight="1">
      <c r="A8790" s="1">
        <v>9272.0</v>
      </c>
      <c r="B8790" s="3" t="s">
        <v>8445</v>
      </c>
      <c r="C8790" s="3" t="str">
        <f>IFERROR(__xludf.DUMMYFUNCTION("GOOGLETRANSLATE(B8790,""id"",""en"")"),"['The network', 'Severe', 'really', 'ilang', 'network', 'internet', 'severe', 'severe', 'severe', 'severe', 'parahh', 'please', ' Repaired ',' consumer ',' Disrupted ',' MSLH ',' SPRTI ']")</f>
        <v>['The network', 'Severe', 'really', 'ilang', 'network', 'internet', 'severe', 'severe', 'severe', 'severe', 'parahh', 'please', ' Repaired ',' consumer ',' Disrupted ',' MSLH ',' SPRTI ']</v>
      </c>
      <c r="D8790" s="3">
        <v>1.0</v>
      </c>
    </row>
    <row r="8791" ht="15.75" customHeight="1">
      <c r="A8791" s="1">
        <v>9273.0</v>
      </c>
      <c r="B8791" s="3" t="s">
        <v>8446</v>
      </c>
      <c r="C8791" s="3" t="str">
        <f>IFERROR(__xludf.DUMMYFUNCTION("GOOGLETRANSLATE(B8791,""id"",""en"")"),"['fill', 'pulses',' sumps', 'fill in', 'pulse', 'payment', 'funds',' balance ',' accompanied ',' pulses', 'entry', ' fill in ',' rb ',' Not bad ',' enter ',' fill out ',' pulse ',' rb ',' pakek ',' rb ',' left ',' rb ',' shaped ',' pulse ' , 'Sumpot', 'fi"&amp;"ll', '']")</f>
        <v>['fill', 'pulses',' sumps', 'fill in', 'pulse', 'payment', 'funds',' balance ',' accompanied ',' pulses', 'entry', ' fill in ',' rb ',' Not bad ',' enter ',' fill out ',' pulse ',' rb ',' pakek ',' rb ',' left ',' rb ',' shaped ',' pulse ' , 'Sumpot', 'fill', '']</v>
      </c>
      <c r="D8791" s="3">
        <v>2.0</v>
      </c>
    </row>
    <row r="8792" ht="15.75" customHeight="1">
      <c r="A8792" s="1">
        <v>9274.0</v>
      </c>
      <c r="B8792" s="3" t="s">
        <v>8447</v>
      </c>
      <c r="C8792" s="3" t="str">
        <f>IFERROR(__xludf.DUMMYFUNCTION("GOOGLETRANSLATE(B8792,""id"",""en"")"),"['sucked', 'pulse', 'astagfirullah', 'discensed', 'call', 'slow', 'signal', 'internet', 'stable', 'card', 'already', 'migration', ' package ',' internet ',' expensive ',' forgiveness', 'waste', 'card']")</f>
        <v>['sucked', 'pulse', 'astagfirullah', 'discensed', 'call', 'slow', 'signal', 'internet', 'stable', 'card', 'already', 'migration', ' package ',' internet ',' expensive ',' forgiveness', 'waste', 'card']</v>
      </c>
      <c r="D8792" s="3">
        <v>1.0</v>
      </c>
    </row>
    <row r="8793" ht="15.75" customHeight="1">
      <c r="A8793" s="1">
        <v>9275.0</v>
      </c>
      <c r="B8793" s="3" t="s">
        <v>8448</v>
      </c>
      <c r="C8793" s="3" t="str">
        <f>IFERROR(__xludf.DUMMYFUNCTION("GOOGLETRANSLATE(B8793,""id"",""en"")"),"['regret', 'buy', 'package', 'Telkomsel', 'slow', 'really', 'expensive', 'doang', 'already', 'Telkomsel', 'ugly', 'network', ' Colently ',' Love ',' Star ',' Disappointed ',' ']")</f>
        <v>['regret', 'buy', 'package', 'Telkomsel', 'slow', 'really', 'expensive', 'doang', 'already', 'Telkomsel', 'ugly', 'network', ' Colently ',' Love ',' Star ',' Disappointed ',' ']</v>
      </c>
      <c r="D8793" s="3">
        <v>1.0</v>
      </c>
    </row>
    <row r="8794" ht="15.75" customHeight="1">
      <c r="A8794" s="1">
        <v>9276.0</v>
      </c>
      <c r="B8794" s="3" t="s">
        <v>8449</v>
      </c>
      <c r="C8794" s="3" t="str">
        <f>IFERROR(__xludf.DUMMYFUNCTION("GOOGLETRANSLATE(B8794,""id"",""en"")"),"['Please', 'the network', 'fix', 'missing', 'network', 'internet', 'minutes', 'doang', 'direct', 'down', 'direct', 'ilang']")</f>
        <v>['Please', 'the network', 'fix', 'missing', 'network', 'internet', 'minutes', 'doang', 'direct', 'down', 'direct', 'ilang']</v>
      </c>
      <c r="D8794" s="3">
        <v>1.0</v>
      </c>
    </row>
    <row r="8795" ht="15.75" customHeight="1">
      <c r="A8795" s="1">
        <v>9277.0</v>
      </c>
      <c r="B8795" s="3" t="s">
        <v>8450</v>
      </c>
      <c r="C8795" s="3" t="str">
        <f>IFERROR(__xludf.DUMMYFUNCTION("GOOGLETRANSLATE(B8795,""id"",""en"")"),"['enter', 'application', 'difficult', 'times',' yaa ',' request ',' kelen ',' entry ',' twitter ',' tracet ',' muter ',' entered ',' Number ',' in ',' Link ',' SMS ',' dizziness', 'times',' see ',' apk ',' kelen ',' ']")</f>
        <v>['enter', 'application', 'difficult', 'times',' yaa ',' request ',' kelen ',' entry ',' twitter ',' tracet ',' muter ',' entered ',' Number ',' in ',' Link ',' SMS ',' dizziness', 'times',' see ',' apk ',' kelen ',' ']</v>
      </c>
      <c r="D8795" s="3">
        <v>1.0</v>
      </c>
    </row>
    <row r="8796" ht="15.75" customHeight="1">
      <c r="A8796" s="1">
        <v>9278.0</v>
      </c>
      <c r="B8796" s="3" t="s">
        <v>8451</v>
      </c>
      <c r="C8796" s="3" t="str">
        <f>IFERROR(__xludf.DUMMYFUNCTION("GOOGLETRANSLATE(B8796,""id"",""en"")"),"['Sorry', 'Kasi', 'Bintang', 'Dlu', 'Network', 'Telkomsel', 'Region', 'Ngak', 'Normal', 'Sometimes',' Good ',' Sometimes', ' ugly ',' please ',' min ',' fix ',' network ',' normal ',' ']")</f>
        <v>['Sorry', 'Kasi', 'Bintang', 'Dlu', 'Network', 'Telkomsel', 'Region', 'Ngak', 'Normal', 'Sometimes',' Good ',' Sometimes', ' ugly ',' please ',' min ',' fix ',' network ',' normal ',' ']</v>
      </c>
      <c r="D8796" s="3">
        <v>3.0</v>
      </c>
    </row>
    <row r="8797" ht="15.75" customHeight="1">
      <c r="A8797" s="1">
        <v>9279.0</v>
      </c>
      <c r="B8797" s="3" t="s">
        <v>8452</v>
      </c>
      <c r="C8797" s="3" t="str">
        <f>IFERROR(__xludf.DUMMYFUNCTION("GOOGLETRANSLATE(B8797,""id"",""en"")"),"['open', 'sosmed', 'good', 'signal', 'download', 'application', 'low', 'choice', 'shopping', 'package', 'data', 'decent', ' Love ',' discount ',' intention ',' love ',' discount ',' price ',' add ',' overall ',' application ',' good ']")</f>
        <v>['open', 'sosmed', 'good', 'signal', 'download', 'application', 'low', 'choice', 'shopping', 'package', 'data', 'decent', ' Love ',' discount ',' intention ',' love ',' discount ',' price ',' add ',' overall ',' application ',' good ']</v>
      </c>
      <c r="D8797" s="3">
        <v>4.0</v>
      </c>
    </row>
    <row r="8798" ht="15.75" customHeight="1">
      <c r="A8798" s="1">
        <v>9280.0</v>
      </c>
      <c r="B8798" s="3" t="s">
        <v>8453</v>
      </c>
      <c r="C8798" s="3" t="str">
        <f>IFERROR(__xludf.DUMMYFUNCTION("GOOGLETRANSLATE(B8798,""id"",""en"")"),"['complained', 'friend', 'network', 'thread', 'tangled', 'Sefot', 'pulse', 'telephone', 'appears',' trdest ',' dialed ',' internet ',' buy ',' quota ',' keuang ',' use ',' gmn ',' telkom ',' please ',' fix ',' ']")</f>
        <v>['complained', 'friend', 'network', 'thread', 'tangled', 'Sefot', 'pulse', 'telephone', 'appears',' trdest ',' dialed ',' internet ',' buy ',' quota ',' keuang ',' use ',' gmn ',' telkom ',' please ',' fix ',' ']</v>
      </c>
      <c r="D8798" s="3">
        <v>1.0</v>
      </c>
    </row>
    <row r="8799" ht="15.75" customHeight="1">
      <c r="A8799" s="1">
        <v>9281.0</v>
      </c>
      <c r="B8799" s="3" t="s">
        <v>8454</v>
      </c>
      <c r="C8799" s="3" t="str">
        <f>IFERROR(__xludf.DUMMYFUNCTION("GOOGLETRANSLATE(B8799,""id"",""en"")"),"['Package', 'Internet', 'It's up', 'user', 'bwt', 'maxtream', 'etc.']")</f>
        <v>['Package', 'Internet', 'It's up', 'user', 'bwt', 'maxtream', 'etc.']</v>
      </c>
      <c r="D8799" s="3">
        <v>1.0</v>
      </c>
    </row>
    <row r="8800" ht="15.75" customHeight="1">
      <c r="A8800" s="1">
        <v>9282.0</v>
      </c>
      <c r="B8800" s="3" t="s">
        <v>8455</v>
      </c>
      <c r="C8800" s="3" t="str">
        <f>IFERROR(__xludf.DUMMYFUNCTION("GOOGLETRANSLATE(B8800,""id"",""en"")"),"['Network', 'slow', 'lose', 'provider', 'network', 'smooth', 'Telkomsel']")</f>
        <v>['Network', 'slow', 'lose', 'provider', 'network', 'smooth', 'Telkomsel']</v>
      </c>
      <c r="D8800" s="3">
        <v>1.0</v>
      </c>
    </row>
    <row r="8801" ht="15.75" customHeight="1">
      <c r="A8801" s="1">
        <v>9283.0</v>
      </c>
      <c r="B8801" s="3" t="s">
        <v>8456</v>
      </c>
      <c r="C8801" s="3" t="str">
        <f>IFERROR(__xludf.DUMMYFUNCTION("GOOGLETRANSLATE(B8801,""id"",""en"")"),"['', 'Ngilak', 'Paketan', 'GB', 'Internet', 'All', 'Sumpot', 'Credit', 'Untung', 'Notif', 'Nasty', 'Makai', 'Pulse ',' Internet ',' Mending ',' Change ',' Card ']")</f>
        <v>['', 'Ngilak', 'Paketan', 'GB', 'Internet', 'All', 'Sumpot', 'Credit', 'Untung', 'Notif', 'Nasty', 'Makai', 'Pulse ',' Internet ',' Mending ',' Change ',' Card ']</v>
      </c>
      <c r="D8801" s="3">
        <v>1.0</v>
      </c>
    </row>
    <row r="8802" ht="15.75" customHeight="1">
      <c r="A8802" s="1">
        <v>9284.0</v>
      </c>
      <c r="B8802" s="3" t="s">
        <v>8457</v>
      </c>
      <c r="C8802" s="3" t="str">
        <f>IFERROR(__xludf.DUMMYFUNCTION("GOOGLETRANSLATE(B8802,""id"",""en"")"),"['buy', 'package', 'data', 'Disney', 'Hotstar', 'open', 'Disney', 'hotstar', 'reduce', 'quota', 'equal', 'quota', ' Multimedia ',' no ',' quota ',' main ',' eat ',' service ',' Disney ',' hotstar ',' what ',' hoax ',' open ',' application ',' MyTelkomsel "&amp;"' , 'See', 'data', 'Flow', 'stream', 'data', 'rich', 'download', 'just', 'open', 'application', 'MyTelkomsel', 'data', ' The road ',' KBP ',' GB ',' wasteful ',' No ',' Believe ',' Description ',' Package ',' Check ']")</f>
        <v>['buy', 'package', 'data', 'Disney', 'Hotstar', 'open', 'Disney', 'hotstar', 'reduce', 'quota', 'equal', 'quota', ' Multimedia ',' no ',' quota ',' main ',' eat ',' service ',' Disney ',' hotstar ',' what ',' hoax ',' open ',' application ',' MyTelkomsel ' , 'See', 'data', 'Flow', 'stream', 'data', 'rich', 'download', 'just', 'open', 'application', 'MyTelkomsel', 'data', ' The road ',' KBP ',' GB ',' wasteful ',' No ',' Believe ',' Description ',' Package ',' Check ']</v>
      </c>
      <c r="D8802" s="3">
        <v>1.0</v>
      </c>
    </row>
    <row r="8803" ht="15.75" customHeight="1">
      <c r="A8803" s="1">
        <v>9285.0</v>
      </c>
      <c r="B8803" s="3" t="s">
        <v>8458</v>
      </c>
      <c r="C8803" s="3" t="str">
        <f>IFERROR(__xludf.DUMMYFUNCTION("GOOGLETRANSLATE(B8803,""id"",""en"")"),"['Disappointed', 'Ama', 'Package', 'Combo', 'Sakti', 'Price', 'Different', 'thousand', 'Unlimited', 'Quota', 'Speed', 'Kbps',' Leet ',' really ',' Description ',' Speed ​​',' Ama ',' ']")</f>
        <v>['Disappointed', 'Ama', 'Package', 'Combo', 'Sakti', 'Price', 'Different', 'thousand', 'Unlimited', 'Quota', 'Speed', 'Kbps',' Leet ',' really ',' Description ',' Speed ​​',' Ama ',' ']</v>
      </c>
      <c r="D8803" s="3">
        <v>2.0</v>
      </c>
    </row>
    <row r="8804" ht="15.75" customHeight="1">
      <c r="A8804" s="1">
        <v>9286.0</v>
      </c>
      <c r="B8804" s="3" t="s">
        <v>8459</v>
      </c>
      <c r="C8804" s="3" t="str">
        <f>IFERROR(__xludf.DUMMYFUNCTION("GOOGLETRANSLATE(B8804,""id"",""en"")"),"['already', 'update', 'kga', 'open', 'abis', 'change', 'hadeh', ""]")</f>
        <v>['already', 'update', 'kga', 'open', 'abis', 'change', 'hadeh', "]</v>
      </c>
      <c r="D8804" s="3">
        <v>1.0</v>
      </c>
    </row>
    <row r="8805" ht="15.75" customHeight="1">
      <c r="A8805" s="1">
        <v>9287.0</v>
      </c>
      <c r="B8805" s="3" t="s">
        <v>8460</v>
      </c>
      <c r="C8805" s="3" t="str">
        <f>IFERROR(__xludf.DUMMYFUNCTION("GOOGLETRANSLATE(B8805,""id"",""en"")"),"['steady', 'network', 'home', 'already', 'good', 'NMR', 'DPT', 'quota', 'cheap', '']")</f>
        <v>['steady', 'network', 'home', 'already', 'good', 'NMR', 'DPT', 'quota', 'cheap', '']</v>
      </c>
      <c r="D8805" s="3">
        <v>5.0</v>
      </c>
    </row>
    <row r="8806" ht="15.75" customHeight="1">
      <c r="A8806" s="1">
        <v>9288.0</v>
      </c>
      <c r="B8806" s="3" t="s">
        <v>8461</v>
      </c>
      <c r="C8806" s="3" t="str">
        <f>IFERROR(__xludf.DUMMYFUNCTION("GOOGLETRANSLATE(B8806,""id"",""en"")"),"['buy', 'package', 'disorder', 'connection', 'system', 'busy', 'network', 'smooth']")</f>
        <v>['buy', 'package', 'disorder', 'connection', 'system', 'busy', 'network', 'smooth']</v>
      </c>
      <c r="D8806" s="3">
        <v>1.0</v>
      </c>
    </row>
    <row r="8807" ht="15.75" customHeight="1">
      <c r="A8807" s="1">
        <v>9289.0</v>
      </c>
      <c r="B8807" s="3" t="s">
        <v>8462</v>
      </c>
      <c r="C8807" s="3" t="str">
        <f>IFERROR(__xludf.DUMMYFUNCTION("GOOGLETRANSLATE(B8807,""id"",""en"")"),"['Good', 'check', 'update', 'quota', 'second', 'mawas', 'use', 'quota', 'mantabb']")</f>
        <v>['Good', 'check', 'update', 'quota', 'second', 'mawas', 'use', 'quota', 'mantabb']</v>
      </c>
      <c r="D8807" s="3">
        <v>5.0</v>
      </c>
    </row>
    <row r="8808" ht="15.75" customHeight="1">
      <c r="A8808" s="1">
        <v>9290.0</v>
      </c>
      <c r="B8808" s="3" t="s">
        <v>8463</v>
      </c>
      <c r="C8808" s="3" t="str">
        <f>IFERROR(__xludf.DUMMYFUNCTION("GOOGLETRANSLATE(B8808,""id"",""en"")"),"['The application', 'good', 'complaint', 'served', 'bot', 'star']")</f>
        <v>['The application', 'good', 'complaint', 'served', 'bot', 'star']</v>
      </c>
      <c r="D8808" s="3">
        <v>1.0</v>
      </c>
    </row>
    <row r="8809" ht="15.75" customHeight="1">
      <c r="A8809" s="1">
        <v>9291.0</v>
      </c>
      <c r="B8809" s="3" t="s">
        <v>8464</v>
      </c>
      <c r="C8809" s="3" t="str">
        <f>IFERROR(__xludf.DUMMYFUNCTION("GOOGLETRANSLATE(B8809,""id"",""en"")"),"['Halooo', 'min', 'advantages',' Telkomsel ',' trs', 'package', 'expensive', 'yng', 'feel', 'th', 'use', 'network', ' down ',' Telkom ',' wearer ',' proper ',' price ',' package ',' compete ',' dng ',' yng ',' cheap ',' thank ',' love ']")</f>
        <v>['Halooo', 'min', 'advantages',' Telkomsel ',' trs', 'package', 'expensive', 'yng', 'feel', 'th', 'use', 'network', ' down ',' Telkom ',' wearer ',' proper ',' price ',' package ',' compete ',' dng ',' yng ',' cheap ',' thank ',' love ']</v>
      </c>
      <c r="D8809" s="3">
        <v>3.0</v>
      </c>
    </row>
    <row r="8810" ht="15.75" customHeight="1">
      <c r="A8810" s="1">
        <v>9292.0</v>
      </c>
      <c r="B8810" s="3" t="s">
        <v>8465</v>
      </c>
      <c r="C8810" s="3" t="str">
        <f>IFERROR(__xludf.DUMMYFUNCTION("GOOGLETRANSLATE(B8810,""id"",""en"")"),"['buy', 'quota', 'data', 'OMG', 'sent', 'quota', 'gita', 'ads', 'please', 'fix', 'service']")</f>
        <v>['buy', 'quota', 'data', 'OMG', 'sent', 'quota', 'gita', 'ads', 'please', 'fix', 'service']</v>
      </c>
      <c r="D8810" s="3">
        <v>1.0</v>
      </c>
    </row>
    <row r="8811" ht="15.75" customHeight="1">
      <c r="A8811" s="1">
        <v>9293.0</v>
      </c>
      <c r="B8811" s="3" t="s">
        <v>8466</v>
      </c>
      <c r="C8811" s="3" t="str">
        <f>IFERROR(__xludf.DUMMYFUNCTION("GOOGLETRANSLATE(B8811,""id"",""en"")"),"['Application', 'good', 'booong']")</f>
        <v>['Application', 'good', 'booong']</v>
      </c>
      <c r="D8811" s="3">
        <v>5.0</v>
      </c>
    </row>
    <row r="8812" ht="15.75" customHeight="1">
      <c r="A8812" s="1">
        <v>9294.0</v>
      </c>
      <c r="B8812" s="3" t="s">
        <v>8467</v>
      </c>
      <c r="C8812" s="3" t="str">
        <f>IFERROR(__xludf.DUMMYFUNCTION("GOOGLETRANSLATE(B8812,""id"",""en"")"),"['', 'like', 'application']")</f>
        <v>['', 'like', 'application']</v>
      </c>
      <c r="D8812" s="3">
        <v>5.0</v>
      </c>
    </row>
    <row r="8813" ht="15.75" customHeight="1">
      <c r="A8813" s="1">
        <v>9295.0</v>
      </c>
      <c r="B8813" s="3" t="s">
        <v>8468</v>
      </c>
      <c r="C8813" s="3" t="str">
        <f>IFERROR(__xludf.DUMMYFUNCTION("GOOGLETRANSLATE(B8813,""id"",""en"")"),"['The application', 'good', 'useful', 'makes it easy', 'transaction', '']")</f>
        <v>['The application', 'good', 'useful', 'makes it easy', 'transaction', '']</v>
      </c>
      <c r="D8813" s="3">
        <v>5.0</v>
      </c>
    </row>
    <row r="8814" ht="15.75" customHeight="1">
      <c r="A8814" s="1">
        <v>9296.0</v>
      </c>
      <c r="B8814" s="3" t="s">
        <v>8469</v>
      </c>
      <c r="C8814" s="3" t="str">
        <f>IFERROR(__xludf.DUMMYFUNCTION("GOOGLETRANSLATE(B8814,""id"",""en"")"),"['buy', 'Package', 'Combo', 'Sakti', 'Kouta', 'main', 'Out', 'open', 'sosmed', 'open', 'sosmed', 'sad', ' as soon as', 'open', 'sosmed', 'complete']")</f>
        <v>['buy', 'Package', 'Combo', 'Sakti', 'Kouta', 'main', 'Out', 'open', 'sosmed', 'open', 'sosmed', 'sad', ' as soon as', 'open', 'sosmed', 'complete']</v>
      </c>
      <c r="D8814" s="3">
        <v>1.0</v>
      </c>
    </row>
    <row r="8815" ht="15.75" customHeight="1">
      <c r="A8815" s="1">
        <v>9297.0</v>
      </c>
      <c r="B8815" s="3" t="s">
        <v>8470</v>
      </c>
      <c r="C8815" s="3" t="str">
        <f>IFERROR(__xludf.DUMMYFUNCTION("GOOGLETRANSLATE(B8815,""id"",""en"")"),"['Paketan', 'Min', 'wife', 'Different', 'package', 'internet', 'expensive', 'wife']")</f>
        <v>['Paketan', 'Min', 'wife', 'Different', 'package', 'internet', 'expensive', 'wife']</v>
      </c>
      <c r="D8815" s="3">
        <v>1.0</v>
      </c>
    </row>
    <row r="8816" ht="15.75" customHeight="1">
      <c r="A8816" s="1">
        <v>9298.0</v>
      </c>
      <c r="B8816" s="3" t="s">
        <v>8471</v>
      </c>
      <c r="C8816" s="3" t="str">
        <f>IFERROR(__xludf.DUMMYFUNCTION("GOOGLETRANSLATE(B8816,""id"",""en"")"),"['The network', 'Severe', 'Open', 'YouTube', 'buffering', 'then', 'Nge', 'game', 'comfortable', 'please', 'fix', 'the network', ' fluent', '']")</f>
        <v>['The network', 'Severe', 'Open', 'YouTube', 'buffering', 'then', 'Nge', 'game', 'comfortable', 'please', 'fix', 'the network', ' fluent', '']</v>
      </c>
      <c r="D8816" s="3">
        <v>1.0</v>
      </c>
    </row>
    <row r="8817" ht="15.75" customHeight="1">
      <c r="A8817" s="1">
        <v>9299.0</v>
      </c>
      <c r="B8817" s="3" t="s">
        <v>8472</v>
      </c>
      <c r="C8817" s="3" t="str">
        <f>IFERROR(__xludf.DUMMYFUNCTION("GOOGLETRANSLATE(B8817,""id"",""en"")"),"['Update', 'Price', 'Package', 'Disappointed', '']")</f>
        <v>['Update', 'Price', 'Package', 'Disappointed', '']</v>
      </c>
      <c r="D8817" s="3">
        <v>1.0</v>
      </c>
    </row>
    <row r="8818" ht="15.75" customHeight="1">
      <c r="A8818" s="1">
        <v>9300.0</v>
      </c>
      <c r="B8818" s="3" t="s">
        <v>8473</v>
      </c>
      <c r="C8818" s="3" t="str">
        <f>IFERROR(__xludf.DUMMYFUNCTION("GOOGLETRANSLATE(B8818,""id"",""en"")"),"['Help', 'purchase', 'package', 'package', 'internet', 'telephone', 'sms', 'cheap', 'festive', 'recommended', '']")</f>
        <v>['Help', 'purchase', 'package', 'package', 'internet', 'telephone', 'sms', 'cheap', 'festive', 'recommended', '']</v>
      </c>
      <c r="D8818" s="3">
        <v>5.0</v>
      </c>
    </row>
    <row r="8819" ht="15.75" customHeight="1">
      <c r="A8819" s="1">
        <v>9301.0</v>
      </c>
      <c r="B8819" s="3" t="s">
        <v>8474</v>
      </c>
      <c r="C8819" s="3" t="str">
        <f>IFERROR(__xludf.DUMMYFUNCTION("GOOGLETRANSLATE(B8819,""id"",""en"")"),"['Buy', 'Package', 'Internet', 'Disruption', 'Try', 'Minutes',' Try ',' Tetep ',' Litue ',' Ujung ',' Ujung ',' Credit ',' Disappear ',' Suck ',' Haadeeuh ', ""]")</f>
        <v>['Buy', 'Package', 'Internet', 'Disruption', 'Try', 'Minutes',' Try ',' Tetep ',' Litue ',' Ujung ',' Ujung ',' Credit ',' Disappear ',' Suck ',' Haadeeuh ', "]</v>
      </c>
      <c r="D8819" s="3">
        <v>1.0</v>
      </c>
    </row>
    <row r="8820" ht="15.75" customHeight="1">
      <c r="A8820" s="1">
        <v>9302.0</v>
      </c>
      <c r="B8820" s="3" t="s">
        <v>8475</v>
      </c>
      <c r="C8820" s="3" t="str">
        <f>IFERROR(__xludf.DUMMYFUNCTION("GOOGLETRANSLATE(B8820,""id"",""en"")"),"['heavy', 'open', 'the application', 'error', 'his writing', '']")</f>
        <v>['heavy', 'open', 'the application', 'error', 'his writing', '']</v>
      </c>
      <c r="D8820" s="3">
        <v>1.0</v>
      </c>
    </row>
    <row r="8821" ht="15.75" customHeight="1">
      <c r="A8821" s="1">
        <v>9303.0</v>
      </c>
      <c r="B8821" s="3" t="s">
        <v>8476</v>
      </c>
      <c r="C8821" s="3" t="str">
        <f>IFERROR(__xludf.DUMMYFUNCTION("GOOGLETRANSLATE(B8821,""id"",""en"")"),"['Mixture', 'know', 'darling', 'jrng', 'login', 'mngnal', 'btul', 'appasi', 'blm', 'bsa', 'mnilak', 'apkh', ' Sgt ',' bgs', 'benefit']")</f>
        <v>['Mixture', 'know', 'darling', 'jrng', 'login', 'mngnal', 'btul', 'appasi', 'blm', 'bsa', 'mnilak', 'apkh', ' Sgt ',' bgs', 'benefit']</v>
      </c>
      <c r="D8821" s="3">
        <v>3.0</v>
      </c>
    </row>
    <row r="8822" ht="15.75" customHeight="1">
      <c r="A8822" s="1">
        <v>9304.0</v>
      </c>
      <c r="B8822" s="3" t="s">
        <v>8477</v>
      </c>
      <c r="C8822" s="3" t="str">
        <f>IFERROR(__xludf.DUMMYFUNCTION("GOOGLETRANSLATE(B8822,""id"",""en"")"),"['Thank you', 'Sis', 'Satisfied', 'Application', 'Telkomsel', 'Fun', 'Quota', 'wasteful', ""]")</f>
        <v>['Thank you', 'Sis', 'Satisfied', 'Application', 'Telkomsel', 'Fun', 'Quota', 'wasteful', "]</v>
      </c>
      <c r="D8822" s="3">
        <v>5.0</v>
      </c>
    </row>
    <row r="8823" ht="15.75" customHeight="1">
      <c r="A8823" s="1">
        <v>9305.0</v>
      </c>
      <c r="B8823" s="3" t="s">
        <v>8478</v>
      </c>
      <c r="C8823" s="3" t="str">
        <f>IFERROR(__xludf.DUMMYFUNCTION("GOOGLETRANSLATE(B8823,""id"",""en"")"),"['signal', 'bad', 'area', 'Lampung', 'expensive', 'doang', 'signal', 'satisfying', 'wasteful', 'Telkomsel', 'disappointing', ""]")</f>
        <v>['signal', 'bad', 'area', 'Lampung', 'expensive', 'doang', 'signal', 'satisfying', 'wasteful', 'Telkomsel', 'disappointing', "]</v>
      </c>
      <c r="D8823" s="3">
        <v>1.0</v>
      </c>
    </row>
    <row r="8824" ht="15.75" customHeight="1">
      <c r="A8824" s="1">
        <v>9306.0</v>
      </c>
      <c r="B8824" s="3" t="s">
        <v>8479</v>
      </c>
      <c r="C8824" s="3" t="str">
        <f>IFERROR(__xludf.DUMMYFUNCTION("GOOGLETRANSLATE(B8824,""id"",""en"")"),"['Telkomsel', 'Sell', 'Data', 'Real', 'Say "",' GB ',' GB ',' tratyata ',' GB ',' Udh ',' Out ',' Aware ',' because ',' use ',' card ',' card ',' move ',' router ',' router ',' counted ',' already ',' sms', 'telkomsel', 'data', 'finished' , 'Use', 'Someti"&amp;"mes', '']")</f>
        <v>['Telkomsel', 'Sell', 'Data', 'Real', 'Say ",' GB ',' GB ',' tratyata ',' GB ',' Udh ',' Out ',' Aware ',' because ',' use ',' card ',' card ',' move ',' router ',' router ',' counted ',' already ',' sms', 'telkomsel', 'data', 'finished' , 'Use', 'Sometimes', '']</v>
      </c>
      <c r="D8824" s="3">
        <v>1.0</v>
      </c>
    </row>
    <row r="8825" ht="15.75" customHeight="1">
      <c r="A8825" s="1">
        <v>9307.0</v>
      </c>
      <c r="B8825" s="3" t="s">
        <v>8480</v>
      </c>
      <c r="C8825" s="3" t="str">
        <f>IFERROR(__xludf.DUMMYFUNCTION("GOOGLETRANSLATE(B8825,""id"",""en"")"),"['use', 'card', 'sympathy', 'promo', 'interesting', 'package', 'internet', 'lbh', 'expensive', 'appeal', 'provider', 'next door' signal ',' kyk ',' thread ',' tangled ',' ']")</f>
        <v>['use', 'card', 'sympathy', 'promo', 'interesting', 'package', 'internet', 'lbh', 'expensive', 'appeal', 'provider', 'next door' signal ',' kyk ',' thread ',' tangled ',' ']</v>
      </c>
      <c r="D8825" s="3">
        <v>1.0</v>
      </c>
    </row>
    <row r="8826" ht="15.75" customHeight="1">
      <c r="A8826" s="1">
        <v>9308.0</v>
      </c>
      <c r="B8826" s="3" t="s">
        <v>8481</v>
      </c>
      <c r="C8826" s="3" t="str">
        <f>IFERROR(__xludf.DUMMYFUNCTION("GOOGLETRANSLATE(B8826,""id"",""en"")"),"['woi', 'network', 'error', 'detrimental', 'learn', 'me', 'until', 'love', 'absent', 'ama', 'teacher', 'me' Mending ',' I ',' Move ',' ']")</f>
        <v>['woi', 'network', 'error', 'detrimental', 'learn', 'me', 'until', 'love', 'absent', 'ama', 'teacher', 'me' Mending ',' I ',' Move ',' ']</v>
      </c>
      <c r="D8826" s="3">
        <v>1.0</v>
      </c>
    </row>
    <row r="8827" ht="15.75" customHeight="1">
      <c r="A8827" s="1">
        <v>9309.0</v>
      </c>
      <c r="B8827" s="3" t="s">
        <v>8482</v>
      </c>
      <c r="C8827" s="3" t="str">
        <f>IFERROR(__xludf.DUMMYFUNCTION("GOOGLETRANSLATE(B8827,""id"",""en"")"),"['The application', 'update', 'UDH', 'GTU', 'neglected', 'the application', 'opened', 'then', 'please', 'system', 'replaced', 'quota', ' Out ',' Dick ',' quota ',' run out ',' directly ',' pulses', 'suck', 'trauma', 'can', 'bonus',' internet ',' fit ',' f"&amp;"ill ' , 'credit', 'bonus', 'internet', 'run out', 'pulse', 'run out', '']")</f>
        <v>['The application', 'update', 'UDH', 'GTU', 'neglected', 'the application', 'opened', 'then', 'please', 'system', 'replaced', 'quota', ' Out ',' Dick ',' quota ',' run out ',' directly ',' pulses', 'suck', 'trauma', 'can', 'bonus',' internet ',' fit ',' fill ' , 'credit', 'bonus', 'internet', 'run out', 'pulse', 'run out', '']</v>
      </c>
      <c r="D8827" s="3">
        <v>1.0</v>
      </c>
    </row>
    <row r="8828" ht="15.75" customHeight="1">
      <c r="A8828" s="1">
        <v>9310.0</v>
      </c>
      <c r="B8828" s="3" t="s">
        <v>8483</v>
      </c>
      <c r="C8828" s="3" t="str">
        <f>IFERROR(__xludf.DUMMYFUNCTION("GOOGLETRANSLATE(B8828,""id"",""en"")"),"['quota', 'expensive', 'Burikf', 'plump', 'komtol', 'really', 'ngejej', 'Lahi', 'Maen', 'car', 'Legen', ""]")</f>
        <v>['quota', 'expensive', 'Burikf', 'plump', 'komtol', 'really', 'ngejej', 'Lahi', 'Maen', 'car', 'Legen', "]</v>
      </c>
      <c r="D8828" s="3">
        <v>1.0</v>
      </c>
    </row>
    <row r="8829" ht="15.75" customHeight="1">
      <c r="A8829" s="1">
        <v>9311.0</v>
      </c>
      <c r="B8829" s="3" t="s">
        <v>8484</v>
      </c>
      <c r="C8829" s="3" t="str">
        <f>IFERROR(__xludf.DUMMYFUNCTION("GOOGLETRANSLATE(B8829,""id"",""en"")"),"['Telkomsel', 'Network', 'Severe', 'Package', 'Expensive', 'Telkomsel', 'UDH', 'Expensive', 'Network', 'Good', 'Network', 'Severe', ' Nglagg ',' parahh ',' sometimes', 'network', 'full', 'chat', 'sosmed', 'send', 'fix']")</f>
        <v>['Telkomsel', 'Network', 'Severe', 'Package', 'Expensive', 'Telkomsel', 'UDH', 'Expensive', 'Network', 'Good', 'Network', 'Severe', ' Nglagg ',' parahh ',' sometimes', 'network', 'full', 'chat', 'sosmed', 'send', 'fix']</v>
      </c>
      <c r="D8829" s="3">
        <v>5.0</v>
      </c>
    </row>
    <row r="8830" ht="15.75" customHeight="1">
      <c r="A8830" s="1">
        <v>9312.0</v>
      </c>
      <c r="B8830" s="3" t="s">
        <v>8485</v>
      </c>
      <c r="C8830" s="3" t="str">
        <f>IFERROR(__xludf.DUMMYFUNCTION("GOOGLETRANSLATE(B8830,""id"",""en"")"),"['quota', 'game', 'mimin', 'kmpret', 'udh', 'bli', 'play', 'nglag', 'benefits',' ngpain ',' anjjjj ',' morotin ',' Customers', 'Doank', 'Rich', '']")</f>
        <v>['quota', 'game', 'mimin', 'kmpret', 'udh', 'bli', 'play', 'nglag', 'benefits',' ngpain ',' anjjjj ',' morotin ',' Customers', 'Doank', 'Rich', '']</v>
      </c>
      <c r="D8830" s="3">
        <v>1.0</v>
      </c>
    </row>
    <row r="8831" ht="15.75" customHeight="1">
      <c r="A8831" s="1">
        <v>9313.0</v>
      </c>
      <c r="B8831" s="3" t="s">
        <v>8486</v>
      </c>
      <c r="C8831" s="3" t="str">
        <f>IFERROR(__xludf.DUMMYFUNCTION("GOOGLETRANSLATE(B8831,""id"",""en"")"),"['Telkomsel', 'vacuum', 'pulse', 'anjjg', 'buy', 'pulse', 'already', 'anjjg', 'open', 'apk', 'telkom', 'udh', ' Stress', 'Mending', 'Smartfren', '']")</f>
        <v>['Telkomsel', 'vacuum', 'pulse', 'anjjg', 'buy', 'pulse', 'already', 'anjjg', 'open', 'apk', 'telkom', 'udh', ' Stress', 'Mending', 'Smartfren', '']</v>
      </c>
      <c r="D8831" s="3">
        <v>1.0</v>
      </c>
    </row>
    <row r="8832" ht="15.75" customHeight="1">
      <c r="A8832" s="1">
        <v>9314.0</v>
      </c>
      <c r="B8832" s="3" t="s">
        <v>8487</v>
      </c>
      <c r="C8832" s="3" t="str">
        <f>IFERROR(__xludf.DUMMYFUNCTION("GOOGLETRANSLATE(B8832,""id"",""en"")"),"['buy', 'pulse', 'sumps',' then ',' dipake ',' already ',' application ',' stop ',' mulu ',' closed ',' application ',' like ',' Teljomsel ',' Kouta ',' Internet ',' ']")</f>
        <v>['buy', 'pulse', 'sumps',' then ',' dipake ',' already ',' application ',' stop ',' mulu ',' closed ',' application ',' like ',' Teljomsel ',' Kouta ',' Internet ',' ']</v>
      </c>
      <c r="D8832" s="3">
        <v>1.0</v>
      </c>
    </row>
    <row r="8833" ht="15.75" customHeight="1">
      <c r="A8833" s="1">
        <v>9315.0</v>
      </c>
      <c r="B8833" s="3" t="s">
        <v>8488</v>
      </c>
      <c r="C8833" s="3" t="str">
        <f>IFERROR(__xludf.DUMMYFUNCTION("GOOGLETRANSLATE(B8833,""id"",""en"")"),"['Customer', 'disappointed', 'package', 'internet', 'card', 'expensive', 'customer', 'package', 'cheap']")</f>
        <v>['Customer', 'disappointed', 'package', 'internet', 'card', 'expensive', 'customer', 'package', 'cheap']</v>
      </c>
      <c r="D8833" s="3">
        <v>2.0</v>
      </c>
    </row>
    <row r="8834" ht="15.75" customHeight="1">
      <c r="A8834" s="1">
        <v>9316.0</v>
      </c>
      <c r="B8834" s="3" t="s">
        <v>8489</v>
      </c>
      <c r="C8834" s="3" t="str">
        <f>IFERROR(__xludf.DUMMYFUNCTION("GOOGLETRANSLATE(B8834,""id"",""en"")"),"['Please', 'repaired', 'System', 'Signal', 'Damaged', 'Package', 'Expensive', ""]")</f>
        <v>['Please', 'repaired', 'System', 'Signal', 'Damaged', 'Package', 'Expensive', "]</v>
      </c>
      <c r="D8834" s="3">
        <v>1.0</v>
      </c>
    </row>
    <row r="8835" ht="15.75" customHeight="1">
      <c r="A8835" s="1">
        <v>9317.0</v>
      </c>
      <c r="B8835" s="3" t="s">
        <v>8490</v>
      </c>
      <c r="C8835" s="3" t="str">
        <f>IFERROR(__xludf.DUMMYFUNCTION("GOOGLETRANSLATE(B8835,""id"",""en"")"),"['', 'Telkomsel', 'ugly', 'gini', 'like', 'here', 'right', 'entry', 'appears',' white ',' screen ',' do ',' jammed ', 'really', '']")</f>
        <v>['', 'Telkomsel', 'ugly', 'gini', 'like', 'here', 'right', 'entry', 'appears',' white ',' screen ',' do ',' jammed ', 'really', '']</v>
      </c>
      <c r="D8835" s="3">
        <v>1.0</v>
      </c>
    </row>
    <row r="8836" ht="15.75" customHeight="1">
      <c r="A8836" s="1">
        <v>9318.0</v>
      </c>
      <c r="B8836" s="3" t="s">
        <v>8491</v>
      </c>
      <c r="C8836" s="3" t="str">
        <f>IFERROR(__xludf.DUMMYFUNCTION("GOOGLETRANSLATE(B8836,""id"",""en"")"),"['ugly', 'network', 'like', 'ugly', 'really', 'network', 'handy', 'ilang', 'world', 'burden', 'state', 'gaje', ' Maen ',' Huu ',' Dead ', ""]")</f>
        <v>['ugly', 'network', 'like', 'ugly', 'really', 'network', 'handy', 'ilang', 'world', 'burden', 'state', 'gaje', ' Maen ',' Huu ',' Dead ', "]</v>
      </c>
      <c r="D8836" s="3">
        <v>1.0</v>
      </c>
    </row>
    <row r="8837" ht="15.75" customHeight="1">
      <c r="A8837" s="1">
        <v>9319.0</v>
      </c>
      <c r="B8837" s="3" t="s">
        <v>8492</v>
      </c>
      <c r="C8837" s="3" t="str">
        <f>IFERROR(__xludf.DUMMYFUNCTION("GOOGLETRANSLATE(B8837,""id"",""en"")"),"['love', 'star', 'please', 'application', 'Telkomsel', 'method', 'payment', 'google', 'pay', 'bdw', 'support', 'emang', ' Choice ',' Payment ',' BNYK ',' TPI ',' Do ',' Goggle ',' Pay ',' Method ']")</f>
        <v>['love', 'star', 'please', 'application', 'Telkomsel', 'method', 'payment', 'google', 'pay', 'bdw', 'support', 'emang', ' Choice ',' Payment ',' BNYK ',' TPI ',' Do ',' Goggle ',' Pay ',' Method ']</v>
      </c>
      <c r="D8837" s="3">
        <v>3.0</v>
      </c>
    </row>
    <row r="8838" ht="15.75" customHeight="1">
      <c r="A8838" s="1">
        <v>9320.0</v>
      </c>
      <c r="B8838" s="3" t="s">
        <v>8493</v>
      </c>
      <c r="C8838" s="3" t="str">
        <f>IFERROR(__xludf.DUMMYFUNCTION("GOOGLETRANSLATE(B8838,""id"",""en"")"),"['APK', 'good', 'price', 'price', 'star', 'quality', 'quality', 'foot']")</f>
        <v>['APK', 'good', 'price', 'price', 'star', 'quality', 'quality', 'foot']</v>
      </c>
      <c r="D8838" s="3">
        <v>5.0</v>
      </c>
    </row>
    <row r="8839" ht="15.75" customHeight="1">
      <c r="A8839" s="1">
        <v>9321.0</v>
      </c>
      <c r="B8839" s="3" t="s">
        <v>8494</v>
      </c>
      <c r="C8839" s="3" t="str">
        <f>IFERROR(__xludf.DUMMYFUNCTION("GOOGLETRANSLATE(B8839,""id"",""en"")"),"['application', 'Dowld', 'NOT', 'HARD', 'Network', '']")</f>
        <v>['application', 'Dowld', 'NOT', 'HARD', 'Network', '']</v>
      </c>
      <c r="D8839" s="3">
        <v>1.0</v>
      </c>
    </row>
    <row r="8840" ht="15.75" customHeight="1">
      <c r="A8840" s="1">
        <v>9322.0</v>
      </c>
      <c r="B8840" s="3" t="s">
        <v>8495</v>
      </c>
      <c r="C8840" s="3" t="str">
        <f>IFERROR(__xludf.DUMMYFUNCTION("GOOGLETRANSLATE(B8840,""id"",""en"")"),"['Severe', 'App', 'Promo', 'Check', 'Bolong', 'App', 'Operato', 'Suck', 'Credit', 'Permission', 'Quota', 'Out', ' Pulsaa ',' Tumbal ',' notification ',' ']")</f>
        <v>['Severe', 'App', 'Promo', 'Check', 'Bolong', 'App', 'Operato', 'Suck', 'Credit', 'Permission', 'Quota', 'Out', ' Pulsaa ',' Tumbal ',' notification ',' ']</v>
      </c>
      <c r="D8840" s="3">
        <v>1.0</v>
      </c>
    </row>
    <row r="8841" ht="15.75" customHeight="1">
      <c r="A8841" s="1">
        <v>9323.0</v>
      </c>
      <c r="B8841" s="3" t="s">
        <v>8496</v>
      </c>
      <c r="C8841" s="3" t="str">
        <f>IFERROR(__xludf.DUMMYFUNCTION("GOOGLETRANSLATE(B8841,""id"",""en"")"),"['update', 'as bad as', 'signal', 'package', 'expensive', 'signal', 'bad', 'BUMN', '']")</f>
        <v>['update', 'as bad as', 'signal', 'package', 'expensive', 'signal', 'bad', 'BUMN', '']</v>
      </c>
      <c r="D8841" s="3">
        <v>1.0</v>
      </c>
    </row>
    <row r="8842" ht="15.75" customHeight="1">
      <c r="A8842" s="1">
        <v>9324.0</v>
      </c>
      <c r="B8842" s="3" t="s">
        <v>8497</v>
      </c>
      <c r="C8842" s="3" t="str">
        <f>IFERROR(__xludf.DUMMYFUNCTION("GOOGLETRANSLATE(B8842,""id"",""en"")"),"['Please', 'Sorry', 'already', 'Update', 'BLM', 'Enter', 'Situ', 'Written', 'Update', 'Update']")</f>
        <v>['Please', 'Sorry', 'already', 'Update', 'BLM', 'Enter', 'Situ', 'Written', 'Update', 'Update']</v>
      </c>
      <c r="D8842" s="3">
        <v>1.0</v>
      </c>
    </row>
    <row r="8843" ht="15.75" customHeight="1">
      <c r="A8843" s="1">
        <v>9325.0</v>
      </c>
      <c r="B8843" s="3" t="s">
        <v>8498</v>
      </c>
      <c r="C8843" s="3" t="str">
        <f>IFERROR(__xludf.DUMMYFUNCTION("GOOGLETRANSLATE(B8843,""id"",""en"")"),"['', 'Telkomsel', 'promo', 'promo', 'kintil', 'told', 'contents',' pulse ',' bru ',' get ',' package ',' GB ',' price ',' Rp ',' until ',' buy ',' kintilll ',' promo ',' until ',' October ',' gmn ',' jang ',' ']")</f>
        <v>['', 'Telkomsel', 'promo', 'promo', 'kintil', 'told', 'contents',' pulse ',' bru ',' get ',' package ',' GB ',' price ',' Rp ',' until ',' buy ',' kintilll ',' promo ',' until ',' October ',' gmn ',' jang ',' ']</v>
      </c>
      <c r="D8843" s="3">
        <v>1.0</v>
      </c>
    </row>
    <row r="8844" ht="15.75" customHeight="1">
      <c r="A8844" s="1">
        <v>9326.0</v>
      </c>
      <c r="B8844" s="3" t="s">
        <v>8499</v>
      </c>
      <c r="C8844" s="3" t="str">
        <f>IFERROR(__xludf.DUMMYFUNCTION("GOOGLETRANSLATE(B8844,""id"",""en"")"),"['apps', 'good', 'really', 'love', 'star', 'see', 'apps', 'good', 'bangat', '']")</f>
        <v>['apps', 'good', 'really', 'love', 'star', 'see', 'apps', 'good', 'bangat', '']</v>
      </c>
      <c r="D8844" s="3">
        <v>5.0</v>
      </c>
    </row>
    <row r="8845" ht="15.75" customHeight="1">
      <c r="A8845" s="1">
        <v>9327.0</v>
      </c>
      <c r="B8845" s="3" t="s">
        <v>8500</v>
      </c>
      <c r="C8845" s="3" t="str">
        <f>IFERROR(__xludf.DUMMYFUNCTION("GOOGLETRANSLATE(B8845,""id"",""en"")"),"['Males',' gave ',' rating ',' signal ',' Telkomsel ',' ugly ',' forgiveness', 'Nurdy', 'know', 'people', 'Mending', 'replace', ' Oprator ']")</f>
        <v>['Males',' gave ',' rating ',' signal ',' Telkomsel ',' ugly ',' forgiveness', 'Nurdy', 'know', 'people', 'Mending', 'replace', ' Oprator ']</v>
      </c>
      <c r="D8845" s="3">
        <v>1.0</v>
      </c>
    </row>
    <row r="8846" ht="15.75" customHeight="1">
      <c r="A8846" s="1">
        <v>9328.0</v>
      </c>
      <c r="B8846" s="3" t="s">
        <v>8501</v>
      </c>
      <c r="C8846" s="3" t="str">
        <f>IFERROR(__xludf.DUMMYFUNCTION("GOOGLETRANSLATE(B8846,""id"",""en"")"),"['min', 'crazy', 'pulse', 'suck', 'mulu', 'rich', 'laen', 'package', 'internet', 'finished', 'pulses',' pull ',' people ',' Target ',' RB ',' JT ',' people ',' brapa ',' money ',' pulses', 'Target', 'million', 'million', 'users',' Telkomsel ' , 'Target', "&amp;"'pulse', 'already', 'brpa', 'tuhhh', 'really', 'pulse', 'pull', 'blessing', ""]")</f>
        <v>['min', 'crazy', 'pulse', 'suck', 'mulu', 'rich', 'laen', 'package', 'internet', 'finished', 'pulses',' pull ',' people ',' Target ',' RB ',' JT ',' people ',' brapa ',' money ',' pulses', 'Target', 'million', 'million', 'users',' Telkomsel ' , 'Target', 'pulse', 'already', 'brpa', 'tuhhh', 'really', 'pulse', 'pull', 'blessing', "]</v>
      </c>
      <c r="D8846" s="3">
        <v>1.0</v>
      </c>
    </row>
    <row r="8847" ht="15.75" customHeight="1">
      <c r="A8847" s="1">
        <v>9329.0</v>
      </c>
      <c r="B8847" s="3" t="s">
        <v>8502</v>
      </c>
      <c r="C8847" s="3" t="str">
        <f>IFERROR(__xludf.DUMMYFUNCTION("GOOGLETRANSLATE(B8847,""id"",""en"")"),"['pulse', 'main', 'sucked', 'network', 'internet', 'active', 'buy', 'package', 'internet', 'application', 'pulse', 'main', ' Provide ',' buy ',' package ',' internet ',' transfer ',' bank ',' the like ', ""]")</f>
        <v>['pulse', 'main', 'sucked', 'network', 'internet', 'active', 'buy', 'package', 'internet', 'application', 'pulse', 'main', ' Provide ',' buy ',' package ',' internet ',' transfer ',' bank ',' the like ', "]</v>
      </c>
      <c r="D8847" s="3">
        <v>3.0</v>
      </c>
    </row>
    <row r="8848" ht="15.75" customHeight="1">
      <c r="A8848" s="1">
        <v>9330.0</v>
      </c>
      <c r="B8848" s="3" t="s">
        <v>8503</v>
      </c>
      <c r="C8848" s="3" t="str">
        <f>IFERROR(__xludf.DUMMYFUNCTION("GOOGLETRANSLATE(B8848,""id"",""en"")"),"['What', 'App', 'Trlkomsel', 'Credit', 'Open', 'App', 'Turn', 'Credit', 'Buy', 'Package', 'Telkomsel', 'Open', ' App ',' already ',' exhausted ',' first ',' credit ',' free ',' access', 'Telkomsel', 'package', 'abis',' buy ',' Telkomsel ',' sucked ' , 'Cr"&amp;"edit', 'Open', 'apk', 'super', 'disappointed', 'person', 'buy', 'package', 'cheap', 'pulse', 'abis',' first ',' Mustot ',' APK ',' Telkomsel ']")</f>
        <v>['What', 'App', 'Trlkomsel', 'Credit', 'Open', 'App', 'Turn', 'Credit', 'Buy', 'Package', 'Telkomsel', 'Open', ' App ',' already ',' exhausted ',' first ',' credit ',' free ',' access', 'Telkomsel', 'package', 'abis',' buy ',' Telkomsel ',' sucked ' , 'Credit', 'Open', 'apk', 'super', 'disappointed', 'person', 'buy', 'package', 'cheap', 'pulse', 'abis',' first ',' Mustot ',' APK ',' Telkomsel ']</v>
      </c>
      <c r="D8848" s="3">
        <v>1.0</v>
      </c>
    </row>
    <row r="8849" ht="15.75" customHeight="1">
      <c r="A8849" s="1">
        <v>9331.0</v>
      </c>
      <c r="B8849" s="3" t="s">
        <v>8504</v>
      </c>
      <c r="C8849" s="3" t="str">
        <f>IFERROR(__xludf.DUMMYFUNCTION("GOOGLETRANSLATE(B8849,""id"",""en"")"),"['Please', 'fix', 'signal', 'lgi', 'cool', 'play', 'game', 'data', 'Matii', 'maybe', 'may', 'juek', ' NOT ',' MKIN ',' Bgus', 'Sya', 'Customer', 'Disappointed', 'Already', 'Expensive', 'Buy', 'Kouta', 'Monthly', 'TPI', 'Sinyal' , 'jlk', 'bngett', 'ugly', "&amp;"'severe', 'bngett', 'telkomsel', 'gave', 'suggestion', 'klian', 'tried', 'krtu', 'Telkomsel', ' mnding ',' think ',' dlu ',' mna ',' expensive ',' network ',' jlek ']")</f>
        <v>['Please', 'fix', 'signal', 'lgi', 'cool', 'play', 'game', 'data', 'Matii', 'maybe', 'may', 'juek', ' NOT ',' MKIN ',' Bgus', 'Sya', 'Customer', 'Disappointed', 'Already', 'Expensive', 'Buy', 'Kouta', 'Monthly', 'TPI', 'Sinyal' , 'jlk', 'bngett', 'ugly', 'severe', 'bngett', 'telkomsel', 'gave', 'suggestion', 'klian', 'tried', 'krtu', 'Telkomsel', ' mnding ',' think ',' dlu ',' mna ',' expensive ',' network ',' jlek ']</v>
      </c>
      <c r="D8849" s="3">
        <v>1.0</v>
      </c>
    </row>
    <row r="8850" ht="15.75" customHeight="1">
      <c r="A8850" s="1">
        <v>9332.0</v>
      </c>
      <c r="B8850" s="3" t="s">
        <v>8505</v>
      </c>
      <c r="C8850" s="3" t="str">
        <f>IFERROR(__xludf.DUMMYFUNCTION("GOOGLETRANSLATE(B8850,""id"",""en"")"),"['Provider', 'use', 'feature', 'setting', 'quota', 'internet', 'run out', 'sucked', 'pulse', 'main', 'Telkomsel', 'cool', ' Quota ',' run out ',' pulses', 'used', 'run out', '']")</f>
        <v>['Provider', 'use', 'feature', 'setting', 'quota', 'internet', 'run out', 'sucked', 'pulse', 'main', 'Telkomsel', 'cool', ' Quota ',' run out ',' pulses', 'used', 'run out', '']</v>
      </c>
      <c r="D8850" s="3">
        <v>1.0</v>
      </c>
    </row>
    <row r="8851" ht="15.75" customHeight="1">
      <c r="A8851" s="1">
        <v>9333.0</v>
      </c>
      <c r="B8851" s="3" t="s">
        <v>8506</v>
      </c>
      <c r="C8851" s="3" t="str">
        <f>IFERROR(__xludf.DUMMYFUNCTION("GOOGLETRANSLATE(B8851,""id"",""en"")"),"['Telkomsel', 'Jagonya', 'Islands', 'Tanggerang', 'Jakarta', 'Weak']")</f>
        <v>['Telkomsel', 'Jagonya', 'Islands', 'Tanggerang', 'Jakarta', 'Weak']</v>
      </c>
      <c r="D8851" s="3">
        <v>5.0</v>
      </c>
    </row>
    <row r="8852" ht="15.75" customHeight="1">
      <c r="A8852" s="1">
        <v>9334.0</v>
      </c>
      <c r="B8852" s="3" t="s">
        <v>8507</v>
      </c>
      <c r="C8852" s="3" t="str">
        <f>IFERROR(__xludf.DUMMYFUNCTION("GOOGLETRANSLATE(B8852,""id"",""en"")"),"['Lottery', 'Telkomsel', 'Kah', '']")</f>
        <v>['Lottery', 'Telkomsel', 'Kah', '']</v>
      </c>
      <c r="D8852" s="3">
        <v>4.0</v>
      </c>
    </row>
    <row r="8853" ht="15.75" customHeight="1">
      <c r="A8853" s="1">
        <v>9335.0</v>
      </c>
      <c r="B8853" s="3" t="s">
        <v>8508</v>
      </c>
      <c r="C8853" s="3" t="str">
        <f>IFERROR(__xludf.DUMMYFUNCTION("GOOGLETRANSLATE(B8853,""id"",""en"")"),"['Telkomsel', 'application', 'good', 'makes it easy', 'buy', 'package', 'pulse', 'go', 'keconter', 'good', ""]")</f>
        <v>['Telkomsel', 'application', 'good', 'makes it easy', 'buy', 'package', 'pulse', 'go', 'keconter', 'good', "]</v>
      </c>
      <c r="D8853" s="3">
        <v>5.0</v>
      </c>
    </row>
    <row r="8854" ht="15.75" customHeight="1">
      <c r="A8854" s="1">
        <v>9336.0</v>
      </c>
      <c r="B8854" s="3" t="s">
        <v>8509</v>
      </c>
      <c r="C8854" s="3" t="str">
        <f>IFERROR(__xludf.DUMMYFUNCTION("GOOGLETRANSLATE(B8854,""id"",""en"")"),"['Please', 'Maap', 'Telkomsel', 'Region', 'Like', 'Lag', 'Kek', 'Repair', 'Litu', 'Tower', 'Deket']")</f>
        <v>['Please', 'Maap', 'Telkomsel', 'Region', 'Like', 'Lag', 'Kek', 'Repair', 'Litu', 'Tower', 'Deket']</v>
      </c>
      <c r="D8854" s="3">
        <v>1.0</v>
      </c>
    </row>
    <row r="8855" ht="15.75" customHeight="1">
      <c r="A8855" s="1">
        <v>9337.0</v>
      </c>
      <c r="B8855" s="3" t="s">
        <v>8510</v>
      </c>
      <c r="C8855" s="3" t="str">
        <f>IFERROR(__xludf.DUMMYFUNCTION("GOOGLETRANSLATE(B8855,""id"",""en"")"),"['Hello', 'love', 'star', 'deh', 'exchange', 'point', 'error', 'technical', 'kayak', 'system', 'busy', 'continuous']")</f>
        <v>['Hello', 'love', 'star', 'deh', 'exchange', 'point', 'error', 'technical', 'kayak', 'system', 'busy', 'continuous']</v>
      </c>
      <c r="D8855" s="3">
        <v>2.0</v>
      </c>
    </row>
    <row r="8856" ht="15.75" customHeight="1">
      <c r="A8856" s="1">
        <v>9338.0</v>
      </c>
      <c r="B8856" s="3" t="s">
        <v>8511</v>
      </c>
      <c r="C8856" s="3" t="str">
        <f>IFERROR(__xludf.DUMMYFUNCTION("GOOGLETRANSLATE(B8856,""id"",""en"")"),"['network', 'strongest', 'widest', 'Maen', 'game', 'ajah', 'network', 'muter', 'muter', 'signal', 'please', 'fix', ' The network is', '']")</f>
        <v>['network', 'strongest', 'widest', 'Maen', 'game', 'ajah', 'network', 'muter', 'muter', 'signal', 'please', 'fix', ' The network is', '']</v>
      </c>
      <c r="D8856" s="3">
        <v>1.0</v>
      </c>
    </row>
    <row r="8857" ht="15.75" customHeight="1">
      <c r="A8857" s="1">
        <v>9339.0</v>
      </c>
      <c r="B8857" s="3" t="s">
        <v>8512</v>
      </c>
      <c r="C8857" s="3" t="str">
        <f>IFERROR(__xludf.DUMMYFUNCTION("GOOGLETRANSLATE(B8857,""id"",""en"")"),"['lag', 'lag', 'sleep', 'signal', 'doang', 'anjg', 'home', 'remote', 'halah', 'provider', 'expensive']")</f>
        <v>['lag', 'lag', 'sleep', 'signal', 'doang', 'anjg', 'home', 'remote', 'halah', 'provider', 'expensive']</v>
      </c>
      <c r="D8857" s="3">
        <v>1.0</v>
      </c>
    </row>
    <row r="8858" ht="15.75" customHeight="1">
      <c r="A8858" s="1">
        <v>9340.0</v>
      </c>
      <c r="B8858" s="3" t="s">
        <v>8513</v>
      </c>
      <c r="C8858" s="3" t="str">
        <f>IFERROR(__xludf.DUMMYFUNCTION("GOOGLETRANSLATE(B8858,""id"",""en"")"),"['already', 'The network', 'Village', 'Nyesallll']")</f>
        <v>['already', 'The network', 'Village', 'Nyesallll']</v>
      </c>
      <c r="D8858" s="3">
        <v>1.0</v>
      </c>
    </row>
    <row r="8859" ht="15.75" customHeight="1">
      <c r="A8859" s="1">
        <v>9341.0</v>
      </c>
      <c r="B8859" s="3" t="s">
        <v>8514</v>
      </c>
      <c r="C8859" s="3" t="str">
        <f>IFERROR(__xludf.DUMMYFUNCTION("GOOGLETRANSLATE(B8859,""id"",""en"")"),"['Error', 'Gara', 'Gara', 'Credit', 'Cut "",' Activate ',' Internet ',' Ungk ',' Quality ',' Application ',' Cut ',' Credit ',' Activate ',' Package ',' Internet ',' Error ',' Credit ']")</f>
        <v>['Error', 'Gara', 'Gara', 'Credit', 'Cut ",' Activate ',' Internet ',' Ungk ',' Quality ',' Application ',' Cut ',' Credit ',' Activate ',' Package ',' Internet ',' Error ',' Credit ']</v>
      </c>
      <c r="D8859" s="3">
        <v>1.0</v>
      </c>
    </row>
    <row r="8860" ht="15.75" customHeight="1">
      <c r="A8860" s="1">
        <v>9342.0</v>
      </c>
      <c r="B8860" s="3" t="s">
        <v>8515</v>
      </c>
      <c r="C8860" s="3" t="str">
        <f>IFERROR(__xludf.DUMMYFUNCTION("GOOGLETRANSLATE(B8860,""id"",""en"")"),"['Telkomsel', 'satisfying', 'program', 'package', 'cheap', 'package', 'internet', 'expensive', 'affordable', 'disappointed', 'customer', 'loyal' ']")</f>
        <v>['Telkomsel', 'satisfying', 'program', 'package', 'cheap', 'package', 'internet', 'expensive', 'affordable', 'disappointed', 'customer', 'loyal' ']</v>
      </c>
      <c r="D8860" s="3">
        <v>1.0</v>
      </c>
    </row>
    <row r="8861" ht="15.75" customHeight="1">
      <c r="A8861" s="1">
        <v>9343.0</v>
      </c>
      <c r="B8861" s="3" t="s">
        <v>8516</v>
      </c>
      <c r="C8861" s="3" t="str">
        <f>IFERROR(__xludf.DUMMYFUNCTION("GOOGLETRANSLATE(B8861,""id"",""en"")"),"['apk', 'error', 'his writing', 'system', 'JUM', 'smooth', 'yesterday', 'error', 'system', 'buy', 'package', 'pulse', ' mytelkomsel ',' yes', 'response', 'please', 'repaired', 'thank you']")</f>
        <v>['apk', 'error', 'his writing', 'system', 'JUM', 'smooth', 'yesterday', 'error', 'system', 'buy', 'package', 'pulse', ' mytelkomsel ',' yes', 'response', 'please', 'repaired', 'thank you']</v>
      </c>
      <c r="D8861" s="3">
        <v>1.0</v>
      </c>
    </row>
    <row r="8862" ht="15.75" customHeight="1">
      <c r="A8862" s="1">
        <v>9344.0</v>
      </c>
      <c r="B8862" s="3" t="s">
        <v>8517</v>
      </c>
      <c r="C8862" s="3" t="str">
        <f>IFERROR(__xludf.DUMMYFUNCTION("GOOGLETRANSLATE(B8862,""id"",""en"")"),"['Likes',' APK ',' The reason ',' APK ',' product ',' Sales', 'Mobile', 'Different', 'APK', 'IM', 'Anyway', 'like', ' APK ',' Telkomsel ',' already ',' Litu ', ""]")</f>
        <v>['Likes',' APK ',' The reason ',' APK ',' product ',' Sales', 'Mobile', 'Different', 'APK', 'IM', 'Anyway', 'like', ' APK ',' Telkomsel ',' already ',' Litu ', "]</v>
      </c>
      <c r="D8862" s="3">
        <v>5.0</v>
      </c>
    </row>
    <row r="8863" ht="15.75" customHeight="1">
      <c r="A8863" s="1">
        <v>9345.0</v>
      </c>
      <c r="B8863" s="3" t="s">
        <v>8518</v>
      </c>
      <c r="C8863" s="3" t="str">
        <f>IFERROR(__xludf.DUMMYFUNCTION("GOOGLETRANSLATE(B8863,""id"",""en"")"),"['Curhat', 'Telkomel', 'Cooperation', 'Ama', 'Yutub', 'Buy', 'Package', 'Kombo', 'Sakti', 'Subscriptions',' Yutub ',' Premium ',' Kasi ',' Review ',' ugly ',' subtract ',' star ',' number ',' accompany ',' high school ',' banyal ',' memories', '']")</f>
        <v>['Curhat', 'Telkomel', 'Cooperation', 'Ama', 'Yutub', 'Buy', 'Package', 'Kombo', 'Sakti', 'Subscriptions',' Yutub ',' Premium ',' Kasi ',' Review ',' ugly ',' subtract ',' star ',' number ',' accompany ',' high school ',' banyal ',' memories', '']</v>
      </c>
      <c r="D8863" s="3">
        <v>5.0</v>
      </c>
    </row>
    <row r="8864" ht="15.75" customHeight="1">
      <c r="A8864" s="1">
        <v>9346.0</v>
      </c>
      <c r="B8864" s="3" t="s">
        <v>8519</v>
      </c>
      <c r="C8864" s="3" t="str">
        <f>IFERROR(__xludf.DUMMYFUNCTION("GOOGLETRANSLATE(B8864,""id"",""en"")"),"['network', 'crazy', 'already', 'contents',' pulse ',' ngiskan ',' package ',' times', 'wirk', 'cut', 'jafi', 'activate', ' package ',' pakek ',' Telkomsel ',' slow ',' heavy ',' times', 'go bankrupt', 'closed', 'make it difficult', 'customer', 'nge', 'ch"&amp;"eck', 'pulse' , 'Sampek', 'broken', 'crazy', 'crazy']")</f>
        <v>['network', 'crazy', 'already', 'contents',' pulse ',' ngiskan ',' package ',' times', 'wirk', 'cut', 'jafi', 'activate', ' package ',' pakek ',' Telkomsel ',' slow ',' heavy ',' times', 'go bankrupt', 'closed', 'make it difficult', 'customer', 'nge', 'check', 'pulse' , 'Sampek', 'broken', 'crazy', 'crazy']</v>
      </c>
      <c r="D8864" s="3">
        <v>1.0</v>
      </c>
    </row>
    <row r="8865" ht="15.75" customHeight="1">
      <c r="A8865" s="1">
        <v>9347.0</v>
      </c>
      <c r="B8865" s="3" t="s">
        <v>8520</v>
      </c>
      <c r="C8865" s="3" t="str">
        <f>IFERROR(__xludf.DUMMYFUNCTION("GOOGLETRANSLATE(B8865,""id"",""en"")"),"['Recommended', 'Respect', 'fast', 'informative', 'doubt', 'Install', 'Application', 'Install it', 'Help', 'Add', 'Insight', 'Regarding', ' The program ',' Telkomsel ',' ']")</f>
        <v>['Recommended', 'Respect', 'fast', 'informative', 'doubt', 'Install', 'Application', 'Install it', 'Help', 'Add', 'Insight', 'Regarding', ' The program ',' Telkomsel ',' ']</v>
      </c>
      <c r="D8865" s="3">
        <v>5.0</v>
      </c>
    </row>
    <row r="8866" ht="15.75" customHeight="1">
      <c r="A8866" s="1">
        <v>9348.0</v>
      </c>
      <c r="B8866" s="3" t="s">
        <v>8521</v>
      </c>
      <c r="C8866" s="3" t="str">
        <f>IFERROR(__xludf.DUMMYFUNCTION("GOOGLETRANSLATE(B8866,""id"",""en"")"),"['Try', 'error', 'system', 'tetussssssssssssssssssssssssssssssssssssssssss']")</f>
        <v>['Try', 'error', 'system', 'tetussssssssssssssssssssssssssssssssssssssssss']</v>
      </c>
      <c r="D8866" s="3">
        <v>1.0</v>
      </c>
    </row>
    <row r="8867" ht="15.75" customHeight="1">
      <c r="A8867" s="1">
        <v>9349.0</v>
      </c>
      <c r="B8867" s="3" t="s">
        <v>8522</v>
      </c>
      <c r="C8867" s="3" t="str">
        <f>IFERROR(__xludf.DUMMYFUNCTION("GOOGLETRANSLATE(B8867,""id"",""en"")"),"['times',' events', 'process',' purchase ',' quota ',' causes', 'pulse', 'reduced', 'buy', 'quota', 'please', 'replace', ' The admin ',' competent ',' ']")</f>
        <v>['times',' events', 'process',' purchase ',' quota ',' causes', 'pulse', 'reduced', 'buy', 'quota', 'please', 'replace', ' The admin ',' competent ',' ']</v>
      </c>
      <c r="D8867" s="3">
        <v>1.0</v>
      </c>
    </row>
    <row r="8868" ht="15.75" customHeight="1">
      <c r="A8868" s="1">
        <v>9350.0</v>
      </c>
      <c r="B8868" s="3" t="s">
        <v>8523</v>
      </c>
      <c r="C8868" s="3" t="str">
        <f>IFERROR(__xludf.DUMMYFUNCTION("GOOGLETRANSLATE(B8868,""id"",""en"")"),"['Disappointed', 'Network', 'Package', 'Media', 'Package', 'Open', 'Lemot', 'CONSULT', 'Disappointed', 'Sia', 'Sia', 'Buy', ' package ',' expensive ',' expensive ',' results', 'disappointing', 'disappointed', 'service', 'network', 'promised', 'package', '"&amp;"buy', 'compliance', 'replacement' , 'Credit', 'and then', 'according to', 'expect']")</f>
        <v>['Disappointed', 'Network', 'Package', 'Media', 'Package', 'Open', 'Lemot', 'CONSULT', 'Disappointed', 'Sia', 'Sia', 'Buy', ' package ',' expensive ',' expensive ',' results', 'disappointing', 'disappointed', 'service', 'network', 'promised', 'package', 'buy', 'compliance', 'replacement' , 'Credit', 'and then', 'according to', 'expect']</v>
      </c>
      <c r="D8868" s="3">
        <v>1.0</v>
      </c>
    </row>
    <row r="8869" ht="15.75" customHeight="1">
      <c r="A8869" s="1">
        <v>9351.0</v>
      </c>
      <c r="B8869" s="3" t="s">
        <v>8524</v>
      </c>
      <c r="C8869" s="3" t="str">
        <f>IFERROR(__xludf.DUMMYFUNCTION("GOOGLETRANSLATE(B8869,""id"",""en"")"),"['Package', 'data', 'Telkomsel', 'down', 'comparable', 'network', 'decreases', 'call', 'sms', ""]")</f>
        <v>['Package', 'data', 'Telkomsel', 'down', 'comparable', 'network', 'decreases', 'call', 'sms', "]</v>
      </c>
      <c r="D8869" s="3">
        <v>1.0</v>
      </c>
    </row>
    <row r="8870" ht="15.75" customHeight="1">
      <c r="A8870" s="1">
        <v>9352.0</v>
      </c>
      <c r="B8870" s="3" t="s">
        <v>8525</v>
      </c>
      <c r="C8870" s="3" t="str">
        <f>IFERROR(__xludf.DUMMYFUNCTION("GOOGLETRANSLATE(B8870,""id"",""en"")"),"['package', 'to', 'quota', 'apps', 'package', 'loss', 'kah', '']")</f>
        <v>['package', 'to', 'quota', 'apps', 'package', 'loss', 'kah', '']</v>
      </c>
      <c r="D8870" s="3">
        <v>2.0</v>
      </c>
    </row>
    <row r="8871" ht="15.75" customHeight="1">
      <c r="A8871" s="1">
        <v>9353.0</v>
      </c>
      <c r="B8871" s="3" t="s">
        <v>8526</v>
      </c>
      <c r="C8871" s="3" t="str">
        <f>IFERROR(__xludf.DUMMYFUNCTION("GOOGLETRANSLATE(B8871,""id"",""en"")"),"['Come', 'bad', 'times', 'open', 'login', 'difficult', 'access', 'use', 'severe']")</f>
        <v>['Come', 'bad', 'times', 'open', 'login', 'difficult', 'access', 'use', 'severe']</v>
      </c>
      <c r="D8871" s="3">
        <v>1.0</v>
      </c>
    </row>
    <row r="8872" ht="15.75" customHeight="1">
      <c r="A8872" s="1">
        <v>9354.0</v>
      </c>
      <c r="B8872" s="3" t="s">
        <v>8527</v>
      </c>
      <c r="C8872" s="3" t="str">
        <f>IFERROR(__xludf.DUMMYFUNCTION("GOOGLETRANSLATE(B8872,""id"",""en"")"),"['Download', 'MyTelkomsel', 'appears',' White ',' Screen ',' Nyaa ',' Try ',' Enter ',' App ',' Nya ',' Tetep ',' Please ',' Dongg ',' fix ',' what ']")</f>
        <v>['Download', 'MyTelkomsel', 'appears',' White ',' Screen ',' Nyaa ',' Try ',' Enter ',' App ',' Nya ',' Tetep ',' Please ',' Dongg ',' fix ',' what ']</v>
      </c>
      <c r="D8872" s="3">
        <v>1.0</v>
      </c>
    </row>
    <row r="8873" ht="15.75" customHeight="1">
      <c r="A8873" s="1">
        <v>9355.0</v>
      </c>
      <c r="B8873" s="3" t="s">
        <v>8528</v>
      </c>
      <c r="C8873" s="3" t="str">
        <f>IFERROR(__xludf.DUMMYFUNCTION("GOOGLETRANSLATE(B8873,""id"",""en"")"),"['Hello', 'mimin', 'heart', 'arrogant', 'price', 'package', 'card', 'different', 'friend', 'sya', 'memili', 'price', ' Paketan ',' cheap ',' sya ',' TPI ',' expensive ',' bngt ',' please ',' min ',' explanation ', ""]")</f>
        <v>['Hello', 'mimin', 'heart', 'arrogant', 'price', 'package', 'card', 'different', 'friend', 'sya', 'memili', 'price', ' Paketan ',' cheap ',' sya ',' TPI ',' expensive ',' bngt ',' please ',' min ',' explanation ', "]</v>
      </c>
      <c r="D8873" s="3">
        <v>2.0</v>
      </c>
    </row>
    <row r="8874" ht="15.75" customHeight="1">
      <c r="A8874" s="1">
        <v>9356.0</v>
      </c>
      <c r="B8874" s="3" t="s">
        <v>8529</v>
      </c>
      <c r="C8874" s="3" t="str">
        <f>IFERROR(__xludf.DUMMYFUNCTION("GOOGLETRANSLATE(B8874,""id"",""en"")"),"['card', 'price', 'package', 'expensive']")</f>
        <v>['card', 'price', 'package', 'expensive']</v>
      </c>
      <c r="D8874" s="3">
        <v>5.0</v>
      </c>
    </row>
    <row r="8875" ht="15.75" customHeight="1">
      <c r="A8875" s="1">
        <v>9357.0</v>
      </c>
      <c r="B8875" s="3" t="s">
        <v>8530</v>
      </c>
      <c r="C8875" s="3" t="str">
        <f>IFERROR(__xludf.DUMMYFUNCTION("GOOGLETRANSLATE(B8875,""id"",""en"")"),"['hope', 'best', 'features', 'service', 'price', 'populat', 'kyk', 'lgi', 'campaign', '']")</f>
        <v>['hope', 'best', 'features', 'service', 'price', 'populat', 'kyk', 'lgi', 'campaign', '']</v>
      </c>
      <c r="D8875" s="3">
        <v>5.0</v>
      </c>
    </row>
    <row r="8876" ht="15.75" customHeight="1">
      <c r="A8876" s="1">
        <v>9358.0</v>
      </c>
      <c r="B8876" s="3" t="s">
        <v>8531</v>
      </c>
      <c r="C8876" s="3" t="str">
        <f>IFERROR(__xludf.DUMMYFUNCTION("GOOGLETRANSLATE(B8876,""id"",""en"")"),"['Package', 'MB', 'Telkomsel', 'Suck', 'Credit', 'Severe', 'Original', 'Already', 'Kek', 'Calo', 'Terminal', 'Telkomsel']")</f>
        <v>['Package', 'MB', 'Telkomsel', 'Suck', 'Credit', 'Severe', 'Original', 'Already', 'Kek', 'Calo', 'Terminal', 'Telkomsel']</v>
      </c>
      <c r="D8876" s="3">
        <v>1.0</v>
      </c>
    </row>
    <row r="8877" ht="15.75" customHeight="1">
      <c r="A8877" s="1">
        <v>9359.0</v>
      </c>
      <c r="B8877" s="3" t="s">
        <v>8532</v>
      </c>
      <c r="C8877" s="3" t="str">
        <f>IFERROR(__xludf.DUMMYFUNCTION("GOOGLETRANSLATE(B8877,""id"",""en"")"),"['', 'Telkomsel', 'use', 'appears', 'connection', 'use', 'YouTube', 'confirm']")</f>
        <v>['', 'Telkomsel', 'use', 'appears', 'connection', 'use', 'YouTube', 'confirm']</v>
      </c>
      <c r="D8877" s="3">
        <v>1.0</v>
      </c>
    </row>
    <row r="8878" ht="15.75" customHeight="1">
      <c r="A8878" s="1">
        <v>9360.0</v>
      </c>
      <c r="B8878" s="3" t="s">
        <v>8533</v>
      </c>
      <c r="C8878" s="3" t="str">
        <f>IFERROR(__xludf.DUMMYFUNCTION("GOOGLETRANSLATE(B8878,""id"",""en"")"),"['Overcome', 'Telkomsel', 'Package', 'Data', 'remaining', 'MB', 'pulse', 'thousand', 'sucked', 'Telkomsel', 'repaired', 'system', ' pulse']")</f>
        <v>['Overcome', 'Telkomsel', 'Package', 'Data', 'remaining', 'MB', 'pulse', 'thousand', 'sucked', 'Telkomsel', 'repaired', 'system', ' pulse']</v>
      </c>
      <c r="D8878" s="3">
        <v>1.0</v>
      </c>
    </row>
    <row r="8879" ht="15.75" customHeight="1">
      <c r="A8879" s="1">
        <v>9361.0</v>
      </c>
      <c r="B8879" s="3" t="s">
        <v>8534</v>
      </c>
      <c r="C8879" s="3" t="str">
        <f>IFERROR(__xludf.DUMMYFUNCTION("GOOGLETRANSLATE(B8879,""id"",""en"")"),"['Pay', 'use', 'Shopeepay', 'Ovo', 'difficult', 'really', 'choice', 'use', 'pulse', 'hiks', ""]")</f>
        <v>['Pay', 'use', 'Shopeepay', 'Ovo', 'difficult', 'really', 'choice', 'use', 'pulse', 'hiks', "]</v>
      </c>
      <c r="D8879" s="3">
        <v>3.0</v>
      </c>
    </row>
    <row r="8880" ht="15.75" customHeight="1">
      <c r="A8880" s="1">
        <v>9362.0</v>
      </c>
      <c r="B8880" s="3" t="s">
        <v>8535</v>
      </c>
      <c r="C8880" s="3" t="str">
        <f>IFERROR(__xludf.DUMMYFUNCTION("GOOGLETRANSLATE(B8880,""id"",""en"")"),"['Helpful', 'users', 'Telkomsel', 'Easy', 'Features', '']")</f>
        <v>['Helpful', 'users', 'Telkomsel', 'Easy', 'Features', '']</v>
      </c>
      <c r="D8880" s="3">
        <v>5.0</v>
      </c>
    </row>
    <row r="8881" ht="15.75" customHeight="1">
      <c r="A8881" s="1">
        <v>9363.0</v>
      </c>
      <c r="B8881" s="3" t="s">
        <v>8536</v>
      </c>
      <c r="C8881" s="3" t="str">
        <f>IFERROR(__xludf.DUMMYFUNCTION("GOOGLETRANSLATE(B8881,""id"",""en"")"),"['Network', 'defective', 'card', 'area', 'I', 'NGAX', 'I', 'buy', 'Telkomsel', 'network', 'defective', ""]")</f>
        <v>['Network', 'defective', 'card', 'area', 'I', 'NGAX', 'I', 'buy', 'Telkomsel', 'network', 'defective', "]</v>
      </c>
      <c r="D8881" s="3">
        <v>1.0</v>
      </c>
    </row>
    <row r="8882" ht="15.75" customHeight="1">
      <c r="A8882" s="1">
        <v>9364.0</v>
      </c>
      <c r="B8882" s="3" t="s">
        <v>8537</v>
      </c>
      <c r="C8882" s="3" t="str">
        <f>IFERROR(__xludf.DUMMYFUNCTION("GOOGLETRANSLATE(B8882,""id"",""en"")"),"['Package', 'Out', 'Credit', 'Steal', 'Telkomsel', 'Use', 'Data', 'Credit', 'Content', 'Package', 'Please', 'Harm', ' Option ',' Settings', 'Credit', 'Cutting', 'Rating', 'Overcome', 'Friends',' Friends', 'Come on', 'Call', 'Telkomsel', 'Special', 'sympat"&amp;"hy' ]")</f>
        <v>['Package', 'Out', 'Credit', 'Steal', 'Telkomsel', 'Use', 'Data', 'Credit', 'Content', 'Package', 'Please', 'Harm', ' Option ',' Settings', 'Credit', 'Cutting', 'Rating', 'Overcome', 'Friends',' Friends', 'Come on', 'Call', 'Telkomsel', 'Special', 'sympathy' ]</v>
      </c>
      <c r="D8882" s="3">
        <v>1.0</v>
      </c>
    </row>
    <row r="8883" ht="15.75" customHeight="1">
      <c r="A8883" s="1">
        <v>9365.0</v>
      </c>
      <c r="B8883" s="3" t="s">
        <v>8538</v>
      </c>
      <c r="C8883" s="3" t="str">
        <f>IFERROR(__xludf.DUMMYFUNCTION("GOOGLETRANSLATE(B8883,""id"",""en"")"),"['claim', 'Reward', 'dayli', 'checkin', 'writing', 'Mandai', 'boundary', 'exchange', 'pulse', 'thousands',' active ',' period ',' Event ',' already ',' ']")</f>
        <v>['claim', 'Reward', 'dayli', 'checkin', 'writing', 'Mandai', 'boundary', 'exchange', 'pulse', 'thousands',' active ',' period ',' Event ',' already ',' ']</v>
      </c>
      <c r="D8883" s="3">
        <v>1.0</v>
      </c>
    </row>
    <row r="8884" ht="15.75" customHeight="1">
      <c r="A8884" s="1">
        <v>9366.0</v>
      </c>
      <c r="B8884" s="3" t="s">
        <v>8539</v>
      </c>
      <c r="C8884" s="3" t="str">
        <f>IFERROR(__xludf.DUMMYFUNCTION("GOOGLETRANSLATE(B8884,""id"",""en"")"),"['Telkomsel', 'promo', 'signal', 'strong', 'network', 'great', 'recommendation', 'really', '']")</f>
        <v>['Telkomsel', 'promo', 'signal', 'strong', 'network', 'great', 'recommendation', 'really', '']</v>
      </c>
      <c r="D8884" s="3">
        <v>5.0</v>
      </c>
    </row>
    <row r="8885" ht="15.75" customHeight="1">
      <c r="A8885" s="1">
        <v>9367.0</v>
      </c>
      <c r="B8885" s="3" t="s">
        <v>8540</v>
      </c>
      <c r="C8885" s="3" t="str">
        <f>IFERROR(__xludf.DUMMYFUNCTION("GOOGLETRANSLATE(B8885,""id"",""en"")"),"['Sorry', 'Sorry', 'Doang', 'Nge', 'no', 'repair', 'mah', 'star', 'minus',' already ',' love ',' minus', ' Stars', 'service', 'maximum', 'according to', 'price', 'package']")</f>
        <v>['Sorry', 'Sorry', 'Doang', 'Nge', 'no', 'repair', 'mah', 'star', 'minus',' already ',' love ',' minus', ' Stars', 'service', 'maximum', 'according to', 'price', 'package']</v>
      </c>
      <c r="D8885" s="3">
        <v>1.0</v>
      </c>
    </row>
    <row r="8886" ht="15.75" customHeight="1">
      <c r="A8886" s="1">
        <v>9368.0</v>
      </c>
      <c r="B8886" s="3" t="s">
        <v>8541</v>
      </c>
      <c r="C8886" s="3" t="str">
        <f>IFERROR(__xludf.DUMMYFUNCTION("GOOGLETRANSLATE(B8886,""id"",""en"")"),"['application', 'good', 'lottery', 'point', 'hopefully', 'lottery', 'sister', 'online', 'meet', 'needs',' online ',' pandemic ',' Hopefully ',' God ',' Thank "", 'Love', 'MyTelkomsel']")</f>
        <v>['application', 'good', 'lottery', 'point', 'hopefully', 'lottery', 'sister', 'online', 'meet', 'needs',' online ',' pandemic ',' Hopefully ',' God ',' Thank ", 'Love', 'MyTelkomsel']</v>
      </c>
      <c r="D8886" s="3">
        <v>5.0</v>
      </c>
    </row>
    <row r="8887" ht="15.75" customHeight="1">
      <c r="A8887" s="1">
        <v>9369.0</v>
      </c>
      <c r="B8887" s="3" t="s">
        <v>8542</v>
      </c>
      <c r="C8887" s="3" t="str">
        <f>IFERROR(__xludf.DUMMYFUNCTION("GOOGLETRANSLATE(B8887,""id"",""en"")"),"['', 'nomer', 'Different', 'price', 'package', 'quota', 'abis',' lngsng ',' suck ',' pulse ',' regular ',' hrg ',' package ',' expensive ',' network ',' Lemod ',' knp ',' closed ',' telkom ',' nuhun ',' ']")</f>
        <v>['', 'nomer', 'Different', 'price', 'package', 'quota', 'abis',' lngsng ',' suck ',' pulse ',' regular ',' hrg ',' package ',' expensive ',' network ',' Lemod ',' knp ',' closed ',' telkom ',' nuhun ',' ']</v>
      </c>
      <c r="D8887" s="3">
        <v>1.0</v>
      </c>
    </row>
    <row r="8888" ht="15.75" customHeight="1">
      <c r="A8888" s="1">
        <v>9370.0</v>
      </c>
      <c r="B8888" s="3" t="s">
        <v>8543</v>
      </c>
      <c r="C8888" s="3" t="str">
        <f>IFERROR(__xludf.DUMMYFUNCTION("GOOGLETRANSLATE(B8888,""id"",""en"")"),"['Quality', 'World', 'TPI', 'Network', 'Line', 'Buy', 'Combo', 'Sakti', 'Unlimited', 'Kouta', 'Main', 'Out', ' Remaining ',' Kouta ',' Unlimited ',' Multimedia ',' Games', 'PKE', 'Play', 'Game', 'Login', 'PKE', 'Kouta', 'Unlimited', 'Multimedia' , 'Koutaa"&amp;"', 'Telkomsel', 'expensive', 'jringan', 'slow', 'sell', 'package', 'kah', 'quality', 'world', '']")</f>
        <v>['Quality', 'World', 'TPI', 'Network', 'Line', 'Buy', 'Combo', 'Sakti', 'Unlimited', 'Kouta', 'Main', 'Out', ' Remaining ',' Kouta ',' Unlimited ',' Multimedia ',' Games', 'PKE', 'Play', 'Game', 'Login', 'PKE', 'Kouta', 'Unlimited', 'Multimedia' , 'Koutaa', 'Telkomsel', 'expensive', 'jringan', 'slow', 'sell', 'package', 'kah', 'quality', 'world', '']</v>
      </c>
      <c r="D8888" s="3">
        <v>1.0</v>
      </c>
    </row>
    <row r="8889" ht="15.75" customHeight="1">
      <c r="A8889" s="1">
        <v>9371.0</v>
      </c>
      <c r="B8889" s="3" t="s">
        <v>8544</v>
      </c>
      <c r="C8889" s="3" t="str">
        <f>IFERROR(__xludf.DUMMYFUNCTION("GOOGLETRANSLATE(B8889,""id"",""en"")"),"['Congratulations',' package ',' Internet ',' OMG ',' Disney ',' Hotstar ',' On ',' apply ',' date ',' PKL ',' WIB ',' check ',' Status', 'stop', 'subscribe', 'Telkomsel', 'apps',' hub ',' info ',' cool ',' date ',' enter ',' active ',' date ',' expensive"&amp;" ' , 'Bingit', 'regretting', 'Telkomsel', 'user', 'loyal', 'application', 'open', 'blank', 'look', ""]")</f>
        <v>['Congratulations',' package ',' Internet ',' OMG ',' Disney ',' Hotstar ',' On ',' apply ',' date ',' PKL ',' WIB ',' check ',' Status', 'stop', 'subscribe', 'Telkomsel', 'apps',' hub ',' info ',' cool ',' date ',' enter ',' active ',' date ',' expensive ' , 'Bingit', 'regretting', 'Telkomsel', 'user', 'loyal', 'application', 'open', 'blank', 'look', "]</v>
      </c>
      <c r="D8889" s="3">
        <v>1.0</v>
      </c>
    </row>
    <row r="8890" ht="15.75" customHeight="1">
      <c r="A8890" s="1">
        <v>9372.0</v>
      </c>
      <c r="B8890" s="3" t="s">
        <v>8545</v>
      </c>
      <c r="C8890" s="3" t="str">
        <f>IFERROR(__xludf.DUMMYFUNCTION("GOOGLETRANSLATE(B8890,""id"",""en"")"),"['Why', 'Telkomsel', 'here', 'disappointing', 'Paketan', 'Changed', 'Change', 'Comfortable', 'Price', 'Changed', 'Package', 'Priority', ' Using ',' Quota ',' On ',' Out ',' ']")</f>
        <v>['Why', 'Telkomsel', 'here', 'disappointing', 'Paketan', 'Changed', 'Change', 'Comfortable', 'Price', 'Changed', 'Package', 'Priority', ' Using ',' Quota ',' On ',' Out ',' ']</v>
      </c>
      <c r="D8890" s="3">
        <v>2.0</v>
      </c>
    </row>
    <row r="8891" ht="15.75" customHeight="1">
      <c r="A8891" s="1">
        <v>9373.0</v>
      </c>
      <c r="B8891" s="3" t="s">
        <v>8546</v>
      </c>
      <c r="C8891" s="3" t="str">
        <f>IFERROR(__xludf.DUMMYFUNCTION("GOOGLETRANSLATE(B8891,""id"",""en"")"),"['Wear', 'MyTelkomsel', 'convenience', 'buy', 'package', 'call', 'sms', 'etc.', 'thank', 'love', 'mytelkomsel']")</f>
        <v>['Wear', 'MyTelkomsel', 'convenience', 'buy', 'package', 'call', 'sms', 'etc.', 'thank', 'love', 'mytelkomsel']</v>
      </c>
      <c r="D8891" s="3">
        <v>5.0</v>
      </c>
    </row>
    <row r="8892" ht="15.75" customHeight="1">
      <c r="A8892" s="1">
        <v>9374.0</v>
      </c>
      <c r="B8892" s="3" t="s">
        <v>8547</v>
      </c>
      <c r="C8892" s="3" t="str">
        <f>IFERROR(__xludf.DUMMYFUNCTION("GOOGLETRANSLATE(B8892,""id"",""en"")"),"['', 'Update', 'eeh', 'UDH', 'update', 'opened', 'Tetep', 'Appear', 'Update', 'Memeng', 'Gini', 'AST', 'OPENTH ']")</f>
        <v>['', 'Update', 'eeh', 'UDH', 'update', 'opened', 'Tetep', 'Appear', 'Update', 'Memeng', 'Gini', 'AST', 'OPENTH ']</v>
      </c>
      <c r="D8892" s="3">
        <v>1.0</v>
      </c>
    </row>
    <row r="8893" ht="15.75" customHeight="1">
      <c r="A8893" s="1">
        <v>9375.0</v>
      </c>
      <c r="B8893" s="3" t="s">
        <v>8548</v>
      </c>
      <c r="C8893" s="3" t="str">
        <f>IFERROR(__xludf.DUMMYFUNCTION("GOOGLETRANSLATE(B8893,""id"",""en"")"),"['might', 'may', 'price', 'package', 'might', 'expensive', 'quality', 'network', 'bad', 'internet', 'might', 'lelattt', ' Tlong ',' Donk ',' Fix ',' Quality ',' Network ',' Customer ',' binya ',' blur ',' trmksh ', ""]")</f>
        <v>['might', 'may', 'price', 'package', 'might', 'expensive', 'quality', 'network', 'bad', 'internet', 'might', 'lelattt', ' Tlong ',' Donk ',' Fix ',' Quality ',' Network ',' Customer ',' binya ',' blur ',' trmksh ', "]</v>
      </c>
      <c r="D8893" s="3">
        <v>1.0</v>
      </c>
    </row>
    <row r="8894" ht="15.75" customHeight="1">
      <c r="A8894" s="1">
        <v>9376.0</v>
      </c>
      <c r="B8894" s="3" t="s">
        <v>8549</v>
      </c>
      <c r="C8894" s="3" t="str">
        <f>IFERROR(__xludf.DUMMYFUNCTION("GOOGLETRANSLATE(B8894,""id"",""en"")"),"['quota', 'combo', 'Sakti', 'unlimited', 'price', 'thousand', 'unlimited', 'youtube', 'replace', 'zoom', 'youtube', 'remove', ' Unlimited ',' Zoom ',' Useful ',' Telomsel ',' Strange ',' Policy ',' Disight ',' People ', ""]")</f>
        <v>['quota', 'combo', 'Sakti', 'unlimited', 'price', 'thousand', 'unlimited', 'youtube', 'replace', 'zoom', 'youtube', 'remove', ' Unlimited ',' Zoom ',' Useful ',' Telomsel ',' Strange ',' Policy ',' Disight ',' People ', "]</v>
      </c>
      <c r="D8894" s="3">
        <v>1.0</v>
      </c>
    </row>
    <row r="8895" ht="15.75" customHeight="1">
      <c r="A8895" s="1">
        <v>9377.0</v>
      </c>
      <c r="B8895" s="3" t="s">
        <v>8550</v>
      </c>
      <c r="C8895" s="3" t="str">
        <f>IFERROR(__xludf.DUMMYFUNCTION("GOOGLETRANSLATE(B8895,""id"",""en"")"),"['Rated', 'Open', 'Application', 'Error', 'Restart', 'Sampe', 'Redownload']")</f>
        <v>['Rated', 'Open', 'Application', 'Error', 'Restart', 'Sampe', 'Redownload']</v>
      </c>
      <c r="D8895" s="3">
        <v>1.0</v>
      </c>
    </row>
    <row r="8896" ht="15.75" customHeight="1">
      <c r="A8896" s="1">
        <v>9378.0</v>
      </c>
      <c r="B8896" s="3" t="s">
        <v>8551</v>
      </c>
      <c r="C8896" s="3" t="str">
        <f>IFERROR(__xludf.DUMMYFUNCTION("GOOGLETRANSLATE(B8896,""id"",""en"")"),"['Benerin', 'signal', 'gini', 'card', 'package', 'expensive', 'equivalent', 'package', 'card', 'cheap', 'signal', 'broken', ' Phew ',' embarrassing ',' price ',' comparable ',' quality ']")</f>
        <v>['Benerin', 'signal', 'gini', 'card', 'package', 'expensive', 'equivalent', 'package', 'card', 'cheap', 'signal', 'broken', ' Phew ',' embarrassing ',' price ',' comparable ',' quality ']</v>
      </c>
      <c r="D8896" s="3">
        <v>1.0</v>
      </c>
    </row>
    <row r="8897" ht="15.75" customHeight="1">
      <c r="A8897" s="1">
        <v>9379.0</v>
      </c>
      <c r="B8897" s="3" t="s">
        <v>8552</v>
      </c>
      <c r="C8897" s="3" t="str">
        <f>IFERROR(__xludf.DUMMYFUNCTION("GOOGLETRANSLATE(B8897,""id"",""en"")"),"['Karti', 'Hello', 'Can', 'Priority', 'Migration', 'Card', 'Hello', 'Signal', 'Lost', 'Network', 'Stable', 'Disconnect', ' application ',' Telkomsel ',' failed ',' system ',' sdg ',' dlm ',' fix ',' or ',' gmn ',' notification ',' sdg ',' dlm ',' repair '"&amp;" , 'Notification', 'via', 'email', 'SMS', 'SHG', 'Consumer', 'DPT', 'UKLU', 'NUTS', 'Location', 'Cibinong', 'Bogor', ' ']")</f>
        <v>['Karti', 'Hello', 'Can', 'Priority', 'Migration', 'Card', 'Hello', 'Signal', 'Lost', 'Network', 'Stable', 'Disconnect', ' application ',' Telkomsel ',' failed ',' system ',' sdg ',' dlm ',' fix ',' or ',' gmn ',' notification ',' sdg ',' dlm ',' repair ' , 'Notification', 'via', 'email', 'SMS', 'SHG', 'Consumer', 'DPT', 'UKLU', 'NUTS', 'Location', 'Cibinong', 'Bogor', ' ']</v>
      </c>
      <c r="D8897" s="3">
        <v>3.0</v>
      </c>
    </row>
    <row r="8898" ht="15.75" customHeight="1">
      <c r="A8898" s="1">
        <v>9380.0</v>
      </c>
      <c r="B8898" s="3" t="s">
        <v>8553</v>
      </c>
      <c r="C8898" s="3" t="str">
        <f>IFERROR(__xludf.DUMMYFUNCTION("GOOGLETRANSLATE(B8898,""id"",""en"")"),"['loss',' Bandar ',' buy ',' pulse ',' until ',' home ',' minutes', 'already', 'run out', 'leftover', 'Terapin', 'system', ' Kayak ',' Provider ',' Come on ',' Telkomsel ',' Paketan ',' Thinking ',' Lost ',' Kmrin ',' Already ',' Hold ',' Telkomsel ',' Ch"&amp;"ange ',' Provider ' , 'trimakasih', 'im', '']")</f>
        <v>['loss',' Bandar ',' buy ',' pulse ',' until ',' home ',' minutes', 'already', 'run out', 'leftover', 'Terapin', 'system', ' Kayak ',' Provider ',' Come on ',' Telkomsel ',' Paketan ',' Thinking ',' Lost ',' Kmrin ',' Already ',' Hold ',' Telkomsel ',' Change ',' Provider ' , 'trimakasih', 'im', '']</v>
      </c>
      <c r="D8898" s="3">
        <v>1.0</v>
      </c>
    </row>
    <row r="8899" ht="15.75" customHeight="1">
      <c r="A8899" s="1">
        <v>9381.0</v>
      </c>
      <c r="B8899" s="3" t="s">
        <v>8554</v>
      </c>
      <c r="C8899" s="3" t="str">
        <f>IFERROR(__xludf.DUMMYFUNCTION("GOOGLETRANSLATE(B8899,""id"",""en"")"),"['Severe', 'lag', 'Mulu', 'stable', 'network', 'work', 'internet', 'Telkomsel', ""]")</f>
        <v>['Severe', 'lag', 'Mulu', 'stable', 'network', 'work', 'internet', 'Telkomsel', "]</v>
      </c>
      <c r="D8899" s="3">
        <v>1.0</v>
      </c>
    </row>
    <row r="8900" ht="15.75" customHeight="1">
      <c r="A8900" s="1">
        <v>9382.0</v>
      </c>
      <c r="B8900" s="3" t="s">
        <v>8555</v>
      </c>
      <c r="C8900" s="3" t="str">
        <f>IFERROR(__xludf.DUMMYFUNCTION("GOOGLETRANSLATE(B8900,""id"",""en"")"),"['Telkomsel', 'package', 'internet', 'expensive', 'network', 'stable', '']")</f>
        <v>['Telkomsel', 'package', 'internet', 'expensive', 'network', 'stable', '']</v>
      </c>
      <c r="D8900" s="3">
        <v>5.0</v>
      </c>
    </row>
    <row r="8901" ht="15.75" customHeight="1">
      <c r="A8901" s="1">
        <v>9383.0</v>
      </c>
      <c r="B8901" s="3" t="s">
        <v>8556</v>
      </c>
      <c r="C8901" s="3" t="str">
        <f>IFERROR(__xludf.DUMMYFUNCTION("GOOGLETRANSLATE(B8901,""id"",""en"")"),"['AHIR', 'AHIR', 'Satisfied', 'Service', 'App', 'Telkomsel', 'Because', 'Do It', 'Transaction', 'Process', 'Sometimes', 'Waiting']")</f>
        <v>['AHIR', 'AHIR', 'Satisfied', 'Service', 'App', 'Telkomsel', 'Because', 'Do It', 'Transaction', 'Process', 'Sometimes', 'Waiting']</v>
      </c>
      <c r="D8901" s="3">
        <v>3.0</v>
      </c>
    </row>
    <row r="8902" ht="15.75" customHeight="1">
      <c r="A8902" s="1">
        <v>9384.0</v>
      </c>
      <c r="B8902" s="3" t="s">
        <v>8557</v>
      </c>
      <c r="C8902" s="3" t="str">
        <f>IFERROR(__xludf.DUMMYFUNCTION("GOOGLETRANSLATE(B8902,""id"",""en"")"),"['Sorry', 'internet', 'the network', 'ugly', 'really', 'surprised', 'deh', 'city', 'since' use ',' Telkomsel ',' taste ',' Stayed ',' forest ',' wilderness', 'auto', 'person', 'ancient', 'rich', 'gini', 'really', 'sucked', 'pulse', 'reminder', 'run out' ,"&amp;" 'pulses', 'surprised', 'deh', '']")</f>
        <v>['Sorry', 'internet', 'the network', 'ugly', 'really', 'surprised', 'deh', 'city', 'since' use ',' Telkomsel ',' taste ',' Stayed ',' forest ',' wilderness', 'auto', 'person', 'ancient', 'rich', 'gini', 'really', 'sucked', 'pulse', 'reminder', 'run out' , 'pulses', 'surprised', 'deh', '']</v>
      </c>
      <c r="D8902" s="3">
        <v>1.0</v>
      </c>
    </row>
    <row r="8903" ht="15.75" customHeight="1">
      <c r="A8903" s="1">
        <v>9385.0</v>
      </c>
      <c r="B8903" s="3" t="s">
        <v>8558</v>
      </c>
      <c r="C8903" s="3" t="str">
        <f>IFERROR(__xludf.DUMMYFUNCTION("GOOGLETRANSLATE(B8903,""id"",""en"")"),"['application', 'Help', 'daily', 'monitor', 'data', 'purchase', 'useful', 'help', 'people', 'around', 'basics',' recommendation ',' very']")</f>
        <v>['application', 'Help', 'daily', 'monitor', 'data', 'purchase', 'useful', 'help', 'people', 'around', 'basics',' recommendation ',' very']</v>
      </c>
      <c r="D8903" s="3">
        <v>5.0</v>
      </c>
    </row>
    <row r="8904" ht="15.75" customHeight="1">
      <c r="A8904" s="1">
        <v>9386.0</v>
      </c>
      <c r="B8904" s="3" t="s">
        <v>8559</v>
      </c>
      <c r="C8904" s="3" t="str">
        <f>IFERROR(__xludf.DUMMYFUNCTION("GOOGLETRANSLATE(B8904,""id"",""en"")"),"['Edit', 'Reviews',' use ',' Telkomsel ',' already ',' tens', 'quality', 'ugly', 'buy', 'package', 'card', 'famous',' expensive ',' friend ',' peskomsel ',' Telkomsel ',' buy ',' package ',' a month ',' run out ',' rb ',' rb ',' promo ',' friend ',' cheap"&amp;" ' , 'promo', 'expensive', 'buy', 'package', 'GB', 'price', 'soaring', 'expensive', 'Fine', 'disappointed', 'Bukuk', 'buy', ' Cards', 'Telkomsel', 'backup', '']")</f>
        <v>['Edit', 'Reviews',' use ',' Telkomsel ',' already ',' tens', 'quality', 'ugly', 'buy', 'package', 'card', 'famous',' expensive ',' friend ',' peskomsel ',' Telkomsel ',' buy ',' package ',' a month ',' run out ',' rb ',' rb ',' promo ',' friend ',' cheap ' , 'promo', 'expensive', 'buy', 'package', 'GB', 'price', 'soaring', 'expensive', 'Fine', 'disappointed', 'Bukuk', 'buy', ' Cards', 'Telkomsel', 'backup', '']</v>
      </c>
      <c r="D8904" s="3">
        <v>1.0</v>
      </c>
    </row>
    <row r="8905" ht="15.75" customHeight="1">
      <c r="A8905" s="1">
        <v>9387.0</v>
      </c>
      <c r="B8905" s="3" t="s">
        <v>8560</v>
      </c>
      <c r="C8905" s="3" t="str">
        <f>IFERROR(__xludf.DUMMYFUNCTION("GOOGLETRANSLATE(B8905,""id"",""en"")"),"['connection', 'internet', 'missing', 'credit', 'lost', 'data', 'package', 'internet', 'already', 'cape']")</f>
        <v>['connection', 'internet', 'missing', 'credit', 'lost', 'data', 'package', 'internet', 'already', 'cape']</v>
      </c>
      <c r="D8905" s="3">
        <v>1.0</v>
      </c>
    </row>
    <row r="8906" ht="15.75" customHeight="1">
      <c r="A8906" s="1">
        <v>9388.0</v>
      </c>
      <c r="B8906" s="3" t="s">
        <v>8561</v>
      </c>
      <c r="C8906" s="3" t="str">
        <f>IFERROR(__xludf.DUMMYFUNCTION("GOOGLETRANSLATE(B8906,""id"",""en"")"),"['Woy', 'Anjiink', 'Rich', 'Gini', 'Banggrsat', 'I', 'Kouta', 'Belli', 'Kaggak', 'Kaggak', 'owes',' ata ',' sympathy ',' network ',' regret ',' Loe ',' Anyway ',' already ',' expensive ',' kagak ',' better ',' card ']")</f>
        <v>['Woy', 'Anjiink', 'Rich', 'Gini', 'Banggrsat', 'I', 'Kouta', 'Belli', 'Kaggak', 'Kaggak', 'owes',' ata ',' sympathy ',' network ',' regret ',' Loe ',' Anyway ',' already ',' expensive ',' kagak ',' better ',' card ']</v>
      </c>
      <c r="D8906" s="3">
        <v>1.0</v>
      </c>
    </row>
    <row r="8907" ht="15.75" customHeight="1">
      <c r="A8907" s="1">
        <v>9389.0</v>
      </c>
      <c r="B8907" s="3" t="s">
        <v>8562</v>
      </c>
      <c r="C8907" s="3" t="str">
        <f>IFERROR(__xludf.DUMMYFUNCTION("GOOGLETRANSLATE(B8907,""id"",""en"")"),"['Network', 'Bad', 'Kab', 'Kampar', 'Prov', 'Pekanbaru', 'Please', 'Noted', 'Bagus',' Please ',' Application ',' Telkomsel ',' complicated ',' use ',' data ',' giga ',' comfortable ',' trims', '']")</f>
        <v>['Network', 'Bad', 'Kab', 'Kampar', 'Prov', 'Pekanbaru', 'Please', 'Noted', 'Bagus',' Please ',' Application ',' Telkomsel ',' complicated ',' use ',' data ',' giga ',' comfortable ',' trims', '']</v>
      </c>
      <c r="D8907" s="3">
        <v>2.0</v>
      </c>
    </row>
    <row r="8908" ht="15.75" customHeight="1">
      <c r="A8908" s="1">
        <v>9390.0</v>
      </c>
      <c r="B8908" s="3" t="s">
        <v>8563</v>
      </c>
      <c r="C8908" s="3" t="str">
        <f>IFERROR(__xludf.DUMMYFUNCTION("GOOGLETRANSLATE(B8908,""id"",""en"")"),"['Telkomsel', 'buy', 'package', 'internet', 'disorder', 'system', 'yesterday', 'here', 'bad', 'service']")</f>
        <v>['Telkomsel', 'buy', 'package', 'internet', 'disorder', 'system', 'yesterday', 'here', 'bad', 'service']</v>
      </c>
      <c r="D8908" s="3">
        <v>1.0</v>
      </c>
    </row>
    <row r="8909" ht="15.75" customHeight="1">
      <c r="A8909" s="1">
        <v>9391.0</v>
      </c>
      <c r="B8909" s="3" t="s">
        <v>8564</v>
      </c>
      <c r="C8909" s="3" t="str">
        <f>IFERROR(__xludf.DUMMYFUNCTION("GOOGLETRANSLATE(B8909,""id"",""en"")"),"['network', 'weak', 'price', 'package', 'internet', 'too', 'expensive', 'operator', 'lemoottt', 'app', 'open', 'reason', ' repairs', 'system', 'week']")</f>
        <v>['network', 'weak', 'price', 'package', 'internet', 'too', 'expensive', 'operator', 'lemoottt', 'app', 'open', 'reason', ' repairs', 'system', 'week']</v>
      </c>
      <c r="D8909" s="3">
        <v>2.0</v>
      </c>
    </row>
    <row r="8910" ht="15.75" customHeight="1">
      <c r="A8910" s="1">
        <v>9392.0</v>
      </c>
      <c r="B8910" s="3" t="s">
        <v>8565</v>
      </c>
      <c r="C8910" s="3" t="str">
        <f>IFERROR(__xludf.DUMMYFUNCTION("GOOGLETRANSLATE(B8910,""id"",""en"")"),"['Modern', 'Modern', 'Network', 'Telkomsel', 'Severe', 'Cook', 'Lost', 'Pakek', 'friend', 'Kecere', 'Please', 'Expand', ' The network ',' Stay ',' Rural ',' Feel ',' Network ',' Setabil ',' ']")</f>
        <v>['Modern', 'Modern', 'Network', 'Telkomsel', 'Severe', 'Cook', 'Lost', 'Pakek', 'friend', 'Kecere', 'Please', 'Expand', ' The network ',' Stay ',' Rural ',' Feel ',' Network ',' Setabil ',' ']</v>
      </c>
      <c r="D8910" s="3">
        <v>1.0</v>
      </c>
    </row>
    <row r="8911" ht="15.75" customHeight="1">
      <c r="A8911" s="1">
        <v>9393.0</v>
      </c>
      <c r="B8911" s="3" t="s">
        <v>8566</v>
      </c>
      <c r="C8911" s="3" t="str">
        <f>IFERROR(__xludf.DUMMYFUNCTION("GOOGLETRANSLATE(B8911,""id"",""en"")"),"['ugly', 'Telkomsel', 'Kyak', 'GNI', 'TRS', 'Mending', 'Change', 'Number', 'subscription', 'Telkomsel', 'mAh', 'network', ' ugly ',' Maketin ',' ']")</f>
        <v>['ugly', 'Telkomsel', 'Kyak', 'GNI', 'TRS', 'Mending', 'Change', 'Number', 'subscription', 'Telkomsel', 'mAh', 'network', ' ugly ',' Maketin ',' ']</v>
      </c>
      <c r="D8911" s="3">
        <v>1.0</v>
      </c>
    </row>
    <row r="8912" ht="15.75" customHeight="1">
      <c r="A8912" s="1">
        <v>9394.0</v>
      </c>
      <c r="B8912" s="3" t="s">
        <v>8567</v>
      </c>
      <c r="C8912" s="3" t="str">
        <f>IFERROR(__xludf.DUMMYFUNCTION("GOOGLETRANSLATE(B8912,""id"",""en"")"),"['updating', 'Telkomsel', 'noon', 'Dhuhur', 'Network', 'Internet', 'Telkom', 'Difficult', 'March', 'March', 'afternoon']")</f>
        <v>['updating', 'Telkomsel', 'noon', 'Dhuhur', 'Network', 'Internet', 'Telkom', 'Difficult', 'March', 'March', 'afternoon']</v>
      </c>
      <c r="D8912" s="3">
        <v>1.0</v>
      </c>
    </row>
    <row r="8913" ht="15.75" customHeight="1">
      <c r="A8913" s="1">
        <v>9395.0</v>
      </c>
      <c r="B8913" s="3" t="s">
        <v>8568</v>
      </c>
      <c r="C8913" s="3" t="str">
        <f>IFERROR(__xludf.DUMMYFUNCTION("GOOGLETRANSLATE(B8913,""id"",""en"")"),"['Use', 'card', 'sympathy', 'Telkomsel', 'network', 'internet', 'slow', 'severe', 'position', 'city', ""]")</f>
        <v>['Use', 'card', 'sympathy', 'Telkomsel', 'network', 'internet', 'slow', 'severe', 'position', 'city', "]</v>
      </c>
      <c r="D8913" s="3">
        <v>3.0</v>
      </c>
    </row>
    <row r="8914" ht="15.75" customHeight="1">
      <c r="A8914" s="1">
        <v>9396.0</v>
      </c>
      <c r="B8914" s="3" t="s">
        <v>8569</v>
      </c>
      <c r="C8914" s="3" t="str">
        <f>IFERROR(__xludf.DUMMYFUNCTION("GOOGLETRANSLATE(B8914,""id"",""en"")"),"['The network', 'satisfying', 'tmpat', 'leet', 'slow', 'package', 'expensive', 'expensive', 'tissue', 'satisfying', 'UDH', 'expensive', ' its network ',' Hadeuuuhh ',' Blom ',' Change ',' Hamlet ',' Sukawangi ',' Village ',' Kutawargi ',' District ',' Raw"&amp;"amerta ',' Kabupaten ',' Karawang ',' Original ' , 'Skarang', 'Severe', 'The network', ""]")</f>
        <v>['The network', 'satisfying', 'tmpat', 'leet', 'slow', 'package', 'expensive', 'expensive', 'tissue', 'satisfying', 'UDH', 'expensive', ' its network ',' Hadeuuuhh ',' Blom ',' Change ',' Hamlet ',' Sukawangi ',' Village ',' Kutawargi ',' District ',' Rawamerta ',' Kabupaten ',' Karawang ',' Original ' , 'Skarang', 'Severe', 'The network', "]</v>
      </c>
      <c r="D8914" s="3">
        <v>1.0</v>
      </c>
    </row>
    <row r="8915" ht="15.75" customHeight="1">
      <c r="A8915" s="1">
        <v>9397.0</v>
      </c>
      <c r="B8915" s="3" t="s">
        <v>8570</v>
      </c>
      <c r="C8915" s="3" t="str">
        <f>IFERROR(__xludf.DUMMYFUNCTION("GOOGLETRANSLATE(B8915,""id"",""en"")"),"['signal', 'missing', 'right', 'lgi', 'maen', 'game', 'like', '']")</f>
        <v>['signal', 'missing', 'right', 'lgi', 'maen', 'game', 'like', '']</v>
      </c>
      <c r="D8915" s="3">
        <v>1.0</v>
      </c>
    </row>
    <row r="8916" ht="15.75" customHeight="1">
      <c r="A8916" s="1">
        <v>9398.0</v>
      </c>
      <c r="B8916" s="3" t="s">
        <v>8571</v>
      </c>
      <c r="C8916" s="3" t="str">
        <f>IFERROR(__xludf.DUMMYFUNCTION("GOOGLETRANSLATE(B8916,""id"",""en"")"),"['Assalamualaikum', 'warahmatullah', 'thanks',' love ',' Telkomtol ',' quota ',' expensive ',' suggestion ',' love ',' promo ',' user ',' regards']")</f>
        <v>['Assalamualaikum', 'warahmatullah', 'thanks',' love ',' Telkomtol ',' quota ',' expensive ',' suggestion ',' love ',' promo ',' user ',' regards']</v>
      </c>
      <c r="D8916" s="3">
        <v>5.0</v>
      </c>
    </row>
    <row r="8917" ht="15.75" customHeight="1">
      <c r="A8917" s="1">
        <v>9399.0</v>
      </c>
      <c r="B8917" s="3" t="s">
        <v>8572</v>
      </c>
      <c r="C8917" s="3" t="str">
        <f>IFERROR(__xludf.DUMMYFUNCTION("GOOGLETRANSLATE(B8917,""id"",""en"")"),"['intentionally', 'love', 'star', 'signal', 'internet', 'ugly', 'padeehal', 'good', 'ugly', 'really', 'no', 'right', ' Telkomsel ',' ']")</f>
        <v>['intentionally', 'love', 'star', 'signal', 'internet', 'ugly', 'padeehal', 'good', 'ugly', 'really', 'no', 'right', ' Telkomsel ',' ']</v>
      </c>
      <c r="D8917" s="3">
        <v>1.0</v>
      </c>
    </row>
    <row r="8918" ht="15.75" customHeight="1">
      <c r="A8918" s="1">
        <v>9400.0</v>
      </c>
      <c r="B8918" s="3" t="s">
        <v>8573</v>
      </c>
      <c r="C8918" s="3" t="str">
        <f>IFERROR(__xludf.DUMMYFUNCTION("GOOGLETRANSLATE(B8918,""id"",""en"")"),"['update', 'times',' application ',' ngak ',' bukak ',' please ',' admin ',' update ',' error ',' so ',' thank ',' ']")</f>
        <v>['update', 'times',' application ',' ngak ',' bukak ',' please ',' admin ',' update ',' error ',' so ',' thank ',' ']</v>
      </c>
      <c r="D8918" s="3">
        <v>1.0</v>
      </c>
    </row>
    <row r="8919" ht="15.75" customHeight="1">
      <c r="A8919" s="1">
        <v>9401.0</v>
      </c>
      <c r="B8919" s="3" t="s">
        <v>8574</v>
      </c>
      <c r="C8919" s="3" t="str">
        <f>IFERROR(__xludf.DUMMYFUNCTION("GOOGLETRANSLATE(B8919,""id"",""en"")"),"['strange', 'really', 'transaction', 'contents',' pulse ',' gopay ',' balance ',' already ',' cheek ',' digopaynya ',' app ',' history ',' transaction', '']")</f>
        <v>['strange', 'really', 'transaction', 'contents',' pulse ',' gopay ',' balance ',' already ',' cheek ',' digopaynya ',' app ',' history ',' transaction', '']</v>
      </c>
      <c r="D8919" s="3">
        <v>1.0</v>
      </c>
    </row>
    <row r="8920" ht="15.75" customHeight="1">
      <c r="A8920" s="1">
        <v>9402.0</v>
      </c>
      <c r="B8920" s="3" t="s">
        <v>8575</v>
      </c>
      <c r="C8920" s="3" t="str">
        <f>IFERROR(__xludf.DUMMYFUNCTION("GOOGLETRANSLATE(B8920,""id"",""en"")"),"['Please', 'Restore', 'DLU', 'Rich', 'Gini', 'Signal', 'Muter', 'Muter', 'Mulu', 'Rich', 'Percikan', 'Good', ' Down ',' signal ',' Telkomsel ',' ']")</f>
        <v>['Please', 'Restore', 'DLU', 'Rich', 'Gini', 'Signal', 'Muter', 'Muter', 'Mulu', 'Rich', 'Percikan', 'Good', ' Down ',' signal ',' Telkomsel ',' ']</v>
      </c>
      <c r="D8920" s="3">
        <v>1.0</v>
      </c>
    </row>
    <row r="8921" ht="15.75" customHeight="1">
      <c r="A8921" s="1">
        <v>9403.0</v>
      </c>
      <c r="B8921" s="3" t="s">
        <v>8576</v>
      </c>
      <c r="C8921" s="3" t="str">
        <f>IFERROR(__xludf.DUMMYFUNCTION("GOOGLETRANSLATE(B8921,""id"",""en"")"),"['Network', 'worst', 'World', 'expensive', 'Doang', 'Pantes', 'Rating', 'Star']")</f>
        <v>['Network', 'worst', 'World', 'expensive', 'Doang', 'Pantes', 'Rating', 'Star']</v>
      </c>
      <c r="D8921" s="3">
        <v>1.0</v>
      </c>
    </row>
    <row r="8922" ht="15.75" customHeight="1">
      <c r="A8922" s="1">
        <v>9404.0</v>
      </c>
      <c r="B8922" s="3" t="s">
        <v>8577</v>
      </c>
      <c r="C8922" s="3" t="str">
        <f>IFERROR(__xludf.DUMMYFUNCTION("GOOGLETRANSLATE(B8922,""id"",""en"")"),"['signal', 'slow', 'tomorrow', 'moved', 'provider', 'internet', 'city', 'bandung', 'slow', 'telkomsel', 'gmana', 'area', ' woi ',' choice ',' purchase ',' package ',' data ',' skarang ',' info ',' really ',' application ']")</f>
        <v>['signal', 'slow', 'tomorrow', 'moved', 'provider', 'internet', 'city', 'bandung', 'slow', 'telkomsel', 'gmana', 'area', ' woi ',' choice ',' purchase ',' package ',' data ',' skarang ',' info ',' really ',' application ']</v>
      </c>
      <c r="D8922" s="3">
        <v>1.0</v>
      </c>
    </row>
    <row r="8923" ht="15.75" customHeight="1">
      <c r="A8923" s="1">
        <v>9405.0</v>
      </c>
      <c r="B8923" s="3" t="s">
        <v>8578</v>
      </c>
      <c r="C8923" s="3" t="str">
        <f>IFERROR(__xludf.DUMMYFUNCTION("GOOGLETRANSLATE(B8923,""id"",""en"")"),"['Price', 'Package', 'Data', 'Expensive', 'Network', 'Lemot', 'Please', 'Increase']")</f>
        <v>['Price', 'Package', 'Data', 'Expensive', 'Network', 'Lemot', 'Please', 'Increase']</v>
      </c>
      <c r="D8923" s="3">
        <v>2.0</v>
      </c>
    </row>
    <row r="8924" ht="15.75" customHeight="1">
      <c r="A8924" s="1">
        <v>9406.0</v>
      </c>
      <c r="B8924" s="3" t="s">
        <v>8579</v>
      </c>
      <c r="C8924" s="3" t="str">
        <f>IFERROR(__xludf.DUMMYFUNCTION("GOOGLETRANSLATE(B8924,""id"",""en"")"),"['Data', 'in place', 'network', 'slow', 'regret', 'buy', 'data', 'Telkomsel', 'pls',' card ',' next door ',' pls', 'Telkomsel', 'people', 'pay', 'debt', 'buy', 'pls',' Telkomsel ',' ']")</f>
        <v>['Data', 'in place', 'network', 'slow', 'regret', 'buy', 'data', 'Telkomsel', 'pls',' card ',' next door ',' pls', 'Telkomsel', 'people', 'pay', 'debt', 'buy', 'pls',' Telkomsel ',' ']</v>
      </c>
      <c r="D8924" s="3">
        <v>3.0</v>
      </c>
    </row>
    <row r="8925" ht="15.75" customHeight="1">
      <c r="A8925" s="1">
        <v>9407.0</v>
      </c>
      <c r="B8925" s="3" t="s">
        <v>8580</v>
      </c>
      <c r="C8925" s="3" t="str">
        <f>IFERROR(__xludf.DUMMYFUNCTION("GOOGLETRANSLATE(B8925,""id"",""en"")"),"['user', 'card', 'Hello', 'TPI', 'KNP', 'Internet', 'Slow', 'Kyk', 'Gini', 'Empor', 'Bandar', 'Haya', ' Experience ',' TPI ',' users', 'Telkomsel', 'Feel']")</f>
        <v>['user', 'card', 'Hello', 'TPI', 'KNP', 'Internet', 'Slow', 'Kyk', 'Gini', 'Empor', 'Bandar', 'Haya', ' Experience ',' TPI ',' users', 'Telkomsel', 'Feel']</v>
      </c>
      <c r="D8925" s="3">
        <v>2.0</v>
      </c>
    </row>
    <row r="8926" ht="15.75" customHeight="1">
      <c r="A8926" s="1">
        <v>9408.0</v>
      </c>
      <c r="B8926" s="3" t="s">
        <v>8581</v>
      </c>
      <c r="C8926" s="3" t="str">
        <f>IFERROR(__xludf.DUMMYFUNCTION("GOOGLETRANSLATE(B8926,""id"",""en"")"),"['Wonder', 'Update', 'Uninstall', 'Direct', 'Update', 'Continuous',' Update ',' App ',' Update ',' Already ',' Install ',' Search ',' children ',' work ',' App ',' Next ',' Time ',' shy ',' user ',' already ',' app ',' bug ']")</f>
        <v>['Wonder', 'Update', 'Uninstall', 'Direct', 'Update', 'Continuous',' Update ',' App ',' Update ',' Already ',' Install ',' Search ',' children ',' work ',' App ',' Next ',' Time ',' shy ',' user ',' already ',' app ',' bug ']</v>
      </c>
      <c r="D8926" s="3">
        <v>1.0</v>
      </c>
    </row>
    <row r="8927" ht="15.75" customHeight="1">
      <c r="A8927" s="1">
        <v>9409.0</v>
      </c>
      <c r="B8927" s="3" t="s">
        <v>8582</v>
      </c>
      <c r="C8927" s="3" t="str">
        <f>IFERROR(__xludf.DUMMYFUNCTION("GOOGLETRANSLATE(B8927,""id"",""en"")"),"['here', 'difficult', 'pulse', 'fill', 'disappear', 'so', 'open']")</f>
        <v>['here', 'difficult', 'pulse', 'fill', 'disappear', 'so', 'open']</v>
      </c>
      <c r="D8927" s="3">
        <v>1.0</v>
      </c>
    </row>
    <row r="8928" ht="15.75" customHeight="1">
      <c r="A8928" s="1">
        <v>9410.0</v>
      </c>
      <c r="B8928" s="3" t="s">
        <v>8583</v>
      </c>
      <c r="C8928" s="3" t="str">
        <f>IFERROR(__xludf.DUMMYFUNCTION("GOOGLETRANSLATE(B8928,""id"",""en"")"),"['Install', 'App', 'uda', 'lag', 'crash', 'samsek', 'open', 'reading', 'error', 'etc', 'signal', 'destroyed', ' yes', 'price', 'package', 'quality', 'network', 'dilapidated', '']")</f>
        <v>['Install', 'App', 'uda', 'lag', 'crash', 'samsek', 'open', 'reading', 'error', 'etc', 'signal', 'destroyed', ' yes', 'price', 'package', 'quality', 'network', 'dilapidated', '']</v>
      </c>
      <c r="D8928" s="3">
        <v>1.0</v>
      </c>
    </row>
    <row r="8929" ht="15.75" customHeight="1">
      <c r="A8929" s="1">
        <v>9411.0</v>
      </c>
      <c r="B8929" s="3" t="s">
        <v>8584</v>
      </c>
      <c r="C8929" s="3" t="str">
        <f>IFERROR(__xludf.DUMMYFUNCTION("GOOGLETRANSLATE(B8929,""id"",""en"")"),"['Telkomsel', 'signal', 'internet', 'bad', 'already', 'quota', 'expensive', 'service', 'satisfying', 'signal', 'ugly', 'loss',' already ',' Telkomsel ',' Performance ',' disappointing ',' internet ',' poor ',' buy ',' quota ',' internet ',' price ',' acco"&amp;"rding to ',' display ',' severe ' , 'Fix', 'quality', 'network', 'transmission', 'relay', 'bro', 'expensive', 'doang', '']")</f>
        <v>['Telkomsel', 'signal', 'internet', 'bad', 'already', 'quota', 'expensive', 'service', 'satisfying', 'signal', 'ugly', 'loss',' already ',' Telkomsel ',' Performance ',' disappointing ',' internet ',' poor ',' buy ',' quota ',' internet ',' price ',' according to ',' display ',' severe ' , 'Fix', 'quality', 'network', 'transmission', 'relay', 'bro', 'expensive', 'doang', '']</v>
      </c>
      <c r="D8929" s="3">
        <v>1.0</v>
      </c>
    </row>
    <row r="8930" ht="15.75" customHeight="1">
      <c r="A8930" s="1">
        <v>9412.0</v>
      </c>
      <c r="B8930" s="3" t="s">
        <v>8585</v>
      </c>
      <c r="C8930" s="3" t="str">
        <f>IFERROR(__xludf.DUMMYFUNCTION("GOOGLETRANSLATE(B8930,""id"",""en"")"),"['Hadeh', 'Network', 'Kek', 'garbage', 'Telkomsel', 'network', 'strong', 'pulp', 'city', 'doang', 'region', 'thinking', ' Providers', 'biggest', 'Indonesia', 'The network', 'weak', 'really', 'crazy', 'rich', 'that's',' switch ',' maximal ',' boss', 'ngiku"&amp;"tin' , 'trend', '']")</f>
        <v>['Hadeh', 'Network', 'Kek', 'garbage', 'Telkomsel', 'network', 'strong', 'pulp', 'city', 'doang', 'region', 'thinking', ' Providers', 'biggest', 'Indonesia', 'The network', 'weak', 'really', 'crazy', 'rich', 'that's',' switch ',' maximal ',' boss', 'ngikutin' , 'trend', '']</v>
      </c>
      <c r="D8930" s="3">
        <v>1.0</v>
      </c>
    </row>
    <row r="8931" ht="15.75" customHeight="1">
      <c r="A8931" s="1">
        <v>9413.0</v>
      </c>
      <c r="B8931" s="3" t="s">
        <v>8586</v>
      </c>
      <c r="C8931" s="3" t="str">
        <f>IFERROR(__xludf.DUMMYFUNCTION("GOOGLETRANSLATE(B8931,""id"",""en"")"),"['Tolkomsel', 'quota', 'internet', 'doang', 'expensive', 'signal', 'slow', 'unclean', 'right', 'kemupi', 'difficult', ' ']")</f>
        <v>['Tolkomsel', 'quota', 'internet', 'doang', 'expensive', 'signal', 'slow', 'unclean', 'right', 'kemupi', 'difficult', ' ']</v>
      </c>
      <c r="D8931" s="3">
        <v>1.0</v>
      </c>
    </row>
    <row r="8932" ht="15.75" customHeight="1">
      <c r="A8932" s="1">
        <v>9414.0</v>
      </c>
      <c r="B8932" s="3" t="s">
        <v>8587</v>
      </c>
      <c r="C8932" s="3" t="str">
        <f>IFERROR(__xludf.DUMMYFUNCTION("GOOGLETRANSLATE(B8932,""id"",""en"")"),"['Forced', 'love', 'star', 'network', 'telomsel', 'ugly', 'network', 'connection', 'night', 'dahh', 'nge', 'lag', ' Severe ',' Main ',' hope ',' Please ',' Fix ',' Telkomsel ',' ']")</f>
        <v>['Forced', 'love', 'star', 'network', 'telomsel', 'ugly', 'network', 'connection', 'night', 'dahh', 'nge', 'lag', ' Severe ',' Main ',' hope ',' Please ',' Fix ',' Telkomsel ',' ']</v>
      </c>
      <c r="D8932" s="3">
        <v>1.0</v>
      </c>
    </row>
    <row r="8933" ht="15.75" customHeight="1">
      <c r="A8933" s="1">
        <v>9415.0</v>
      </c>
      <c r="B8933" s="3" t="s">
        <v>8588</v>
      </c>
      <c r="C8933" s="3" t="str">
        <f>IFERROR(__xludf.DUMMYFUNCTION("GOOGLETRANSLATE(B8933,""id"",""en"")"),"['Network', 'deteriorating', 'internet', 'slow', 'App', 'MyTelkomsel', 'error', 'price', 'package', 'expensive', '']")</f>
        <v>['Network', 'deteriorating', 'internet', 'slow', 'App', 'MyTelkomsel', 'error', 'price', 'package', 'expensive', '']</v>
      </c>
      <c r="D8933" s="3">
        <v>1.0</v>
      </c>
    </row>
    <row r="8934" ht="15.75" customHeight="1">
      <c r="A8934" s="1">
        <v>9416.0</v>
      </c>
      <c r="B8934" s="3" t="s">
        <v>8589</v>
      </c>
      <c r="C8934" s="3" t="str">
        <f>IFERROR(__xludf.DUMMYFUNCTION("GOOGLETRANSLATE(B8934,""id"",""en"")"),"['times',' disappointed ',' really ',' Telkomsel ',' buy ',' package ',' internet ',' expensive ',' quality ',' signal ',' stable ',' udh ',' Cards', 'Disappointed', 'Sumpahhhhh', '']")</f>
        <v>['times',' disappointed ',' really ',' Telkomsel ',' buy ',' package ',' internet ',' expensive ',' quality ',' signal ',' stable ',' udh ',' Cards', 'Disappointed', 'Sumpahhhhh', '']</v>
      </c>
      <c r="D8934" s="3">
        <v>1.0</v>
      </c>
    </row>
    <row r="8935" ht="15.75" customHeight="1">
      <c r="A8935" s="1">
        <v>9417.0</v>
      </c>
      <c r="B8935" s="3" t="s">
        <v>8590</v>
      </c>
      <c r="C8935" s="3" t="str">
        <f>IFERROR(__xludf.DUMMYFUNCTION("GOOGLETRANSLATE(B8935,""id"",""en"")"),"['min', 'update', 'bkn', 'smooth', 'difficult', 'buy', 'package', 'quota']")</f>
        <v>['min', 'update', 'bkn', 'smooth', 'difficult', 'buy', 'package', 'quota']</v>
      </c>
      <c r="D8935" s="3">
        <v>1.0</v>
      </c>
    </row>
    <row r="8936" ht="15.75" customHeight="1">
      <c r="A8936" s="1">
        <v>9418.0</v>
      </c>
      <c r="B8936" s="3" t="s">
        <v>8591</v>
      </c>
      <c r="C8936" s="3" t="str">
        <f>IFERROR(__xludf.DUMMYFUNCTION("GOOGLETRANSLATE(B8936,""id"",""en"")"),"['Network', 'Telkomsel', 'Severe', 'lag', 'expensive', 'yes', 'quality', 'severe', 'really', 'ugly']")</f>
        <v>['Network', 'Telkomsel', 'Severe', 'lag', 'expensive', 'yes', 'quality', 'severe', 'really', 'ugly']</v>
      </c>
      <c r="D8936" s="3">
        <v>1.0</v>
      </c>
    </row>
    <row r="8937" ht="15.75" customHeight="1">
      <c r="A8937" s="1">
        <v>9419.0</v>
      </c>
      <c r="B8937" s="3" t="s">
        <v>8592</v>
      </c>
      <c r="C8937" s="3" t="str">
        <f>IFERROR(__xludf.DUMMYFUNCTION("GOOGLETRANSLATE(B8937,""id"",""en"")"),"['signal', 'ugly', 'rich', 'gini', 'collapsed', 'price', 'package', 'unlimited', 'a month', 'card', 'Telkomsel', 'ugly' His name is', 'Meme', 'Bring', 'SERBA', 'ONLINE', 'CREATE', 'Choose', 'Card', 'Telkomsel', ""]")</f>
        <v>['signal', 'ugly', 'rich', 'gini', 'collapsed', 'price', 'package', 'unlimited', 'a month', 'card', 'Telkomsel', 'ugly' His name is', 'Meme', 'Bring', 'SERBA', 'ONLINE', 'CREATE', 'Choose', 'Card', 'Telkomsel', "]</v>
      </c>
      <c r="D8937" s="3">
        <v>3.0</v>
      </c>
    </row>
    <row r="8938" ht="15.75" customHeight="1">
      <c r="A8938" s="1">
        <v>9420.0</v>
      </c>
      <c r="B8938" s="3" t="s">
        <v>8593</v>
      </c>
      <c r="C8938" s="3" t="str">
        <f>IFERROR(__xludf.DUMMYFUNCTION("GOOGLETRANSLATE(B8938,""id"",""en"")"),"['Fix', 'signal', 'week', 'play', 'game', 'mobile', 'legend', 'severe', 'quota', 'expensive', 'according to', 'convenience']")</f>
        <v>['Fix', 'signal', 'week', 'play', 'game', 'mobile', 'legend', 'severe', 'quota', 'expensive', 'according to', 'convenience']</v>
      </c>
      <c r="D8938" s="3">
        <v>1.0</v>
      </c>
    </row>
    <row r="8939" ht="15.75" customHeight="1">
      <c r="A8939" s="1">
        <v>9421.0</v>
      </c>
      <c r="B8939" s="3" t="s">
        <v>8594</v>
      </c>
      <c r="C8939" s="3" t="str">
        <f>IFERROR(__xludf.DUMMYFUNCTION("GOOGLETRANSLATE(B8939,""id"",""en"")"),"['What', 'open', 'app', 'told', 'update', 'right', 'uda', 'update', 'open', 'app', 'masi', 'told', ' Update ',' uda ',' gada ',' update ', ""]")</f>
        <v>['What', 'open', 'app', 'told', 'update', 'right', 'uda', 'update', 'open', 'app', 'masi', 'told', ' Update ',' uda ',' gada ',' update ', "]</v>
      </c>
      <c r="D8939" s="3">
        <v>1.0</v>
      </c>
    </row>
    <row r="8940" ht="15.75" customHeight="1">
      <c r="A8940" s="1">
        <v>9422.0</v>
      </c>
      <c r="B8940" s="3" t="s">
        <v>8595</v>
      </c>
      <c r="C8940" s="3" t="str">
        <f>IFERROR(__xludf.DUMMYFUNCTION("GOOGLETRANSLATE(B8940,""id"",""en"")"),"['GBLK', 'pulses',' abis', 'quota', 'right', 'contents',' pulse ',' shocking ',' anjg ',' hand over ',' bodo ',' lazy ',' ']")</f>
        <v>['GBLK', 'pulses',' abis', 'quota', 'right', 'contents',' pulse ',' shocking ',' anjg ',' hand over ',' bodo ',' lazy ',' ']</v>
      </c>
      <c r="D8940" s="3">
        <v>1.0</v>
      </c>
    </row>
    <row r="8941" ht="15.75" customHeight="1">
      <c r="A8941" s="1">
        <v>9423.0</v>
      </c>
      <c r="B8941" s="3" t="s">
        <v>8596</v>
      </c>
      <c r="C8941" s="3" t="str">
        <f>IFERROR(__xludf.DUMMYFUNCTION("GOOGLETRANSLATE(B8941,""id"",""en"")"),"['What', 'application', 'already', 'update', 'eh', 'right', 'open', 'writing', 'update', '']")</f>
        <v>['What', 'application', 'already', 'update', 'eh', 'right', 'open', 'writing', 'update', '']</v>
      </c>
      <c r="D8941" s="3">
        <v>1.0</v>
      </c>
    </row>
    <row r="8942" ht="15.75" customHeight="1">
      <c r="A8942" s="1">
        <v>9424.0</v>
      </c>
      <c r="B8942" s="3" t="s">
        <v>8597</v>
      </c>
      <c r="C8942" s="3" t="str">
        <f>IFERROR(__xludf.DUMMYFUNCTION("GOOGLETRANSLATE(B8942,""id"",""en"")"),"['Telkomsel', 'users', 'Telkomsel', 'regret', 'buy', 'quota', 'Telkomsel', 'network', 'stable', 'ms', ""]")</f>
        <v>['Telkomsel', 'users', 'Telkomsel', 'regret', 'buy', 'quota', 'Telkomsel', 'network', 'stable', 'ms', "]</v>
      </c>
      <c r="D8942" s="3">
        <v>1.0</v>
      </c>
    </row>
    <row r="8943" ht="15.75" customHeight="1">
      <c r="A8943" s="1">
        <v>9425.0</v>
      </c>
      <c r="B8943" s="3" t="s">
        <v>8598</v>
      </c>
      <c r="C8943" s="3" t="str">
        <f>IFERROR(__xludf.DUMMYFUNCTION("GOOGLETRANSLATE(B8943,""id"",""en"")"),"['dpecaya', 'tlkomsel', 'already', 'network', 'lag', 'quota', 'kmahalan', 'bnget', 'mending', 'far away', 'play', 'game', ' Mnding ',' JGAN ',' Card ',' Tlkomsel ',' Nnti ',' Dissel ',' Dipake ',' Artisan ',' Matre ',' Sorry ',' Sebasar ',' already ',' co"&amp;"mmented ' , 'ugly', 'thank you']")</f>
        <v>['dpecaya', 'tlkomsel', 'already', 'network', 'lag', 'quota', 'kmahalan', 'bnget', 'mending', 'far away', 'play', 'game', ' Mnding ',' JGAN ',' Card ',' Tlkomsel ',' Nnti ',' Dissel ',' Dipake ',' Artisan ',' Matre ',' Sorry ',' Sebasar ',' already ',' commented ' , 'ugly', 'thank you']</v>
      </c>
      <c r="D8943" s="3">
        <v>1.0</v>
      </c>
    </row>
    <row r="8944" ht="15.75" customHeight="1">
      <c r="A8944" s="1">
        <v>9426.0</v>
      </c>
      <c r="B8944" s="3" t="s">
        <v>8599</v>
      </c>
      <c r="C8944" s="3" t="str">
        <f>IFERROR(__xludf.DUMMYFUNCTION("GOOGLETRANSLATE(B8944,""id"",""en"")"),"['Useful', 'Choice', 'Range', 'Date', 'Peng', 'Active', 'Package', 'Combo', 'Hopefully', 'Understood', 'Rating', ""]")</f>
        <v>['Useful', 'Choice', 'Range', 'Date', 'Peng', 'Active', 'Package', 'Combo', 'Hopefully', 'Understood', 'Rating', "]</v>
      </c>
      <c r="D8944" s="3">
        <v>1.0</v>
      </c>
    </row>
    <row r="8945" ht="15.75" customHeight="1">
      <c r="A8945" s="1">
        <v>9427.0</v>
      </c>
      <c r="B8945" s="3" t="s">
        <v>8600</v>
      </c>
      <c r="C8945" s="3" t="str">
        <f>IFERROR(__xludf.DUMMYFUNCTION("GOOGLETRANSLATE(B8945,""id"",""en"")"),"['App', 'garbage', 'apps',' beriki ',' smooth ',' ngelag ',' open ',' minute ',' run out ',' direct ',' force ',' closed ',' already ',' updated ',' rotten ', ""]")</f>
        <v>['App', 'garbage', 'apps',' beriki ',' smooth ',' ngelag ',' open ',' minute ',' run out ',' direct ',' force ',' closed ',' already ',' updated ',' rotten ', "]</v>
      </c>
      <c r="D8945" s="3">
        <v>1.0</v>
      </c>
    </row>
    <row r="8946" ht="15.75" customHeight="1">
      <c r="A8946" s="1">
        <v>9428.0</v>
      </c>
      <c r="B8946" s="3" t="s">
        <v>8601</v>
      </c>
      <c r="C8946" s="3" t="str">
        <f>IFERROR(__xludf.DUMMYFUNCTION("GOOGLETRANSLATE(B8946,""id"",""en"")"),"['buy', 'package', 'bus', 'sorry', 'system', 'disorder', 'kmaren', 'buy', ""]")</f>
        <v>['buy', 'package', 'bus', 'sorry', 'system', 'disorder', 'kmaren', 'buy', "]</v>
      </c>
      <c r="D8946" s="3">
        <v>1.0</v>
      </c>
    </row>
    <row r="8947" ht="15.75" customHeight="1">
      <c r="A8947" s="1">
        <v>9429.0</v>
      </c>
      <c r="B8947" s="3" t="s">
        <v>8602</v>
      </c>
      <c r="C8947" s="3" t="str">
        <f>IFERROR(__xludf.DUMMYFUNCTION("GOOGLETRANSLATE(B8947,""id"",""en"")"),"['Kugunain', 'a month', 'checked', 'pulse', 'stay', 'Performance', 'Not bad', 'but', 'price', 'promo', 'GB', 'Deket', ' My house, 'Lose', 'Provider', 'Speed', 'Stable', 'Provide', 'Lonely', 'Bagusan', 'Tsel']")</f>
        <v>['Kugunain', 'a month', 'checked', 'pulse', 'stay', 'Performance', 'Not bad', 'but', 'price', 'promo', 'GB', 'Deket', ' My house, 'Lose', 'Provider', 'Speed', 'Stable', 'Provide', 'Lonely', 'Bagusan', 'Tsel']</v>
      </c>
      <c r="D8947" s="3">
        <v>3.0</v>
      </c>
    </row>
    <row r="8948" ht="15.75" customHeight="1">
      <c r="A8948" s="1">
        <v>9430.0</v>
      </c>
      <c r="B8948" s="3" t="s">
        <v>8603</v>
      </c>
      <c r="C8948" s="3" t="str">
        <f>IFERROR(__xludf.DUMMYFUNCTION("GOOGLETRANSLATE(B8948,""id"",""en"")"),"['Gue', 'Disappointed', 'Telkomsel', 'Network', 'Normal', 'Good', 'Jleeeekkk', 'Bngt', 'Severe', 'Already', 'Package', 'Internet', ' expensive ',' I ',' buy ',' see ',' ball ',' eehh ',' mlh ',' signal ',' ugly ',' bngst ',' mending ',' me ',' gnti ' , 'c"&amp;"ard', 'good', 'pkt', 'cheap', '']")</f>
        <v>['Gue', 'Disappointed', 'Telkomsel', 'Network', 'Normal', 'Good', 'Jleeeekkk', 'Bngt', 'Severe', 'Already', 'Package', 'Internet', ' expensive ',' I ',' buy ',' see ',' ball ',' eehh ',' mlh ',' signal ',' ugly ',' bngst ',' mending ',' me ',' gnti ' , 'card', 'good', 'pkt', 'cheap', '']</v>
      </c>
      <c r="D8948" s="3">
        <v>1.0</v>
      </c>
    </row>
    <row r="8949" ht="15.75" customHeight="1">
      <c r="A8949" s="1">
        <v>9431.0</v>
      </c>
      <c r="B8949" s="3" t="s">
        <v>8604</v>
      </c>
      <c r="C8949" s="3" t="str">
        <f>IFERROR(__xludf.DUMMYFUNCTION("GOOGLETRANSLATE(B8949,""id"",""en"")"),"['kyaaaa', 'ahhhh', 'yamate', 'kudnil', 'card', 'telkomselchan', 'expensive', 'price', 'slow', 'network', 'Wast', 'disappointed', ' Kimochiiiiiiii ',' ']")</f>
        <v>['kyaaaa', 'ahhhh', 'yamate', 'kudnil', 'card', 'telkomselchan', 'expensive', 'price', 'slow', 'network', 'Wast', 'disappointed', ' Kimochiiiiiiii ',' ']</v>
      </c>
      <c r="D8949" s="3">
        <v>1.0</v>
      </c>
    </row>
    <row r="8950" ht="15.75" customHeight="1">
      <c r="A8950" s="1">
        <v>9432.0</v>
      </c>
      <c r="B8950" s="3" t="s">
        <v>8605</v>
      </c>
      <c r="C8950" s="3" t="str">
        <f>IFERROR(__xludf.DUMMYFUNCTION("GOOGLETRANSLATE(B8950,""id"",""en"")"),"['knp', 'pulse', 'abis',' pakde ',' pulse ',' dipake ',' reduced ',' sampe ',' zero ',' isep ',' company ',' snapper ',' Isep ',' income ',' org ', ""]")</f>
        <v>['knp', 'pulse', 'abis',' pakde ',' pulse ',' dipake ',' reduced ',' sampe ',' zero ',' isep ',' company ',' snapper ',' Isep ',' income ',' org ', "]</v>
      </c>
      <c r="D8950" s="3">
        <v>1.0</v>
      </c>
    </row>
    <row r="8951" ht="15.75" customHeight="1">
      <c r="A8951" s="1">
        <v>9433.0</v>
      </c>
      <c r="B8951" s="3" t="s">
        <v>8606</v>
      </c>
      <c r="C8951" s="3" t="str">
        <f>IFERROR(__xludf.DUMMYFUNCTION("GOOGLETRANSLATE(B8951,""id"",""en"")"),"['Jarigan', 'ugly', 'really', 'make', 'Telkomsel', 'like', 'that's',' please ',' fix ',' pay ',' package ',' tidah ',' satisfaction']")</f>
        <v>['Jarigan', 'ugly', 'really', 'make', 'Telkomsel', 'like', 'that's',' please ',' fix ',' pay ',' package ',' tidah ',' satisfaction']</v>
      </c>
      <c r="D8951" s="3">
        <v>1.0</v>
      </c>
    </row>
    <row r="8952" ht="15.75" customHeight="1">
      <c r="A8952" s="1">
        <v>9434.0</v>
      </c>
      <c r="B8952" s="3" t="s">
        <v>8607</v>
      </c>
      <c r="C8952" s="3" t="str">
        <f>IFERROR(__xludf.DUMMYFUNCTION("GOOGLETRANSLATE(B8952,""id"",""en"")"),"['Open', 'Application', 'Load', 'reset', 'then', 'iki', 'piye', 'mas',' Telkomsel ',' pulse ',' expensive ',' please ',' Fix ',' service ',' trhadap ',' consumer ',' package ',' run out ',' notification ', ""]")</f>
        <v>['Open', 'Application', 'Load', 'reset', 'then', 'iki', 'piye', 'mas',' Telkomsel ',' pulse ',' expensive ',' please ',' Fix ',' service ',' trhadap ',' consumer ',' package ',' run out ',' notification ', "]</v>
      </c>
      <c r="D8952" s="3">
        <v>1.0</v>
      </c>
    </row>
    <row r="8953" ht="15.75" customHeight="1">
      <c r="A8953" s="1">
        <v>9435.0</v>
      </c>
      <c r="B8953" s="3" t="s">
        <v>8608</v>
      </c>
      <c r="C8953" s="3" t="str">
        <f>IFERROR(__xludf.DUMMYFUNCTION("GOOGLETRANSLATE(B8953,""id"",""en"")"),"['Sunday', 'Signal', 'Lost', 'Fix', 'Severe', 'Search', 'Benefit', 'Tower', 'Treated', 'Looking', 'Task', 'Child', ' school ',' difficult ',' ngak ',' can ',' kasi ',' operator ']")</f>
        <v>['Sunday', 'Signal', 'Lost', 'Fix', 'Severe', 'Search', 'Benefit', 'Tower', 'Treated', 'Looking', 'Task', 'Child', ' school ',' difficult ',' ngak ',' can ',' kasi ',' operator ']</v>
      </c>
      <c r="D8953" s="3">
        <v>1.0</v>
      </c>
    </row>
    <row r="8954" ht="15.75" customHeight="1">
      <c r="A8954" s="1">
        <v>9436.0</v>
      </c>
      <c r="B8954" s="3" t="s">
        <v>8609</v>
      </c>
      <c r="C8954" s="3" t="str">
        <f>IFERROR(__xludf.DUMMYFUNCTION("GOOGLETRANSLATE(B8954,""id"",""en"")"),"['signal', 'please', 'fix', 'slow', 'right', 'disappointed', '']")</f>
        <v>['signal', 'please', 'fix', 'slow', 'right', 'disappointed', '']</v>
      </c>
      <c r="D8954" s="3">
        <v>1.0</v>
      </c>
    </row>
    <row r="8955" ht="15.75" customHeight="1">
      <c r="A8955" s="1">
        <v>9437.0</v>
      </c>
      <c r="B8955" s="3" t="s">
        <v>8610</v>
      </c>
      <c r="C8955" s="3" t="str">
        <f>IFERROR(__xludf.DUMMYFUNCTION("GOOGLETRANSLATE(B8955,""id"",""en"")"),"['Main', 'Game', 'lag', 'Bangaet', 'Males', 'buy', 'packetan', '']")</f>
        <v>['Main', 'Game', 'lag', 'Bangaet', 'Males', 'buy', 'packetan', '']</v>
      </c>
      <c r="D8955" s="3">
        <v>1.0</v>
      </c>
    </row>
    <row r="8956" ht="15.75" customHeight="1">
      <c r="A8956" s="1">
        <v>9438.0</v>
      </c>
      <c r="B8956" s="3" t="s">
        <v>8611</v>
      </c>
      <c r="C8956" s="3" t="str">
        <f>IFERROR(__xludf.DUMMYFUNCTION("GOOGLETRANSLATE(B8956,""id"",""en"")"),"['buy', 'Package', 'Telkomsel', 'Biyaya', 'Success',' Credit ',' Reduced ',' Message ',' Payment ',' Success', 'Credit', 'Reduced', ' Services', 'Telkomsel', '']")</f>
        <v>['buy', 'Package', 'Telkomsel', 'Biyaya', 'Success',' Credit ',' Reduced ',' Message ',' Payment ',' Success', 'Credit', 'Reduced', ' Services', 'Telkomsel', '']</v>
      </c>
      <c r="D8956" s="3">
        <v>1.0</v>
      </c>
    </row>
    <row r="8957" ht="15.75" customHeight="1">
      <c r="A8957" s="1">
        <v>9439.0</v>
      </c>
      <c r="B8957" s="3" t="s">
        <v>8612</v>
      </c>
      <c r="C8957" s="3" t="str">
        <f>IFERROR(__xludf.DUMMYFUNCTION("GOOGLETRANSLATE(B8957,""id"",""en"")"),"['Telkomsel', 'kek', 'pig', 'already', 'list', 'quota', 'direct', 'run out', 'emang', 'kek', 'pig', 'swear', ' Lalian ',' bankrupt ',' base ',' cheats', 'artisan', 'suck', 'pulse', 'dead', 'expensive', 'cheater']")</f>
        <v>['Telkomsel', 'kek', 'pig', 'already', 'list', 'quota', 'direct', 'run out', 'emang', 'kek', 'pig', 'swear', ' Lalian ',' bankrupt ',' base ',' cheats', 'artisan', 'suck', 'pulse', 'dead', 'expensive', 'cheater']</v>
      </c>
      <c r="D8957" s="3">
        <v>1.0</v>
      </c>
    </row>
    <row r="8958" ht="15.75" customHeight="1">
      <c r="A8958" s="1">
        <v>9440.0</v>
      </c>
      <c r="B8958" s="3" t="s">
        <v>8613</v>
      </c>
      <c r="C8958" s="3" t="str">
        <f>IFERROR(__xludf.DUMMYFUNCTION("GOOGLETRANSLATE(B8958,""id"",""en"")"),"['application', 'opened', 'check', 'quota', 'writing', 'sorry', 'error', 'system', 'signal', 'good', 'open', 'youtube', ' Please ',' repaired ']")</f>
        <v>['application', 'opened', 'check', 'quota', 'writing', 'sorry', 'error', 'system', 'signal', 'good', 'open', 'youtube', ' Please ',' repaired ']</v>
      </c>
      <c r="D8958" s="3">
        <v>4.0</v>
      </c>
    </row>
    <row r="8959" ht="15.75" customHeight="1">
      <c r="A8959" s="1">
        <v>9441.0</v>
      </c>
      <c r="B8959" s="3" t="s">
        <v>8614</v>
      </c>
      <c r="C8959" s="3" t="str">
        <f>IFERROR(__xludf.DUMMYFUNCTION("GOOGLETRANSLATE(B8959,""id"",""en"")"),"['Application', 'Good', 'Bangat', 'Balanja', 'Credit', 'Quota', 'Direct', 'Success',' Moga ',' Tenempat ',' Telkomsel ',' Moving ',' Canggi ',' Sekaran ',' Donload ',' Fast ',' MyTelkomsel ',' Person ',' Just ',' Uda ',' The Application ',' Where ', ""]")</f>
        <v>['Application', 'Good', 'Bangat', 'Balanja', 'Credit', 'Quota', 'Direct', 'Success',' Moga ',' Tenempat ',' Telkomsel ',' Moving ',' Canggi ',' Sekaran ',' Donload ',' Fast ',' MyTelkomsel ',' Person ',' Just ',' Uda ',' The Application ',' Where ', "]</v>
      </c>
      <c r="D8959" s="3">
        <v>1.0</v>
      </c>
    </row>
    <row r="8960" ht="15.75" customHeight="1">
      <c r="A8960" s="1">
        <v>9442.0</v>
      </c>
      <c r="B8960" s="3" t="s">
        <v>8615</v>
      </c>
      <c r="C8960" s="3" t="str">
        <f>IFERROR(__xludf.DUMMYFUNCTION("GOOGLETRANSLATE(B8960,""id"",""en"")"),"['Provider', 'Worst', 'City', 'Internet', 'Running', 'Dispose', 'Leg', 'Lost', 'Signal', 'Quota', 'Out', 'Suck', ' pulse', '']")</f>
        <v>['Provider', 'Worst', 'City', 'Internet', 'Running', 'Dispose', 'Leg', 'Lost', 'Signal', 'Quota', 'Out', 'Suck', ' pulse', '']</v>
      </c>
      <c r="D8960" s="3">
        <v>1.0</v>
      </c>
    </row>
    <row r="8961" ht="15.75" customHeight="1">
      <c r="A8961" s="1">
        <v>9443.0</v>
      </c>
      <c r="B8961" s="3" t="s">
        <v>8616</v>
      </c>
      <c r="C8961" s="3" t="str">
        <f>IFERROR(__xludf.DUMMYFUNCTION("GOOGLETRANSLATE(B8961,""id"",""en"")"),"['Even', 'Mengengahload', 'Apalikasi', 'Telkomsel', 'Believe', 'TEL', 'Useful', 'Helping', 'Greetings', 'Healthy', ""]")</f>
        <v>['Even', 'Mengengahload', 'Apalikasi', 'Telkomsel', 'Believe', 'TEL', 'Useful', 'Helping', 'Greetings', 'Healthy', "]</v>
      </c>
      <c r="D8961" s="3">
        <v>5.0</v>
      </c>
    </row>
    <row r="8962" ht="15.75" customHeight="1">
      <c r="A8962" s="1">
        <v>9444.0</v>
      </c>
      <c r="B8962" s="3" t="s">
        <v>8617</v>
      </c>
      <c r="C8962" s="3" t="str">
        <f>IFERROR(__xludf.DUMMYFUNCTION("GOOGLETRANSLATE(B8962,""id"",""en"")"),"['Thanks', 'Mimin', 'Telkomsel', 'response', 'fast', 'complaints', 'little', 'Direct', 'responded', 'fast', 'via', '']")</f>
        <v>['Thanks', 'Mimin', 'Telkomsel', 'response', 'fast', 'complaints', 'little', 'Direct', 'responded', 'fast', 'via', '']</v>
      </c>
      <c r="D8962" s="3">
        <v>5.0</v>
      </c>
    </row>
    <row r="8963" ht="15.75" customHeight="1">
      <c r="A8963" s="1">
        <v>9445.0</v>
      </c>
      <c r="B8963" s="3" t="s">
        <v>8618</v>
      </c>
      <c r="C8963" s="3" t="str">
        <f>IFERROR(__xludf.DUMMYFUNCTION("GOOGLETRANSLATE(B8963,""id"",""en"")"),"['Hadeh', 'Yesterday', 'Network', 'just', 'Kayak', 'quota']")</f>
        <v>['Hadeh', 'Yesterday', 'Network', 'just', 'Kayak', 'quota']</v>
      </c>
      <c r="D8963" s="3">
        <v>1.0</v>
      </c>
    </row>
    <row r="8964" ht="15.75" customHeight="1">
      <c r="A8964" s="1">
        <v>9446.0</v>
      </c>
      <c r="B8964" s="3" t="s">
        <v>8619</v>
      </c>
      <c r="C8964" s="3" t="str">
        <f>IFERROR(__xludf.DUMMYFUNCTION("GOOGLETRANSLATE(B8964,""id"",""en"")"),"['Network', 'bad', 'Login', 'Error', 'Verification', 'Login', 'Troubled', 'Telkomsel', 'Benified', 'Auto', 'Delete', 'Application']")</f>
        <v>['Network', 'bad', 'Login', 'Error', 'Verification', 'Login', 'Troubled', 'Telkomsel', 'Benified', 'Auto', 'Delete', 'Application']</v>
      </c>
      <c r="D8964" s="3">
        <v>1.0</v>
      </c>
    </row>
    <row r="8965" ht="15.75" customHeight="1">
      <c r="A8965" s="1">
        <v>9447.0</v>
      </c>
      <c r="B8965" s="3" t="s">
        <v>8620</v>
      </c>
      <c r="C8965" s="3" t="str">
        <f>IFERROR(__xludf.DUMMYFUNCTION("GOOGLETRANSLATE(B8965,""id"",""en"")"),"['', 'WiFi', 'data', 'turned off', 'credit', 'missing', 'soft', 'check', 'transaction', 'use', 'access',' internet ',' use ',' Data ',' turned off ',' wifi ',' clock ',' base ',' thief ',' eat ',' noh ',' money ',' haram ',' credit ',' customer ', 'Damn']")</f>
        <v>['', 'WiFi', 'data', 'turned off', 'credit', 'missing', 'soft', 'check', 'transaction', 'use', 'access',' internet ',' use ',' Data ',' turned off ',' wifi ',' clock ',' base ',' thief ',' eat ',' noh ',' money ',' haram ',' credit ',' customer ', 'Damn']</v>
      </c>
      <c r="D8965" s="3">
        <v>1.0</v>
      </c>
    </row>
    <row r="8966" ht="15.75" customHeight="1">
      <c r="A8966" s="1">
        <v>9448.0</v>
      </c>
      <c r="B8966" s="3" t="s">
        <v>8621</v>
      </c>
      <c r="C8966" s="3" t="str">
        <f>IFERROR(__xludf.DUMMYFUNCTION("GOOGLETRANSLATE(B8966,""id"",""en"")"),"['bonus', 'internet', 'cheap', 'darling', 'signal', 'my location', '']")</f>
        <v>['bonus', 'internet', 'cheap', 'darling', 'signal', 'my location', '']</v>
      </c>
      <c r="D8966" s="3">
        <v>1.0</v>
      </c>
    </row>
    <row r="8967" ht="15.75" customHeight="1">
      <c r="A8967" s="1">
        <v>9449.0</v>
      </c>
      <c r="B8967" s="3" t="s">
        <v>8622</v>
      </c>
      <c r="C8967" s="3" t="str">
        <f>IFERROR(__xludf.DUMMYFUNCTION("GOOGLETRANSLATE(B8967,""id"",""en"")"),"['choice', 'package', 'internet', 'mala', 'strange', 'kek', 'kek', 'quota', 'monthly', 'unlimited', 'sosmed', 'etc.', ' Gada ', ""]")</f>
        <v>['choice', 'package', 'internet', 'mala', 'strange', 'kek', 'kek', 'quota', 'monthly', 'unlimited', 'sosmed', 'etc.', ' Gada ', "]</v>
      </c>
      <c r="D8967" s="3">
        <v>2.0</v>
      </c>
    </row>
    <row r="8968" ht="15.75" customHeight="1">
      <c r="A8968" s="1">
        <v>9450.0</v>
      </c>
      <c r="B8968" s="3" t="s">
        <v>8623</v>
      </c>
      <c r="C8968" s="3" t="str">
        <f>IFERROR(__xludf.DUMMYFUNCTION("GOOGLETRANSLATE(B8968,""id"",""en"")"),"['Indonesia', 'area', 'solid', 'population', 'signal', 'internet', 'cmn', 'line', 'difficult', 'person', 'work', 'gmna', ' Telkomsel ',' PDHAL ',' SLLU ',' PKE ',' Telkomsel ', ""]")</f>
        <v>['Indonesia', 'area', 'solid', 'population', 'signal', 'internet', 'cmn', 'line', 'difficult', 'person', 'work', 'gmna', ' Telkomsel ',' PDHAL ',' SLLU ',' PKE ',' Telkomsel ', "]</v>
      </c>
      <c r="D8968" s="3">
        <v>1.0</v>
      </c>
    </row>
    <row r="8969" ht="15.75" customHeight="1">
      <c r="A8969" s="1">
        <v>9451.0</v>
      </c>
      <c r="B8969" s="3" t="s">
        <v>8624</v>
      </c>
      <c r="C8969" s="3" t="str">
        <f>IFERROR(__xludf.DUMMYFUNCTION("GOOGLETRANSLATE(B8969,""id"",""en"")"),"['application', 'Telkomsel', 'open', 'package', 'internet', 'multimedia', 'keeleli', 'whole', 'please', 'repaired', 'service', 'thank', ' love', '']")</f>
        <v>['application', 'Telkomsel', 'open', 'package', 'internet', 'multimedia', 'keeleli', 'whole', 'please', 'repaired', 'service', 'thank', ' love', '']</v>
      </c>
      <c r="D8969" s="3">
        <v>1.0</v>
      </c>
    </row>
    <row r="8970" ht="15.75" customHeight="1">
      <c r="A8970" s="1">
        <v>9452.0</v>
      </c>
      <c r="B8970" s="3" t="s">
        <v>8625</v>
      </c>
      <c r="C8970" s="3" t="str">
        <f>IFERROR(__xludf.DUMMYFUNCTION("GOOGLETRANSLATE(B8970,""id"",""en"")"),"['Knp', 'Package', 'Combo', 'Sakti', 'Activate', 'Use', 'Telkomsel', 'Times']")</f>
        <v>['Knp', 'Package', 'Combo', 'Sakti', 'Activate', 'Use', 'Telkomsel', 'Times']</v>
      </c>
      <c r="D8970" s="3">
        <v>1.0</v>
      </c>
    </row>
    <row r="8971" ht="15.75" customHeight="1">
      <c r="A8971" s="1">
        <v>9453.0</v>
      </c>
      <c r="B8971" s="3" t="s">
        <v>8626</v>
      </c>
      <c r="C8971" s="3" t="str">
        <f>IFERROR(__xludf.DUMMYFUNCTION("GOOGLETRANSLATE(B8971,""id"",""en"")"),"['The essence', 'disappointed', 'provider', 'signal', 'ilang', 'right', 'night', 'quota', 'expensive', 'pulse', 'stolen', 'area', ' Providers', 'Telkomsel', 'Moves',' Karna ',' Region ',' Telkomsel ',' Doang ',' ']")</f>
        <v>['The essence', 'disappointed', 'provider', 'signal', 'ilang', 'right', 'night', 'quota', 'expensive', 'pulse', 'stolen', 'area', ' Providers', 'Telkomsel', 'Moves',' Karna ',' Region ',' Telkomsel ',' Doang ',' ']</v>
      </c>
      <c r="D8971" s="3">
        <v>1.0</v>
      </c>
    </row>
    <row r="8972" ht="15.75" customHeight="1">
      <c r="A8972" s="1">
        <v>9454.0</v>
      </c>
      <c r="B8972" s="3" t="s">
        <v>8627</v>
      </c>
      <c r="C8972" s="3" t="str">
        <f>IFERROR(__xludf.DUMMYFUNCTION("GOOGLETRANSLATE(B8972,""id"",""en"")"),"['shy', 'you', 'provider', 'axis',' slow ',' dead ',' lights', 'slow', 'times',' network ',' Telkomsel ',' kalok ',' dead ',' lights', 'udh', 'experience', 'hah', 'garbage', '']")</f>
        <v>['shy', 'you', 'provider', 'axis',' slow ',' dead ',' lights', 'slow', 'times',' network ',' Telkomsel ',' kalok ',' dead ',' lights', 'udh', 'experience', 'hah', 'garbage', '']</v>
      </c>
      <c r="D8972" s="3">
        <v>1.0</v>
      </c>
    </row>
    <row r="8973" ht="15.75" customHeight="1">
      <c r="A8973" s="1">
        <v>9455.0</v>
      </c>
      <c r="B8973" s="3" t="s">
        <v>8628</v>
      </c>
      <c r="C8973" s="3" t="str">
        <f>IFERROR(__xludf.DUMMYFUNCTION("GOOGLETRANSLATE(B8973,""id"",""en"")"),"['Penukun', 'your heart', 'comment', 'Afraid', 'Wrong', 'I see', 'comment', 'Understand', 'confused', 'ending', 'Nga', 'Update', ' Biarin ',' Update ',' Fear ',' Disappointed ',' Karna ',' Komen ',' Ngeluh ']")</f>
        <v>['Penukun', 'your heart', 'comment', 'Afraid', 'Wrong', 'I see', 'comment', 'Understand', 'confused', 'ending', 'Nga', 'Update', ' Biarin ',' Update ',' Fear ',' Disappointed ',' Karna ',' Komen ',' Ngeluh ']</v>
      </c>
      <c r="D8973" s="3">
        <v>1.0</v>
      </c>
    </row>
    <row r="8974" ht="15.75" customHeight="1">
      <c r="A8974" s="1">
        <v>9456.0</v>
      </c>
      <c r="B8974" s="3" t="s">
        <v>8629</v>
      </c>
      <c r="C8974" s="3" t="str">
        <f>IFERROR(__xludf.DUMMYFUNCTION("GOOGLETRANSLATE(B8974,""id"",""en"")"),"['Good', 'good', 'cheap', 'buy', 'package', 'application', '']")</f>
        <v>['Good', 'good', 'cheap', 'buy', 'package', 'application', '']</v>
      </c>
      <c r="D8974" s="3">
        <v>5.0</v>
      </c>
    </row>
    <row r="8975" ht="15.75" customHeight="1">
      <c r="A8975" s="1">
        <v>9457.0</v>
      </c>
      <c r="B8975" s="3" t="s">
        <v>8630</v>
      </c>
      <c r="C8975" s="3" t="str">
        <f>IFERROR(__xludf.DUMMYFUNCTION("GOOGLETRANSLATE(B8975,""id"",""en"")"),"['data', 'Telkomsel', 'fast', 'really', 'endless', 'open', 'facebook', 'wattpad', 'week', 'run out', 'GB']")</f>
        <v>['data', 'Telkomsel', 'fast', 'really', 'endless', 'open', 'facebook', 'wattpad', 'week', 'run out', 'GB']</v>
      </c>
      <c r="D8975" s="3">
        <v>1.0</v>
      </c>
    </row>
    <row r="8976" ht="15.75" customHeight="1">
      <c r="A8976" s="1">
        <v>9458.0</v>
      </c>
      <c r="B8976" s="3" t="s">
        <v>8631</v>
      </c>
      <c r="C8976" s="3" t="str">
        <f>IFERROR(__xludf.DUMMYFUNCTION("GOOGLETRANSLATE(B8976,""id"",""en"")"),"['Good', 'The application', 'proud', 'users', 'Telkomsel', 'enthusiasm', 'Telkomsel', 'Semonga', 'forward', 'in the future', ""]")</f>
        <v>['Good', 'The application', 'proud', 'users', 'Telkomsel', 'enthusiasm', 'Telkomsel', 'Semonga', 'forward', 'in the future', "]</v>
      </c>
      <c r="D8976" s="3">
        <v>5.0</v>
      </c>
    </row>
    <row r="8977" ht="15.75" customHeight="1">
      <c r="A8977" s="1">
        <v>9459.0</v>
      </c>
      <c r="B8977" s="3" t="s">
        <v>8632</v>
      </c>
      <c r="C8977" s="3" t="str">
        <f>IFERROR(__xludf.DUMMYFUNCTION("GOOGLETRANSLATE(B8977,""id"",""en"")"),"['difficult', 'login', 'even can', 'login', 'code', 'sent', 'sms',' slow ',' provided ',' application ',' fast ',' expire ',' Please ',' repaired ',' ']")</f>
        <v>['difficult', 'login', 'even can', 'login', 'code', 'sent', 'sms',' slow ',' provided ',' application ',' fast ',' expire ',' Please ',' repaired ',' ']</v>
      </c>
      <c r="D8977" s="3">
        <v>1.0</v>
      </c>
    </row>
    <row r="8978" ht="15.75" customHeight="1">
      <c r="A8978" s="1">
        <v>9460.0</v>
      </c>
      <c r="B8978" s="3" t="s">
        <v>8633</v>
      </c>
      <c r="C8978" s="3" t="str">
        <f>IFERROR(__xludf.DUMMYFUNCTION("GOOGLETRANSLATE(B8978,""id"",""en"")"),"['ugly', 'signal', 'call', 'difficult', 'telephone', 'enter', 'just', 'silence', 'receiver', 'accept', 'call', 'buy', ' package ',' free ',' telephone ',' that's', 'Thanks',' just ',' info ',' hope ',' useful ',' improvement ']")</f>
        <v>['ugly', 'signal', 'call', 'difficult', 'telephone', 'enter', 'just', 'silence', 'receiver', 'accept', 'call', 'buy', ' package ',' free ',' telephone ',' that's', 'Thanks',' just ',' info ',' hope ',' useful ',' improvement ']</v>
      </c>
      <c r="D8978" s="3">
        <v>1.0</v>
      </c>
    </row>
    <row r="8979" ht="15.75" customHeight="1">
      <c r="A8979" s="1">
        <v>9461.0</v>
      </c>
      <c r="B8979" s="3" t="s">
        <v>8634</v>
      </c>
      <c r="C8979" s="3" t="str">
        <f>IFERROR(__xludf.DUMMYFUNCTION("GOOGLETRANSLATE(B8979,""id"",""en"")"),"['package', 'data', 'package', 'call', 'pulse', 'responsibility', 'base', '']")</f>
        <v>['package', 'data', 'package', 'call', 'pulse', 'responsibility', 'base', '']</v>
      </c>
      <c r="D8979" s="3">
        <v>1.0</v>
      </c>
    </row>
    <row r="8980" ht="15.75" customHeight="1">
      <c r="A8980" s="1">
        <v>9462.0</v>
      </c>
      <c r="B8980" s="3" t="s">
        <v>8635</v>
      </c>
      <c r="C8980" s="3" t="str">
        <f>IFERROR(__xludf.DUMMYFUNCTION("GOOGLETRANSLATE(B8980,""id"",""en"")"),"['Telkomsel', 'Dear', 'Please', 'Donk', 'Looked', 'Kalimantan', 'West', 'Telkomsel', 'Disruption', 'Buy', 'Package', 'expensive', ' according to ',' expected ',' Kasian ',' child ',' school ',' miss ',' eyes ',' lesson ',' because 'network', 'disturbed', "&amp;"'negligence', 'officer' , 'please', 'donk', 'his officer', 'search', 'pleaseggggg', '']")</f>
        <v>['Telkomsel', 'Dear', 'Please', 'Donk', 'Looked', 'Kalimantan', 'West', 'Telkomsel', 'Disruption', 'Buy', 'Package', 'expensive', ' according to ',' expected ',' Kasian ',' child ',' school ',' miss ',' eyes ',' lesson ',' because 'network', 'disturbed', 'negligence', 'officer' , 'please', 'donk', 'his officer', 'search', 'pleaseggggg', '']</v>
      </c>
      <c r="D8980" s="3">
        <v>1.0</v>
      </c>
    </row>
    <row r="8981" ht="15.75" customHeight="1">
      <c r="A8981" s="1">
        <v>9463.0</v>
      </c>
      <c r="B8981" s="3" t="s">
        <v>8636</v>
      </c>
      <c r="C8981" s="3" t="str">
        <f>IFERROR(__xludf.DUMMYFUNCTION("GOOGLETRANSLATE(B8981,""id"",""en"")"),"['Telkom', 'signatnye', 'Ude', 'Bagus',' buy ',' internet ',' for ',' thousand ',' kek ',' gini ',' progress', 'Telkom', ' disappointed']")</f>
        <v>['Telkom', 'signatnye', 'Ude', 'Bagus',' buy ',' internet ',' for ',' thousand ',' kek ',' gini ',' progress', 'Telkom', ' disappointed']</v>
      </c>
      <c r="D8981" s="3">
        <v>1.0</v>
      </c>
    </row>
    <row r="8982" ht="15.75" customHeight="1">
      <c r="A8982" s="1">
        <v>9464.0</v>
      </c>
      <c r="B8982" s="3" t="s">
        <v>8637</v>
      </c>
      <c r="C8982" s="3" t="str">
        <f>IFERROR(__xludf.DUMMYFUNCTION("GOOGLETRANSLATE(B8982,""id"",""en"")"),"['Disappointed', 'Bangeeeeeeet', 'NIH', 'Combo', 'Sakti', 'Missing', 'Already', 'Customer', 'Cook', 'Missing', 'Please', 'Turn "",' Combo ',' Sakti ',' Kek ',' expensive ',' oath ',' seek ',' really ',' mentang ',' person ',' subscription ',' Missing ',' "&amp;"Purchase ',' Package ' , 'inexpensive']")</f>
        <v>['Disappointed', 'Bangeeeeeeet', 'NIH', 'Combo', 'Sakti', 'Missing', 'Already', 'Customer', 'Cook', 'Missing', 'Please', 'Turn ",' Combo ',' Sakti ',' Kek ',' expensive ',' oath ',' seek ',' really ',' mentang ',' person ',' subscription ',' Missing ',' Purchase ',' Package ' , 'inexpensive']</v>
      </c>
      <c r="D8982" s="3">
        <v>1.0</v>
      </c>
    </row>
    <row r="8983" ht="15.75" customHeight="1">
      <c r="A8983" s="1">
        <v>9465.0</v>
      </c>
      <c r="B8983" s="3" t="s">
        <v>8638</v>
      </c>
      <c r="C8983" s="3" t="str">
        <f>IFERROR(__xludf.DUMMYFUNCTION("GOOGLETRANSLATE(B8983,""id"",""en"")"),"['Telkomsel', 'Norma', 'Destroyed', 'Telkomsel', 'Nidak', 'Stable', 'Network', 'Potatoes', 'Rupq']")</f>
        <v>['Telkomsel', 'Norma', 'Destroyed', 'Telkomsel', 'Nidak', 'Stable', 'Network', 'Potatoes', 'Rupq']</v>
      </c>
      <c r="D8983" s="3">
        <v>1.0</v>
      </c>
    </row>
    <row r="8984" ht="15.75" customHeight="1">
      <c r="A8984" s="1">
        <v>9466.0</v>
      </c>
      <c r="B8984" s="3" t="s">
        <v>8639</v>
      </c>
      <c r="C8984" s="3" t="str">
        <f>IFERROR(__xludf.DUMMYFUNCTION("GOOGLETRANSLATE(B8984,""id"",""en"")"),"['Severe', 'Telkomsel', 'Hadeuh', 'play', 'game', 'Nge', 'lag', 'please', 'fix']")</f>
        <v>['Severe', 'Telkomsel', 'Hadeuh', 'play', 'game', 'Nge', 'lag', 'please', 'fix']</v>
      </c>
      <c r="D8984" s="3">
        <v>2.0</v>
      </c>
    </row>
    <row r="8985" ht="15.75" customHeight="1">
      <c r="A8985" s="1">
        <v>9467.0</v>
      </c>
      <c r="B8985" s="3" t="s">
        <v>8640</v>
      </c>
      <c r="C8985" s="3" t="str">
        <f>IFERROR(__xludf.DUMMYFUNCTION("GOOGLETRANSLATE(B8985,""id"",""en"")"),"['Enhanced', 'quality', 'signal', 'district', 'in the area', 'interior', 'trims']")</f>
        <v>['Enhanced', 'quality', 'signal', 'district', 'in the area', 'interior', 'trims']</v>
      </c>
      <c r="D8985" s="3">
        <v>5.0</v>
      </c>
    </row>
    <row r="8986" ht="15.75" customHeight="1">
      <c r="A8986" s="1">
        <v>9468.0</v>
      </c>
      <c r="B8986" s="3" t="s">
        <v>8641</v>
      </c>
      <c r="C8986" s="3" t="str">
        <f>IFERROR(__xludf.DUMMYFUNCTION("GOOGLETRANSLATE(B8986,""id"",""en"")"),"['Application', 'Telkomsel', 'Error', 'Min', 'Fix', 'Enter', 'Application', 'Buy', 'Package', 'Data', 'Posts',' Gini ',' Loading ',' page ',' Sorry ',' error ',' system ',' please ',' fix ',' min ',' already ',' gini ',' please ',' min ',' min ',' fix ' ,"&amp;" '']")</f>
        <v>['Application', 'Telkomsel', 'Error', 'Min', 'Fix', 'Enter', 'Application', 'Buy', 'Package', 'Data', 'Posts',' Gini ',' Loading ',' page ',' Sorry ',' error ',' system ',' please ',' fix ',' min ',' already ',' gini ',' please ',' min ',' min ',' fix ' , '']</v>
      </c>
      <c r="D8986" s="3">
        <v>1.0</v>
      </c>
    </row>
    <row r="8987" ht="15.75" customHeight="1">
      <c r="A8987" s="1">
        <v>9469.0</v>
      </c>
      <c r="B8987" s="3" t="s">
        <v>8642</v>
      </c>
      <c r="C8987" s="3" t="str">
        <f>IFERROR(__xludf.DUMMYFUNCTION("GOOGLETRANSLATE(B8987,""id"",""en"")"),"['', 'Points',' Cana ',' Exchange ',' Please ',' Fix ',' MAH ',' Delete ',' Sempe ',' Beso ',' Wetting ',' Tight ',' Busy ',' busy ',' whole ',' kah ',' clock ',' wait ',' ngab ']")</f>
        <v>['', 'Points',' Cana ',' Exchange ',' Please ',' Fix ',' MAH ',' Delete ',' Sempe ',' Beso ',' Wetting ',' Tight ',' Busy ',' busy ',' whole ',' kah ',' clock ',' wait ',' ngab ']</v>
      </c>
      <c r="D8987" s="3">
        <v>1.0</v>
      </c>
    </row>
    <row r="8988" ht="15.75" customHeight="1">
      <c r="A8988" s="1">
        <v>9470.0</v>
      </c>
      <c r="B8988" s="3" t="s">
        <v>8643</v>
      </c>
      <c r="C8988" s="3" t="str">
        <f>IFERROR(__xludf.DUMMYFUNCTION("GOOGLETRANSLATE(B8988,""id"",""en"")"),"['sorry', 'love', 'star', 'installed', 'reset', 'error', 'try', 'uninstall', 'install', 'reset', 'cust', 'care', ' find ',' solution ',' step ',' retreat ',' Telkomsel ',' hopefully ',' fast ',' repaired ',' system ',' service ',' retreat ',' activate ','"&amp;" package ' , '']")</f>
        <v>['sorry', 'love', 'star', 'installed', 'reset', 'error', 'try', 'uninstall', 'install', 'reset', 'cust', 'care', ' find ',' solution ',' step ',' retreat ',' Telkomsel ',' hopefully ',' fast ',' repaired ',' system ',' service ',' retreat ',' activate ',' package ' , '']</v>
      </c>
      <c r="D8988" s="3">
        <v>1.0</v>
      </c>
    </row>
    <row r="8989" ht="15.75" customHeight="1">
      <c r="A8989" s="1">
        <v>9471.0</v>
      </c>
      <c r="B8989" s="3" t="s">
        <v>8644</v>
      </c>
      <c r="C8989" s="3" t="str">
        <f>IFERROR(__xludf.DUMMYFUNCTION("GOOGLETRANSLATE(B8989,""id"",""en"")"),"['Price', 'Package', 'Internet', 'Expensive', 'Package', 'Combo', 'Sakti', 'Unlimited', 'lied to', 'community', 'Rural']")</f>
        <v>['Price', 'Package', 'Internet', 'Expensive', 'Package', 'Combo', 'Sakti', 'Unlimited', 'lied to', 'community', 'Rural']</v>
      </c>
      <c r="D8989" s="3">
        <v>1.0</v>
      </c>
    </row>
    <row r="8990" ht="15.75" customHeight="1">
      <c r="A8990" s="1">
        <v>9472.0</v>
      </c>
      <c r="B8990" s="3" t="s">
        <v>8645</v>
      </c>
      <c r="C8990" s="3" t="str">
        <f>IFERROR(__xludf.DUMMYFUNCTION("GOOGLETRANSLATE(B8990,""id"",""en"")"),"['The application', 'ugly', 'ngellag', 'jammed', 'open', 'application', 'mytelkomsel', 'writing', 'closed', 'forced', 'then', 'jammed', ' Ngellag ',' Application ',' Safe ',' My HP ',' Bintang ',' Bad ',' Application ',' MyTelkomsel ', ""]")</f>
        <v>['The application', 'ugly', 'ngellag', 'jammed', 'open', 'application', 'mytelkomsel', 'writing', 'closed', 'forced', 'then', 'jammed', ' Ngellag ',' Application ',' Safe ',' My HP ',' Bintang ',' Bad ',' Application ',' MyTelkomsel ', "]</v>
      </c>
      <c r="D8990" s="3">
        <v>1.0</v>
      </c>
    </row>
    <row r="8991" ht="15.75" customHeight="1">
      <c r="A8991" s="1">
        <v>9473.0</v>
      </c>
      <c r="B8991" s="3" t="s">
        <v>8646</v>
      </c>
      <c r="C8991" s="3" t="str">
        <f>IFERROR(__xludf.DUMMYFUNCTION("GOOGLETRANSLATE(B8991,""id"",""en"")"),"['Application', 'Good', 'Download', 'Gabakal', 'Raying', '']")</f>
        <v>['Application', 'Good', 'Download', 'Gabakal', 'Raying', '']</v>
      </c>
      <c r="D8991" s="3">
        <v>5.0</v>
      </c>
    </row>
    <row r="8992" ht="15.75" customHeight="1">
      <c r="A8992" s="1">
        <v>9474.0</v>
      </c>
      <c r="B8992" s="3" t="s">
        <v>8647</v>
      </c>
      <c r="C8992" s="3" t="str">
        <f>IFERROR(__xludf.DUMMYFUNCTION("GOOGLETRANSLATE(B8992,""id"",""en"")"),"['Reduce', 'Karna', 'Difficult', 'Enter', 'Telkomsel', 'Price', 'Promo', 'Quota', 'Data', 'Increases', 'Price', ""]")</f>
        <v>['Reduce', 'Karna', 'Difficult', 'Enter', 'Telkomsel', 'Price', 'Promo', 'Quota', 'Data', 'Increases', 'Price', "]</v>
      </c>
      <c r="D8992" s="3">
        <v>3.0</v>
      </c>
    </row>
    <row r="8993" ht="15.75" customHeight="1">
      <c r="A8993" s="1">
        <v>9475.0</v>
      </c>
      <c r="B8993" s="3" t="s">
        <v>8648</v>
      </c>
      <c r="C8993" s="3" t="str">
        <f>IFERROR(__xludf.DUMMYFUNCTION("GOOGLETRANSLATE(B8993,""id"",""en"")"),"['apk', 'gaje', 'buy', 'pulse', 'buy', 'combo', 'sakti', 'purchase', 'fail', 'contaha', 'original', 'apk', ' Mending ',' buy ',' Download ',' Raying ']")</f>
        <v>['apk', 'gaje', 'buy', 'pulse', 'buy', 'combo', 'sakti', 'purchase', 'fail', 'contaha', 'original', 'apk', ' Mending ',' buy ',' Download ',' Raying ']</v>
      </c>
      <c r="D8993" s="3">
        <v>1.0</v>
      </c>
    </row>
    <row r="8994" ht="15.75" customHeight="1">
      <c r="A8994" s="1">
        <v>9476.0</v>
      </c>
      <c r="B8994" s="3" t="s">
        <v>8649</v>
      </c>
      <c r="C8994" s="3" t="str">
        <f>IFERROR(__xludf.DUMMYFUNCTION("GOOGLETRANSLATE(B8994,""id"",""en"")"),"['The internet', 'slow', 'smooth', 'Jaya', 'internet', 'laugh', 'Switch', 'IM', 'fast', 'network', 'taiiikkkkk']")</f>
        <v>['The internet', 'slow', 'smooth', 'Jaya', 'internet', 'laugh', 'Switch', 'IM', 'fast', 'network', 'taiiikkkkk']</v>
      </c>
      <c r="D8994" s="3">
        <v>1.0</v>
      </c>
    </row>
    <row r="8995" ht="15.75" customHeight="1">
      <c r="A8995" s="1">
        <v>9477.0</v>
      </c>
      <c r="B8995" s="3" t="s">
        <v>8650</v>
      </c>
      <c r="C8995" s="3" t="str">
        <f>IFERROR(__xludf.DUMMYFUNCTION("GOOGLETRANSLATE(B8995,""id"",""en"")"),"['application', 'wasted', 'transaction', 'choose', 'according to', 'taste', 'help', 'signal', 'tekomsel', 'play', 'game', 'destroyed', ' very', '']")</f>
        <v>['application', 'wasted', 'transaction', 'choose', 'according to', 'taste', 'help', 'signal', 'tekomsel', 'play', 'game', 'destroyed', ' very', '']</v>
      </c>
      <c r="D8995" s="3">
        <v>4.0</v>
      </c>
    </row>
    <row r="8996" ht="15.75" customHeight="1">
      <c r="A8996" s="1">
        <v>9478.0</v>
      </c>
      <c r="B8996" s="3" t="s">
        <v>8651</v>
      </c>
      <c r="C8996" s="3" t="str">
        <f>IFERROR(__xludf.DUMMYFUNCTION("GOOGLETRANSLATE(B8996,""id"",""en"")"),"['price', 'package', 'internet', 'expensive', 'compared to', 'operator', 'how', 'combo', 'Sakti', 'Nompo', 'Sakti', 'Kombo', ' Sakti ',' expensive ',' Seized ',' expensive ',' Kabeh ']")</f>
        <v>['price', 'package', 'internet', 'expensive', 'compared to', 'operator', 'how', 'combo', 'Sakti', 'Nompo', 'Sakti', 'Kombo', ' Sakti ',' expensive ',' Seized ',' expensive ',' Kabeh ']</v>
      </c>
      <c r="D8996" s="3">
        <v>2.0</v>
      </c>
    </row>
    <row r="8997" ht="15.75" customHeight="1">
      <c r="A8997" s="1">
        <v>9479.0</v>
      </c>
      <c r="B8997" s="3" t="s">
        <v>8652</v>
      </c>
      <c r="C8997" s="3" t="str">
        <f>IFERROR(__xludf.DUMMYFUNCTION("GOOGLETRANSLATE(B8997,""id"",""en"")"),"['thank', 'love', 'Telkomsel', 'happy', 'reach', 'broad', 'Where', 'go', 'migrate', 'Alhamdulillah', 'network', 'Telkomsel', ' Supports', 'in', 'field', 'anything', 'Thanks',' You ',' ']")</f>
        <v>['thank', 'love', 'Telkomsel', 'happy', 'reach', 'broad', 'Where', 'go', 'migrate', 'Alhamdulillah', 'network', 'Telkomsel', ' Supports', 'in', 'field', 'anything', 'Thanks',' You ',' ']</v>
      </c>
      <c r="D8997" s="3">
        <v>5.0</v>
      </c>
    </row>
    <row r="8998" ht="15.75" customHeight="1">
      <c r="A8998" s="1">
        <v>9480.0</v>
      </c>
      <c r="B8998" s="3" t="s">
        <v>8653</v>
      </c>
      <c r="C8998" s="3" t="str">
        <f>IFERROR(__xludf.DUMMYFUNCTION("GOOGLETRANSLATE(B8998,""id"",""en"")"),"['Telkomsel', 'Severe', 'Corruption', 'Interethy', 'chaotic', 'here', 'network', 'Telkomsel', 'Please', 'repair', 'customer', 'loyal', ' Telkomsel ']")</f>
        <v>['Telkomsel', 'Severe', 'Corruption', 'Interethy', 'chaotic', 'here', 'network', 'Telkomsel', 'Please', 'repair', 'customer', 'loyal', ' Telkomsel ']</v>
      </c>
      <c r="D8998" s="3">
        <v>1.0</v>
      </c>
    </row>
    <row r="8999" ht="15.75" customHeight="1">
      <c r="A8999" s="1">
        <v>9481.0</v>
      </c>
      <c r="B8999" s="3" t="s">
        <v>8654</v>
      </c>
      <c r="C8999" s="3" t="str">
        <f>IFERROR(__xludf.DUMMYFUNCTION("GOOGLETRANSLATE(B8999,""id"",""en"")"),"['Telkomsel', 'strange', 'SMS', 'Family', 'Credit', 'Many', 'Sent', 'No "",' SMS ',' Family ',' My family ',' SMS ',' brkli ',' knpa ',' no "", 'Dibalang', 'KTA', 'my family', 'no', 'sms', 'enter', 'heeeeeee', 'Telkomsel', 'org', 'honest' , 'your customer"&amp;"', 'run', 'suggestion', 'person', 'loss', ""]")</f>
        <v>['Telkomsel', 'strange', 'SMS', 'Family', 'Credit', 'Many', 'Sent', 'No ",' SMS ',' Family ',' My family ',' SMS ',' brkli ',' knpa ',' no ", 'Dibalang', 'KTA', 'my family', 'no', 'sms', 'enter', 'heeeeeee', 'Telkomsel', 'org', 'honest' , 'your customer', 'run', 'suggestion', 'person', 'loss', "]</v>
      </c>
      <c r="D8999" s="3">
        <v>1.0</v>
      </c>
    </row>
    <row r="9000" ht="15.75" customHeight="1">
      <c r="A9000" s="1">
        <v>9482.0</v>
      </c>
      <c r="B9000" s="3" t="s">
        <v>8655</v>
      </c>
      <c r="C9000" s="3" t="str">
        <f>IFERROR(__xludf.DUMMYFUNCTION("GOOGLETRANSLATE(B9000,""id"",""en"")"),"['System', 'owe', 'rb', 'Where', 'emergency', 'gini', 'leftover', 'quota', 'MB', 'pulse', 'please', 'diremove']")</f>
        <v>['System', 'owe', 'rb', 'Where', 'emergency', 'gini', 'leftover', 'quota', 'MB', 'pulse', 'please', 'diremove']</v>
      </c>
      <c r="D9000" s="3">
        <v>1.0</v>
      </c>
    </row>
    <row r="9001" ht="15.75" customHeight="1">
      <c r="A9001" s="1">
        <v>9483.0</v>
      </c>
      <c r="B9001" s="3" t="s">
        <v>8656</v>
      </c>
      <c r="C9001" s="3" t="str">
        <f>IFERROR(__xludf.DUMMYFUNCTION("GOOGLETRANSLATE(B9001,""id"",""en"")"),"['forgiveness', 'network', 'quota', 'signal', 'Bukak', 'like', 'meek', 'quota', 'samassali', 'mean', ""]")</f>
        <v>['forgiveness', 'network', 'quota', 'signal', 'Bukak', 'like', 'meek', 'quota', 'samassali', 'mean', "]</v>
      </c>
      <c r="D9001" s="3">
        <v>2.0</v>
      </c>
    </row>
    <row r="9002" ht="15.75" customHeight="1">
      <c r="A9002" s="1">
        <v>9484.0</v>
      </c>
      <c r="B9002" s="3" t="s">
        <v>8657</v>
      </c>
      <c r="C9002" s="3" t="str">
        <f>IFERROR(__xludf.DUMMYFUNCTION("GOOGLETRANSLATE(B9002,""id"",""en"")"),"['Application', 'Damaged', 'Ngapa', 'Please', 'Repaired', 'The Network', 'Please', 'Expanded', 'Region', 'Sousal', 'Batang', 'Doang', ' speed ',' download ',' slow ',' kenceng ',' Mbps', 'speed', 'download', 'mbps',' ugly ',' signal ',' ngeta ',' jakarta "&amp;"',' until ' , 'Mbps']")</f>
        <v>['Application', 'Damaged', 'Ngapa', 'Please', 'Repaired', 'The Network', 'Please', 'Expanded', 'Region', 'Sousal', 'Batang', 'Doang', ' speed ',' download ',' slow ',' kenceng ',' Mbps', 'speed', 'download', 'mbps',' ugly ',' signal ',' ngeta ',' jakarta ',' until ' , 'Mbps']</v>
      </c>
      <c r="D9002" s="3">
        <v>1.0</v>
      </c>
    </row>
    <row r="9003" ht="15.75" customHeight="1">
      <c r="A9003" s="1">
        <v>9485.0</v>
      </c>
      <c r="B9003" s="3" t="s">
        <v>8658</v>
      </c>
      <c r="C9003" s="3" t="str">
        <f>IFERROR(__xludf.DUMMYFUNCTION("GOOGLETRANSLATE(B9003,""id"",""en"")"),"['bro', 'network', 'sympathy', 'destroyed', 'bro', 'buy', 'package', 'expensive', 'expensive', 'network', 'ugly', 'bangat', ' intention ',' fix it ',' user ',' loss', 'use', 'sympathy', 'hope', 'the network', 'in fact', 'destroyed']")</f>
        <v>['bro', 'network', 'sympathy', 'destroyed', 'bro', 'buy', 'package', 'expensive', 'expensive', 'network', 'ugly', 'bangat', ' intention ',' fix it ',' user ',' loss', 'use', 'sympathy', 'hope', 'the network', 'in fact', 'destroyed']</v>
      </c>
      <c r="D9003" s="3">
        <v>1.0</v>
      </c>
    </row>
    <row r="9004" ht="15.75" customHeight="1">
      <c r="A9004" s="1">
        <v>9486.0</v>
      </c>
      <c r="B9004" s="3" t="s">
        <v>8659</v>
      </c>
      <c r="C9004" s="3" t="str">
        <f>IFERROR(__xludf.DUMMYFUNCTION("GOOGLETRANSLATE(B9004,""id"",""en"")"),"['Awalny', 'update', 'update', 'go', 'wish', ""]")</f>
        <v>['Awalny', 'update', 'update', 'go', 'wish', "]</v>
      </c>
      <c r="D9004" s="3">
        <v>1.0</v>
      </c>
    </row>
    <row r="9005" ht="15.75" customHeight="1">
      <c r="A9005" s="1">
        <v>9487.0</v>
      </c>
      <c r="B9005" s="3" t="s">
        <v>8660</v>
      </c>
      <c r="C9005" s="3" t="str">
        <f>IFERROR(__xludf.DUMMYFUNCTION("GOOGLETRANSLATE(B9005,""id"",""en"")"),"['How', 'buy', 'package', 'use', 'MyTelkomsel', 'pulse', 'exceed', 'buy', 'package', 'reason', 'signal', 'wrong', ' What's', 'cuk']")</f>
        <v>['How', 'buy', 'package', 'use', 'MyTelkomsel', 'pulse', 'exceed', 'buy', 'package', 'reason', 'signal', 'wrong', ' What's', 'cuk']</v>
      </c>
      <c r="D9005" s="3">
        <v>1.0</v>
      </c>
    </row>
    <row r="9006" ht="15.75" customHeight="1">
      <c r="A9006" s="1">
        <v>9488.0</v>
      </c>
      <c r="B9006" s="3" t="s">
        <v>8661</v>
      </c>
      <c r="C9006" s="3" t="str">
        <f>IFERROR(__xludf.DUMMYFUNCTION("GOOGLETRANSLATE(B9006,""id"",""en"")"),"['application', 'bad', 'good', 'bad', 'bored', 'use', 'application']")</f>
        <v>['application', 'bad', 'good', 'bad', 'bored', 'use', 'application']</v>
      </c>
      <c r="D9006" s="3">
        <v>1.0</v>
      </c>
    </row>
    <row r="9007" ht="15.75" customHeight="1">
      <c r="A9007" s="1">
        <v>9489.0</v>
      </c>
      <c r="B9007" s="3" t="s">
        <v>8662</v>
      </c>
      <c r="C9007" s="3" t="str">
        <f>IFERROR(__xludf.DUMMYFUNCTION("GOOGLETRANSLATE(B9007,""id"",""en"")"),"['disappointed', 'customers',' loyal ',' Telkomsel ',' disappointed ',' network ',' stable ',' access', 'application', 'gojek', 'etc.', 'quota', ' full', '']")</f>
        <v>['disappointed', 'customers',' loyal ',' Telkomsel ',' disappointed ',' network ',' stable ',' access', 'application', 'gojek', 'etc.', 'quota', ' full', '']</v>
      </c>
      <c r="D9007" s="3">
        <v>1.0</v>
      </c>
    </row>
    <row r="9008" ht="15.75" customHeight="1">
      <c r="A9008" s="1">
        <v>9490.0</v>
      </c>
      <c r="B9008" s="3" t="s">
        <v>8663</v>
      </c>
      <c r="C9008" s="3" t="str">
        <f>IFERROR(__xludf.DUMMYFUNCTION("GOOGLETRANSLATE(B9008,""id"",""en"")"),"['Severe', 'Empower', 'Data', 'Signal', 'Region', 'Severe', 'Severe', 'Forced', 'Move', 'Operator', ""]")</f>
        <v>['Severe', 'Empower', 'Data', 'Signal', 'Region', 'Severe', 'Severe', 'Forced', 'Move', 'Operator', "]</v>
      </c>
      <c r="D9008" s="3">
        <v>1.0</v>
      </c>
    </row>
    <row r="9009" ht="15.75" customHeight="1">
      <c r="A9009" s="1">
        <v>9491.0</v>
      </c>
      <c r="B9009" s="3" t="s">
        <v>8664</v>
      </c>
      <c r="C9009" s="3" t="str">
        <f>IFERROR(__xludf.DUMMYFUNCTION("GOOGLETRANSLATE(B9009,""id"",""en"")"),"['Package', 'data', 'Telkomsel', 'Most expensive', 'in the world', 'leftover', 'pulses', 'missing', 'swallowed', 'earth']")</f>
        <v>['Package', 'data', 'Telkomsel', 'Most expensive', 'in the world', 'leftover', 'pulses', 'missing', 'swallowed', 'earth']</v>
      </c>
      <c r="D9009" s="3">
        <v>1.0</v>
      </c>
    </row>
    <row r="9010" ht="15.75" customHeight="1">
      <c r="A9010" s="1">
        <v>9492.0</v>
      </c>
      <c r="B9010" s="3" t="s">
        <v>8665</v>
      </c>
      <c r="C9010" s="3" t="str">
        <f>IFERROR(__xludf.DUMMYFUNCTION("GOOGLETRANSLATE(B9010,""id"",""en"")"),"['boss', 'postpaid', 'already', 'pay', 'internet', 'severe', 'Telkomsel', 'times', 'rich', 'gini', ""]")</f>
        <v>['boss', 'postpaid', 'already', 'pay', 'internet', 'severe', 'Telkomsel', 'times', 'rich', 'gini', "]</v>
      </c>
      <c r="D9010" s="3">
        <v>1.0</v>
      </c>
    </row>
    <row r="9011" ht="15.75" customHeight="1">
      <c r="A9011" s="1">
        <v>9493.0</v>
      </c>
      <c r="B9011" s="3" t="s">
        <v>8666</v>
      </c>
      <c r="C9011" s="3" t="str">
        <f>IFERROR(__xludf.DUMMYFUNCTION("GOOGLETRANSLATE(B9011,""id"",""en"")"),"['Suck', 'pulse', 'tags', 'hereafter', 'APK', 'BBRPR', 'error', 'error']")</f>
        <v>['Suck', 'pulse', 'tags', 'hereafter', 'APK', 'BBRPR', 'error', 'error']</v>
      </c>
      <c r="D9011" s="3">
        <v>3.0</v>
      </c>
    </row>
    <row r="9012" ht="15.75" customHeight="1">
      <c r="A9012" s="1">
        <v>9494.0</v>
      </c>
      <c r="B9012" s="3" t="s">
        <v>8667</v>
      </c>
      <c r="C9012" s="3" t="str">
        <f>IFERROR(__xludf.DUMMYFUNCTION("GOOGLETRANSLATE(B9012,""id"",""en"")"),"['Please', 'Region', 'City', 'Blitar', 'Package', 'UnlimitedMax', 'Buy', 'Package']")</f>
        <v>['Please', 'Region', 'City', 'Blitar', 'Package', 'UnlimitedMax', 'Buy', 'Package']</v>
      </c>
      <c r="D9012" s="3">
        <v>3.0</v>
      </c>
    </row>
    <row r="9013" ht="15.75" customHeight="1">
      <c r="A9013" s="1">
        <v>9495.0</v>
      </c>
      <c r="B9013" s="3" t="s">
        <v>8668</v>
      </c>
      <c r="C9013" s="3" t="str">
        <f>IFERROR(__xludf.DUMMYFUNCTION("GOOGLETRANSLATE(B9013,""id"",""en"")"),"['Therred', 'Love', 'Application', 'Telkomsel', 'Application', 'Buy', 'Package', 'Cheap']")</f>
        <v>['Therred', 'Love', 'Application', 'Telkomsel', 'Application', 'Buy', 'Package', 'Cheap']</v>
      </c>
      <c r="D9013" s="3">
        <v>5.0</v>
      </c>
    </row>
    <row r="9014" ht="15.75" customHeight="1">
      <c r="A9014" s="1">
        <v>9496.0</v>
      </c>
      <c r="B9014" s="3" t="s">
        <v>8669</v>
      </c>
      <c r="C9014" s="3" t="str">
        <f>IFERROR(__xludf.DUMMYFUNCTION("GOOGLETRANSLATE(B9014,""id"",""en"")"),"['Difficult', 'Open', 'Please', 'Network', 'Leet', 'Sis', 'Telkomsel', ""]")</f>
        <v>['Difficult', 'Open', 'Please', 'Network', 'Leet', 'Sis', 'Telkomsel', "]</v>
      </c>
      <c r="D9014" s="3">
        <v>4.0</v>
      </c>
    </row>
    <row r="9015" ht="15.75" customHeight="1">
      <c r="A9015" s="1">
        <v>9497.0</v>
      </c>
      <c r="B9015" s="3" t="s">
        <v>8670</v>
      </c>
      <c r="C9015" s="3" t="str">
        <f>IFERROR(__xludf.DUMMYFUNCTION("GOOGLETRANSLATE(B9015,""id"",""en"")"),"['User', 'Combo', 'Sakti', 'buy', 'package', 'price', 'contents',' pulse ',' the rest ',' tube ',' buy ',' package ',' Until ',' pulses', 'package', 'run out', 'forget', 'turn off', 'network', 'pulse', 'saved', 'buy', 'package', 'combo', 'sucked' , 'Nyese"&amp;"k', 'Min', '']")</f>
        <v>['User', 'Combo', 'Sakti', 'buy', 'package', 'price', 'contents',' pulse ',' the rest ',' tube ',' buy ',' package ',' Until ',' pulses', 'package', 'run out', 'forget', 'turn off', 'network', 'pulse', 'saved', 'buy', 'package', 'combo', 'sucked' , 'Nyesek', 'Min', '']</v>
      </c>
      <c r="D9015" s="3">
        <v>1.0</v>
      </c>
    </row>
    <row r="9016" ht="15.75" customHeight="1">
      <c r="A9016" s="1">
        <v>9498.0</v>
      </c>
      <c r="B9016" s="3" t="s">
        <v>8671</v>
      </c>
      <c r="C9016" s="3" t="str">
        <f>IFERROR(__xludf.DUMMYFUNCTION("GOOGLETRANSLATE(B9016,""id"",""en"")"),"['Registration', 'reply', 'told', 'Try', 'Tomorrow', 'according to', 'name', 'big']")</f>
        <v>['Registration', 'reply', 'told', 'Try', 'Tomorrow', 'according to', 'name', 'big']</v>
      </c>
      <c r="D9016" s="3">
        <v>1.0</v>
      </c>
    </row>
    <row r="9017" ht="15.75" customHeight="1">
      <c r="A9017" s="1">
        <v>9499.0</v>
      </c>
      <c r="B9017" s="3" t="s">
        <v>8672</v>
      </c>
      <c r="C9017" s="3" t="str">
        <f>IFERROR(__xludf.DUMMYFUNCTION("GOOGLETRANSLATE(B9017,""id"",""en"")"),"['waduhhh', 'klok', 'customer', 'loyal', 'Telkomsel', 'moved', 'card', 'because' network ',' down ',' complaint ',' price ',' according to ',' Peforma ',' Package ',' Hopefully ',' users', 'Telkomsel', 'loyal', 'Skrg', 'Skrg', 'Minn', ""]")</f>
        <v>['waduhhh', 'klok', 'customer', 'loyal', 'Telkomsel', 'moved', 'card', 'because' network ',' down ',' complaint ',' price ',' according to ',' Peforma ',' Package ',' Hopefully ',' users', 'Telkomsel', 'loyal', 'Skrg', 'Skrg', 'Minn', "]</v>
      </c>
      <c r="D9017" s="3">
        <v>1.0</v>
      </c>
    </row>
    <row r="9018" ht="15.75" customHeight="1">
      <c r="A9018" s="1">
        <v>9500.0</v>
      </c>
      <c r="B9018" s="3" t="s">
        <v>8673</v>
      </c>
      <c r="C9018" s="3" t="str">
        <f>IFERROR(__xludf.DUMMYFUNCTION("GOOGLETRANSLATE(B9018,""id"",""en"")"),"['upgrade', 'open', 'load', 'page', 'error', 'system', ""]")</f>
        <v>['upgrade', 'open', 'load', 'page', 'error', 'system', "]</v>
      </c>
      <c r="D9018" s="3">
        <v>1.0</v>
      </c>
    </row>
    <row r="9019" ht="15.75" customHeight="1">
      <c r="A9019" s="1">
        <v>9501.0</v>
      </c>
      <c r="B9019" s="3" t="s">
        <v>8674</v>
      </c>
      <c r="C9019" s="3" t="str">
        <f>IFERROR(__xludf.DUMMYFUNCTION("GOOGLETRANSLATE(B9019,""id"",""en"")"),"['suitable', 'package', 'unlimited', 'max', 'subscribe', 'times',' already ',' how ',' Telkomsel ',' already ',' comfortable ',' was left ',' php ',' wkwkwk ']")</f>
        <v>['suitable', 'package', 'unlimited', 'max', 'subscribe', 'times',' already ',' how ',' Telkomsel ',' already ',' comfortable ',' was left ',' php ',' wkwkwk ']</v>
      </c>
      <c r="D9019" s="3">
        <v>2.0</v>
      </c>
    </row>
    <row r="9020" ht="15.75" customHeight="1">
      <c r="A9020" s="1">
        <v>9502.0</v>
      </c>
      <c r="B9020" s="3" t="s">
        <v>8675</v>
      </c>
      <c r="C9020" s="3" t="str">
        <f>IFERROR(__xludf.DUMMYFUNCTION("GOOGLETRANSLATE(B9020,""id"",""en"")"),"['Telkomsel', 'Please', 'Fix', 'Content', 'Quota', 'Disruption', 'Mulu', 'Signal']")</f>
        <v>['Telkomsel', 'Please', 'Fix', 'Content', 'Quota', 'Disruption', 'Mulu', 'Signal']</v>
      </c>
      <c r="D9020" s="3">
        <v>1.0</v>
      </c>
    </row>
    <row r="9021" ht="15.75" customHeight="1">
      <c r="A9021" s="1">
        <v>9503.0</v>
      </c>
      <c r="B9021" s="3" t="s">
        <v>8676</v>
      </c>
      <c r="C9021" s="3" t="str">
        <f>IFERROR(__xludf.DUMMYFUNCTION("GOOGLETRANSLATE(B9021,""id"",""en"")"),"['Telkomsel', 'Love', 'Bad', 'Use', 'Telkomsel', 'Hopefully', 'In the future', 'Leading', ""]")</f>
        <v>['Telkomsel', 'Love', 'Bad', 'Use', 'Telkomsel', 'Hopefully', 'In the future', 'Leading', "]</v>
      </c>
      <c r="D9021" s="3">
        <v>5.0</v>
      </c>
    </row>
    <row r="9022" ht="15.75" customHeight="1">
      <c r="A9022" s="1">
        <v>9504.0</v>
      </c>
      <c r="B9022" s="3" t="s">
        <v>8677</v>
      </c>
      <c r="C9022" s="3" t="str">
        <f>IFERROR(__xludf.DUMMYFUNCTION("GOOGLETRANSLATE(B9022,""id"",""en"")"),"['Yesterday', 'Sempet', 'Troubled', 'Purchase', 'Quota', 'Application', 'Telkomsel', 'Buy', 'Quota', 'Pay', 'Shopee', 'Pay', ' Already ',' failed ',' whatsapp ',' Telkomsel ',' then ',' take care ',' pair ',' balance ',' shopee ',' pay ',' thanks', 'telko"&amp;"m' , 'Hopefully', 'repaired', 'System', '']")</f>
        <v>['Yesterday', 'Sempet', 'Troubled', 'Purchase', 'Quota', 'Application', 'Telkomsel', 'Buy', 'Quota', 'Pay', 'Shopee', 'Pay', ' Already ',' failed ',' whatsapp ',' Telkomsel ',' then ',' take care ',' pair ',' balance ',' shopee ',' pay ',' thanks', 'telkom' , 'Hopefully', 'repaired', 'System', '']</v>
      </c>
      <c r="D9022" s="3">
        <v>4.0</v>
      </c>
    </row>
    <row r="9023" ht="15.75" customHeight="1">
      <c r="A9023" s="1">
        <v>9505.0</v>
      </c>
      <c r="B9023" s="3" t="s">
        <v>8678</v>
      </c>
      <c r="C9023" s="3" t="str">
        <f>IFERROR(__xludf.DUMMYFUNCTION("GOOGLETRANSLATE(B9023,""id"",""en"")"),"['really', 'sucked', 'pulses',' ngaknyalain ',' data ',' cellular ',' wear ',' pulsel ',' regret ',' choose ',' card ',' telkom ',' end ',' end ',' wasteful ',' pulse ',' money ',' ngelag ',' turn on ',' data ',' cellular ',' wasteful ',' quota ',' really"&amp;" ',' want ' , 'Change', 'card', '']")</f>
        <v>['really', 'sucked', 'pulses',' ngaknyalain ',' data ',' cellular ',' wear ',' pulsel ',' regret ',' choose ',' card ',' telkom ',' end ',' end ',' wasteful ',' pulse ',' money ',' ngelag ',' turn on ',' data ',' cellular ',' wasteful ',' quota ',' really ',' want ' , 'Change', 'card', '']</v>
      </c>
      <c r="D9023" s="3">
        <v>1.0</v>
      </c>
    </row>
    <row r="9024" ht="15.75" customHeight="1">
      <c r="A9024" s="1">
        <v>9506.0</v>
      </c>
      <c r="B9024" s="3" t="s">
        <v>8679</v>
      </c>
      <c r="C9024" s="3" t="str">
        <f>IFERROR(__xludf.DUMMYFUNCTION("GOOGLETRANSLATE(B9024,""id"",""en"")"),"['Network', 'friendly', 'in full', 'Hopefully', 'multiply', 'promo', 'quota', 'cheap', 'lottery', 'point', 'user', ' ']")</f>
        <v>['Network', 'friendly', 'in full', 'Hopefully', 'multiply', 'promo', 'quota', 'cheap', 'lottery', 'point', 'user', ' ']</v>
      </c>
      <c r="D9024" s="3">
        <v>5.0</v>
      </c>
    </row>
    <row r="9025" ht="15.75" customHeight="1">
      <c r="A9025" s="1">
        <v>9507.0</v>
      </c>
      <c r="B9025" s="3" t="s">
        <v>8680</v>
      </c>
      <c r="C9025" s="3" t="str">
        <f>IFERROR(__xludf.DUMMYFUNCTION("GOOGLETRANSLATE(B9025,""id"",""en"")"),"['Sorry', 'service', 'experience', 'disorder', 'Please', 'contact', 'admin', 'kayla']")</f>
        <v>['Sorry', 'service', 'experience', 'disorder', 'Please', 'contact', 'admin', 'kayla']</v>
      </c>
      <c r="D9025" s="3">
        <v>1.0</v>
      </c>
    </row>
    <row r="9026" ht="15.75" customHeight="1">
      <c r="A9026" s="1">
        <v>9508.0</v>
      </c>
      <c r="B9026" s="3" t="s">
        <v>8681</v>
      </c>
      <c r="C9026" s="3" t="str">
        <f>IFERROR(__xludf.DUMMYFUNCTION("GOOGLETRANSLATE(B9026,""id"",""en"")"),"['Practical', 'use', 'apk', 'Telkomsel', 'check', 'quota', 'sometimes', 'access', 'network', 'Telkomsel']")</f>
        <v>['Practical', 'use', 'apk', 'Telkomsel', 'check', 'quota', 'sometimes', 'access', 'network', 'Telkomsel']</v>
      </c>
      <c r="D9026" s="3">
        <v>5.0</v>
      </c>
    </row>
    <row r="9027" ht="15.75" customHeight="1">
      <c r="A9027" s="1">
        <v>9509.0</v>
      </c>
      <c r="B9027" s="3" t="s">
        <v>8682</v>
      </c>
      <c r="C9027" s="3" t="str">
        <f>IFERROR(__xludf.DUMMYFUNCTION("GOOGLETRANSLATE(B9027,""id"",""en"")"),"['Disappointed', 'choice', 'buy', 'extra', 'unlimited', 'uda', 'subscription', 'yrs', 'disappointed', 'shape']")</f>
        <v>['Disappointed', 'choice', 'buy', 'extra', 'unlimited', 'uda', 'subscription', 'yrs', 'disappointed', 'shape']</v>
      </c>
      <c r="D9027" s="3">
        <v>1.0</v>
      </c>
    </row>
    <row r="9028" ht="15.75" customHeight="1">
      <c r="A9028" s="1">
        <v>9510.0</v>
      </c>
      <c r="B9028" s="3" t="s">
        <v>8683</v>
      </c>
      <c r="C9028" s="3" t="str">
        <f>IFERROR(__xludf.DUMMYFUNCTION("GOOGLETRANSLATE(B9028,""id"",""en"")"),"['Download', 'fast', 'access',' failed ',' loading ',' uninstall ',' fast ',' spend ',' quota ',' memory ',' internal ',' application ',' slow', '']")</f>
        <v>['Download', 'fast', 'access',' failed ',' loading ',' uninstall ',' fast ',' spend ',' quota ',' memory ',' internal ',' application ',' slow', '']</v>
      </c>
      <c r="D9028" s="3">
        <v>2.0</v>
      </c>
    </row>
    <row r="9029" ht="15.75" customHeight="1">
      <c r="A9029" s="1">
        <v>9511.0</v>
      </c>
      <c r="B9029" s="3" t="s">
        <v>8684</v>
      </c>
      <c r="C9029" s="3" t="str">
        <f>IFERROR(__xludf.DUMMYFUNCTION("GOOGLETRANSLATE(B9029,""id"",""en"")"),"['Reliable', 'Reliable', 'Credit', 'Internet', 'Buy', 'Package', 'said', 'internet', 'told', 'Try', 'application']")</f>
        <v>['Reliable', 'Reliable', 'Credit', 'Internet', 'Buy', 'Package', 'said', 'internet', 'told', 'Try', 'application']</v>
      </c>
      <c r="D9029" s="3">
        <v>1.0</v>
      </c>
    </row>
    <row r="9030" ht="15.75" customHeight="1">
      <c r="A9030" s="1">
        <v>9512.0</v>
      </c>
      <c r="B9030" s="3" t="s">
        <v>8685</v>
      </c>
      <c r="C9030" s="3" t="str">
        <f>IFERROR(__xludf.DUMMYFUNCTION("GOOGLETRANSLATE(B9030,""id"",""en"")"),"['comfortable', 'Telkomsel', 'Telkomsel', 'Network', 'stable', 'Telkomsel', 'experience', 'disruption', 'network', 'sea', 'disconnected', 'disorder', ' Internet Network']")</f>
        <v>['comfortable', 'Telkomsel', 'Telkomsel', 'Network', 'stable', 'Telkomsel', 'experience', 'disruption', 'network', 'sea', 'disconnected', 'disorder', ' Internet Network']</v>
      </c>
      <c r="D9030" s="3">
        <v>5.0</v>
      </c>
    </row>
    <row r="9031" ht="15.75" customHeight="1">
      <c r="A9031" s="1">
        <v>9513.0</v>
      </c>
      <c r="B9031" s="3" t="s">
        <v>862</v>
      </c>
      <c r="C9031" s="3" t="str">
        <f>IFERROR(__xludf.DUMMYFUNCTION("GOOGLETRANSLATE(B9031,""id"",""en"")"),"['The application', 'Good', '']")</f>
        <v>['The application', 'Good', '']</v>
      </c>
      <c r="D9031" s="3">
        <v>5.0</v>
      </c>
    </row>
    <row r="9032" ht="15.75" customHeight="1">
      <c r="A9032" s="1">
        <v>9514.0</v>
      </c>
      <c r="B9032" s="3" t="s">
        <v>8686</v>
      </c>
      <c r="C9032" s="3" t="str">
        <f>IFERROR(__xludf.DUMMYFUNCTION("GOOGLETRANSLATE(B9032,""id"",""en"")"),"['Please', 'Sorry', 'Telkomsen', 'Konto', 'People', 'Pulse', 'Package', 'Take', 'Donk', 'Credit', 'Ngentt', ' She ',' UDH ',' Live ',' Please ',' That's', 'Nahan', 'Feature', 'Activate', 'Credit', 'Package', 'Data', 'Pulse', 'Used' , 'ngntot']")</f>
        <v>['Please', 'Sorry', 'Telkomsen', 'Konto', 'People', 'Pulse', 'Package', 'Take', 'Donk', 'Credit', 'Ngentt', ' She ',' UDH ',' Live ',' Please ',' That's', 'Nahan', 'Feature', 'Activate', 'Credit', 'Package', 'Data', 'Pulse', 'Used' , 'ngntot']</v>
      </c>
      <c r="D9032" s="3">
        <v>2.0</v>
      </c>
    </row>
    <row r="9033" ht="15.75" customHeight="1">
      <c r="A9033" s="1">
        <v>9515.0</v>
      </c>
      <c r="B9033" s="3" t="s">
        <v>8687</v>
      </c>
      <c r="C9033" s="3" t="str">
        <f>IFERROR(__xludf.DUMMYFUNCTION("GOOGLETRANSLATE(B9033,""id"",""en"")"),"['Koq', 'strange', 'buy', 'package', 'promo', 'buy', 'right', 'transaction', 'pulse', 'chick', 'thief', 'transaction', ' Telkomsel ',' access', 'Telkomsel', 'hit', 'rates',' lose ',' provider ',' laen ',' love ',' free ',' access', '']")</f>
        <v>['Koq', 'strange', 'buy', 'package', 'promo', 'buy', 'right', 'transaction', 'pulse', 'chick', 'thief', 'transaction', ' Telkomsel ',' access', 'Telkomsel', 'hit', 'rates',' lose ',' provider ',' laen ',' love ',' free ',' access', '']</v>
      </c>
      <c r="D9033" s="3">
        <v>1.0</v>
      </c>
    </row>
    <row r="9034" ht="15.75" customHeight="1">
      <c r="A9034" s="1">
        <v>9516.0</v>
      </c>
      <c r="B9034" s="3" t="s">
        <v>8688</v>
      </c>
      <c r="C9034" s="3" t="str">
        <f>IFERROR(__xludf.DUMMYFUNCTION("GOOGLETRANSLATE(B9034,""id"",""en"")"),"['Josss', 'hope', 'application', 'help', 'customer', 'company', 'BUMN', 'Success']")</f>
        <v>['Josss', 'hope', 'application', 'help', 'customer', 'company', 'BUMN', 'Success']</v>
      </c>
      <c r="D9034" s="3">
        <v>5.0</v>
      </c>
    </row>
    <row r="9035" ht="15.75" customHeight="1">
      <c r="A9035" s="1">
        <v>9517.0</v>
      </c>
      <c r="B9035" s="3" t="s">
        <v>8689</v>
      </c>
      <c r="C9035" s="3" t="str">
        <f>IFERROR(__xludf.DUMMYFUNCTION("GOOGLETRANSLATE(B9035,""id"",""en"")"),"['embarrassing', 'plate', 'red', 'poor', 'quota', 'official', 'BUMN', 'salary', 'exorbitant', 'nambal', 'nambok', 'BUMN', ' Debt ',' Tatak ',' Atik ',' Price ',' Quota ',' Telkomsel ',' Rich ',' Child ', ""]")</f>
        <v>['embarrassing', 'plate', 'red', 'poor', 'quota', 'official', 'BUMN', 'salary', 'exorbitant', 'nambal', 'nambok', 'BUMN', ' Debt ',' Tatak ',' Atik ',' Price ',' Quota ',' Telkomsel ',' Rich ',' Child ', "]</v>
      </c>
      <c r="D9035" s="3">
        <v>1.0</v>
      </c>
    </row>
    <row r="9036" ht="15.75" customHeight="1">
      <c r="A9036" s="1">
        <v>9518.0</v>
      </c>
      <c r="B9036" s="3" t="s">
        <v>8690</v>
      </c>
      <c r="C9036" s="3" t="str">
        <f>IFERROR(__xludf.DUMMYFUNCTION("GOOGLETRANSLATE(B9036,""id"",""en"")"),"['Wey', 'package', 'extra', 'unlimited', 'severe', 'like', 'ilang', 'in', 'package', 'disappointed']")</f>
        <v>['Wey', 'package', 'extra', 'unlimited', 'severe', 'like', 'ilang', 'in', 'package', 'disappointed']</v>
      </c>
      <c r="D9036" s="3">
        <v>1.0</v>
      </c>
    </row>
    <row r="9037" ht="15.75" customHeight="1">
      <c r="A9037" s="1">
        <v>9519.0</v>
      </c>
      <c r="B9037" s="3" t="s">
        <v>8691</v>
      </c>
      <c r="C9037" s="3" t="str">
        <f>IFERROR(__xludf.DUMMYFUNCTION("GOOGLETRANSLATE(B9037,""id"",""en"")"),"['Sorry', 'love', 'star', 'surprised', 'Telkomsel', 'credit', 'quota', 'activate', 'data', 'pulse', 'lost', 'please', ' Admin ',' Suddenly ', ""]")</f>
        <v>['Sorry', 'love', 'star', 'surprised', 'Telkomsel', 'credit', 'quota', 'activate', 'data', 'pulse', 'lost', 'please', ' Admin ',' Suddenly ', "]</v>
      </c>
      <c r="D9037" s="3">
        <v>1.0</v>
      </c>
    </row>
    <row r="9038" ht="15.75" customHeight="1">
      <c r="A9038" s="1">
        <v>9520.0</v>
      </c>
      <c r="B9038" s="3" t="s">
        <v>8692</v>
      </c>
      <c r="C9038" s="3" t="str">
        <f>IFERROR(__xludf.DUMMYFUNCTION("GOOGLETRANSLATE(B9038,""id"",""en"")"),"['buy', 'quota', 'unlimited', 'ngelag', 'severe', 'network', 'different', 'quota', 'main', 'times',' strengthen ',' signal ',' repaired ',' network ',' quota ',' unlimited ',' play ',' game ',' ping ',' above ',' Benerin ',' change ',' card ',' good ',' n"&amp;"etwork ' , 'yeah', 'buy', 'pulse', 'suck', 'kontolll']")</f>
        <v>['buy', 'quota', 'unlimited', 'ngelag', 'severe', 'network', 'different', 'quota', 'main', 'times',' strengthen ',' signal ',' repaired ',' network ',' quota ',' unlimited ',' play ',' game ',' ping ',' above ',' Benerin ',' change ',' card ',' good ',' network ' , 'yeah', 'buy', 'pulse', 'suck', 'kontolll']</v>
      </c>
      <c r="D9038" s="3">
        <v>1.0</v>
      </c>
    </row>
    <row r="9039" ht="15.75" customHeight="1">
      <c r="A9039" s="1">
        <v>9521.0</v>
      </c>
      <c r="B9039" s="3" t="s">
        <v>8693</v>
      </c>
      <c r="C9039" s="3" t="str">
        <f>IFERROR(__xludf.DUMMYFUNCTION("GOOGLETRANSLATE(B9039,""id"",""en"")"),"['Informaai', 'Provide', 'Telkomsel', 'Helping', 'Choosing', 'Determining', 'Package', 'Data', 'Suitable', 'Needs', ""]")</f>
        <v>['Informaai', 'Provide', 'Telkomsel', 'Helping', 'Choosing', 'Determining', 'Package', 'Data', 'Suitable', 'Needs', "]</v>
      </c>
      <c r="D9039" s="3">
        <v>5.0</v>
      </c>
    </row>
    <row r="9040" ht="15.75" customHeight="1">
      <c r="A9040" s="1">
        <v>9522.0</v>
      </c>
      <c r="B9040" s="3" t="s">
        <v>8694</v>
      </c>
      <c r="C9040" s="3" t="str">
        <f>IFERROR(__xludf.DUMMYFUNCTION("GOOGLETRANSLATE(B9040,""id"",""en"")"),"['', 'Telkomsel', 'great', 'use', 'dismiss', 'special', 'road', 'thank you', 'Telkomsel']")</f>
        <v>['', 'Telkomsel', 'great', 'use', 'dismiss', 'special', 'road', 'thank you', 'Telkomsel']</v>
      </c>
      <c r="D9040" s="3">
        <v>5.0</v>
      </c>
    </row>
    <row r="9041" ht="15.75" customHeight="1">
      <c r="A9041" s="1">
        <v>9523.0</v>
      </c>
      <c r="B9041" s="3" t="s">
        <v>8695</v>
      </c>
      <c r="C9041" s="3" t="str">
        <f>IFERROR(__xludf.DUMMYFUNCTION("GOOGLETRANSLATE(B9041,""id"",""en"")"),"['', 'Buy', 'Gamemax', 'Maen', 'Game', 'Kaga', 'Telkomsel', 'Ngeluarin', 'Package', 'Internet', 'Network', 'Kek', 'Satan ',' Thinking ',' NGKK ',' Buy ',' Package ',' Leaves', 'Money', 'Bener', 'Bener', 'Kecerawa', 'Telkomyet', 'Ngkk', 'Becus', 'Money', '"&amp;"Doang', ""]")</f>
        <v>['', 'Buy', 'Gamemax', 'Maen', 'Game', 'Kaga', 'Telkomsel', 'Ngeluarin', 'Package', 'Internet', 'Network', 'Kek', 'Satan ',' Thinking ',' NGKK ',' Buy ',' Package ',' Leaves', 'Money', 'Bener', 'Bener', 'Kecerawa', 'Telkomyet', 'Ngkk', 'Becus', 'Money', 'Doang', "]</v>
      </c>
      <c r="D9041" s="3">
        <v>1.0</v>
      </c>
    </row>
    <row r="9042" ht="15.75" customHeight="1">
      <c r="A9042" s="1">
        <v>9524.0</v>
      </c>
      <c r="B9042" s="3" t="s">
        <v>8696</v>
      </c>
      <c r="C9042" s="3" t="str">
        <f>IFERROR(__xludf.DUMMYFUNCTION("GOOGLETRANSLATE(B9042,""id"",""en"")"),"['Abdet', 'Benir', 'Abdet', 'go', 'how', 'Abdet', 'improve', 'quality', 'open', 'application']")</f>
        <v>['Abdet', 'Benir', 'Abdet', 'go', 'how', 'Abdet', 'improve', 'quality', 'open', 'application']</v>
      </c>
      <c r="D9042" s="3">
        <v>5.0</v>
      </c>
    </row>
    <row r="9043" ht="15.75" customHeight="1">
      <c r="A9043" s="1">
        <v>9525.0</v>
      </c>
      <c r="B9043" s="3" t="s">
        <v>8697</v>
      </c>
      <c r="C9043" s="3" t="str">
        <f>IFERROR(__xludf.DUMMYFUNCTION("GOOGLETRANSLATE(B9043,""id"",""en"")"),"['imagined', 'Telkomsel', 'dream', 'difficult', 'achieved', '']")</f>
        <v>['imagined', 'Telkomsel', 'dream', 'difficult', 'achieved', '']</v>
      </c>
      <c r="D9043" s="3">
        <v>5.0</v>
      </c>
    </row>
    <row r="9044" ht="15.75" customHeight="1">
      <c r="A9044" s="1">
        <v>9526.0</v>
      </c>
      <c r="B9044" s="3" t="s">
        <v>8698</v>
      </c>
      <c r="C9044" s="3" t="str">
        <f>IFERROR(__xludf.DUMMYFUNCTION("GOOGLETRANSLATE(B9044,""id"",""en"")"),"['Good', 'makes it easy', 'buy', 'check', 'pulse', 'quota', 'internet']")</f>
        <v>['Good', 'makes it easy', 'buy', 'check', 'pulse', 'quota', 'internet']</v>
      </c>
      <c r="D9044" s="3">
        <v>5.0</v>
      </c>
    </row>
    <row r="9045" ht="15.75" customHeight="1">
      <c r="A9045" s="1">
        <v>9527.0</v>
      </c>
      <c r="B9045" s="3" t="s">
        <v>8699</v>
      </c>
      <c r="C9045" s="3" t="str">
        <f>IFERROR(__xludf.DUMMYFUNCTION("GOOGLETRANSLATE(B9045,""id"",""en"")"),"['Pig', 'Telkomsel', 'Leiran', 'Network', 'Unlimited', 'Leet', 'Lemot', 'Fortunately', 'Capital', 'Love', 'Anjeng', ""]")</f>
        <v>['Pig', 'Telkomsel', 'Leiran', 'Network', 'Unlimited', 'Leet', 'Lemot', 'Fortunately', 'Capital', 'Love', 'Anjeng', "]</v>
      </c>
      <c r="D9045" s="3">
        <v>1.0</v>
      </c>
    </row>
    <row r="9046" ht="15.75" customHeight="1">
      <c r="A9046" s="1">
        <v>9528.0</v>
      </c>
      <c r="B9046" s="3" t="s">
        <v>8700</v>
      </c>
      <c r="C9046" s="3" t="str">
        <f>IFERROR(__xludf.DUMMYFUNCTION("GOOGLETRANSLATE(B9046,""id"",""en"")"),"['loyal', 'Telkomsel', 'Times', '']")</f>
        <v>['loyal', 'Telkomsel', 'Times', '']</v>
      </c>
      <c r="D9046" s="3">
        <v>3.0</v>
      </c>
    </row>
    <row r="9047" ht="15.75" customHeight="1">
      <c r="A9047" s="1">
        <v>9529.0</v>
      </c>
      <c r="B9047" s="3" t="s">
        <v>8701</v>
      </c>
      <c r="C9047" s="3" t="str">
        <f>IFERROR(__xludf.DUMMYFUNCTION("GOOGLETRANSLATE(B9047,""id"",""en"")"),"['Woyyyy', 'fix', 'network', 'please', 'already', 'pkt', 'buy', 'expensive', 'network', 'msih', 'stable', 'here' maybe ',' Severe ',' Network ',' Pantekkk ',' Please ',' Tanggai ', ""]")</f>
        <v>['Woyyyy', 'fix', 'network', 'please', 'already', 'pkt', 'buy', 'expensive', 'network', 'msih', 'stable', 'here' maybe ',' Severe ',' Network ',' Pantekkk ',' Please ',' Tanggai ', "]</v>
      </c>
      <c r="D9047" s="3">
        <v>1.0</v>
      </c>
    </row>
    <row r="9048" ht="15.75" customHeight="1">
      <c r="A9048" s="1">
        <v>9530.0</v>
      </c>
      <c r="B9048" s="3" t="s">
        <v>8702</v>
      </c>
      <c r="C9048" s="3" t="str">
        <f>IFERROR(__xludf.DUMMYFUNCTION("GOOGLETRANSLATE(B9048,""id"",""en"")"),"['', 'UDH', 'KENPA', 'Internet', 'slow', 'pdhl', 'leftover', 'quota', 'big', 'GB', 'TPI', 'internet', 'severe ',' slow ',' then ',' signal ',' luplep ',' teruuss', 'chaotic', 'please', 'fix', 'tetep', 'kek', 'gini', 'mending', 'Switch', 'server', 'operato"&amp;"r', 'neighbor', '']")</f>
        <v>['', 'UDH', 'KENPA', 'Internet', 'slow', 'pdhl', 'leftover', 'quota', 'big', 'GB', 'TPI', 'internet', 'severe ',' slow ',' then ',' signal ',' luplep ',' teruuss', 'chaotic', 'please', 'fix', 'tetep', 'kek', 'gini', 'mending', 'Switch', 'server', 'operator', 'neighbor', '']</v>
      </c>
      <c r="D9048" s="3">
        <v>3.0</v>
      </c>
    </row>
    <row r="9049" ht="15.75" customHeight="1">
      <c r="A9049" s="1">
        <v>9531.0</v>
      </c>
      <c r="B9049" s="3" t="s">
        <v>8703</v>
      </c>
      <c r="C9049" s="3" t="str">
        <f>IFERROR(__xludf.DUMMYFUNCTION("GOOGLETRANSLATE(B9049,""id"",""en"")"),"['ugly', 'buy', 'pulse', 'enter', 'smpe', 'clock', 'detrimental', 'customer', '']")</f>
        <v>['ugly', 'buy', 'pulse', 'enter', 'smpe', 'clock', 'detrimental', 'customer', '']</v>
      </c>
      <c r="D9049" s="3">
        <v>1.0</v>
      </c>
    </row>
    <row r="9050" ht="15.75" customHeight="1">
      <c r="A9050" s="1">
        <v>9532.0</v>
      </c>
      <c r="B9050" s="3" t="s">
        <v>8704</v>
      </c>
      <c r="C9050" s="3" t="str">
        <f>IFERROR(__xludf.DUMMYFUNCTION("GOOGLETRANSLATE(B9050,""id"",""en"")"),"['oath', 'here', 'Telkomsel', 'Nge', 'Game', 'Ngeleg', 'users',' Telkomsel ',' Satisfied ',' Please ',' Enhanced ',' Males', ' Telkomsel ']")</f>
        <v>['oath', 'here', 'Telkomsel', 'Nge', 'Game', 'Ngeleg', 'users',' Telkomsel ',' Satisfied ',' Please ',' Enhanced ',' Males', ' Telkomsel ']</v>
      </c>
      <c r="D9050" s="3">
        <v>1.0</v>
      </c>
    </row>
    <row r="9051" ht="15.75" customHeight="1">
      <c r="A9051" s="1">
        <v>9533.0</v>
      </c>
      <c r="B9051" s="3" t="s">
        <v>8705</v>
      </c>
      <c r="C9051" s="3" t="str">
        <f>IFERROR(__xludf.DUMMYFUNCTION("GOOGLETRANSLATE(B9051,""id"",""en"")"),"['Good', 'Tsel', 'promo', 'package', 'quota', 'promo', 'GB', 'day', 'steady', 'times', 'times', 'times' steady', '']")</f>
        <v>['Good', 'Tsel', 'promo', 'package', 'quota', 'promo', 'GB', 'day', 'steady', 'times', 'times', 'times' steady', '']</v>
      </c>
      <c r="D9051" s="3">
        <v>3.0</v>
      </c>
    </row>
    <row r="9052" ht="15.75" customHeight="1">
      <c r="A9052" s="1">
        <v>9534.0</v>
      </c>
      <c r="B9052" s="3" t="s">
        <v>8706</v>
      </c>
      <c r="C9052" s="3" t="str">
        <f>IFERROR(__xludf.DUMMYFUNCTION("GOOGLETRANSLATE(B9052,""id"",""en"")"),"['expensive', 'doang', 'network', 'ugly', 'down', 'stable', 'already', 'times',' contact ',' tetep ',' kaga ',' movement ',' ']")</f>
        <v>['expensive', 'doang', 'network', 'ugly', 'down', 'stable', 'already', 'times',' contact ',' tetep ',' kaga ',' movement ',' ']</v>
      </c>
      <c r="D9052" s="3">
        <v>1.0</v>
      </c>
    </row>
    <row r="9053" ht="15.75" customHeight="1">
      <c r="A9053" s="1">
        <v>9535.0</v>
      </c>
      <c r="B9053" s="3" t="s">
        <v>8707</v>
      </c>
      <c r="C9053" s="3" t="str">
        <f>IFERROR(__xludf.DUMMYFUNCTION("GOOGLETRANSLATE(B9053,""id"",""en"")"),"['Ribet', 'Tuker', 'Points',' Coupons', 'Lottery', 'Ngechik', 'Many', 'Times',' Via ',' Exchangeable ',' Points', 'Coupons',' Lottery ',' Since ',' Application ',' Ribet ',' Choice ',' BRP ',' Points', 'Excited', 'Coupon', 'Lottery', 'Delicious',' Klga ',"&amp;"' Click ' , 'Many', 'times', 'Hadeh', 'emang', 'deliberate', 'open', 'application', 'that's', '']")</f>
        <v>['Ribet', 'Tuker', 'Points',' Coupons', 'Lottery', 'Ngechik', 'Many', 'Times',' Via ',' Exchangeable ',' Points', 'Coupons',' Lottery ',' Since ',' Application ',' Ribet ',' Choice ',' BRP ',' Points', 'Excited', 'Coupon', 'Lottery', 'Delicious',' Klga ',' Click ' , 'Many', 'times', 'Hadeh', 'emang', 'deliberate', 'open', 'application', 'that's', '']</v>
      </c>
      <c r="D9053" s="3">
        <v>2.0</v>
      </c>
    </row>
    <row r="9054" ht="15.75" customHeight="1">
      <c r="A9054" s="1">
        <v>9536.0</v>
      </c>
      <c r="B9054" s="3" t="s">
        <v>8708</v>
      </c>
      <c r="C9054" s="3" t="str">
        <f>IFERROR(__xludf.DUMMYFUNCTION("GOOGLETRANSLATE(B9054,""id"",""en"")"),"['signal', 'ilang', 'Mulu', 'buy', 'quota', 'expensive', 'kayak', 'gini', 'net', 'disappointed', 'user']")</f>
        <v>['signal', 'ilang', 'Mulu', 'buy', 'quota', 'expensive', 'kayak', 'gini', 'net', 'disappointed', 'user']</v>
      </c>
      <c r="D9054" s="3">
        <v>1.0</v>
      </c>
    </row>
    <row r="9055" ht="15.75" customHeight="1">
      <c r="A9055" s="1">
        <v>9537.0</v>
      </c>
      <c r="B9055" s="3" t="s">
        <v>8709</v>
      </c>
      <c r="C9055" s="3" t="str">
        <f>IFERROR(__xludf.DUMMYFUNCTION("GOOGLETRANSLATE(B9055,""id"",""en"")"),"['heart', 'right', 'contents', 'pulse', 'promo', 'lost', 'strategy', 'marketing', 'Telkomsel', 'cruel', 'cunning']")</f>
        <v>['heart', 'right', 'contents', 'pulse', 'promo', 'lost', 'strategy', 'marketing', 'Telkomsel', 'cruel', 'cunning']</v>
      </c>
      <c r="D9055" s="3">
        <v>1.0</v>
      </c>
    </row>
    <row r="9056" ht="15.75" customHeight="1">
      <c r="A9056" s="1">
        <v>9538.0</v>
      </c>
      <c r="B9056" s="3" t="s">
        <v>8710</v>
      </c>
      <c r="C9056" s="3" t="str">
        <f>IFERROR(__xludf.DUMMYFUNCTION("GOOGLETRANSLATE(B9056,""id"",""en"")"),"['Package', 'Combo', 'Sakti', 'already', 'Nggk', 'times',' buy ',' card ',' Mahalan ',' gpp ',' love ',' star ',' ']")</f>
        <v>['Package', 'Combo', 'Sakti', 'already', 'Nggk', 'times',' buy ',' card ',' Mahalan ',' gpp ',' love ',' star ',' ']</v>
      </c>
      <c r="D9056" s="3">
        <v>5.0</v>
      </c>
    </row>
    <row r="9057" ht="15.75" customHeight="1">
      <c r="A9057" s="1">
        <v>9539.0</v>
      </c>
      <c r="B9057" s="3" t="s">
        <v>8711</v>
      </c>
      <c r="C9057" s="3" t="str">
        <f>IFERROR(__xludf.DUMMYFUNCTION("GOOGLETRANSLATE(B9057,""id"",""en"")"),"['Install', 'Maketin', 'Data', 'Stuck', 'Loading', 'How', 'Satisfied', 'Kya', 'Gini', 'The story']")</f>
        <v>['Install', 'Maketin', 'Data', 'Stuck', 'Loading', 'How', 'Satisfied', 'Kya', 'Gini', 'The story']</v>
      </c>
      <c r="D9057" s="3">
        <v>1.0</v>
      </c>
    </row>
    <row r="9058" ht="15.75" customHeight="1">
      <c r="A9058" s="1">
        <v>9540.0</v>
      </c>
      <c r="B9058" s="3" t="s">
        <v>8712</v>
      </c>
      <c r="C9058" s="3" t="str">
        <f>IFERROR(__xludf.DUMMYFUNCTION("GOOGLETRANSLATE(B9058,""id"",""en"")"),"['pulse', 'sucked', 'padahl', 'internet', 'wifi', 'different', 'simcard', 'tetep', 'nyolong', 'pulse', 'great']")</f>
        <v>['pulse', 'sucked', 'padahl', 'internet', 'wifi', 'different', 'simcard', 'tetep', 'nyolong', 'pulse', 'great']</v>
      </c>
      <c r="D9058" s="3">
        <v>1.0</v>
      </c>
    </row>
    <row r="9059" ht="15.75" customHeight="1">
      <c r="A9059" s="1">
        <v>9541.0</v>
      </c>
      <c r="B9059" s="3" t="s">
        <v>8713</v>
      </c>
      <c r="C9059" s="3" t="str">
        <f>IFERROR(__xludf.DUMMYFUNCTION("GOOGLETRANSLATE(B9059,""id"",""en"")"),"['promo', 'writing', 'mere', 'experience', 'failed', 'process',' purchase ',' package ',' data ',' pulse ',' main ',' reduced ',' Wait ',' process', 'failed', 'buy', 'package', 'sms',' offline ']")</f>
        <v>['promo', 'writing', 'mere', 'experience', 'failed', 'process',' purchase ',' package ',' data ',' pulse ',' main ',' reduced ',' Wait ',' process', 'failed', 'buy', 'package', 'sms',' offline ']</v>
      </c>
      <c r="D9059" s="3">
        <v>3.0</v>
      </c>
    </row>
    <row r="9060" ht="15.75" customHeight="1">
      <c r="A9060" s="1">
        <v>9542.0</v>
      </c>
      <c r="B9060" s="3" t="s">
        <v>8714</v>
      </c>
      <c r="C9060" s="3" t="str">
        <f>IFERROR(__xludf.DUMMYFUNCTION("GOOGLETRANSLATE(B9060,""id"",""en"")"),"['Network', 'Karuan', 'date', 'min', 'TTP', 'network', 'Temptku', 'appears', 'error', 'network', 'mean', 'min']")</f>
        <v>['Network', 'Karuan', 'date', 'min', 'TTP', 'network', 'Temptku', 'appears', 'error', 'network', 'mean', 'min']</v>
      </c>
      <c r="D9060" s="3">
        <v>1.0</v>
      </c>
    </row>
    <row r="9061" ht="15.75" customHeight="1">
      <c r="A9061" s="1">
        <v>9543.0</v>
      </c>
      <c r="B9061" s="3" t="s">
        <v>8715</v>
      </c>
      <c r="C9061" s="3" t="str">
        <f>IFERROR(__xludf.DUMMYFUNCTION("GOOGLETRANSLATE(B9061,""id"",""en"")"),"['Exchange', 'Points', 'Package', 'Internet', 'Pakek', 'Credit', 'annoying', 'use', 'Try', 'Points', ""]")</f>
        <v>['Exchange', 'Points', 'Package', 'Internet', 'Pakek', 'Credit', 'annoying', 'use', 'Try', 'Points', "]</v>
      </c>
      <c r="D9061" s="3">
        <v>2.0</v>
      </c>
    </row>
    <row r="9062" ht="15.75" customHeight="1">
      <c r="A9062" s="1">
        <v>9544.0</v>
      </c>
      <c r="B9062" s="3" t="s">
        <v>8716</v>
      </c>
      <c r="C9062" s="3" t="str">
        <f>IFERROR(__xludf.DUMMYFUNCTION("GOOGLETRANSLATE(B9062,""id"",""en"")"),"['Class',' BUMN ',' Salary ',' Employee ',' Good ',' Quality ',' User ',' Card ',' Hallo ',' Error ',' Quota ',' App ',' Telkomsel ',' error ',' BUMN ',' Application ',' Private ',' kah ',' ']")</f>
        <v>['Class',' BUMN ',' Salary ',' Employee ',' Good ',' Quality ',' User ',' Card ',' Hallo ',' Error ',' Quota ',' App ',' Telkomsel ',' error ',' BUMN ',' Application ',' Private ',' kah ',' ']</v>
      </c>
      <c r="D9062" s="3">
        <v>1.0</v>
      </c>
    </row>
    <row r="9063" ht="15.75" customHeight="1">
      <c r="A9063" s="1">
        <v>9545.0</v>
      </c>
      <c r="B9063" s="3" t="s">
        <v>8717</v>
      </c>
      <c r="C9063" s="3" t="str">
        <f>IFERROR(__xludf.DUMMYFUNCTION("GOOGLETRANSLATE(B9063,""id"",""en"")"),"['Disappointed', 'Telkomsel', 'Speed', 'response', 'UDH', 'good', 'just', 'solution', 'given', 'Telkomsel', 'no', 'Bener', ' Impressed ',' copy ',' paste ',' complaints']")</f>
        <v>['Disappointed', 'Telkomsel', 'Speed', 'response', 'UDH', 'good', 'just', 'solution', 'given', 'Telkomsel', 'no', 'Bener', ' Impressed ',' copy ',' paste ',' complaints']</v>
      </c>
      <c r="D9063" s="3">
        <v>1.0</v>
      </c>
    </row>
    <row r="9064" ht="15.75" customHeight="1">
      <c r="A9064" s="1">
        <v>9546.0</v>
      </c>
      <c r="B9064" s="3" t="s">
        <v>8718</v>
      </c>
      <c r="C9064" s="3" t="str">
        <f>IFERROR(__xludf.DUMMYFUNCTION("GOOGLETRANSLATE(B9064,""id"",""en"")"),"['Please', 'Benerin', 'appl', 'cook', 'update', 'version', 'newest', 'open', 'times',' login ',' error ',' sitem ',' ']")</f>
        <v>['Please', 'Benerin', 'appl', 'cook', 'update', 'version', 'newest', 'open', 'times',' login ',' error ',' sitem ',' ']</v>
      </c>
      <c r="D9064" s="3">
        <v>1.0</v>
      </c>
    </row>
    <row r="9065" ht="15.75" customHeight="1">
      <c r="A9065" s="1">
        <v>9547.0</v>
      </c>
      <c r="B9065" s="3" t="s">
        <v>8719</v>
      </c>
      <c r="C9065" s="3" t="str">
        <f>IFERROR(__xludf.DUMMYFUNCTION("GOOGLETRANSLATE(B9065,""id"",""en"")"),"['Severe', 'Bat', 'Network', 'Telkomsel', 'little', 'little', 'Twitter', 'mail', 'Telkomsel', 'fast', 'already', 'network', ' gleg ',' told ',' Twitter ',' mail ',' Telkomsel ',' think ',' Tanak ',' already ',' network ',' plession ',' open ', ""]")</f>
        <v>['Severe', 'Bat', 'Network', 'Telkomsel', 'little', 'little', 'Twitter', 'mail', 'Telkomsel', 'fast', 'already', 'network', ' gleg ',' told ',' Twitter ',' mail ',' Telkomsel ',' think ',' Tanak ',' already ',' network ',' plession ',' open ', "]</v>
      </c>
      <c r="D9065" s="3">
        <v>1.0</v>
      </c>
    </row>
    <row r="9066" ht="15.75" customHeight="1">
      <c r="A9066" s="1">
        <v>9548.0</v>
      </c>
      <c r="B9066" s="3" t="s">
        <v>8720</v>
      </c>
      <c r="C9066" s="3" t="str">
        <f>IFERROR(__xludf.DUMMYFUNCTION("GOOGLETRANSLATE(B9066,""id"",""en"")"),"['The network', 'ugly', 'buy', 'package', 'expensive', 'buy', 'government', 'signal', 'ugly']")</f>
        <v>['The network', 'ugly', 'buy', 'package', 'expensive', 'buy', 'government', 'signal', 'ugly']</v>
      </c>
      <c r="D9066" s="3">
        <v>1.0</v>
      </c>
    </row>
    <row r="9067" ht="15.75" customHeight="1">
      <c r="A9067" s="1">
        <v>9549.0</v>
      </c>
      <c r="B9067" s="3" t="s">
        <v>8721</v>
      </c>
      <c r="C9067" s="3" t="str">
        <f>IFERROR(__xludf.DUMMYFUNCTION("GOOGLETRANSLATE(B9067,""id"",""en"")"),"['', 'eaten', 'kouta', 'main', 'turn', 'kouta', 'multimedi', 'GB', 'regret', 'Telkomsel', ""]")</f>
        <v>['', 'eaten', 'kouta', 'main', 'turn', 'kouta', 'multimedi', 'GB', 'regret', 'Telkomsel', "]</v>
      </c>
      <c r="D9067" s="3">
        <v>1.0</v>
      </c>
    </row>
    <row r="9068" ht="15.75" customHeight="1">
      <c r="A9068" s="1">
        <v>9550.0</v>
      </c>
      <c r="B9068" s="3" t="s">
        <v>8722</v>
      </c>
      <c r="C9068" s="3" t="str">
        <f>IFERROR(__xludf.DUMMYFUNCTION("GOOGLETRANSLATE(B9068,""id"",""en"")"),"['already', 'subscriber', 'ehhh', 'ugly', 'ugly', 'recomment', 'ending', 'change', 'kesebalh', 'lebil', 'stable', 'network', ' Telkom ',' ']")</f>
        <v>['already', 'subscriber', 'ehhh', 'ugly', 'ugly', 'recomment', 'ending', 'change', 'kesebalh', 'lebil', 'stable', 'network', ' Telkom ',' ']</v>
      </c>
      <c r="D9068" s="3">
        <v>1.0</v>
      </c>
    </row>
    <row r="9069" ht="15.75" customHeight="1">
      <c r="A9069" s="1">
        <v>9551.0</v>
      </c>
      <c r="B9069" s="3" t="s">
        <v>8723</v>
      </c>
      <c r="C9069" s="3" t="str">
        <f>IFERROR(__xludf.DUMMYFUNCTION("GOOGLETRANSLATE(B9069,""id"",""en"")"),"['Sorry', 'disappointed', 'Telkomsel', 'package', 'expensive', 'signal', 'strong', 'full', 'internet', 'slow', 'like', 'please', ' Telkomsel ',' good ',' lose ',' operator ',' ']")</f>
        <v>['Sorry', 'disappointed', 'Telkomsel', 'package', 'expensive', 'signal', 'strong', 'full', 'internet', 'slow', 'like', 'please', ' Telkomsel ',' good ',' lose ',' operator ',' ']</v>
      </c>
      <c r="D9069" s="3">
        <v>1.0</v>
      </c>
    </row>
    <row r="9070" ht="15.75" customHeight="1">
      <c r="A9070" s="1">
        <v>9552.0</v>
      </c>
      <c r="B9070" s="3" t="s">
        <v>8724</v>
      </c>
      <c r="C9070" s="3" t="str">
        <f>IFERROR(__xludf.DUMMYFUNCTION("GOOGLETRANSLATE(B9070,""id"",""en"")"),"['Telkomsel', 'NPA', 'internet', 'bsa', 'tlng', 'love', 'explanation', 'until', 'move', 'network']")</f>
        <v>['Telkomsel', 'NPA', 'internet', 'bsa', 'tlng', 'love', 'explanation', 'until', 'move', 'network']</v>
      </c>
      <c r="D9070" s="3">
        <v>2.0</v>
      </c>
    </row>
    <row r="9071" ht="15.75" customHeight="1">
      <c r="A9071" s="1">
        <v>9553.0</v>
      </c>
      <c r="B9071" s="3" t="s">
        <v>8725</v>
      </c>
      <c r="C9071" s="3" t="str">
        <f>IFERROR(__xludf.DUMMYFUNCTION("GOOGLETRANSLATE(B9071,""id"",""en"")"),"['signal', 'Telkomsel', 'ugly', 'slow', 'really', 'pingin', 'replace', 'provider', ""]")</f>
        <v>['signal', 'Telkomsel', 'ugly', 'slow', 'really', 'pingin', 'replace', 'provider', "]</v>
      </c>
      <c r="D9071" s="3">
        <v>3.0</v>
      </c>
    </row>
    <row r="9072" ht="15.75" customHeight="1">
      <c r="A9072" s="1">
        <v>9554.0</v>
      </c>
      <c r="B9072" s="3" t="s">
        <v>8726</v>
      </c>
      <c r="C9072" s="3" t="str">
        <f>IFERROR(__xludf.DUMMYFUNCTION("GOOGLETRANSLATE(B9072,""id"",""en"")"),"['Heart', 'Quota', 'Internet', 'Out', 'Direct', 'Sucking', 'Credit', 'Local', 'Dragged', 'Out', 'Disight', ""]")</f>
        <v>['Heart', 'Quota', 'Internet', 'Out', 'Direct', 'Sucking', 'Credit', 'Local', 'Dragged', 'Out', 'Disight', "]</v>
      </c>
      <c r="D9072" s="3">
        <v>1.0</v>
      </c>
    </row>
    <row r="9073" ht="15.75" customHeight="1">
      <c r="A9073" s="1">
        <v>9555.0</v>
      </c>
      <c r="B9073" s="3" t="s">
        <v>8727</v>
      </c>
      <c r="C9073" s="3" t="str">
        <f>IFERROR(__xludf.DUMMYFUNCTION("GOOGLETRANSLATE(B9073,""id"",""en"")"),"['Please', 'fix', 'signal', 'Padang', 'in the area', 'Lubuk', 'Minturun', 'really', 'disappointing', 'signal', 'ugly', 'signal', ' Sorry ',' love ',' star ',' ']")</f>
        <v>['Please', 'fix', 'signal', 'Padang', 'in the area', 'Lubuk', 'Minturun', 'really', 'disappointing', 'signal', 'ugly', 'signal', ' Sorry ',' love ',' star ',' ']</v>
      </c>
      <c r="D9073" s="3">
        <v>1.0</v>
      </c>
    </row>
    <row r="9074" ht="15.75" customHeight="1">
      <c r="A9074" s="1">
        <v>9556.0</v>
      </c>
      <c r="B9074" s="3" t="s">
        <v>8728</v>
      </c>
      <c r="C9074" s="3" t="str">
        <f>IFERROR(__xludf.DUMMYFUNCTION("GOOGLETRANSLATE(B9074,""id"",""en"")"),"['Network', 'Telkomsel', 'Really', 'disappointing', 'net', 'stable', 'use', 'card', 'Telkomsel', 'Lho', 'good', 'connection', ' Slow ',' ']")</f>
        <v>['Network', 'Telkomsel', 'Really', 'disappointing', 'net', 'stable', 'use', 'card', 'Telkomsel', 'Lho', 'good', 'connection', ' Slow ',' ']</v>
      </c>
      <c r="D9074" s="3">
        <v>1.0</v>
      </c>
    </row>
    <row r="9075" ht="15.75" customHeight="1">
      <c r="A9075" s="1">
        <v>9557.0</v>
      </c>
      <c r="B9075" s="3" t="s">
        <v>8729</v>
      </c>
      <c r="C9075" s="3" t="str">
        <f>IFERROR(__xludf.DUMMYFUNCTION("GOOGLETRANSLATE(B9075,""id"",""en"")"),"['strange', 'daily', 'login', 'reset', 'blom', 'a week', 'sometimes',' like ',' nge ',' bug ',' click ',' daily ',' Login ',' Posts', 'Blom', 'Check', 'Notif', 'SMS', 'Already', 'Check', ""]")</f>
        <v>['strange', 'daily', 'login', 'reset', 'blom', 'a week', 'sometimes',' like ',' nge ',' bug ',' click ',' daily ',' Login ',' Posts', 'Blom', 'Check', 'Notif', 'SMS', 'Already', 'Check', "]</v>
      </c>
      <c r="D9075" s="3">
        <v>1.0</v>
      </c>
    </row>
    <row r="9076" ht="15.75" customHeight="1">
      <c r="A9076" s="1">
        <v>9558.0</v>
      </c>
      <c r="B9076" s="3" t="s">
        <v>8730</v>
      </c>
      <c r="C9076" s="3" t="str">
        <f>IFERROR(__xludf.DUMMYFUNCTION("GOOGLETRANSLATE(B9076,""id"",""en"")"),"['Dear', 'Telkomsel', 'Please', 'Build', 'Application', 'Friendly', 'HandPhone', 'Specifications',' Basic ',' Heavy ',' Run ',' User ',' Telkomsel ',' Level ',' Level ',' People ',' Buy ',' Smartphone ',' Class', 'Flagship', 'Thank', 'Love', ""]")</f>
        <v>['Dear', 'Telkomsel', 'Please', 'Build', 'Application', 'Friendly', 'HandPhone', 'Specifications',' Basic ',' Heavy ',' Run ',' User ',' Telkomsel ',' Level ',' Level ',' People ',' Buy ',' Smartphone ',' Class', 'Flagship', 'Thank', 'Love', "]</v>
      </c>
      <c r="D9076" s="3">
        <v>1.0</v>
      </c>
    </row>
    <row r="9077" ht="15.75" customHeight="1">
      <c r="A9077" s="1">
        <v>9559.0</v>
      </c>
      <c r="B9077" s="3" t="s">
        <v>8731</v>
      </c>
      <c r="C9077" s="3" t="str">
        <f>IFERROR(__xludf.DUMMYFUNCTION("GOOGLETRANSLATE(B9077,""id"",""en"")"),"['application', 'Telkomsel', 'help', 'information', 'quota', 'credit', 'have', 'help', 'signal', 'sympathy', 'okay', 'signal', ' regions', 'mountains',' urban ',' forgiveness', 'ketulungan', 'signal', 'sympathy', 'dear', 'abysmal', 'use', 'number', 'sympa"&amp;"thy', 'communication' , 'People', 'use', 'slowly', 'moved', 'provider', 'sympathy', 'signal', 'okay', ""]")</f>
        <v>['application', 'Telkomsel', 'help', 'information', 'quota', 'credit', 'have', 'help', 'signal', 'sympathy', 'okay', 'signal', ' regions', 'mountains',' urban ',' forgiveness', 'ketulungan', 'signal', 'sympathy', 'dear', 'abysmal', 'use', 'number', 'sympathy', 'communication' , 'People', 'use', 'slowly', 'moved', 'provider', 'sympathy', 'signal', 'okay', "]</v>
      </c>
      <c r="D9077" s="3">
        <v>1.0</v>
      </c>
    </row>
    <row r="9078" ht="15.75" customHeight="1">
      <c r="A9078" s="1">
        <v>9560.0</v>
      </c>
      <c r="B9078" s="3" t="s">
        <v>8732</v>
      </c>
      <c r="C9078" s="3" t="str">
        <f>IFERROR(__xludf.DUMMYFUNCTION("GOOGLETRANSLATE(B9078,""id"",""en"")"),"['card', 'try', 'buy', 'discount', 'package', 'call', 'right', 'abis',' fill ',' pulse ',' lost ',' discount ',' cards', 'garbage', '']")</f>
        <v>['card', 'try', 'buy', 'discount', 'package', 'call', 'right', 'abis',' fill ',' pulse ',' lost ',' discount ',' cards', 'garbage', '']</v>
      </c>
      <c r="D9078" s="3">
        <v>1.0</v>
      </c>
    </row>
    <row r="9079" ht="15.75" customHeight="1">
      <c r="A9079" s="1">
        <v>9561.0</v>
      </c>
      <c r="B9079" s="3" t="s">
        <v>8733</v>
      </c>
      <c r="C9079" s="3" t="str">
        <f>IFERROR(__xludf.DUMMYFUNCTION("GOOGLETRANSLATE(B9079,""id"",""en"")"),"['Update', 'Application', 'Telkomsel', 'Network', 'Internet', 'Response', 'In the future', 'Helloooooooohhhhhhhhhhhhhhhhhhhhhhhhhhhhhhhhhhhhhhhhhhhhhhhhhhhhhhhhhhhhhhhhhhhhhhhhhhhhhhhhhhhhhhhhhhhhhhhhhhhhhhhhhhhhhhhhhhhhhhhhhhhhhhhhhhhhhhhhhhhhhhhhhhhhhhh"&amp;"hhhhhhhhhhhhhhhhhhhhhhhhhhhhhhhhhhhhhhhhhhhhhhhhhhhhhhhhh")</f>
        <v>['Update', 'Application', 'Telkomsel', 'Network', 'Internet', 'Response', 'In the future', 'Helloooooooohhhhhhhhhhhhhhhhhhhhhhhhhhhhhhhhhhhhhhhhhhhhhhhhhhhhhhhhhhhhhhhhhhhhhhhhhhhhhhhhhhhhhhhhhhhhhhhhhhhhhhhhhhhhhhhhhhhhhhhhhhhhhhhhhhhhhhhhhhhhhhhhhhhhhhhhhhhhhhhhhhhhhhhhhhhhhhhhhhhhhhhhhhhhhhhhhhhhhhhhhhhhhhhh</v>
      </c>
      <c r="D9079" s="3">
        <v>1.0</v>
      </c>
    </row>
    <row r="9080" ht="15.75" customHeight="1">
      <c r="A9080" s="1">
        <v>9562.0</v>
      </c>
      <c r="B9080" s="3" t="s">
        <v>8734</v>
      </c>
      <c r="C9080" s="3" t="str">
        <f>IFERROR(__xludf.DUMMYFUNCTION("GOOGLETRANSLATE(B9080,""id"",""en"")"),"['card', 'kntle', 'gajelas',' asw ',' person ',' udh ',' contents', 'pulse', 'list', 'package', 'pulse', 'already', ' pulses', 'sucked', 'kontollll']")</f>
        <v>['card', 'kntle', 'gajelas',' asw ',' person ',' udh ',' contents', 'pulse', 'list', 'package', 'pulse', 'already', ' pulses', 'sucked', 'kontollll']</v>
      </c>
      <c r="D9080" s="3">
        <v>1.0</v>
      </c>
    </row>
    <row r="9081" ht="15.75" customHeight="1">
      <c r="A9081" s="1">
        <v>9563.0</v>
      </c>
      <c r="B9081" s="3" t="s">
        <v>8735</v>
      </c>
      <c r="C9081" s="3" t="str">
        <f>IFERROR(__xludf.DUMMYFUNCTION("GOOGLETRANSLATE(B9081,""id"",""en"")"),"['Telkomsel', 'internet', 'AJGG', 'garbage', 'play', 'game', 'little', 'network', 'ilang', 'Connec', 'out', 'network', ' Appearing ',' emang ',' Telkomsel ',' internet ',' ugly ', ""]")</f>
        <v>['Telkomsel', 'internet', 'AJGG', 'garbage', 'play', 'game', 'little', 'network', 'ilang', 'Connec', 'out', 'network', ' Appearing ',' emang ',' Telkomsel ',' internet ',' ugly ', "]</v>
      </c>
      <c r="D9081" s="3">
        <v>1.0</v>
      </c>
    </row>
    <row r="9082" ht="15.75" customHeight="1">
      <c r="A9082" s="1">
        <v>9564.0</v>
      </c>
      <c r="B9082" s="3" t="s">
        <v>8736</v>
      </c>
      <c r="C9082" s="3" t="str">
        <f>IFERROR(__xludf.DUMMYFUNCTION("GOOGLETRANSLATE(B9082,""id"",""en"")"),"['Discard', 'Tong', 'garbage', 'Bangka', 'emang', 'ad', 'according to', 'Telkomsel', 'cheater', ""]")</f>
        <v>['Discard', 'Tong', 'garbage', 'Bangka', 'emang', 'ad', 'according to', 'Telkomsel', 'cheater', "]</v>
      </c>
      <c r="D9082" s="3">
        <v>1.0</v>
      </c>
    </row>
    <row r="9083" ht="15.75" customHeight="1">
      <c r="A9083" s="1">
        <v>9565.0</v>
      </c>
      <c r="B9083" s="3" t="s">
        <v>8737</v>
      </c>
      <c r="C9083" s="3" t="str">
        <f>IFERROR(__xludf.DUMMYFUNCTION("GOOGLETRANSLATE(B9083,""id"",""en"")"),"['Telkomsel', 'blessing', 'package', 'Indihome', 'home', 'child', 'child', 'school', 'as much as',' calm ',' think ',' run out ',' quota', '']")</f>
        <v>['Telkomsel', 'blessing', 'package', 'Indihome', 'home', 'child', 'child', 'school', 'as much as',' calm ',' think ',' run out ',' quota', '']</v>
      </c>
      <c r="D9083" s="3">
        <v>5.0</v>
      </c>
    </row>
    <row r="9084" ht="15.75" customHeight="1">
      <c r="A9084" s="1">
        <v>9566.0</v>
      </c>
      <c r="B9084" s="3" t="s">
        <v>8738</v>
      </c>
      <c r="C9084" s="3" t="str">
        <f>IFERROR(__xludf.DUMMYFUNCTION("GOOGLETRANSLATE(B9084,""id"",""en"")"),"['Please', 'Telkomsel', 'Customer', 'Telkomsel', 'Untk', 'Network', 'Region', 'Constraints',' Please ',' Performance ',' Telkomsel ',' Region ',' Kab ',' Kampar ',' Please ',' Increase ',' Loss', 'Sell', 'Online', 'Sunday', 'Gara', 'Network', ""]")</f>
        <v>['Please', 'Telkomsel', 'Customer', 'Telkomsel', 'Untk', 'Network', 'Region', 'Constraints',' Please ',' Performance ',' Telkomsel ',' Region ',' Kab ',' Kampar ',' Please ',' Increase ',' Loss', 'Sell', 'Online', 'Sunday', 'Gara', 'Network', "]</v>
      </c>
      <c r="D9084" s="3">
        <v>1.0</v>
      </c>
    </row>
    <row r="9085" ht="15.75" customHeight="1">
      <c r="A9085" s="1">
        <v>9567.0</v>
      </c>
      <c r="B9085" s="3" t="s">
        <v>8739</v>
      </c>
      <c r="C9085" s="3" t="str">
        <f>IFERROR(__xludf.DUMMYFUNCTION("GOOGLETRANSLATE(B9085,""id"",""en"")"),"['contents', 'pulse', 'ilang', 'subscribe', 'pkt', '']")</f>
        <v>['contents', 'pulse', 'ilang', 'subscribe', 'pkt', '']</v>
      </c>
      <c r="D9085" s="3">
        <v>1.0</v>
      </c>
    </row>
    <row r="9086" ht="15.75" customHeight="1">
      <c r="A9086" s="1">
        <v>9568.0</v>
      </c>
      <c r="B9086" s="3" t="s">
        <v>8740</v>
      </c>
      <c r="C9086" s="3" t="str">
        <f>IFERROR(__xludf.DUMMYFUNCTION("GOOGLETRANSLATE(B9086,""id"",""en"")"),"['network', 'Telkomsel', 'Please', 'repaired', 'please', 'use', 'Telkomsel', 'The network', 'Bener', 'Bener', 'Down', 'Network', ' Ngegrab ',' Didalem ',' home ',' house ',' Lined ',' Please ',' Acquired ',' Continue ',' Need ',' Really ',' Number ',' Tha"&amp;"nks', ""]")</f>
        <v>['network', 'Telkomsel', 'Please', 'repaired', 'please', 'use', 'Telkomsel', 'The network', 'Bener', 'Bener', 'Down', 'Network', ' Ngegrab ',' Didalem ',' home ',' house ',' Lined ',' Please ',' Acquired ',' Continue ',' Need ',' Really ',' Number ',' Thanks', "]</v>
      </c>
      <c r="D9086" s="3">
        <v>5.0</v>
      </c>
    </row>
    <row r="9087" ht="15.75" customHeight="1">
      <c r="A9087" s="1">
        <v>9569.0</v>
      </c>
      <c r="B9087" s="3" t="s">
        <v>8741</v>
      </c>
      <c r="C9087" s="3" t="str">
        <f>IFERROR(__xludf.DUMMYFUNCTION("GOOGLETRANSLATE(B9087,""id"",""en"")"),"['Season', 'really', 'Telkomsel', 'contents',' pulse ',' quota ',' internet ',' used ',' open ',' Yutub ',' left ',' pulses', ' thousand ',' sucked ',' worse ',' sms', 'notification', 'pulse', 'already', 'stay', 'thousand', 'contents',' internet ',' non '"&amp;",' quota ' , 'quota', 'please', 'bilak']")</f>
        <v>['Season', 'really', 'Telkomsel', 'contents',' pulse ',' quota ',' internet ',' used ',' open ',' Yutub ',' left ',' pulses', ' thousand ',' sucked ',' worse ',' sms', 'notification', 'pulse', 'already', 'stay', 'thousand', 'contents',' internet ',' non ',' quota ' , 'quota', 'please', 'bilak']</v>
      </c>
      <c r="D9087" s="3">
        <v>1.0</v>
      </c>
    </row>
    <row r="9088" ht="15.75" customHeight="1">
      <c r="A9088" s="1">
        <v>9570.0</v>
      </c>
      <c r="B9088" s="3" t="s">
        <v>8742</v>
      </c>
      <c r="C9088" s="3" t="str">
        <f>IFERROR(__xludf.DUMMYFUNCTION("GOOGLETRANSLATE(B9088,""id"",""en"")"),"['Feature', 'Lock', 'Credit', 'Use', 'Data', 'Tho', 'Credit', 'Reduced', 'Minist', 'Continuous', ""]")</f>
        <v>['Feature', 'Lock', 'Credit', 'Use', 'Data', 'Tho', 'Credit', 'Reduced', 'Minist', 'Continuous', "]</v>
      </c>
      <c r="D9088" s="3">
        <v>1.0</v>
      </c>
    </row>
    <row r="9089" ht="15.75" customHeight="1">
      <c r="A9089" s="1">
        <v>9571.0</v>
      </c>
      <c r="B9089" s="3" t="s">
        <v>8743</v>
      </c>
      <c r="C9089" s="3" t="str">
        <f>IFERROR(__xludf.DUMMYFUNCTION("GOOGLETRANSLATE(B9089,""id"",""en"")"),"['Its function', 'slow', 'mandatory', 'uninstall', 'application', 'already', 'no', 'useful', 'purchase', 'package', 'pulse', 'no', ' functioning ',' suggestion ',' Telkomsel ',' use ',' application ',' ']")</f>
        <v>['Its function', 'slow', 'mandatory', 'uninstall', 'application', 'already', 'no', 'useful', 'purchase', 'package', 'pulse', 'no', ' functioning ',' suggestion ',' Telkomsel ',' use ',' application ',' ']</v>
      </c>
      <c r="D9089" s="3">
        <v>1.0</v>
      </c>
    </row>
    <row r="9090" ht="15.75" customHeight="1">
      <c r="A9090" s="1">
        <v>9572.0</v>
      </c>
      <c r="B9090" s="3" t="s">
        <v>8744</v>
      </c>
      <c r="C9090" s="3" t="str">
        <f>IFERROR(__xludf.DUMMYFUNCTION("GOOGLETRANSLATE(B9090,""id"",""en"")"),"['Hopefully', 'times',' Sya ',' Lottery ',' Sya ',' Kindness', 'Over', 'Next', 'Following', 'Lottery', 'Hepi', 'Dri', ' Telkomsel ',' Telkomsel ',' Amin ',' Yrb ']")</f>
        <v>['Hopefully', 'times',' Sya ',' Lottery ',' Sya ',' Kindness', 'Over', 'Next', 'Following', 'Lottery', 'Hepi', 'Dri', ' Telkomsel ',' Telkomsel ',' Amin ',' Yrb ']</v>
      </c>
      <c r="D9090" s="3">
        <v>5.0</v>
      </c>
    </row>
    <row r="9091" ht="15.75" customHeight="1">
      <c r="A9091" s="1">
        <v>9573.0</v>
      </c>
      <c r="B9091" s="3" t="s">
        <v>8745</v>
      </c>
      <c r="C9091" s="3" t="str">
        <f>IFERROR(__xludf.DUMMYFUNCTION("GOOGLETRANSLATE(B9091,""id"",""en"")"),"['Hello', 'users',' Telkomsel ',' confused ',' package ',' unlimited ',' max ',' limited ',' lost ',' try ',' package ',' Unlimited ',' Instagram ',' Purchase ',' Safe ',' Purchase ',' Price ',' Asik ',' Scrool ',' Minutes', 'Mbps',' Down ',' Drastic ',' "&amp;"Sampe ' , 'Gabisa', 'Scrool', 'Must', 'Delete', 'Tab', 'Tired', 'Honest', 'Telkomsel', 'Hobbies',' Ride ',' Price ',' Ama ',' Nurunin ',' Mbps', 'Doang', 'calm', 'appreciate', 'Customer', 'Marketing', 'greedy', '']")</f>
        <v>['Hello', 'users',' Telkomsel ',' confused ',' package ',' unlimited ',' max ',' limited ',' lost ',' try ',' package ',' Unlimited ',' Instagram ',' Purchase ',' Safe ',' Purchase ',' Price ',' Asik ',' Scrool ',' Minutes', 'Mbps',' Down ',' Drastic ',' Sampe ' , 'Gabisa', 'Scrool', 'Must', 'Delete', 'Tab', 'Tired', 'Honest', 'Telkomsel', 'Hobbies',' Ride ',' Price ',' Ama ',' Nurunin ',' Mbps', 'Doang', 'calm', 'appreciate', 'Customer', 'Marketing', 'greedy', '']</v>
      </c>
      <c r="D9091" s="3">
        <v>1.0</v>
      </c>
    </row>
    <row r="9092" ht="15.75" customHeight="1">
      <c r="A9092" s="1">
        <v>9574.0</v>
      </c>
      <c r="B9092" s="3" t="s">
        <v>8746</v>
      </c>
      <c r="C9092" s="3" t="str">
        <f>IFERROR(__xludf.DUMMYFUNCTION("GOOGLETRANSLATE(B9092,""id"",""en"")"),"['ugly', 'good', 'play', 'game', 'Telkomsel', 'emotion', 'lag']")</f>
        <v>['ugly', 'good', 'play', 'game', 'Telkomsel', 'emotion', 'lag']</v>
      </c>
      <c r="D9092" s="3">
        <v>1.0</v>
      </c>
    </row>
    <row r="9093" ht="15.75" customHeight="1">
      <c r="A9093" s="1">
        <v>9575.0</v>
      </c>
      <c r="B9093" s="3" t="s">
        <v>8747</v>
      </c>
      <c r="C9093" s="3" t="str">
        <f>IFERROR(__xludf.DUMMYFUNCTION("GOOGLETRANSLATE(B9093,""id"",""en"")"),"['Alhamdulillah', 'application', 'help', 'purchase', 'pulse', 'quota', 'internet', 'choice', 'promo', 'interesting', 'trimakasih', 'Telkomsel', ' ']")</f>
        <v>['Alhamdulillah', 'application', 'help', 'purchase', 'pulse', 'quota', 'internet', 'choice', 'promo', 'interesting', 'trimakasih', 'Telkomsel', ' ']</v>
      </c>
      <c r="D9093" s="3">
        <v>5.0</v>
      </c>
    </row>
    <row r="9094" ht="15.75" customHeight="1">
      <c r="A9094" s="1">
        <v>9576.0</v>
      </c>
      <c r="B9094" s="3" t="s">
        <v>8748</v>
      </c>
      <c r="C9094" s="3" t="str">
        <f>IFERROR(__xludf.DUMMYFUNCTION("GOOGLETRANSLATE(B9094,""id"",""en"")"),"['buy', 'package', 'internet', 'process', 'wait', 'until', 'sleepy', 'enter', '']")</f>
        <v>['buy', 'package', 'internet', 'process', 'wait', 'until', 'sleepy', 'enter', '']</v>
      </c>
      <c r="D9094" s="3">
        <v>5.0</v>
      </c>
    </row>
    <row r="9095" ht="15.75" customHeight="1">
      <c r="A9095" s="1">
        <v>9577.0</v>
      </c>
      <c r="B9095" s="3" t="s">
        <v>8749</v>
      </c>
      <c r="C9095" s="3" t="str">
        <f>IFERROR(__xludf.DUMMYFUNCTION("GOOGLETRANSLATE(B9095,""id"",""en"")"),"['Cashback', 'Via', 'Kredivo', 'How', 'Sis',' Enter ',' Code ',' OTP ',' Kredivo ',' Payment ',' Package ',' Combo ',' Application ',' Telkomsel ',' Crash ',' Package ',' Paid ',' How ',' Sis', ""]")</f>
        <v>['Cashback', 'Via', 'Kredivo', 'How', 'Sis',' Enter ',' Code ',' OTP ',' Kredivo ',' Payment ',' Package ',' Combo ',' Application ',' Telkomsel ',' Crash ',' Package ',' Paid ',' How ',' Sis', "]</v>
      </c>
      <c r="D9095" s="3">
        <v>4.0</v>
      </c>
    </row>
    <row r="9096" ht="15.75" customHeight="1">
      <c r="A9096" s="1">
        <v>9578.0</v>
      </c>
      <c r="B9096" s="3" t="s">
        <v>8750</v>
      </c>
      <c r="C9096" s="3" t="str">
        <f>IFERROR(__xludf.DUMMYFUNCTION("GOOGLETRANSLATE(B9096,""id"",""en"")"),"['The application', 'heavy', 'really', 'Loading', 'Reload', 'please', 'repaired', 'Gaes']")</f>
        <v>['The application', 'heavy', 'really', 'Loading', 'Reload', 'please', 'repaired', 'Gaes']</v>
      </c>
      <c r="D9096" s="3">
        <v>5.0</v>
      </c>
    </row>
    <row r="9097" ht="15.75" customHeight="1">
      <c r="A9097" s="1">
        <v>9579.0</v>
      </c>
      <c r="B9097" s="3" t="s">
        <v>8751</v>
      </c>
      <c r="C9097" s="3" t="str">
        <f>IFERROR(__xludf.DUMMYFUNCTION("GOOGLETRANSLATE(B9097,""id"",""en"")"),"['steady', 'like', 'Telkomsel', 'The network', 'strong', 'really', 'Maen', 'Game', 'Lanjar', 'Darling', 'Halu', ""]")</f>
        <v>['steady', 'like', 'Telkomsel', 'The network', 'strong', 'really', 'Maen', 'Game', 'Lanjar', 'Darling', 'Halu', "]</v>
      </c>
      <c r="D9097" s="3">
        <v>1.0</v>
      </c>
    </row>
    <row r="9098" ht="15.75" customHeight="1">
      <c r="A9098" s="1">
        <v>9580.0</v>
      </c>
      <c r="B9098" s="3" t="s">
        <v>8752</v>
      </c>
      <c r="C9098" s="3" t="str">
        <f>IFERROR(__xludf.DUMMYFUNCTION("GOOGLETRANSLATE(B9098,""id"",""en"")"),"['Come here', 'koq', 'ngeselin', 'application', 'buy', 'package', 'internet', 'already', 'clock', 'afternoon', 'already', 'clock', ' Night ',' enter ',' ']")</f>
        <v>['Come here', 'koq', 'ngeselin', 'application', 'buy', 'package', 'internet', 'already', 'clock', 'afternoon', 'already', 'clock', ' Night ',' enter ',' ']</v>
      </c>
      <c r="D9098" s="3">
        <v>1.0</v>
      </c>
    </row>
    <row r="9099" ht="15.75" customHeight="1">
      <c r="A9099" s="1">
        <v>9581.0</v>
      </c>
      <c r="B9099" s="3" t="s">
        <v>8753</v>
      </c>
      <c r="C9099" s="3" t="str">
        <f>IFERROR(__xludf.DUMMYFUNCTION("GOOGLETRANSLATE(B9099,""id"",""en"")"),"['really', 'buy', 'quota', 'application', 'heavy', 'customer', 'care', 'veronika', 'help']")</f>
        <v>['really', 'buy', 'quota', 'application', 'heavy', 'customer', 'care', 'veronika', 'help']</v>
      </c>
      <c r="D9099" s="3">
        <v>1.0</v>
      </c>
    </row>
    <row r="9100" ht="15.75" customHeight="1">
      <c r="A9100" s="1">
        <v>9582.0</v>
      </c>
      <c r="B9100" s="3" t="s">
        <v>8754</v>
      </c>
      <c r="C9100" s="3" t="str">
        <f>IFERROR(__xludf.DUMMYFUNCTION("GOOGLETRANSLATE(B9100,""id"",""en"")"),"['like', 'convenience', 'sorry', 'seseing', 'missing', 'signal', 'blang', 'data', 'way', '']")</f>
        <v>['like', 'convenience', 'sorry', 'seseing', 'missing', 'signal', 'blang', 'data', 'way', '']</v>
      </c>
      <c r="D9100" s="3">
        <v>5.0</v>
      </c>
    </row>
    <row r="9101" ht="15.75" customHeight="1">
      <c r="A9101" s="1">
        <v>9583.0</v>
      </c>
      <c r="B9101" s="3" t="s">
        <v>8755</v>
      </c>
      <c r="C9101" s="3" t="str">
        <f>IFERROR(__xludf.DUMMYFUNCTION("GOOGLETRANSLATE(B9101,""id"",""en"")"),"['card', 'broken', 'price', 'official', 'quality', 'low', 'dead', 'lights',' signal ',' die ',' the network ',' error ',' Hadeeuh ',' regret ',' buy ',' product ',' card ']")</f>
        <v>['card', 'broken', 'price', 'official', 'quality', 'low', 'dead', 'lights',' signal ',' die ',' the network ',' error ',' Hadeeuh ',' regret ',' buy ',' product ',' card ']</v>
      </c>
      <c r="D9101" s="3">
        <v>1.0</v>
      </c>
    </row>
    <row r="9102" ht="15.75" customHeight="1">
      <c r="A9102" s="1">
        <v>9584.0</v>
      </c>
      <c r="B9102" s="3" t="s">
        <v>8756</v>
      </c>
      <c r="C9102" s="3" t="str">
        <f>IFERROR(__xludf.DUMMYFUNCTION("GOOGLETRANSLATE(B9102,""id"",""en"")"),"['Telkomsel', 'nyimpen', 'pulse', 'quota', 'msih', 'take', 'pulse', 'quota', 'active', 'key', 'pulse', 'rich', ' neighbor', '']")</f>
        <v>['Telkomsel', 'nyimpen', 'pulse', 'quota', 'msih', 'take', 'pulse', 'quota', 'active', 'key', 'pulse', 'rich', ' neighbor', '']</v>
      </c>
      <c r="D9102" s="3">
        <v>1.0</v>
      </c>
    </row>
    <row r="9103" ht="15.75" customHeight="1">
      <c r="A9103" s="1">
        <v>9585.0</v>
      </c>
      <c r="B9103" s="3" t="s">
        <v>8757</v>
      </c>
      <c r="C9103" s="3" t="str">
        <f>IFERROR(__xludf.DUMMYFUNCTION("GOOGLETRANSLATE(B9103,""id"",""en"")"),"['price', 'expensive', 'application', 'Error', 'application', 'update', 'slow', 'application', '']")</f>
        <v>['price', 'expensive', 'application', 'Error', 'application', 'update', 'slow', 'application', '']</v>
      </c>
      <c r="D9103" s="3">
        <v>1.0</v>
      </c>
    </row>
    <row r="9104" ht="15.75" customHeight="1">
      <c r="A9104" s="1">
        <v>9586.0</v>
      </c>
      <c r="B9104" s="3" t="s">
        <v>8758</v>
      </c>
      <c r="C9104" s="3" t="str">
        <f>IFERROR(__xludf.DUMMYFUNCTION("GOOGLETRANSLATE(B9104,""id"",""en"")"),"['', 'Telkomsel', 'buy', 'package', 'internet', 'network', 'good']")</f>
        <v>['', 'Telkomsel', 'buy', 'package', 'internet', 'network', 'good']</v>
      </c>
      <c r="D9104" s="3">
        <v>1.0</v>
      </c>
    </row>
    <row r="9105" ht="15.75" customHeight="1">
      <c r="A9105" s="1">
        <v>9587.0</v>
      </c>
      <c r="B9105" s="3" t="s">
        <v>8759</v>
      </c>
      <c r="C9105" s="3" t="str">
        <f>IFERROR(__xludf.DUMMYFUNCTION("GOOGLETRANSLATE(B9105,""id"",""en"")"),"['', 'bought', 'package', 'Yesterday', 'Min', 'pdhal', 'network', 'UDH', 'access',' TPI ',' turn ',' open ',' application ',' MyTlkmsl ',' buy ',' package ',' gmmmmmm ',' ']")</f>
        <v>['', 'bought', 'package', 'Yesterday', 'Min', 'pdhal', 'network', 'UDH', 'access',' TPI ',' turn ',' open ',' application ',' MyTlkmsl ',' buy ',' package ',' gmmmmmm ',' ']</v>
      </c>
      <c r="D9105" s="3">
        <v>4.0</v>
      </c>
    </row>
    <row r="9106" ht="15.75" customHeight="1">
      <c r="A9106" s="1">
        <v>9588.0</v>
      </c>
      <c r="B9106" s="3" t="s">
        <v>8760</v>
      </c>
      <c r="C9106" s="3" t="str">
        <f>IFERROR(__xludf.DUMMYFUNCTION("GOOGLETRANSLATE(B9106,""id"",""en"")"),"['Telkomsel', 'expensive', 'doang', 'tetep', 'signal', 'rotten', 'difficult', 'bner', 'stable', ""]")</f>
        <v>['Telkomsel', 'expensive', 'doang', 'tetep', 'signal', 'rotten', 'difficult', 'bner', 'stable', "]</v>
      </c>
      <c r="D9106" s="3">
        <v>1.0</v>
      </c>
    </row>
    <row r="9107" ht="15.75" customHeight="1">
      <c r="A9107" s="1">
        <v>9589.0</v>
      </c>
      <c r="B9107" s="3" t="s">
        <v>8761</v>
      </c>
      <c r="C9107" s="3" t="str">
        <f>IFERROR(__xludf.DUMMYFUNCTION("GOOGLETRANSLATE(B9107,""id"",""en"")"),"['Wonder', 'skrg', 'Telkomsel', 'expensive', 'affordable', 'skrg', 'buy', 'mahalin', 'love', 'discount', 'package', 'affordable', ' Subscriptions', 'buy', 'Telkom', 'expensive', 'affordable']")</f>
        <v>['Wonder', 'skrg', 'Telkomsel', 'expensive', 'affordable', 'skrg', 'buy', 'mahalin', 'love', 'discount', 'package', 'affordable', ' Subscriptions', 'buy', 'Telkom', 'expensive', 'affordable']</v>
      </c>
      <c r="D9107" s="3">
        <v>1.0</v>
      </c>
    </row>
    <row r="9108" ht="15.75" customHeight="1">
      <c r="A9108" s="1">
        <v>9590.0</v>
      </c>
      <c r="B9108" s="3" t="s">
        <v>8762</v>
      </c>
      <c r="C9108" s="3" t="str">
        <f>IFERROR(__xludf.DUMMYFUNCTION("GOOGLETRANSLATE(B9108,""id"",""en"")"),"['Frequency', 'ugly', 'network', 'night', 'stable', 'Sometimes', 'missing', 'connection', 'internet', 'ugly', 'ugly']")</f>
        <v>['Frequency', 'ugly', 'network', 'night', 'stable', 'Sometimes', 'missing', 'connection', 'internet', 'ugly', 'ugly']</v>
      </c>
      <c r="D9108" s="3">
        <v>1.0</v>
      </c>
    </row>
    <row r="9109" ht="15.75" customHeight="1">
      <c r="A9109" s="1">
        <v>9591.0</v>
      </c>
      <c r="B9109" s="3" t="s">
        <v>8763</v>
      </c>
      <c r="C9109" s="3" t="str">
        <f>IFERROR(__xludf.DUMMYFUNCTION("GOOGLETRANSLATE(B9109,""id"",""en"")"),"['signal', 'bad', 'troublesome', 'detrimental', 'customers', 'Telkomsel', 'hope', 'Attention', 'improvement', 'progress', ""]")</f>
        <v>['signal', 'bad', 'troublesome', 'detrimental', 'customers', 'Telkomsel', 'hope', 'Attention', 'improvement', 'progress', "]</v>
      </c>
      <c r="D9109" s="3">
        <v>4.0</v>
      </c>
    </row>
    <row r="9110" ht="15.75" customHeight="1">
      <c r="A9110" s="1">
        <v>9592.0</v>
      </c>
      <c r="B9110" s="3" t="s">
        <v>8764</v>
      </c>
      <c r="C9110" s="3" t="str">
        <f>IFERROR(__xludf.DUMMYFUNCTION("GOOGLETRANSLATE(B9110,""id"",""en"")"),"['Enter', 'Application', 'Need', 'Update', 'Finish', 'Update', 'Version', 'Latest', 'Enter', 'Application', ""]")</f>
        <v>['Enter', 'Application', 'Need', 'Update', 'Finish', 'Update', 'Version', 'Latest', 'Enter', 'Application', "]</v>
      </c>
      <c r="D9110" s="3">
        <v>1.0</v>
      </c>
    </row>
    <row r="9111" ht="15.75" customHeight="1">
      <c r="A9111" s="1">
        <v>9593.0</v>
      </c>
      <c r="B9111" s="3" t="s">
        <v>8765</v>
      </c>
      <c r="C9111" s="3" t="str">
        <f>IFERROR(__xludf.DUMMYFUNCTION("GOOGLETRANSLATE(B9111,""id"",""en"")"),"['signal', 'weve', 'wide', 'SEINDONE', 'travel', 'Where', 'Indo', 'Strength', 'Network', 'Different', 'Bole', ""]")</f>
        <v>['signal', 'weve', 'wide', 'SEINDONE', 'travel', 'Where', 'Indo', 'Strength', 'Network', 'Different', 'Bole', "]</v>
      </c>
      <c r="D9111" s="3">
        <v>4.0</v>
      </c>
    </row>
    <row r="9112" ht="15.75" customHeight="1">
      <c r="A9112" s="1">
        <v>9594.0</v>
      </c>
      <c r="B9112" s="3" t="s">
        <v>8766</v>
      </c>
      <c r="C9112" s="3" t="str">
        <f>IFERROR(__xludf.DUMMYFUNCTION("GOOGLETRANSLATE(B9112,""id"",""en"")"),"['', 'Star', 'Kasih', 'Kosen', 'Program', 'Telkomsel', 'Bentar', 'Turry', 'Package', 'Data', 'Buy', 'Disappointed', 'Telkomsel ',' because ',' tmpt ',' network ',' Telkomsel ',' forced ',' Telkomsel ',' KLW ',' Kajiringan ',' already ',' use ',' network '"&amp;",' Telkomsel ', 'program', 'change', 'staple', 'bad']")</f>
        <v>['', 'Star', 'Kasih', 'Kosen', 'Program', 'Telkomsel', 'Bentar', 'Turry', 'Package', 'Data', 'Buy', 'Disappointed', 'Telkomsel ',' because ',' tmpt ',' network ',' Telkomsel ',' forced ',' Telkomsel ',' KLW ',' Kajiringan ',' already ',' use ',' network ',' Telkomsel ', 'program', 'change', 'staple', 'bad']</v>
      </c>
      <c r="D9112" s="3">
        <v>1.0</v>
      </c>
    </row>
    <row r="9113" ht="15.75" customHeight="1">
      <c r="A9113" s="1">
        <v>9595.0</v>
      </c>
      <c r="B9113" s="3" t="s">
        <v>8767</v>
      </c>
      <c r="C9113" s="3" t="str">
        <f>IFERROR(__xludf.DUMMYFUNCTION("GOOGLETRANSLATE(B9113,""id"",""en"")"),"['Not bad', 'Mantab', 'Addin', 'Exchange', 'Points',' Credit ',' Points', 'Please', 'Held', 'Exchange', 'Points',' Pulsa ',' Page ',' main ',' plisss']")</f>
        <v>['Not bad', 'Mantab', 'Addin', 'Exchange', 'Points',' Credit ',' Points', 'Please', 'Held', 'Exchange', 'Points',' Pulsa ',' Page ',' main ',' plisss']</v>
      </c>
      <c r="D9113" s="3">
        <v>2.0</v>
      </c>
    </row>
    <row r="9114" ht="15.75" customHeight="1">
      <c r="A9114" s="1">
        <v>9596.0</v>
      </c>
      <c r="B9114" s="3" t="s">
        <v>8768</v>
      </c>
      <c r="C9114" s="3" t="str">
        <f>IFERROR(__xludf.DUMMYFUNCTION("GOOGLETRANSLATE(B9114,""id"",""en"")"),"['Application', 'Updated', 'Application', 'Please', 'Telkomsel', 'Ingredients', 'Application', '']")</f>
        <v>['Application', 'Updated', 'Application', 'Please', 'Telkomsel', 'Ingredients', 'Application', '']</v>
      </c>
      <c r="D9114" s="3">
        <v>1.0</v>
      </c>
    </row>
    <row r="9115" ht="15.75" customHeight="1">
      <c r="A9115" s="1">
        <v>9597.0</v>
      </c>
      <c r="B9115" s="3" t="s">
        <v>8769</v>
      </c>
      <c r="C9115" s="3" t="str">
        <f>IFERROR(__xludf.DUMMYFUNCTION("GOOGLETRANSLATE(B9115,""id"",""en"")"),"['quota', 'bought', 'buy', 'gamesmax', 'bll', 'quota', 'ngegame', 'TPI', 'ngk', 'kepake', 'kt', 'quota', ' Regular ',' TPI ',' MLH ',' quota ',' regular ',' truncated ',' quota ',' games', 'ngk', 'high school', 'skali']")</f>
        <v>['quota', 'bought', 'buy', 'gamesmax', 'bll', 'quota', 'ngegame', 'TPI', 'ngk', 'kepake', 'kt', 'quota', ' Regular ',' TPI ',' MLH ',' quota ',' regular ',' truncated ',' quota ',' games', 'ngk', 'high school', 'skali']</v>
      </c>
      <c r="D9115" s="3">
        <v>1.0</v>
      </c>
    </row>
    <row r="9116" ht="15.75" customHeight="1">
      <c r="A9116" s="1">
        <v>9598.0</v>
      </c>
      <c r="B9116" s="3" t="s">
        <v>8770</v>
      </c>
      <c r="C9116" s="3" t="str">
        <f>IFERROR(__xludf.DUMMYFUNCTION("GOOGLETRANSLATE(B9116,""id"",""en"")"),"['Telkomsel', 'informed', 'obstacles',' nets', 'special', 'nets',' internet ',' sms', 'private', 'medsos',' kerna ',' region ',' Access', 'Medsos',' Dengn ',' Change ',' Loss', 'Successful', 'users',' Telkomsel ',' As a result ',' failed ',' communication"&amp;" ',' pelnggan ',' please ' , 'Responding', 'Dengn', 'Fast', 'Increases', 'Disappointed', 'Dengn', 'Service', 'Communication', 'Telkomsel', ""]")</f>
        <v>['Telkomsel', 'informed', 'obstacles',' nets', 'special', 'nets',' internet ',' sms', 'private', 'medsos',' kerna ',' region ',' Access', 'Medsos',' Dengn ',' Change ',' Loss', 'Successful', 'users',' Telkomsel ',' As a result ',' failed ',' communication ',' pelnggan ',' please ' , 'Responding', 'Dengn', 'Fast', 'Increases', 'Disappointed', 'Dengn', 'Service', 'Communication', 'Telkomsel', "]</v>
      </c>
      <c r="D9116" s="3">
        <v>1.0</v>
      </c>
    </row>
    <row r="9117" ht="15.75" customHeight="1">
      <c r="A9117" s="1">
        <v>9599.0</v>
      </c>
      <c r="B9117" s="3" t="s">
        <v>8771</v>
      </c>
      <c r="C9117" s="3" t="str">
        <f>IFERROR(__xludf.DUMMYFUNCTION("GOOGLETRANSLATE(B9117,""id"",""en"")"),"['Telkomsel', 'expensive', 'package', 'giga', 'price', 'according to', 'telomsel', 'rb', 'cave', 'cheap', 'rb', 'contents',' pulse ',' price ',' package ',' provider ',' Indonesia ',' populat ',' populat ',' cuss', 'replace', 'provider']")</f>
        <v>['Telkomsel', 'expensive', 'package', 'giga', 'price', 'according to', 'telomsel', 'rb', 'cave', 'cheap', 'rb', 'contents',' pulse ',' price ',' package ',' provider ',' Indonesia ',' populat ',' populat ',' cuss', 'replace', 'provider']</v>
      </c>
      <c r="D9117" s="3">
        <v>1.0</v>
      </c>
    </row>
    <row r="9118" ht="15.75" customHeight="1">
      <c r="A9118" s="1">
        <v>9600.0</v>
      </c>
      <c r="B9118" s="3" t="s">
        <v>8772</v>
      </c>
      <c r="C9118" s="3" t="str">
        <f>IFERROR(__xludf.DUMMYFUNCTION("GOOGLETRANSLATE(B9118,""id"",""en"")"),"['Telkomsel', 'return', 'pulse', 'date', 'Sep', 'credit', 'Rp', 'data', 'cellular', 'active', 'use', 'save', ' bag ',' out ',' bag ',' check ',' battery ',' date ',' sep ',' shocked ',' see ',' pulse ',' stay ',' Rp ',' pulses' , 'lost', 'Rp', 'TLP', 'pro"&amp;"mise', 'hub', 'until', 'Khabar', 'Ironically', 'Sampe', 'pulse', 'stay', 'Rp', ' Cut ',' Cost ',' Telkomsel ',' Sewain ',' Customer ',' ']")</f>
        <v>['Telkomsel', 'return', 'pulse', 'date', 'Sep', 'credit', 'Rp', 'data', 'cellular', 'active', 'use', 'save', ' bag ',' out ',' bag ',' check ',' battery ',' date ',' sep ',' shocked ',' see ',' pulse ',' stay ',' Rp ',' pulses' , 'lost', 'Rp', 'TLP', 'promise', 'hub', 'until', 'Khabar', 'Ironically', 'Sampe', 'pulse', 'stay', 'Rp', ' Cut ',' Cost ',' Telkomsel ',' Sewain ',' Customer ',' ']</v>
      </c>
      <c r="D9118" s="3">
        <v>1.0</v>
      </c>
    </row>
    <row r="9119" ht="15.75" customHeight="1">
      <c r="A9119" s="1">
        <v>9601.0</v>
      </c>
      <c r="B9119" s="3" t="s">
        <v>8773</v>
      </c>
      <c r="C9119" s="3" t="str">
        <f>IFERROR(__xludf.DUMMYFUNCTION("GOOGLETRANSLATE(B9119,""id"",""en"")"),"['admin', 'useful', 'chat', 'replied', 'robot', 'chat', 'robot', 'pretentious',' chat ',' admin ',' human ',' robot ',' people ',' chat ',' robot ',' admin ',' smart ',' read ',' human ',' admin ']")</f>
        <v>['admin', 'useful', 'chat', 'replied', 'robot', 'chat', 'robot', 'pretentious',' chat ',' admin ',' human ',' robot ',' people ',' chat ',' robot ',' admin ',' smart ',' read ',' human ',' admin ']</v>
      </c>
      <c r="D9119" s="3">
        <v>1.0</v>
      </c>
    </row>
    <row r="9120" ht="15.75" customHeight="1">
      <c r="A9120" s="1">
        <v>9602.0</v>
      </c>
      <c r="B9120" s="3" t="s">
        <v>8774</v>
      </c>
      <c r="C9120" s="3" t="str">
        <f>IFERROR(__xludf.DUMMYFUNCTION("GOOGLETRANSLATE(B9120,""id"",""en"")"),"['buy', 'Credit', 'Shopee', 'enter', 'Application', 'MyTelkomsel', 'clarity', 'Veronica', 'Tepot', 'brp', 'told', 'send', ' email ',' Telkomsel ',' replied ',' acts', 'already', 'send', 'capture', 'proof', 'transaction', 'shopee', 'mytelkomsel', 'send', '"&amp;"email' , '']")</f>
        <v>['buy', 'Credit', 'Shopee', 'enter', 'Application', 'MyTelkomsel', 'clarity', 'Veronica', 'Tepot', 'brp', 'told', 'send', ' email ',' Telkomsel ',' replied ',' acts', 'already', 'send', 'capture', 'proof', 'transaction', 'shopee', 'mytelkomsel', 'send', 'email' , '']</v>
      </c>
      <c r="D9120" s="3">
        <v>1.0</v>
      </c>
    </row>
    <row r="9121" ht="15.75" customHeight="1">
      <c r="A9121" s="1">
        <v>9603.0</v>
      </c>
      <c r="B9121" s="3" t="s">
        <v>8775</v>
      </c>
      <c r="C9121" s="3" t="str">
        <f>IFERROR(__xludf.DUMMYFUNCTION("GOOGLETRANSLATE(B9121,""id"",""en"")"),"['Damaged', 'Network', 'work', 'mess', 'change', 'loss']")</f>
        <v>['Damaged', 'Network', 'work', 'mess', 'change', 'loss']</v>
      </c>
      <c r="D9121" s="3">
        <v>1.0</v>
      </c>
    </row>
    <row r="9122" ht="15.75" customHeight="1">
      <c r="A9122" s="1">
        <v>9604.0</v>
      </c>
      <c r="B9122" s="3" t="s">
        <v>8776</v>
      </c>
      <c r="C9122" s="3" t="str">
        <f>IFERROR(__xludf.DUMMYFUNCTION("GOOGLETRANSLATE(B9122,""id"",""en"")"),"['The network', 'ugly', 'really', 'Anjiirrr', 'already', 'expensive', 'buy', 'quota', 'big', 'kayak', 'browsing', 'google', ' slow ',' really ',' weve ',' quota ',' given ',' free ',' I ',' buy ',' ']")</f>
        <v>['The network', 'ugly', 'really', 'Anjiirrr', 'already', 'expensive', 'buy', 'quota', 'big', 'kayak', 'browsing', 'google', ' slow ',' really ',' weve ',' quota ',' given ',' free ',' I ',' buy ',' ']</v>
      </c>
      <c r="D9122" s="3">
        <v>1.0</v>
      </c>
    </row>
    <row r="9123" ht="15.75" customHeight="1">
      <c r="A9123" s="1">
        <v>9605.0</v>
      </c>
      <c r="B9123" s="3" t="s">
        <v>8777</v>
      </c>
      <c r="C9123" s="3" t="str">
        <f>IFERROR(__xludf.DUMMYFUNCTION("GOOGLETRANSLATE(B9123,""id"",""en"")"),"['Min', 'Exchange', 'Points', 'Hopefully', 'Win', 'Motor', 'Search', 'Having', 'Thank "",' Love ',' Telkomsel ',' Best ',' ']")</f>
        <v>['Min', 'Exchange', 'Points', 'Hopefully', 'Win', 'Motor', 'Search', 'Having', 'Thank ",' Love ',' Telkomsel ',' Best ',' ']</v>
      </c>
      <c r="D9123" s="3">
        <v>5.0</v>
      </c>
    </row>
    <row r="9124" ht="15.75" customHeight="1">
      <c r="A9124" s="1">
        <v>9606.0</v>
      </c>
      <c r="B9124" s="3" t="s">
        <v>8778</v>
      </c>
      <c r="C9124" s="3" t="str">
        <f>IFERROR(__xludf.DUMMYFUNCTION("GOOGLETRANSLATE(B9124,""id"",""en"")"),"['application', 'ugly', 'TPI', 'provider', 'ugly', 'customer', 'loyal', 'cave', 'network', 'down', 'replace', 'provider']")</f>
        <v>['application', 'ugly', 'TPI', 'provider', 'ugly', 'customer', 'loyal', 'cave', 'network', 'down', 'replace', 'provider']</v>
      </c>
      <c r="D9124" s="3">
        <v>1.0</v>
      </c>
    </row>
    <row r="9125" ht="15.75" customHeight="1">
      <c r="A9125" s="1">
        <v>9607.0</v>
      </c>
      <c r="B9125" s="3" t="s">
        <v>8779</v>
      </c>
      <c r="C9125" s="3" t="str">
        <f>IFERROR(__xludf.DUMMYFUNCTION("GOOGLETRANSLATE(B9125,""id"",""en"")"),"['Excuse me', 'use', 'number', 'telephone', 'min', 'entry', '']")</f>
        <v>['Excuse me', 'use', 'number', 'telephone', 'min', 'entry', '']</v>
      </c>
      <c r="D9125" s="3">
        <v>1.0</v>
      </c>
    </row>
    <row r="9126" ht="15.75" customHeight="1">
      <c r="A9126" s="1">
        <v>9608.0</v>
      </c>
      <c r="B9126" s="3" t="s">
        <v>8780</v>
      </c>
      <c r="C9126" s="3" t="str">
        <f>IFERROR(__xludf.DUMMYFUNCTION("GOOGLETRANSLATE(B9126,""id"",""en"")"),"['Please', 'Network', 'Island', 'Javan', 'Dragus',' Like ',' Season ',' Network ',' Like ',' Lost ',' Down ',' User ',' Comfortable ',' so ',' thank you ']")</f>
        <v>['Please', 'Network', 'Island', 'Javan', 'Dragus',' Like ',' Season ',' Network ',' Like ',' Lost ',' Down ',' User ',' Comfortable ',' so ',' thank you ']</v>
      </c>
      <c r="D9126" s="3">
        <v>2.0</v>
      </c>
    </row>
    <row r="9127" ht="15.75" customHeight="1">
      <c r="A9127" s="1">
        <v>9609.0</v>
      </c>
      <c r="B9127" s="3" t="s">
        <v>8781</v>
      </c>
      <c r="C9127" s="3" t="str">
        <f>IFERROR(__xludf.DUMMYFUNCTION("GOOGLETRANSLATE(B9127,""id"",""en"")"),"['aspect', 'app', 'app', 'heavy', 'really', 'open', 'appeal', 'open', 'app', 'folding', 'charge', 'light', ' App ',' test ',' App ',' Paketan ',' Severe ',' Very ',' Combo ',' Unlimited ',' Disappointing ',' Quota ',' Main ',' Out ',' Speed ​​' , 'quota',"&amp;" 'multimedia', 'kayak', 'run out', 'FUP', 'open', 'kbps',' open ',' game ',' slow ',' package ',' multimedia ',' I ',' Nganggang ',' btuh ',' normally ',' I ',' spent ',' a day ',' open ',' game ',' site ',' multimedia ',' speed ']")</f>
        <v>['aspect', 'app', 'app', 'heavy', 'really', 'open', 'appeal', 'open', 'app', 'folding', 'charge', 'light', ' App ',' test ',' App ',' Paketan ',' Severe ',' Very ',' Combo ',' Unlimited ',' Disappointing ',' Quota ',' Main ',' Out ',' Speed ​​' , 'quota', 'multimedia', 'kayak', 'run out', 'FUP', 'open', 'kbps',' open ',' game ',' slow ',' package ',' multimedia ',' I ',' Nganggang ',' btuh ',' normally ',' I ',' spent ',' a day ',' open ',' game ',' site ',' multimedia ',' speed ']</v>
      </c>
      <c r="D9127" s="3">
        <v>1.0</v>
      </c>
    </row>
    <row r="9128" ht="15.75" customHeight="1">
      <c r="A9128" s="1">
        <v>9610.0</v>
      </c>
      <c r="B9128" s="3" t="s">
        <v>8782</v>
      </c>
      <c r="C9128" s="3" t="str">
        <f>IFERROR(__xludf.DUMMYFUNCTION("GOOGLETRANSLATE(B9128,""id"",""en"")"),"['Use', 'Credit', 'Emergency', 'Credit', 'Cut', 'Pay', 'Credit', 'Emergency', '']")</f>
        <v>['Use', 'Credit', 'Emergency', 'Credit', 'Cut', 'Pay', 'Credit', 'Emergency', '']</v>
      </c>
      <c r="D9128" s="3">
        <v>1.0</v>
      </c>
    </row>
    <row r="9129" ht="15.75" customHeight="1">
      <c r="A9129" s="1">
        <v>9611.0</v>
      </c>
      <c r="B9129" s="3" t="s">
        <v>8783</v>
      </c>
      <c r="C9129" s="3" t="str">
        <f>IFERROR(__xludf.DUMMYFUNCTION("GOOGLETRANSLATE(B9129,""id"",""en"")"),"['Steady', 'data', 'accurate', 'success', 'Jaya', 'hope', 'Indonesia', 'advanced', ""]")</f>
        <v>['Steady', 'data', 'accurate', 'success', 'Jaya', 'hope', 'Indonesia', 'advanced', "]</v>
      </c>
      <c r="D9129" s="3">
        <v>5.0</v>
      </c>
    </row>
    <row r="9130" ht="15.75" customHeight="1">
      <c r="A9130" s="1">
        <v>9612.0</v>
      </c>
      <c r="B9130" s="3" t="s">
        <v>8784</v>
      </c>
      <c r="C9130" s="3" t="str">
        <f>IFERROR(__xludf.DUMMYFUNCTION("GOOGLETRANSLATE(B9130,""id"",""en"")"),"['Registration', 'mutation', 'card', 'Hallo', 'Speed', 'Internet', 'AGK', 'Slow', 'Pokonya', 'SPRTI', 'Prepaid', 'card', ' Hello ',' lbh ',' priority ',' network ',' lbh ',' fast ',' please ',' noticed ',' ']")</f>
        <v>['Registration', 'mutation', 'card', 'Hallo', 'Speed', 'Internet', 'AGK', 'Slow', 'Pokonya', 'SPRTI', 'Prepaid', 'card', ' Hello ',' lbh ',' priority ',' network ',' lbh ',' fast ',' please ',' noticed ',' ']</v>
      </c>
      <c r="D9130" s="3">
        <v>2.0</v>
      </c>
    </row>
    <row r="9131" ht="15.75" customHeight="1">
      <c r="A9131" s="1">
        <v>9613.0</v>
      </c>
      <c r="B9131" s="3" t="s">
        <v>8785</v>
      </c>
      <c r="C9131" s="3" t="str">
        <f>IFERROR(__xludf.DUMMYFUNCTION("GOOGLETRANSLATE(B9131,""id"",""en"")"),"['Loading', 'Page', 'Main', 'UDH', 'Contact', 'Ribet', 'Dizziness', 'Increase', 'Easy', 'Ribet', ""]")</f>
        <v>['Loading', 'Page', 'Main', 'UDH', 'Contact', 'Ribet', 'Dizziness', 'Increase', 'Easy', 'Ribet', "]</v>
      </c>
      <c r="D9131" s="3">
        <v>1.0</v>
      </c>
    </row>
    <row r="9132" ht="15.75" customHeight="1">
      <c r="A9132" s="1">
        <v>9614.0</v>
      </c>
      <c r="B9132" s="3" t="s">
        <v>8786</v>
      </c>
      <c r="C9132" s="3" t="str">
        <f>IFERROR(__xludf.DUMMYFUNCTION("GOOGLETRANSLATE(B9132,""id"",""en"")"),"['Dubbed', 'Telkomsel', 'Network', 'Fastest', 'Network', 'Deep', 'Most Expensive', 'History', 'Problem', 'BLN', 'Signal', 'Leet', ' really ',' SPRTI ',' upgrade ',' slow ',' please ',' accountability ',' work ',' entertainment ',' disturbed ',' network ',"&amp;"' like ',' price ',' expensive ' , 'please', 'fix', 'network']")</f>
        <v>['Dubbed', 'Telkomsel', 'Network', 'Fastest', 'Network', 'Deep', 'Most Expensive', 'History', 'Problem', 'BLN', 'Signal', 'Leet', ' really ',' SPRTI ',' upgrade ',' slow ',' please ',' accountability ',' work ',' entertainment ',' disturbed ',' network ',' like ',' price ',' expensive ' , 'please', 'fix', 'network']</v>
      </c>
      <c r="D9132" s="3">
        <v>1.0</v>
      </c>
    </row>
    <row r="9133" ht="15.75" customHeight="1">
      <c r="A9133" s="1">
        <v>9615.0</v>
      </c>
      <c r="B9133" s="3" t="s">
        <v>8787</v>
      </c>
      <c r="C9133" s="3" t="str">
        <f>IFERROR(__xludf.DUMMYFUNCTION("GOOGLETRANSLATE(B9133,""id"",""en"")"),"['mohoan', 'sorry', 'application', 'already', 'good', 'steady', 'price', 'package', 'ride', 'min', 'already', 'good', ' cheap ',' card ',' Indonesia ',' Support ',' Telkomsel ',' love ',' star ',' ']")</f>
        <v>['mohoan', 'sorry', 'application', 'already', 'good', 'steady', 'price', 'package', 'ride', 'min', 'already', 'good', ' cheap ',' card ',' Indonesia ',' Support ',' Telkomsel ',' love ',' star ',' ']</v>
      </c>
      <c r="D9133" s="3">
        <v>5.0</v>
      </c>
    </row>
    <row r="9134" ht="15.75" customHeight="1">
      <c r="A9134" s="1">
        <v>9616.0</v>
      </c>
      <c r="B9134" s="3" t="s">
        <v>8788</v>
      </c>
      <c r="C9134" s="3" t="str">
        <f>IFERROR(__xludf.DUMMYFUNCTION("GOOGLETRANSLATE(B9134,""id"",""en"")"),"['expensive', 'package', 'compared', 'inverted', 'quality', 'internet', 'provider', 'expensive', 'class',' internet ',' please ',' repair ',' Silent ',' lose ',' provider ',' neighbor ',' package ',' cheap ',' quality ',' beg ',' disappointing ',' custome"&amp;"r ', ""]")</f>
        <v>['expensive', 'package', 'compared', 'inverted', 'quality', 'internet', 'provider', 'expensive', 'class',' internet ',' please ',' repair ',' Silent ',' lose ',' provider ',' neighbor ',' package ',' cheap ',' quality ',' beg ',' disappointing ',' customer ', "]</v>
      </c>
      <c r="D9134" s="3">
        <v>1.0</v>
      </c>
    </row>
    <row r="9135" ht="15.75" customHeight="1">
      <c r="A9135" s="1">
        <v>9617.0</v>
      </c>
      <c r="B9135" s="3" t="s">
        <v>8789</v>
      </c>
      <c r="C9135" s="3" t="str">
        <f>IFERROR(__xludf.DUMMYFUNCTION("GOOGLETRANSLATE(B9135,""id"",""en"")"),"['Napa', 'just', 'wrow up', 'his writing', 'error', 'system', 'strange', 'pdhal', 'hundreds',' times', 'dipake', 'times',' Error ',' ']")</f>
        <v>['Napa', 'just', 'wrow up', 'his writing', 'error', 'system', 'strange', 'pdhal', 'hundreds',' times', 'dipake', 'times',' Error ',' ']</v>
      </c>
      <c r="D9135" s="3">
        <v>3.0</v>
      </c>
    </row>
    <row r="9136" ht="15.75" customHeight="1">
      <c r="A9136" s="1">
        <v>9618.0</v>
      </c>
      <c r="B9136" s="3" t="s">
        <v>8790</v>
      </c>
      <c r="C9136" s="3" t="str">
        <f>IFERROR(__xludf.DUMMYFUNCTION("GOOGLETRANSLATE(B9136,""id"",""en"")"),"['Telkomsel', 'experiencing', 'disruption', 'for days', 'network', 'ugly', 'thanks', ""]")</f>
        <v>['Telkomsel', 'experiencing', 'disruption', 'for days', 'network', 'ugly', 'thanks', "]</v>
      </c>
      <c r="D9136" s="3">
        <v>2.0</v>
      </c>
    </row>
    <row r="9137" ht="15.75" customHeight="1">
      <c r="A9137" s="1">
        <v>9619.0</v>
      </c>
      <c r="B9137" s="3" t="s">
        <v>8791</v>
      </c>
      <c r="C9137" s="3" t="str">
        <f>IFERROR(__xludf.DUMMYFUNCTION("GOOGLETRANSLATE(B9137,""id"",""en"")"),"['times',' transaction ',' purchase ',' package ',' succeed ',' stitch ',' stage ',' processing ',' transaction ',' Chatt ',' Low ',' response ',' Really ',' Hadeuuh ']")</f>
        <v>['times',' transaction ',' purchase ',' package ',' succeed ',' stitch ',' stage ',' processing ',' transaction ',' Chatt ',' Low ',' response ',' Really ',' Hadeuuh ']</v>
      </c>
      <c r="D9137" s="3">
        <v>1.0</v>
      </c>
    </row>
    <row r="9138" ht="15.75" customHeight="1">
      <c r="A9138" s="1">
        <v>9620.0</v>
      </c>
      <c r="B9138" s="3" t="s">
        <v>8792</v>
      </c>
      <c r="C9138" s="3" t="str">
        <f>IFERROR(__xludf.DUMMYFUNCTION("GOOGLETRANSLATE(B9138,""id"",""en"")"),"['Not bad', 'good', 'Lagg', 'Maklumi', 'creation', 'human', 'perfect', 'please', 'fix', 'network', 'Telkomsel', 'really', ' Lagg ']")</f>
        <v>['Not bad', 'good', 'Lagg', 'Maklumi', 'creation', 'human', 'perfect', 'please', 'fix', 'network', 'Telkomsel', 'really', ' Lagg ']</v>
      </c>
      <c r="D9138" s="3">
        <v>3.0</v>
      </c>
    </row>
    <row r="9139" ht="15.75" customHeight="1">
      <c r="A9139" s="1">
        <v>9621.0</v>
      </c>
      <c r="B9139" s="3" t="s">
        <v>8793</v>
      </c>
      <c r="C9139" s="3" t="str">
        <f>IFERROR(__xludf.DUMMYFUNCTION("GOOGLETRANSLATE(B9139,""id"",""en"")"),"['downhill', 'gini', 'already', 'price', 'package', 'expensive', 'network', 'ngeeleg', 'plus',' package ',' pulse ',' run out ',' For him ']")</f>
        <v>['downhill', 'gini', 'already', 'price', 'package', 'expensive', 'network', 'ngeeleg', 'plus',' package ',' pulse ',' run out ',' For him ']</v>
      </c>
      <c r="D9139" s="3">
        <v>1.0</v>
      </c>
    </row>
    <row r="9140" ht="15.75" customHeight="1">
      <c r="A9140" s="1">
        <v>9622.0</v>
      </c>
      <c r="B9140" s="3" t="s">
        <v>8794</v>
      </c>
      <c r="C9140" s="3" t="str">
        <f>IFERROR(__xludf.DUMMYFUNCTION("GOOGLETRANSLATE(B9140,""id"",""en"")"),"['application', 'good', 'min', 'make', 'card', 'sympathy', 'many years',' quota ',' promo ',' cheap ',' rb ',' GB ',' for example', '']")</f>
        <v>['application', 'good', 'min', 'make', 'card', 'sympathy', 'many years',' quota ',' promo ',' cheap ',' rb ',' GB ',' for example', '']</v>
      </c>
      <c r="D9140" s="3">
        <v>5.0</v>
      </c>
    </row>
    <row r="9141" ht="15.75" customHeight="1">
      <c r="A9141" s="1">
        <v>9623.0</v>
      </c>
      <c r="B9141" s="3" t="s">
        <v>8795</v>
      </c>
      <c r="C9141" s="3" t="str">
        <f>IFERROR(__xludf.DUMMYFUNCTION("GOOGLETRANSLATE(B9141,""id"",""en"")"),"['disappointing', 'then', 'network', 'slow', 'already', 'buy', 'package', 'internet', 'Telkomsel', 'good']")</f>
        <v>['disappointing', 'then', 'network', 'slow', 'already', 'buy', 'package', 'internet', 'Telkomsel', 'good']</v>
      </c>
      <c r="D9141" s="3">
        <v>1.0</v>
      </c>
    </row>
    <row r="9142" ht="15.75" customHeight="1">
      <c r="A9142" s="1">
        <v>9624.0</v>
      </c>
      <c r="B9142" s="3" t="s">
        <v>8796</v>
      </c>
      <c r="C9142" s="3" t="str">
        <f>IFERROR(__xludf.DUMMYFUNCTION("GOOGLETRANSLATE(B9142,""id"",""en"")"),"['Network', 'Severe', 'Telkomsel', 'buy', 'quota', 'already', 'expensive', 'network', 'ugly', 'already', 'original', 'disappointed', ' pdhal ',' customer ',' loyal ',' th ']")</f>
        <v>['Network', 'Severe', 'Telkomsel', 'buy', 'quota', 'already', 'expensive', 'network', 'ugly', 'already', 'original', 'disappointed', ' pdhal ',' customer ',' loyal ',' th ']</v>
      </c>
      <c r="D9142" s="3">
        <v>1.0</v>
      </c>
    </row>
    <row r="9143" ht="15.75" customHeight="1">
      <c r="A9143" s="1">
        <v>9625.0</v>
      </c>
      <c r="B9143" s="3" t="s">
        <v>8797</v>
      </c>
      <c r="C9143" s="3" t="str">
        <f>IFERROR(__xludf.DUMMYFUNCTION("GOOGLETRANSLATE(B9143,""id"",""en"")"),"['ugly', 'connection', 'signal', 'full', 'strange', 'right', 'already', 'clock', 'afternoon', 'connection', 'chaotic', 'bngt']")</f>
        <v>['ugly', 'connection', 'signal', 'full', 'strange', 'right', 'already', 'clock', 'afternoon', 'connection', 'chaotic', 'bngt']</v>
      </c>
      <c r="D9143" s="3">
        <v>2.0</v>
      </c>
    </row>
    <row r="9144" ht="15.75" customHeight="1">
      <c r="A9144" s="1">
        <v>9626.0</v>
      </c>
      <c r="B9144" s="3" t="s">
        <v>8798</v>
      </c>
      <c r="C9144" s="3" t="str">
        <f>IFERROR(__xludf.DUMMYFUNCTION("GOOGLETRANSLATE(B9144,""id"",""en"")"),"['bad', 'times', 'network', 'open', 'internet', '']")</f>
        <v>['bad', 'times', 'network', 'open', 'internet', '']</v>
      </c>
      <c r="D9144" s="3">
        <v>1.0</v>
      </c>
    </row>
    <row r="9145" ht="15.75" customHeight="1">
      <c r="A9145" s="1">
        <v>9627.0</v>
      </c>
      <c r="B9145" s="3" t="s">
        <v>8799</v>
      </c>
      <c r="C9145" s="3" t="str">
        <f>IFERROR(__xludf.DUMMYFUNCTION("GOOGLETRANSLATE(B9145,""id"",""en"")"),"['buy', 'package', 'last night', 'pulse', 'buy', 'package', 'rich', 'owe', 'difficult', 'forgiveness']")</f>
        <v>['buy', 'package', 'last night', 'pulse', 'buy', 'package', 'rich', 'owe', 'difficult', 'forgiveness']</v>
      </c>
      <c r="D9145" s="3">
        <v>1.0</v>
      </c>
    </row>
    <row r="9146" ht="15.75" customHeight="1">
      <c r="A9146" s="1">
        <v>9628.0</v>
      </c>
      <c r="B9146" s="3" t="s">
        <v>8800</v>
      </c>
      <c r="C9146" s="3" t="str">
        <f>IFERROR(__xludf.DUMMYFUNCTION("GOOGLETRANSLATE(B9146,""id"",""en"")"),"['buy', 'quota', 'process', 'sya', 'accept', 'quota', 'buy', 'server', 'telkomsel', 'down', 'kah', '']")</f>
        <v>['buy', 'quota', 'process', 'sya', 'accept', 'quota', 'buy', 'server', 'telkomsel', 'down', 'kah', '']</v>
      </c>
      <c r="D9146" s="3">
        <v>1.0</v>
      </c>
    </row>
    <row r="9147" ht="15.75" customHeight="1">
      <c r="A9147" s="1">
        <v>9629.0</v>
      </c>
      <c r="B9147" s="3" t="s">
        <v>8801</v>
      </c>
      <c r="C9147" s="3" t="str">
        <f>IFERROR(__xludf.DUMMYFUNCTION("GOOGLETRANSLATE(B9147,""id"",""en"")"),"['buy', 'package', 'internet', 'appears', 'notif', 'disorder', 'system', ""]")</f>
        <v>['buy', 'package', 'internet', 'appears', 'notif', 'disorder', 'system', "]</v>
      </c>
      <c r="D9147" s="3">
        <v>1.0</v>
      </c>
    </row>
    <row r="9148" ht="15.75" customHeight="1">
      <c r="A9148" s="1">
        <v>9630.0</v>
      </c>
      <c r="B9148" s="3" t="s">
        <v>8802</v>
      </c>
      <c r="C9148" s="3" t="str">
        <f>IFERROR(__xludf.DUMMYFUNCTION("GOOGLETRANSLATE(B9148,""id"",""en"")"),"['network', 'like', 'lost', 'forced', 'replace', 'card']")</f>
        <v>['network', 'like', 'lost', 'forced', 'replace', 'card']</v>
      </c>
      <c r="D9148" s="3">
        <v>1.0</v>
      </c>
    </row>
    <row r="9149" ht="15.75" customHeight="1">
      <c r="A9149" s="1">
        <v>9631.0</v>
      </c>
      <c r="B9149" s="3" t="s">
        <v>8803</v>
      </c>
      <c r="C9149" s="3" t="str">
        <f>IFERROR(__xludf.DUMMYFUNCTION("GOOGLETRANSLATE(B9149,""id"",""en"")"),"['min', 'please', 'well', 'network', 'expensive', 'network', 'slow', 'bet', 'kayak', 'conch', 'road', '']")</f>
        <v>['min', 'please', 'well', 'network', 'expensive', 'network', 'slow', 'bet', 'kayak', 'conch', 'road', '']</v>
      </c>
      <c r="D9149" s="3">
        <v>1.0</v>
      </c>
    </row>
    <row r="9150" ht="15.75" customHeight="1">
      <c r="A9150" s="1">
        <v>9632.0</v>
      </c>
      <c r="B9150" s="3" t="s">
        <v>8804</v>
      </c>
      <c r="C9150" s="3" t="str">
        <f>IFERROR(__xludf.DUMMYFUNCTION("GOOGLETRANSLATE(B9150,""id"",""en"")"),"['Network', 'ugly', 'package', 'internet', 'expensive', 'package', 'call', 'expensive', 'already', 'buy', 'apply', 'for a moment' Eat ',' money ',' Haram ', ""]")</f>
        <v>['Network', 'ugly', 'package', 'internet', 'expensive', 'package', 'call', 'expensive', 'already', 'buy', 'apply', 'for a moment' Eat ',' money ',' Haram ', "]</v>
      </c>
      <c r="D9150" s="3">
        <v>1.0</v>
      </c>
    </row>
    <row r="9151" ht="15.75" customHeight="1">
      <c r="A9151" s="1">
        <v>9633.0</v>
      </c>
      <c r="B9151" s="3" t="s">
        <v>8805</v>
      </c>
      <c r="C9151" s="3" t="str">
        <f>IFERROR(__xludf.DUMMYFUNCTION("GOOGLETRANSLATE(B9151,""id"",""en"")"),"['Update', 'Failed', 'Loading', 'Page', 'Shy', 'Application', 'Similar', 'Belongs', 'neighbor', 'cheap']")</f>
        <v>['Update', 'Failed', 'Loading', 'Page', 'Shy', 'Application', 'Similar', 'Belongs', 'neighbor', 'cheap']</v>
      </c>
      <c r="D9151" s="3">
        <v>1.0</v>
      </c>
    </row>
    <row r="9152" ht="15.75" customHeight="1">
      <c r="A9152" s="1">
        <v>9634.0</v>
      </c>
      <c r="B9152" s="3" t="s">
        <v>8806</v>
      </c>
      <c r="C9152" s="3" t="str">
        <f>IFERROR(__xludf.DUMMYFUNCTION("GOOGLETRANSLATE(B9152,""id"",""en"")"),"['Help', 'buy', 'package', 'sometimes',' constraints', 'pay', 'package', 'package', 'fortunately', 'pulse', 'intact', 'Please', ' Repaired ']")</f>
        <v>['Help', 'buy', 'package', 'sometimes',' constraints', 'pay', 'package', 'package', 'fortunately', 'pulse', 'intact', 'Please', ' Repaired ']</v>
      </c>
      <c r="D9152" s="3">
        <v>5.0</v>
      </c>
    </row>
    <row r="9153" ht="15.75" customHeight="1">
      <c r="A9153" s="1">
        <v>9635.0</v>
      </c>
      <c r="B9153" s="3" t="s">
        <v>8807</v>
      </c>
      <c r="C9153" s="3" t="str">
        <f>IFERROR(__xludf.DUMMYFUNCTION("GOOGLETRANSLATE(B9153,""id"",""en"")"),"['woi', 'intention', 'sell', 'quota', 'cook', 'buy', 'quota', 'signal', 'smooth', 'pulse', 'right', 'buy', ' Description ',' Error ',' Mulu ',' WOI ',' Telkomsel ',' pulse ',' sucked ',' own 'alone', 'woi', 'ngeta', 'Telkomselllll', ""]")</f>
        <v>['woi', 'intention', 'sell', 'quota', 'cook', 'buy', 'quota', 'signal', 'smooth', 'pulse', 'right', 'buy', ' Description ',' Error ',' Mulu ',' WOI ',' Telkomsel ',' pulse ',' sucked ',' own 'alone', 'woi', 'ngeta', 'Telkomselllll', "]</v>
      </c>
      <c r="D9153" s="3">
        <v>1.0</v>
      </c>
    </row>
    <row r="9154" ht="15.75" customHeight="1">
      <c r="A9154" s="1">
        <v>9636.0</v>
      </c>
      <c r="B9154" s="3" t="s">
        <v>8808</v>
      </c>
      <c r="C9154" s="3" t="str">
        <f>IFERROR(__xludf.DUMMYFUNCTION("GOOGLETRANSLATE(B9154,""id"",""en"")"),"['As',' run ',' APK ',' lag ',' continued ',' thisii ',' continuous', 'experiencing', 'trobel', 'want', 'buy', 'package', ' right ',' fill ',' pulse ',' package ',' ada ',' please ',' Telkomsel ',' Becuss', 'APIKAA']")</f>
        <v>['As',' run ',' APK ',' lag ',' continued ',' thisii ',' continuous', 'experiencing', 'trobel', 'want', 'buy', 'package', ' right ',' fill ',' pulse ',' package ',' ada ',' please ',' Telkomsel ',' Becuss', 'APIKAA']</v>
      </c>
      <c r="D9154" s="3">
        <v>1.0</v>
      </c>
    </row>
    <row r="9155" ht="15.75" customHeight="1">
      <c r="A9155" s="1">
        <v>9637.0</v>
      </c>
      <c r="B9155" s="3" t="s">
        <v>8809</v>
      </c>
      <c r="C9155" s="3" t="str">
        <f>IFERROR(__xludf.DUMMYFUNCTION("GOOGLETRANSLATE(B9155,""id"",""en"")"),"['Peket', 'Data', 'Based', 'Dhulu', 'Expiration', 'Klian', 'Mah', 'Msih', 'MSA', 'Brlakux', 'Dilla', ' ']")</f>
        <v>['Peket', 'Data', 'Based', 'Dhulu', 'Expiration', 'Klian', 'Mah', 'Msih', 'MSA', 'Brlakux', 'Dilla', ' ']</v>
      </c>
      <c r="D9155" s="3">
        <v>1.0</v>
      </c>
    </row>
    <row r="9156" ht="15.75" customHeight="1">
      <c r="A9156" s="1">
        <v>9638.0</v>
      </c>
      <c r="B9156" s="3" t="s">
        <v>8810</v>
      </c>
      <c r="C9156" s="3" t="str">
        <f>IFERROR(__xludf.DUMMYFUNCTION("GOOGLETRANSLATE(B9156,""id"",""en"")"),"['koq', 'application', 'bsa', 'open', 'yaa', 'upgrade']")</f>
        <v>['koq', 'application', 'bsa', 'open', 'yaa', 'upgrade']</v>
      </c>
      <c r="D9156" s="3">
        <v>3.0</v>
      </c>
    </row>
    <row r="9157" ht="15.75" customHeight="1">
      <c r="A9157" s="1">
        <v>9639.0</v>
      </c>
      <c r="B9157" s="3" t="s">
        <v>8811</v>
      </c>
      <c r="C9157" s="3" t="str">
        <f>IFERROR(__xludf.DUMMYFUNCTION("GOOGLETRANSLATE(B9157,""id"",""en"")"),"['innalilahi', 'signal', 'then', 'application', 'slow', 'yaaa', 'open', 'quota', 'pulse', 'lola']")</f>
        <v>['innalilahi', 'signal', 'then', 'application', 'slow', 'yaaa', 'open', 'quota', 'pulse', 'lola']</v>
      </c>
      <c r="D9157" s="3">
        <v>1.0</v>
      </c>
    </row>
    <row r="9158" ht="15.75" customHeight="1">
      <c r="A9158" s="1">
        <v>9640.0</v>
      </c>
      <c r="B9158" s="3" t="s">
        <v>8812</v>
      </c>
      <c r="C9158" s="3" t="str">
        <f>IFERROR(__xludf.DUMMYFUNCTION("GOOGLETRANSLATE(B9158,""id"",""en"")"),"['ask', 'points', 'exchange', 'nominal', 'pulse', 'please', 'guidance', ""]")</f>
        <v>['ask', 'points', 'exchange', 'nominal', 'pulse', 'please', 'guidance', "]</v>
      </c>
      <c r="D9158" s="3">
        <v>5.0</v>
      </c>
    </row>
    <row r="9159" ht="15.75" customHeight="1">
      <c r="A9159" s="1">
        <v>9641.0</v>
      </c>
      <c r="B9159" s="3" t="s">
        <v>8813</v>
      </c>
      <c r="C9159" s="3" t="str">
        <f>IFERROR(__xludf.DUMMYFUNCTION("GOOGLETRANSLATE(B9159,""id"",""en"")"),"['Application', 'Telkomsel', 'koq', 'chaotic', 'mending', 'downgrade', 'version', 'old', 'mink', 'display', 'function', 'display', ' Good ',' difficult ',' access', 'annoying', 'function', 'inhibits',' ']")</f>
        <v>['Application', 'Telkomsel', 'koq', 'chaotic', 'mending', 'downgrade', 'version', 'old', 'mink', 'display', 'function', 'display', ' Good ',' difficult ',' access', 'annoying', 'function', 'inhibits',' ']</v>
      </c>
      <c r="D9159" s="3">
        <v>1.0</v>
      </c>
    </row>
    <row r="9160" ht="15.75" customHeight="1">
      <c r="A9160" s="1">
        <v>9642.0</v>
      </c>
      <c r="B9160" s="3" t="s">
        <v>8814</v>
      </c>
      <c r="C9160" s="3" t="str">
        <f>IFERROR(__xludf.DUMMYFUNCTION("GOOGLETRANSLATE(B9160,""id"",""en"")"),"['yeah', 'BUMN', 'class',' Telkomsel ',' fix ',' the application ',' White ',' Screen ',' gabisa ',' use ',' shy ',' provider ',' Color ',' White ',' Provider ',' Color ',' Blue ', ""]")</f>
        <v>['yeah', 'BUMN', 'class',' Telkomsel ',' fix ',' the application ',' White ',' Screen ',' gabisa ',' use ',' shy ',' provider ',' Color ',' White ',' Provider ',' Color ',' Blue ', "]</v>
      </c>
      <c r="D9160" s="3">
        <v>1.0</v>
      </c>
    </row>
    <row r="9161" ht="15.75" customHeight="1">
      <c r="A9161" s="1">
        <v>9643.0</v>
      </c>
      <c r="B9161" s="3" t="s">
        <v>8815</v>
      </c>
      <c r="C9161" s="3" t="str">
        <f>IFERROR(__xludf.DUMMYFUNCTION("GOOGLETRANSLATE(B9161,""id"",""en"")"),"['application', 'Telkomsel', 'help', 'user', 'card', 'Telkomsel', 'user', 'profit', 'bonus',' package ',' data ',' internet ',' GB ',' Bonus', 'Bonus',' Exchange ',' Coins', 'Lottery', 'Prizes',' Pulse ',' Million ',' Thank you ',' Telkomsel ',' Help ', "&amp;"""]")</f>
        <v>['application', 'Telkomsel', 'help', 'user', 'card', 'Telkomsel', 'user', 'profit', 'bonus',' package ',' data ',' internet ',' GB ',' Bonus', 'Bonus',' Exchange ',' Coins', 'Lottery', 'Prizes',' Pulse ',' Million ',' Thank you ',' Telkomsel ',' Help ', "]</v>
      </c>
      <c r="D9161" s="3">
        <v>5.0</v>
      </c>
    </row>
    <row r="9162" ht="15.75" customHeight="1">
      <c r="A9162" s="1">
        <v>9644.0</v>
      </c>
      <c r="B9162" s="3" t="s">
        <v>8816</v>
      </c>
      <c r="C9162" s="3" t="str">
        <f>IFERROR(__xludf.DUMMYFUNCTION("GOOGLETRANSLATE(B9162,""id"",""en"")"),"['Good', 'really', 'help', 'application', 'lottery', 'point', 'semiga', 'lottery', 'car', 'aamiin', 'success',' Telkomsel ',' ']")</f>
        <v>['Good', 'really', 'help', 'application', 'lottery', 'point', 'semiga', 'lottery', 'car', 'aamiin', 'success',' Telkomsel ',' ']</v>
      </c>
      <c r="D9162" s="3">
        <v>5.0</v>
      </c>
    </row>
    <row r="9163" ht="15.75" customHeight="1">
      <c r="A9163" s="1">
        <v>9645.0</v>
      </c>
      <c r="B9163" s="3" t="s">
        <v>8817</v>
      </c>
      <c r="C9163" s="3" t="str">
        <f>IFERROR(__xludf.DUMMYFUNCTION("GOOGLETRANSLATE(B9163,""id"",""en"")"),"['Network', 'ugly', 'application', 'MyTelkomsel', 'difficult', 'open']")</f>
        <v>['Network', 'ugly', 'application', 'MyTelkomsel', 'difficult', 'open']</v>
      </c>
      <c r="D9163" s="3">
        <v>1.0</v>
      </c>
    </row>
    <row r="9164" ht="15.75" customHeight="1">
      <c r="A9164" s="1">
        <v>9646.0</v>
      </c>
      <c r="B9164" s="3" t="s">
        <v>8818</v>
      </c>
      <c r="C9164" s="3" t="str">
        <f>IFERROR(__xludf.DUMMYFUNCTION("GOOGLETRANSLATE(B9164,""id"",""en"")"),"['buy', 'quota', 'cheerful', 'GB', 'entered', 'login', 'error', 'mulu', 'so', 'gausah', 'nawari', 'quota', ' Cheap ',' enter ',' right ',' already ',' bought ',' weve ',' severe ',' Telkomsel ',' cheating ', ""]")</f>
        <v>['buy', 'quota', 'cheerful', 'GB', 'entered', 'login', 'error', 'mulu', 'so', 'gausah', 'nawari', 'quota', ' Cheap ',' enter ',' right ',' already ',' bought ',' weve ',' severe ',' Telkomsel ',' cheating ', "]</v>
      </c>
      <c r="D9164" s="3">
        <v>1.0</v>
      </c>
    </row>
    <row r="9165" ht="15.75" customHeight="1">
      <c r="A9165" s="1">
        <v>9647.0</v>
      </c>
      <c r="B9165" s="3" t="s">
        <v>8819</v>
      </c>
      <c r="C9165" s="3" t="str">
        <f>IFERROR(__xludf.DUMMYFUNCTION("GOOGLETRANSLATE(B9165,""id"",""en"")"),"['Telkomsel', 'Anjiinggg', 'signal', 'rotten', 'really', 'expensive', 'yes',' quality ',' dilapidated ',' be careful ',' to ',' given ',' Compensation ',' HBS ',' Yesterday ',' Signal ',' Down ',' congregation ',' Bakar ',' Tower ',' Telkomsel ',' Telkoms"&amp;"el ',' Assupuuuu ', ""]")</f>
        <v>['Telkomsel', 'Anjiinggg', 'signal', 'rotten', 'really', 'expensive', 'yes',' quality ',' dilapidated ',' be careful ',' to ',' given ',' Compensation ',' HBS ',' Yesterday ',' Signal ',' Down ',' congregation ',' Bakar ',' Tower ',' Telkomsel ',' Telkomsel ',' Assupuuuu ', "]</v>
      </c>
      <c r="D9165" s="3">
        <v>1.0</v>
      </c>
    </row>
    <row r="9166" ht="15.75" customHeight="1">
      <c r="A9166" s="1">
        <v>9648.0</v>
      </c>
      <c r="B9166" s="3" t="s">
        <v>8820</v>
      </c>
      <c r="C9166" s="3" t="str">
        <f>IFERROR(__xludf.DUMMYFUNCTION("GOOGLETRANSLATE(B9166,""id"",""en"")"),"['Hazard', 'really', 'pulse', 'buy', 'package', 'Suuu', 'woeeyyy', 'access',' Telkomsel ',' eat ',' quota ',' no ',' Suuu ',' already ',' buy ',' pulse ',' data ',' turned on ',' Direct ',' Sumpot ',' Want ',' already ',' quota ',' expensive ',' service '"&amp;" , 'cheap', 'little', 'eat', 'credit', 'eat', 'quota', 'Suuu', 'promo', 'watched', 'film', 'cheap', 'old' Suuu ',' Wees', 'Severe']")</f>
        <v>['Hazard', 'really', 'pulse', 'buy', 'package', 'Suuu', 'woeeyyy', 'access',' Telkomsel ',' eat ',' quota ',' no ',' Suuu ',' already ',' buy ',' pulse ',' data ',' turned on ',' Direct ',' Sumpot ',' Want ',' already ',' quota ',' expensive ',' service ' , 'cheap', 'little', 'eat', 'credit', 'eat', 'quota', 'Suuu', 'promo', 'watched', 'film', 'cheap', 'old' Suuu ',' Wees', 'Severe']</v>
      </c>
      <c r="D9166" s="3">
        <v>1.0</v>
      </c>
    </row>
    <row r="9167" ht="15.75" customHeight="1">
      <c r="A9167" s="1">
        <v>9649.0</v>
      </c>
      <c r="B9167" s="3" t="s">
        <v>8821</v>
      </c>
      <c r="C9167" s="3" t="str">
        <f>IFERROR(__xludf.DUMMYFUNCTION("GOOGLETRANSLATE(B9167,""id"",""en"")"),"['experience', 'SLAMA', 'Telkomsel', 'signal', 'Telkomsel', 'aka', 'Burige', 'Maen', 'Game', 'Ngelek', 'Anji', 'IIIIIIIIIIIIIIIIIIIIIIIIIIIIIIIIIIIIIIIIIIIIIIIIIIIIIIIIIIIIIIIIIIIIIIIIIIIIIIIIIIIIIIIIIIIIIIIIIIIIIIIIIIIIIIIIIIIIIIIIIIIIIIIIIIIIIIIIIIIIIII"&amp;"IIIIIIIIIIIIIIIIIIIIIIIIIIIIIIIIIIIIIIIIIIIIIIIIIIIIIIII")</f>
        <v>['experience', 'SLAMA', 'Telkomsel', 'signal', 'Telkomsel', 'aka', 'Burige', 'Maen', 'Game', 'Ngelek', 'Anji', 'IIIIIIIIIIIIIIIIIIIIIIIIIIIIIIIIIIIIIIIIIIIIIIIIIIIIIIIIIIIIIIIIIIIIIIIIIIIIIIIIIIIIIIIIIIIIIIIIIIIIIIIIIIIIIIIIIIIIIIIIIIIIIIIIIIIIIIIIIIIIIIIIIIIIIIIIIIIIIIIIIIIIIIIIIIIIIIIIIIIIIIIIIIIIIIIIIIIIIII</v>
      </c>
      <c r="D9167" s="3">
        <v>1.0</v>
      </c>
    </row>
    <row r="9168" ht="15.75" customHeight="1">
      <c r="A9168" s="1">
        <v>9650.0</v>
      </c>
      <c r="B9168" s="3" t="s">
        <v>8822</v>
      </c>
      <c r="C9168" s="3" t="str">
        <f>IFERROR(__xludf.DUMMYFUNCTION("GOOGLETRANSLATE(B9168,""id"",""en"")"),"['price', 'package', 'internet', 'expensive', 'how', 'friend', 'cheap', 'expensive', 'please', 'fix']")</f>
        <v>['price', 'package', 'internet', 'expensive', 'how', 'friend', 'cheap', 'expensive', 'please', 'fix']</v>
      </c>
      <c r="D9168" s="3">
        <v>5.0</v>
      </c>
    </row>
    <row r="9169" ht="15.75" customHeight="1">
      <c r="A9169" s="1">
        <v>9651.0</v>
      </c>
      <c r="B9169" s="3" t="s">
        <v>8823</v>
      </c>
      <c r="C9169" s="3" t="str">
        <f>IFERROR(__xludf.DUMMYFUNCTION("GOOGLETRANSLATE(B9169,""id"",""en"")"),"['update', 'Telkomsel', 'open', 'solution', 'gmna', '']")</f>
        <v>['update', 'Telkomsel', 'open', 'solution', 'gmna', '']</v>
      </c>
      <c r="D9169" s="3">
        <v>4.0</v>
      </c>
    </row>
    <row r="9170" ht="15.75" customHeight="1">
      <c r="A9170" s="1">
        <v>9652.0</v>
      </c>
      <c r="B9170" s="3" t="s">
        <v>8824</v>
      </c>
      <c r="C9170" s="3" t="str">
        <f>IFERROR(__xludf.DUMMYFUNCTION("GOOGLETRANSLATE(B9170,""id"",""en"")"),"['network', 'Telkomsel', 'ugly', 'NOT', 'good', 'price', 'my computer', 'expensive']")</f>
        <v>['network', 'Telkomsel', 'ugly', 'NOT', 'good', 'price', 'my computer', 'expensive']</v>
      </c>
      <c r="D9170" s="3">
        <v>1.0</v>
      </c>
    </row>
    <row r="9171" ht="15.75" customHeight="1">
      <c r="A9171" s="1">
        <v>9653.0</v>
      </c>
      <c r="B9171" s="3" t="s">
        <v>8825</v>
      </c>
      <c r="C9171" s="3" t="str">
        <f>IFERROR(__xludf.DUMMYFUNCTION("GOOGLETRANSLATE(B9171,""id"",""en"")"),"['satisfying', 'signal', 'jelekkk', 'disappointing', '']")</f>
        <v>['satisfying', 'signal', 'jelekkk', 'disappointing', '']</v>
      </c>
      <c r="D9171" s="3">
        <v>1.0</v>
      </c>
    </row>
    <row r="9172" ht="15.75" customHeight="1">
      <c r="A9172" s="1">
        <v>9654.0</v>
      </c>
      <c r="B9172" s="3" t="s">
        <v>8826</v>
      </c>
      <c r="C9172" s="3" t="str">
        <f>IFERROR(__xludf.DUMMYFUNCTION("GOOGLETRANSLATE(B9172,""id"",""en"")"),"['happy', 'really', 'program', 'convenience', 'network', 'Telkomsel', 'colleague', 'city', 'signal', 'network', 'Telkomsel', 'bad', ' City ',' Subang ',' Jabar ',' Feel ',' Use ',' Application ',' Difficult ',' Function ',' Network ',' Bad ',' Open ',' Ap"&amp;"plication ',' Telkomsel ' , 'Hardy', 'forgiveness', 'please', 'repaired', 'network', 'Subang', 'West Java', 'Customer', 'Telkomsel']")</f>
        <v>['happy', 'really', 'program', 'convenience', 'network', 'Telkomsel', 'colleague', 'city', 'signal', 'network', 'Telkomsel', 'bad', ' City ',' Subang ',' Jabar ',' Feel ',' Use ',' Application ',' Difficult ',' Function ',' Network ',' Bad ',' Open ',' Application ',' Telkomsel ' , 'Hardy', 'forgiveness', 'please', 'repaired', 'network', 'Subang', 'West Java', 'Customer', 'Telkomsel']</v>
      </c>
      <c r="D9172" s="3">
        <v>1.0</v>
      </c>
    </row>
    <row r="9173" ht="15.75" customHeight="1">
      <c r="A9173" s="1">
        <v>9655.0</v>
      </c>
      <c r="B9173" s="3" t="s">
        <v>8827</v>
      </c>
      <c r="C9173" s="3" t="str">
        <f>IFERROR(__xludf.DUMMYFUNCTION("GOOGLETRANSLATE(B9173,""id"",""en"")"),"['already', 'update', 'entry', 'application', 'MyTelkomsel', 'slow', 'download', 'content', 'spend', 'until', 'minutes', 'worsst']")</f>
        <v>['already', 'update', 'entry', 'application', 'MyTelkomsel', 'slow', 'download', 'content', 'spend', 'until', 'minutes', 'worsst']</v>
      </c>
      <c r="D9173" s="3">
        <v>1.0</v>
      </c>
    </row>
    <row r="9174" ht="15.75" customHeight="1">
      <c r="A9174" s="1">
        <v>9656.0</v>
      </c>
      <c r="B9174" s="3" t="s">
        <v>8828</v>
      </c>
      <c r="C9174" s="3" t="str">
        <f>IFERROR(__xludf.DUMMYFUNCTION("GOOGLETRANSLATE(B9174,""id"",""en"")"),"['serious',' ugly ',' disorder ',' really ',' contents', 'package', 'data', 'nyampe', 'bnr', 'really', 'blur', 'telkmsl', ' annoyed']")</f>
        <v>['serious',' ugly ',' disorder ',' really ',' contents', 'package', 'data', 'nyampe', 'bnr', 'really', 'blur', 'telkmsl', ' annoyed']</v>
      </c>
      <c r="D9174" s="3">
        <v>1.0</v>
      </c>
    </row>
    <row r="9175" ht="15.75" customHeight="1">
      <c r="A9175" s="1">
        <v>9657.0</v>
      </c>
      <c r="B9175" s="3" t="s">
        <v>8829</v>
      </c>
      <c r="C9175" s="3" t="str">
        <f>IFERROR(__xludf.DUMMYFUNCTION("GOOGLETRANSLATE(B9175,""id"",""en"")"),"['Telkomsel', 'ugly', 'network', 'open', 'youtube', 'satisfied', 'nge', 'lag', 'nge', 'lag', 'beg', 'understand', ' Complaints', 'complaints',' users', 'Telkomsel', 'UDH', 'Review', 'Telkomsel', 'repaired', 'Please', 'Understand', 'Telkomsel', ""]")</f>
        <v>['Telkomsel', 'ugly', 'network', 'open', 'youtube', 'satisfied', 'nge', 'lag', 'nge', 'lag', 'beg', 'understand', ' Complaints', 'complaints',' users', 'Telkomsel', 'UDH', 'Review', 'Telkomsel', 'repaired', 'Please', 'Understand', 'Telkomsel', "]</v>
      </c>
      <c r="D9175" s="3">
        <v>1.0</v>
      </c>
    </row>
    <row r="9176" ht="15.75" customHeight="1">
      <c r="A9176" s="1">
        <v>9658.0</v>
      </c>
      <c r="B9176" s="3" t="s">
        <v>8830</v>
      </c>
      <c r="C9176" s="3" t="str">
        <f>IFERROR(__xludf.DUMMYFUNCTION("GOOGLETRANSLATE(B9176,""id"",""en"")"),"['Telkomsel', 'ugly', 'clock', 'ngelag', 'mulu', 'kirain', 'quota', 'abis',' abis', 'until', 'buy', 'quota', ' Ajah ',' unlimited ',' a month ',' friend ',' emang ',' that's', 'Telkomsel', 'ngellag', 'clock', 'sue', 'really', 'buy', 'quota' , 'Abis', 'Hee"&amp;"uuh', 'already', 'so', 'ngelag', ""]")</f>
        <v>['Telkomsel', 'ugly', 'clock', 'ngelag', 'mulu', 'kirain', 'quota', 'abis',' abis', 'until', 'buy', 'quota', ' Ajah ',' unlimited ',' a month ',' friend ',' emang ',' that's', 'Telkomsel', 'ngellag', 'clock', 'sue', 'really', 'buy', 'quota' , 'Abis', 'Heeuuh', 'already', 'so', 'ngelag', "]</v>
      </c>
      <c r="D9176" s="3">
        <v>2.0</v>
      </c>
    </row>
    <row r="9177" ht="15.75" customHeight="1">
      <c r="A9177" s="1">
        <v>9659.0</v>
      </c>
      <c r="B9177" s="3" t="s">
        <v>8831</v>
      </c>
      <c r="C9177" s="3" t="str">
        <f>IFERROR(__xludf.DUMMYFUNCTION("GOOGLETRANSLATE(B9177,""id"",""en"")"),"['Please', 'fix', 'Network', 'Service', 'Internet', 'Telkomsel', 'Karana', 'Sngek', 'Disappointed', 'Slow', 'Internet', 'Thank you', ' ']")</f>
        <v>['Please', 'fix', 'Network', 'Service', 'Internet', 'Telkomsel', 'Karana', 'Sngek', 'Disappointed', 'Slow', 'Internet', 'Thank you', ' ']</v>
      </c>
      <c r="D9177" s="3">
        <v>1.0</v>
      </c>
    </row>
    <row r="9178" ht="15.75" customHeight="1">
      <c r="A9178" s="1">
        <v>9660.0</v>
      </c>
      <c r="B9178" s="3" t="s">
        <v>8832</v>
      </c>
      <c r="C9178" s="3" t="str">
        <f>IFERROR(__xludf.DUMMYFUNCTION("GOOGLETRANSLATE(B9178,""id"",""en"")"),"['fooling', 'lure', 'gift', 'ngak', 'proven', 'coin', 'ngak', 'exchange', 'taik', 'cat']")</f>
        <v>['fooling', 'lure', 'gift', 'ngak', 'proven', 'coin', 'ngak', 'exchange', 'taik', 'cat']</v>
      </c>
      <c r="D9178" s="3">
        <v>5.0</v>
      </c>
    </row>
    <row r="9179" ht="15.75" customHeight="1">
      <c r="A9179" s="1">
        <v>9661.0</v>
      </c>
      <c r="B9179" s="3" t="s">
        <v>8833</v>
      </c>
      <c r="C9179" s="3" t="str">
        <f>IFERROR(__xludf.DUMMYFUNCTION("GOOGLETRANSLATE(B9179,""id"",""en"")"),"['steady', 'please', 'signal', 'palembang', 'kertapati', 'station', 'enlarge', 'signal', 'because' signal ',' severe ',' the network ',' Streming ',' Main ',' Game ',' Online ',' Severe ']")</f>
        <v>['steady', 'please', 'signal', 'palembang', 'kertapati', 'station', 'enlarge', 'signal', 'because' signal ',' severe ',' the network ',' Streming ',' Main ',' Game ',' Online ',' Severe ']</v>
      </c>
      <c r="D9179" s="3">
        <v>5.0</v>
      </c>
    </row>
    <row r="9180" ht="15.75" customHeight="1">
      <c r="A9180" s="1">
        <v>9662.0</v>
      </c>
      <c r="B9180" s="3" t="s">
        <v>8834</v>
      </c>
      <c r="C9180" s="3" t="str">
        <f>IFERROR(__xludf.DUMMYFUNCTION("GOOGLETRANSLATE(B9180,""id"",""en"")"),"['update', 'good', 'TPI', 'destroyed', 'ugly', 'sakali', 'staple', '']")</f>
        <v>['update', 'good', 'TPI', 'destroyed', 'ugly', 'sakali', 'staple', '']</v>
      </c>
      <c r="D9180" s="3">
        <v>1.0</v>
      </c>
    </row>
    <row r="9181" ht="15.75" customHeight="1">
      <c r="A9181" s="1">
        <v>9663.0</v>
      </c>
      <c r="B9181" s="3" t="s">
        <v>8835</v>
      </c>
      <c r="C9181" s="3" t="str">
        <f>IFERROR(__xludf.DUMMYFUNCTION("GOOGLETRANSLATE(B9181,""id"",""en"")"),"['Update', 'Network', 'Difficult', 'BNAR', 'Use', 'Telkomsel', 'Use', 'HandPhone', 'Disappointed', '']")</f>
        <v>['Update', 'Network', 'Difficult', 'BNAR', 'Use', 'Telkomsel', 'Use', 'HandPhone', 'Disappointed', '']</v>
      </c>
      <c r="D9181" s="3">
        <v>1.0</v>
      </c>
    </row>
    <row r="9182" ht="15.75" customHeight="1">
      <c r="A9182" s="1">
        <v>9664.0</v>
      </c>
      <c r="B9182" s="3" t="s">
        <v>8836</v>
      </c>
      <c r="C9182" s="3" t="str">
        <f>IFERROR(__xludf.DUMMYFUNCTION("GOOGLETRANSLATE(B9182,""id"",""en"")"),"['', 'Please', 'repaired', 'System', 'right', 'enter', 'APK']")</f>
        <v>['', 'Please', 'repaired', 'System', 'right', 'enter', 'APK']</v>
      </c>
      <c r="D9182" s="3">
        <v>1.0</v>
      </c>
    </row>
    <row r="9183" ht="15.75" customHeight="1">
      <c r="A9183" s="1">
        <v>9665.0</v>
      </c>
      <c r="B9183" s="3" t="s">
        <v>8837</v>
      </c>
      <c r="C9183" s="3" t="str">
        <f>IFERROR(__xludf.DUMMYFUNCTION("GOOGLETRANSLATE(B9183,""id"",""en"")"),"['hope', 'provider', 'in place', 'because' Telkomsel ',' disappointing ',' really ',' really ',' hope ',' hope ',' God ',' grant ',' disappointing', '']")</f>
        <v>['hope', 'provider', 'in place', 'because' Telkomsel ',' disappointing ',' really ',' really ',' hope ',' hope ',' God ',' grant ',' disappointing', '']</v>
      </c>
      <c r="D9183" s="3">
        <v>1.0</v>
      </c>
    </row>
    <row r="9184" ht="15.75" customHeight="1">
      <c r="A9184" s="1">
        <v>9666.0</v>
      </c>
      <c r="B9184" s="3" t="s">
        <v>8838</v>
      </c>
      <c r="C9184" s="3" t="str">
        <f>IFERROR(__xludf.DUMMYFUNCTION("GOOGLETRANSLATE(B9184,""id"",""en"")"),"['Dipake', 'writing', 'error', 'system', 'cave', 'buy', 'quota', 'kek', 'gini', ""]")</f>
        <v>['Dipake', 'writing', 'error', 'system', 'cave', 'buy', 'quota', 'kek', 'gini', "]</v>
      </c>
      <c r="D9184" s="3">
        <v>3.0</v>
      </c>
    </row>
    <row r="9185" ht="15.75" customHeight="1">
      <c r="A9185" s="1">
        <v>9667.0</v>
      </c>
      <c r="B9185" s="3" t="s">
        <v>8839</v>
      </c>
      <c r="C9185" s="3" t="str">
        <f>IFERROR(__xludf.DUMMYFUNCTION("GOOGLETRANSLATE(B9185,""id"",""en"")"),"['knapa', 'expensive', 'package', 'unlimitiveness', 'ksihan', 'dri', 'circles', 'kbawah', 'bayan', 'next door', 'expensive', '']")</f>
        <v>['knapa', 'expensive', 'package', 'unlimitiveness', 'ksihan', 'dri', 'circles', 'kbawah', 'bayan', 'next door', 'expensive', '']</v>
      </c>
      <c r="D9185" s="3">
        <v>3.0</v>
      </c>
    </row>
    <row r="9186" ht="15.75" customHeight="1">
      <c r="A9186" s="1">
        <v>9668.0</v>
      </c>
      <c r="B9186" s="3" t="s">
        <v>8840</v>
      </c>
      <c r="C9186" s="3" t="str">
        <f>IFERROR(__xludf.DUMMYFUNCTION("GOOGLETRANSLATE(B9186,""id"",""en"")"),"['Network', 'Disruption', 'Change', 'Card', 'Good', 'Telkomsel', 'Good', 'Level', 'Open', 'App', ""]")</f>
        <v>['Network', 'Disruption', 'Change', 'Card', 'Good', 'Telkomsel', 'Good', 'Level', 'Open', 'App', "]</v>
      </c>
      <c r="D9186" s="3">
        <v>1.0</v>
      </c>
    </row>
    <row r="9187" ht="15.75" customHeight="1">
      <c r="A9187" s="1">
        <v>9669.0</v>
      </c>
      <c r="B9187" s="3" t="s">
        <v>8841</v>
      </c>
      <c r="C9187" s="3" t="str">
        <f>IFERROR(__xludf.DUMMYFUNCTION("GOOGLETRANSLATE(B9187,""id"",""en"")"),"['disappointing', 'class', 'provider', 'open', 'application', 'slow', 'wlpp even', 'use', 'wifi', 'network', 'cellular', ""]")</f>
        <v>['disappointing', 'class', 'provider', 'open', 'application', 'slow', 'wlpp even', 'use', 'wifi', 'network', 'cellular', "]</v>
      </c>
      <c r="D9187" s="3">
        <v>1.0</v>
      </c>
    </row>
    <row r="9188" ht="15.75" customHeight="1">
      <c r="A9188" s="1">
        <v>9670.0</v>
      </c>
      <c r="B9188" s="3" t="s">
        <v>8842</v>
      </c>
      <c r="C9188" s="3" t="str">
        <f>IFERROR(__xludf.DUMMYFUNCTION("GOOGLETRANSLATE(B9188,""id"",""en"")"),"['application', 'garbage', 'application', 'Download', 'App', 'rotten', '']")</f>
        <v>['application', 'garbage', 'application', 'Download', 'App', 'rotten', '']</v>
      </c>
      <c r="D9188" s="3">
        <v>1.0</v>
      </c>
    </row>
    <row r="9189" ht="15.75" customHeight="1">
      <c r="A9189" s="1">
        <v>9671.0</v>
      </c>
      <c r="B9189" s="3" t="s">
        <v>8843</v>
      </c>
      <c r="C9189" s="3" t="str">
        <f>IFERROR(__xludf.DUMMYFUNCTION("GOOGLETRANSLATE(B9189,""id"",""en"")"),"['application', 'poor', 'update', 'slow', 'slow', 'poor', 'slow down', 'performance', 'cellphone', 'hard', 'handy']")</f>
        <v>['application', 'poor', 'update', 'slow', 'slow', 'poor', 'slow down', 'performance', 'cellphone', 'hard', 'handy']</v>
      </c>
      <c r="D9189" s="3">
        <v>1.0</v>
      </c>
    </row>
    <row r="9190" ht="15.75" customHeight="1">
      <c r="A9190" s="1">
        <v>9672.0</v>
      </c>
      <c r="B9190" s="3" t="s">
        <v>8844</v>
      </c>
      <c r="C9190" s="3" t="str">
        <f>IFERROR(__xludf.DUMMYFUNCTION("GOOGLETRANSLATE(B9190,""id"",""en"")"),"['Good', 'Sya', 'like', 'booong', 'apk', 'good', 'love', 'package', 'cheap']")</f>
        <v>['Good', 'Sya', 'like', 'booong', 'apk', 'good', 'love', 'package', 'cheap']</v>
      </c>
      <c r="D9190" s="3">
        <v>5.0</v>
      </c>
    </row>
    <row r="9191" ht="15.75" customHeight="1">
      <c r="A9191" s="1">
        <v>9673.0</v>
      </c>
      <c r="B9191" s="3" t="s">
        <v>8845</v>
      </c>
      <c r="C9191" s="3" t="str">
        <f>IFERROR(__xludf.DUMMYFUNCTION("GOOGLETRANSLATE(B9191,""id"",""en"")"),"['strange', 'sympathy', 'pulse', 'cut', 'sndiri', 'telephone', 'customer', 'service', 'throw', 'application', 'see', 'pulse', ' Refresh ',' MLLU ']")</f>
        <v>['strange', 'sympathy', 'pulse', 'cut', 'sndiri', 'telephone', 'customer', 'service', 'throw', 'application', 'see', 'pulse', ' Refresh ',' MLLU ']</v>
      </c>
      <c r="D9191" s="3">
        <v>1.0</v>
      </c>
    </row>
    <row r="9192" ht="15.75" customHeight="1">
      <c r="A9192" s="1">
        <v>9674.0</v>
      </c>
      <c r="B9192" s="3" t="s">
        <v>8846</v>
      </c>
      <c r="C9192" s="3" t="str">
        <f>IFERROR(__xludf.DUMMYFUNCTION("GOOGLETRANSLATE(B9192,""id"",""en"")"),"['App', 'ngak', 'opened', 'already', 'app', 'ngak', 'open', 'knp', 'app', 'problematic']")</f>
        <v>['App', 'ngak', 'opened', 'already', 'app', 'ngak', 'open', 'knp', 'app', 'problematic']</v>
      </c>
      <c r="D9192" s="3">
        <v>1.0</v>
      </c>
    </row>
    <row r="9193" ht="15.75" customHeight="1">
      <c r="A9193" s="1">
        <v>9675.0</v>
      </c>
      <c r="B9193" s="3" t="s">
        <v>8847</v>
      </c>
      <c r="C9193" s="3" t="str">
        <f>IFERROR(__xludf.DUMMYFUNCTION("GOOGLETRANSLATE(B9193,""id"",""en"")"),"['Recruit', 'org', 'scholar', 'work', 'rich', 'gini', 'application', 'error', 'quota', 'leftover', 'deliberate', ' Quota ',' Normal ',' His Mind ',' How ',' Telkomsel ',' Disappointed ',' Admin ',' Sosmed ',' Road ',' Nint ',' Sosmed ',' Gapernah ',' Diba"&amp;"les' , 'email', 'convoluted', 'forgiveness', 'Aduhhh', 'hope', 'CEO', 'read', 'child', 'fruit', 'Becus', 'school', ""]")</f>
        <v>['Recruit', 'org', 'scholar', 'work', 'rich', 'gini', 'application', 'error', 'quota', 'leftover', 'deliberate', ' Quota ',' Normal ',' His Mind ',' How ',' Telkomsel ',' Disappointed ',' Admin ',' Sosmed ',' Road ',' Nint ',' Sosmed ',' Gapernah ',' Dibales' , 'email', 'convoluted', 'forgiveness', 'Aduhhh', 'hope', 'CEO', 'read', 'child', 'fruit', 'Becus', 'school', "]</v>
      </c>
      <c r="D9193" s="3">
        <v>1.0</v>
      </c>
    </row>
    <row r="9194" ht="15.75" customHeight="1">
      <c r="A9194" s="1">
        <v>9676.0</v>
      </c>
      <c r="B9194" s="3" t="s">
        <v>8848</v>
      </c>
      <c r="C9194" s="3" t="str">
        <f>IFERROR(__xludf.DUMMYFUNCTION("GOOGLETRANSLATE(B9194,""id"",""en"")"),"['Woy', 'Telkom', 'Paketannya', 'Gada', 'Special', 'Quota', 'Internet', 'Doang', 'Sosmed', 'Sosmed', 'Gede', 'Quota', ' Internet ',' Balikin ',' Kyk ',' Adin ',' Special ',' Internet ',' additional ',' sosmed ',' package ',' sosmed ',' sosmed ',' Mix ',' "&amp;"coakes' , 'sosmed']")</f>
        <v>['Woy', 'Telkom', 'Paketannya', 'Gada', 'Special', 'Quota', 'Internet', 'Doang', 'Sosmed', 'Sosmed', 'Gede', 'Quota', ' Internet ',' Balikin ',' Kyk ',' Adin ',' Special ',' Internet ',' additional ',' sosmed ',' package ',' sosmed ',' sosmed ',' Mix ',' coakes' , 'sosmed']</v>
      </c>
      <c r="D9194" s="3">
        <v>1.0</v>
      </c>
    </row>
    <row r="9195" ht="15.75" customHeight="1">
      <c r="A9195" s="1">
        <v>9677.0</v>
      </c>
      <c r="B9195" s="3" t="s">
        <v>8849</v>
      </c>
      <c r="C9195" s="3" t="str">
        <f>IFERROR(__xludf.DUMMYFUNCTION("GOOGLETRANSLATE(B9195,""id"",""en"")"),"['Use', 'card', 'Hello', 'late', 'pay', 'already', 'DIELP', 'Like', 'collecting', 'pinjol', 'threat', 'block', ' Total ',' Hello ',' Fix ',' Network ',' Best ',' Customer ',' Funny ',' Service ',' ugly ',' Customer ',' Threatened ',' ']")</f>
        <v>['Use', 'card', 'Hello', 'late', 'pay', 'already', 'DIELP', 'Like', 'collecting', 'pinjol', 'threat', 'block', ' Total ',' Hello ',' Fix ',' Network ',' Best ',' Customer ',' Funny ',' Service ',' ugly ',' Customer ',' Threatened ',' ']</v>
      </c>
      <c r="D9195" s="3">
        <v>1.0</v>
      </c>
    </row>
    <row r="9196" ht="15.75" customHeight="1">
      <c r="A9196" s="1">
        <v>9678.0</v>
      </c>
      <c r="B9196" s="3" t="s">
        <v>8850</v>
      </c>
      <c r="C9196" s="3" t="str">
        <f>IFERROR(__xludf.DUMMYFUNCTION("GOOGLETRANSLATE(B9196,""id"",""en"")"),"['Application', 'slow', 'apikasih', 'satisfying', 'provider', 'good', 'application', 'slow', 'worth', 'please', 'fix', 'the application', ' Application ',' fast ',' provider ',' good ',' application ',' ugly ',' ']")</f>
        <v>['Application', 'slow', 'apikasih', 'satisfying', 'provider', 'good', 'application', 'slow', 'worth', 'please', 'fix', 'the application', ' Application ',' fast ',' provider ',' good ',' application ',' ugly ',' ']</v>
      </c>
      <c r="D9196" s="3">
        <v>1.0</v>
      </c>
    </row>
    <row r="9197" ht="15.75" customHeight="1">
      <c r="A9197" s="1">
        <v>9679.0</v>
      </c>
      <c r="B9197" s="3" t="s">
        <v>8851</v>
      </c>
      <c r="C9197" s="3" t="str">
        <f>IFERROR(__xludf.DUMMYFUNCTION("GOOGLETRANSLATE(B9197,""id"",""en"")"),"['already', 'disappointed', 'SMA', 'Telkomsel', 'Gara', 'Tipu', 'Tawarin', 'Change', 'card', 'Hello', 'right', 'Telfon', ' the operator ',' said ',' number ',' changed ',' card ',' Hello ',' get ',' price ',' TPI ',' turn ',' replace ',' card ',' hello ' "&amp;", 'Multimedia', 'replace', 'card', 'TPI', 'number', 'already', 'many years',' replace ',' complicated ',' already ',' process', 'Call', ' Center ',' Telkomsel ',' TPI ',' Response ',' Becus', 'Rich', 'Nanganin', 'Service', 'Operator', 'Telkomsel', 'Bad']")</f>
        <v>['already', 'disappointed', 'SMA', 'Telkomsel', 'Gara', 'Tipu', 'Tawarin', 'Change', 'card', 'Hello', 'right', 'Telfon', ' the operator ',' said ',' number ',' changed ',' card ',' Hello ',' get ',' price ',' TPI ',' turn ',' replace ',' card ',' hello ' , 'Multimedia', 'replace', 'card', 'TPI', 'number', 'already', 'many years',' replace ',' complicated ',' already ',' process', 'Call', ' Center ',' Telkomsel ',' TPI ',' Response ',' Becus', 'Rich', 'Nanganin', 'Service', 'Operator', 'Telkomsel', 'Bad']</v>
      </c>
      <c r="D9197" s="3">
        <v>1.0</v>
      </c>
    </row>
    <row r="9198" ht="15.75" customHeight="1">
      <c r="A9198" s="1">
        <v>9680.0</v>
      </c>
      <c r="B9198" s="3" t="s">
        <v>8852</v>
      </c>
      <c r="C9198" s="3" t="str">
        <f>IFERROR(__xludf.DUMMYFUNCTION("GOOGLETRANSLATE(B9198,""id"",""en"")"),"['ugly', 'reviews', 'star', 'removed', 'contents', 'pulse', 'delay']")</f>
        <v>['ugly', 'reviews', 'star', 'removed', 'contents', 'pulse', 'delay']</v>
      </c>
      <c r="D9198" s="3">
        <v>1.0</v>
      </c>
    </row>
    <row r="9199" ht="15.75" customHeight="1">
      <c r="A9199" s="1">
        <v>9681.0</v>
      </c>
      <c r="B9199" s="3" t="s">
        <v>8853</v>
      </c>
      <c r="C9199" s="3" t="str">
        <f>IFERROR(__xludf.DUMMYFUNCTION("GOOGLETRANSLATE(B9199,""id"",""en"")"),"['quota', 'unlimited', 'youtube', 'functioning', 'wear', 'quota', 'main', 'please', 'fix', 'fraud', ""]")</f>
        <v>['quota', 'unlimited', 'youtube', 'functioning', 'wear', 'quota', 'main', 'please', 'fix', 'fraud', "]</v>
      </c>
      <c r="D9199" s="3">
        <v>3.0</v>
      </c>
    </row>
    <row r="9200" ht="15.75" customHeight="1">
      <c r="A9200" s="1">
        <v>9682.0</v>
      </c>
      <c r="B9200" s="3" t="s">
        <v>8854</v>
      </c>
      <c r="C9200" s="3" t="str">
        <f>IFERROR(__xludf.DUMMYFUNCTION("GOOGLETRANSLATE(B9200,""id"",""en"")"),"['strange', 'pulse', 'lost', 'use', 'network', 'good', 'application', 'tsel', 'response', 'hadeuhhhhh']")</f>
        <v>['strange', 'pulse', 'lost', 'use', 'network', 'good', 'application', 'tsel', 'response', 'hadeuhhhhh']</v>
      </c>
      <c r="D9200" s="3">
        <v>1.0</v>
      </c>
    </row>
    <row r="9201" ht="15.75" customHeight="1">
      <c r="A9201" s="1">
        <v>9683.0</v>
      </c>
      <c r="B9201" s="3" t="s">
        <v>8855</v>
      </c>
      <c r="C9201" s="3" t="str">
        <f>IFERROR(__xludf.DUMMYFUNCTION("GOOGLETRANSLATE(B9201,""id"",""en"")"),"['good', 'enter', 'difficult', 'buy', 'package', 'highest', 'combo', 'Sakti', '']")</f>
        <v>['good', 'enter', 'difficult', 'buy', 'package', 'highest', 'combo', 'Sakti', '']</v>
      </c>
      <c r="D9201" s="3">
        <v>2.0</v>
      </c>
    </row>
    <row r="9202" ht="15.75" customHeight="1">
      <c r="A9202" s="1">
        <v>9684.0</v>
      </c>
      <c r="B9202" s="3" t="s">
        <v>8856</v>
      </c>
      <c r="C9202" s="3" t="str">
        <f>IFERROR(__xludf.DUMMYFUNCTION("GOOGLETRANSLATE(B9202,""id"",""en"")"),"['quota', 'expensive', 'network', 'incur', 'slow', 'threat', 'right', 'maen', 'game', 'threat', 'network']")</f>
        <v>['quota', 'expensive', 'network', 'incur', 'slow', 'threat', 'right', 'maen', 'game', 'threat', 'network']</v>
      </c>
      <c r="D9202" s="3">
        <v>1.0</v>
      </c>
    </row>
    <row r="9203" ht="15.75" customHeight="1">
      <c r="A9203" s="1">
        <v>9685.0</v>
      </c>
      <c r="B9203" s="3" t="s">
        <v>8857</v>
      </c>
      <c r="C9203" s="3" t="str">
        <f>IFERROR(__xludf.DUMMYFUNCTION("GOOGLETRANSLATE(B9203,""id"",""en"")"),"['Good', 'really', 'application', 'display', 'promo', 'steady', 'really', 'hope', 'good', 'thank you', ""]")</f>
        <v>['Good', 'really', 'application', 'display', 'promo', 'steady', 'really', 'hope', 'good', 'thank you', "]</v>
      </c>
      <c r="D9203" s="3">
        <v>5.0</v>
      </c>
    </row>
    <row r="9204" ht="15.75" customHeight="1">
      <c r="A9204" s="1">
        <v>9686.0</v>
      </c>
      <c r="B9204" s="3" t="s">
        <v>8858</v>
      </c>
      <c r="C9204" s="3" t="str">
        <f>IFERROR(__xludf.DUMMYFUNCTION("GOOGLETRANSLATE(B9204,""id"",""en"")"),"['sympathetic', 'pling', 'Joos',' Ahkir ',' Jaringax ',' ugly ',' mah ',' Severe ',' GMN ',' Tuuuh ',' PKai ',' sympathetic ',' before ',' android ',' old ',' gmn ',' customer ',' nyesel ',' tuk ',' work ',' kyak ',' fan ',' wind ',' muter ' , 'Tlong', 's"&amp;"ervice', 'best', 'tuk', 'all', 'customer', 'sympathetic', '']")</f>
        <v>['sympathetic', 'pling', 'Joos',' Ahkir ',' Jaringax ',' ugly ',' mah ',' Severe ',' GMN ',' Tuuuh ',' PKai ',' sympathetic ',' before ',' android ',' old ',' gmn ',' customer ',' nyesel ',' tuk ',' work ',' kyak ',' fan ',' wind ',' muter ' , 'Tlong', 'service', 'best', 'tuk', 'all', 'customer', 'sympathetic', '']</v>
      </c>
      <c r="D9204" s="3">
        <v>1.0</v>
      </c>
    </row>
    <row r="9205" ht="15.75" customHeight="1">
      <c r="A9205" s="1">
        <v>9687.0</v>
      </c>
      <c r="B9205" s="3" t="s">
        <v>8859</v>
      </c>
      <c r="C9205" s="3" t="str">
        <f>IFERROR(__xludf.DUMMYFUNCTION("GOOGLETRANSLATE(B9205,""id"",""en"")"),"['Like', 'Application', 'Telkomsel', 'buy', 'quota', 'credit', 'cashback', 'network', 'Not bad', 'good', 'smooth', 'choice', ' quota ',' Thank you ',' Telkomsel ',' accompany me ',' old school ',' loyal ',' Telkomsel ',' especially ',' card ',' sympathy '"&amp;", ""]")</f>
        <v>['Like', 'Application', 'Telkomsel', 'buy', 'quota', 'credit', 'cashback', 'network', 'Not bad', 'good', 'smooth', 'choice', ' quota ',' Thank you ',' Telkomsel ',' accompany me ',' old school ',' loyal ',' Telkomsel ',' especially ',' card ',' sympathy ', "]</v>
      </c>
      <c r="D9205" s="3">
        <v>5.0</v>
      </c>
    </row>
    <row r="9206" ht="15.75" customHeight="1">
      <c r="A9206" s="1">
        <v>9688.0</v>
      </c>
      <c r="B9206" s="3" t="s">
        <v>8860</v>
      </c>
      <c r="C9206" s="3" t="str">
        <f>IFERROR(__xludf.DUMMYFUNCTION("GOOGLETRANSLATE(B9206,""id"",""en"")"),"['Contents', 'pulses', 'already', 'truncated', 'nggk', 'internet', 'anything', 'disappointed', 'nggk', 'recommended', 'internet', '']")</f>
        <v>['Contents', 'pulses', 'already', 'truncated', 'nggk', 'internet', 'anything', 'disappointed', 'nggk', 'recommended', 'internet', '']</v>
      </c>
      <c r="D9206" s="3">
        <v>1.0</v>
      </c>
    </row>
    <row r="9207" ht="15.75" customHeight="1">
      <c r="A9207" s="1">
        <v>9689.0</v>
      </c>
      <c r="B9207" s="3" t="s">
        <v>8861</v>
      </c>
      <c r="C9207" s="3" t="str">
        <f>IFERROR(__xludf.DUMMYFUNCTION("GOOGLETRANSLATE(B9207,""id"",""en"")"),"['Woy', 'Telkomsel', 'network', 'chaotic', 'play', 'game', 'open', 'application', 'please', 'pay attention', 'customer', 'use' network ',' Telkomsel ',' network ',' lag ',' mulu ',' please ',' repaired ',' customer ',' disappointed ',' ']")</f>
        <v>['Woy', 'Telkomsel', 'network', 'chaotic', 'play', 'game', 'open', 'application', 'please', 'pay attention', 'customer', 'use' network ',' Telkomsel ',' network ',' lag ',' mulu ',' please ',' repaired ',' customer ',' disappointed ',' ']</v>
      </c>
      <c r="D9207" s="3">
        <v>5.0</v>
      </c>
    </row>
    <row r="9208" ht="15.75" customHeight="1">
      <c r="A9208" s="1">
        <v>9690.0</v>
      </c>
      <c r="B9208" s="3" t="s">
        <v>8862</v>
      </c>
      <c r="C9208" s="3" t="str">
        <f>IFERROR(__xludf.DUMMYFUNCTION("GOOGLETRANSLATE(B9208,""id"",""en"")"),"['Telkomsel', 'best', 'best', 'expensive', 'compared to', '']")</f>
        <v>['Telkomsel', 'best', 'best', 'expensive', 'compared to', '']</v>
      </c>
      <c r="D9208" s="3">
        <v>3.0</v>
      </c>
    </row>
    <row r="9209" ht="15.75" customHeight="1">
      <c r="A9209" s="1">
        <v>9691.0</v>
      </c>
      <c r="B9209" s="3" t="s">
        <v>8863</v>
      </c>
      <c r="C9209" s="3" t="str">
        <f>IFERROR(__xludf.DUMMYFUNCTION("GOOGLETRANSLATE(B9209,""id"",""en"")"),"['Sousiny', 'chaotic', 'package', 'Mahall', 'please', 'note', 'repair', ""]")</f>
        <v>['Sousiny', 'chaotic', 'package', 'Mahall', 'please', 'note', 'repair', "]</v>
      </c>
      <c r="D9209" s="3">
        <v>2.0</v>
      </c>
    </row>
    <row r="9210" ht="15.75" customHeight="1">
      <c r="A9210" s="1">
        <v>9692.0</v>
      </c>
      <c r="B9210" s="3" t="s">
        <v>8864</v>
      </c>
      <c r="C9210" s="3" t="str">
        <f>IFERROR(__xludf.DUMMYFUNCTION("GOOGLETRANSLATE(B9210,""id"",""en"")"),"['Download', 'already', 'error', 'application', 'what', 'min', '']")</f>
        <v>['Download', 'already', 'error', 'application', 'what', 'min', '']</v>
      </c>
      <c r="D9210" s="3">
        <v>1.0</v>
      </c>
    </row>
    <row r="9211" ht="15.75" customHeight="1">
      <c r="A9211" s="1">
        <v>9693.0</v>
      </c>
      <c r="B9211" s="3" t="s">
        <v>8865</v>
      </c>
      <c r="C9211" s="3" t="str">
        <f>IFERROR(__xludf.DUMMYFUNCTION("GOOGLETRANSLATE(B9211,""id"",""en"")"),"['Stop', 'Package', 'Emergency', 'Telkomsel', 'Credit', 'Sumpot', 'MLES', 'PKE', 'Telkomsel', ""]")</f>
        <v>['Stop', 'Package', 'Emergency', 'Telkomsel', 'Credit', 'Sumpot', 'MLES', 'PKE', 'Telkomsel', "]</v>
      </c>
      <c r="D9211" s="3">
        <v>1.0</v>
      </c>
    </row>
    <row r="9212" ht="15.75" customHeight="1">
      <c r="A9212" s="1">
        <v>9694.0</v>
      </c>
      <c r="B9212" s="3" t="s">
        <v>8866</v>
      </c>
      <c r="C9212" s="3" t="str">
        <f>IFERROR(__xludf.DUMMYFUNCTION("GOOGLETRANSLATE(B9212,""id"",""en"")"),"['Package', 'Out', 'Credit', 'Remnant', 'Direct', 'Used', 'User', 'Telkomsel', 'Deliberate', 'Operator', 'Direct', 'Use', ' Remaining ',' pulse ', ""]")</f>
        <v>['Package', 'Out', 'Credit', 'Remnant', 'Direct', 'Used', 'User', 'Telkomsel', 'Deliberate', 'Operator', 'Direct', 'Use', ' Remaining ',' pulse ', "]</v>
      </c>
      <c r="D9212" s="3">
        <v>1.0</v>
      </c>
    </row>
    <row r="9213" ht="15.75" customHeight="1">
      <c r="A9213" s="1">
        <v>9695.0</v>
      </c>
      <c r="B9213" s="3" t="s">
        <v>8867</v>
      </c>
      <c r="C9213" s="3" t="str">
        <f>IFERROR(__xludf.DUMMYFUNCTION("GOOGLETRANSLATE(B9213,""id"",""en"")"),"['Asalamualaykum', 'Kasi', 'Star', 'Hopefully', 'Application', 'Good', 'Useful', 'Hopefully', 'Current', 'Jaya', 'Activity', 'Greetings',' Sejahtera ',' Success', ""]")</f>
        <v>['Asalamualaykum', 'Kasi', 'Star', 'Hopefully', 'Application', 'Good', 'Useful', 'Hopefully', 'Current', 'Jaya', 'Activity', 'Greetings',' Sejahtera ',' Success', "]</v>
      </c>
      <c r="D9213" s="3">
        <v>5.0</v>
      </c>
    </row>
    <row r="9214" ht="15.75" customHeight="1">
      <c r="A9214" s="1">
        <v>9696.0</v>
      </c>
      <c r="B9214" s="3" t="s">
        <v>8868</v>
      </c>
      <c r="C9214" s="3" t="str">
        <f>IFERROR(__xludf.DUMMYFUNCTION("GOOGLETRANSLATE(B9214,""id"",""en"")"),"['Network', 'Test', 'Speed', 'Mbps',' YouTube ',' Current ',' turn ',' Ngegame ',' broken ',' already ',' buy ',' quota ',' Gamemax ',' broken ', ""]")</f>
        <v>['Network', 'Test', 'Speed', 'Mbps',' YouTube ',' Current ',' turn ',' Ngegame ',' broken ',' already ',' buy ',' quota ',' Gamemax ',' broken ', "]</v>
      </c>
      <c r="D9214" s="3">
        <v>3.0</v>
      </c>
    </row>
    <row r="9215" ht="15.75" customHeight="1">
      <c r="A9215" s="1">
        <v>9697.0</v>
      </c>
      <c r="B9215" s="3" t="s">
        <v>8869</v>
      </c>
      <c r="C9215" s="3" t="str">
        <f>IFERROR(__xludf.DUMMYFUNCTION("GOOGLETRANSLATE(B9215,""id"",""en"")"),"['Help', 'work', 'nautical', 'network', 'price', 'raised', 'success', 'Telkomsel']")</f>
        <v>['Help', 'work', 'nautical', 'network', 'price', 'raised', 'success', 'Telkomsel']</v>
      </c>
      <c r="D9215" s="3">
        <v>5.0</v>
      </c>
    </row>
    <row r="9216" ht="15.75" customHeight="1">
      <c r="A9216" s="1">
        <v>9698.0</v>
      </c>
      <c r="B9216" s="3" t="s">
        <v>8870</v>
      </c>
      <c r="C9216" s="3" t="str">
        <f>IFERROR(__xludf.DUMMYFUNCTION("GOOGLETRANSLATE(B9216,""id"",""en"")"),"['Application', 'Most good', 'Syg', 'setting', 'stop', 'suction', 'credit', 'illegal', 'cook', 'pulse', 'used', 'reduced', ' The reason is', 'usage', 'internet', 'use', 'operator', 'data', 'internet', 'reduced', 'pulse', 'cell', ""]")</f>
        <v>['Application', 'Most good', 'Syg', 'setting', 'stop', 'suction', 'credit', 'illegal', 'cook', 'pulse', 'used', 'reduced', ' The reason is', 'usage', 'internet', 'use', 'operator', 'data', 'internet', 'reduced', 'pulse', 'cell', "]</v>
      </c>
      <c r="D9216" s="3">
        <v>1.0</v>
      </c>
    </row>
    <row r="9217" ht="15.75" customHeight="1">
      <c r="A9217" s="1">
        <v>9699.0</v>
      </c>
      <c r="B9217" s="3" t="s">
        <v>8871</v>
      </c>
      <c r="C9217" s="3" t="str">
        <f>IFERROR(__xludf.DUMMYFUNCTION("GOOGLETRANSLATE(B9217,""id"",""en"")"),"['use', 'application', 'BYK', 'promo', 'quota', 'hope', ""]")</f>
        <v>['use', 'application', 'BYK', 'promo', 'quota', 'hope', "]</v>
      </c>
      <c r="D9217" s="3">
        <v>5.0</v>
      </c>
    </row>
    <row r="9218" ht="15.75" customHeight="1">
      <c r="A9218" s="1">
        <v>9700.0</v>
      </c>
      <c r="B9218" s="3" t="s">
        <v>8872</v>
      </c>
      <c r="C9218" s="3" t="str">
        <f>IFERROR(__xludf.DUMMYFUNCTION("GOOGLETRANSLATE(B9218,""id"",""en"")"),"['Buy', 'Package', 'Combo', 'Sakti', 'Unlimitid', 'GB', 'No', 'Disorders', 'What's', 'Indeed', 'annoyed', ""]")</f>
        <v>['Buy', 'Package', 'Combo', 'Sakti', 'Unlimitid', 'GB', 'No', 'Disorders', 'What's', 'Indeed', 'annoyed', "]</v>
      </c>
      <c r="D9218" s="3">
        <v>2.0</v>
      </c>
    </row>
    <row r="9219" ht="15.75" customHeight="1">
      <c r="A9219" s="1">
        <v>9701.0</v>
      </c>
      <c r="B9219" s="3" t="s">
        <v>8873</v>
      </c>
      <c r="C9219" s="3" t="str">
        <f>IFERROR(__xludf.DUMMYFUNCTION("GOOGLETRANSLATE(B9219,""id"",""en"")"),"['good', 'application', 'like', 'buy', 'package', 'pulse', 'direct', 'complicated']")</f>
        <v>['good', 'application', 'like', 'buy', 'package', 'pulse', 'direct', 'complicated']</v>
      </c>
      <c r="D9219" s="3">
        <v>5.0</v>
      </c>
    </row>
    <row r="9220" ht="15.75" customHeight="1">
      <c r="A9220" s="1">
        <v>9702.0</v>
      </c>
      <c r="B9220" s="3" t="s">
        <v>8874</v>
      </c>
      <c r="C9220" s="3" t="str">
        <f>IFERROR(__xludf.DUMMYFUNCTION("GOOGLETRANSLATE(B9220,""id"",""en"")"),"['Telkomselku', 'error', 'looks', 'brp', 'package', '']")</f>
        <v>['Telkomselku', 'error', 'looks', 'brp', 'package', '']</v>
      </c>
      <c r="D9220" s="3">
        <v>1.0</v>
      </c>
    </row>
    <row r="9221" ht="15.75" customHeight="1">
      <c r="A9221" s="1">
        <v>9703.0</v>
      </c>
      <c r="B9221" s="3" t="s">
        <v>8875</v>
      </c>
      <c r="C9221" s="3" t="str">
        <f>IFERROR(__xludf.DUMMYFUNCTION("GOOGLETRANSLATE(B9221,""id"",""en"")"),"['network', 'Telkomsel', 'stable', 'meskin', 'signal', 'full', 'network', 'data', 'down', 'peforma', 'down']")</f>
        <v>['network', 'Telkomsel', 'stable', 'meskin', 'signal', 'full', 'network', 'data', 'down', 'peforma', 'down']</v>
      </c>
      <c r="D9221" s="3">
        <v>1.0</v>
      </c>
    </row>
    <row r="9222" ht="15.75" customHeight="1">
      <c r="A9222" s="1">
        <v>9704.0</v>
      </c>
      <c r="B9222" s="3" t="s">
        <v>8876</v>
      </c>
      <c r="C9222" s="3" t="str">
        <f>IFERROR(__xludf.DUMMYFUNCTION("GOOGLETRANSLATE(B9222,""id"",""en"")"),"['Network', 'Sometimes', 'like', 'stable', 'package', 'internet', 'pulse', 'cut', 'Males', 'Telkomsel']")</f>
        <v>['Network', 'Sometimes', 'like', 'stable', 'package', 'internet', 'pulse', 'cut', 'Males', 'Telkomsel']</v>
      </c>
      <c r="D9222" s="3">
        <v>1.0</v>
      </c>
    </row>
    <row r="9223" ht="15.75" customHeight="1">
      <c r="A9223" s="1">
        <v>9705.0</v>
      </c>
      <c r="B9223" s="3" t="s">
        <v>8877</v>
      </c>
      <c r="C9223" s="3" t="str">
        <f>IFERROR(__xludf.DUMMYFUNCTION("GOOGLETRANSLATE(B9223,""id"",""en"")"),"['please', 'love', 'solution', 'hub', 'via', 'email', 'no', 'solution', 'ask', 'email', ""]")</f>
        <v>['please', 'love', 'solution', 'hub', 'via', 'email', 'no', 'solution', 'ask', 'email', "]</v>
      </c>
      <c r="D9223" s="3">
        <v>3.0</v>
      </c>
    </row>
    <row r="9224" ht="15.75" customHeight="1">
      <c r="A9224" s="1">
        <v>9706.0</v>
      </c>
      <c r="B9224" s="3" t="s">
        <v>8878</v>
      </c>
      <c r="C9224" s="3" t="str">
        <f>IFERROR(__xludf.DUMMYFUNCTION("GOOGLETRANSLATE(B9224,""id"",""en"")"),"['Not bad', 'Good', 'Region', 'Network', 'Disorders', 'Island', 'Sumatra', '']")</f>
        <v>['Not bad', 'Good', 'Region', 'Network', 'Disorders', 'Island', 'Sumatra', '']</v>
      </c>
      <c r="D9224" s="3">
        <v>2.0</v>
      </c>
    </row>
    <row r="9225" ht="15.75" customHeight="1">
      <c r="A9225" s="1">
        <v>9707.0</v>
      </c>
      <c r="B9225" s="3" t="s">
        <v>8879</v>
      </c>
      <c r="C9225" s="3" t="str">
        <f>IFERROR(__xludf.DUMMYFUNCTION("GOOGLETRANSLATE(B9225,""id"",""en"")"),"['Please', 'Select', 'user', 'card', 'Masaa', 'Nga', 'rich', 'person', 'package', 'cheap', 'package', 'expensive', ' Expensive ',' ']")</f>
        <v>['Please', 'Select', 'user', 'card', 'Masaa', 'Nga', 'rich', 'person', 'package', 'cheap', 'package', 'expensive', ' Expensive ',' ']</v>
      </c>
      <c r="D9225" s="3">
        <v>3.0</v>
      </c>
    </row>
    <row r="9226" ht="15.75" customHeight="1">
      <c r="A9226" s="1">
        <v>9708.0</v>
      </c>
      <c r="B9226" s="3" t="s">
        <v>8880</v>
      </c>
      <c r="C9226" s="3" t="str">
        <f>IFERROR(__xludf.DUMMYFUNCTION("GOOGLETRANSLATE(B9226,""id"",""en"")"),"['complicated', 'application', 'like', 'application', 'position', 'card', 'wherever', 'entry', 'application', 'this is',' card ',' hrs', ' NEMPEL ',' Application ',' MyTelkomsel ']")</f>
        <v>['complicated', 'application', 'like', 'application', 'position', 'card', 'wherever', 'entry', 'application', 'this is',' card ',' hrs', ' NEMPEL ',' Application ',' MyTelkomsel ']</v>
      </c>
      <c r="D9226" s="3">
        <v>2.0</v>
      </c>
    </row>
    <row r="9227" ht="15.75" customHeight="1">
      <c r="A9227" s="1">
        <v>9709.0</v>
      </c>
      <c r="B9227" s="3" t="s">
        <v>8881</v>
      </c>
      <c r="C9227" s="3" t="str">
        <f>IFERROR(__xludf.DUMMYFUNCTION("GOOGLETRANSLATE(B9227,""id"",""en"")"),"['Telkomsel', 'The network', 'slow', 'really', 'learning', 'difficult', 'Telkomsel', 'slow', 'slow', 'really', 'napa', 'see', ' emang ',' right ']")</f>
        <v>['Telkomsel', 'The network', 'slow', 'really', 'learning', 'difficult', 'Telkomsel', 'slow', 'slow', 'really', 'napa', 'see', ' emang ',' right ']</v>
      </c>
      <c r="D9227" s="3">
        <v>1.0</v>
      </c>
    </row>
    <row r="9228" ht="15.75" customHeight="1">
      <c r="A9228" s="1">
        <v>9710.0</v>
      </c>
      <c r="B9228" s="3" t="s">
        <v>8882</v>
      </c>
      <c r="C9228" s="3" t="str">
        <f>IFERROR(__xludf.DUMMYFUNCTION("GOOGLETRANSLATE(B9228,""id"",""en"")"),"['Help', 'control', 'use', 'pulse', 'data', 'unfortunately', 'gift', 'telkomsel', 'follow', 'quiz', 'point', 'telkomsel']")</f>
        <v>['Help', 'control', 'use', 'pulse', 'data', 'unfortunately', 'gift', 'telkomsel', 'follow', 'quiz', 'point', 'telkomsel']</v>
      </c>
      <c r="D9228" s="3">
        <v>5.0</v>
      </c>
    </row>
    <row r="9229" ht="15.75" customHeight="1">
      <c r="A9229" s="1">
        <v>9711.0</v>
      </c>
      <c r="B9229" s="3" t="s">
        <v>8883</v>
      </c>
      <c r="C9229" s="3" t="str">
        <f>IFERROR(__xludf.DUMMYFUNCTION("GOOGLETRANSLATE(B9229,""id"",""en"")"),"['Bete', 'see', 'tsel', 'number', 'my cellphone', 'then', 'trap', 'made', 'karto', 'hello', 'now', 'can' Defended ',' Duhhhh ',' Tsel ',' all ',' data ',' PKE ',' Stop ',' card ',' Hallo ',' Hangus', 'yahhhh', 'GTU', 'Donggg' , 'Please,' Help ',' Disable "&amp;"',' Package ',' Card ',' Hello ',' Hangus', 'Plisssssssss',' ']")</f>
        <v>['Bete', 'see', 'tsel', 'number', 'my cellphone', 'then', 'trap', 'made', 'karto', 'hello', 'now', 'can' Defended ',' Duhhhh ',' Tsel ',' all ',' data ',' PKE ',' Stop ',' card ',' Hallo ',' Hangus', 'yahhhh', 'GTU', 'Donggg' , 'Please,' Help ',' Disable ',' Package ',' Card ',' Hello ',' Hangus', 'Plisssssssss',' ']</v>
      </c>
      <c r="D9229" s="3">
        <v>2.0</v>
      </c>
    </row>
    <row r="9230" ht="15.75" customHeight="1">
      <c r="A9230" s="1">
        <v>9712.0</v>
      </c>
      <c r="B9230" s="3" t="s">
        <v>8884</v>
      </c>
      <c r="C9230" s="3" t="str">
        <f>IFERROR(__xludf.DUMMYFUNCTION("GOOGLETRANSLATE(B9230,""id"",""en"")"),"['package', 'cheap', 'quality', 'network', 'lose', 'card', 'people', '']")</f>
        <v>['package', 'cheap', 'quality', 'network', 'lose', 'card', 'people', '']</v>
      </c>
      <c r="D9230" s="3">
        <v>1.0</v>
      </c>
    </row>
    <row r="9231" ht="15.75" customHeight="1">
      <c r="A9231" s="1">
        <v>9713.0</v>
      </c>
      <c r="B9231" s="3" t="s">
        <v>8885</v>
      </c>
      <c r="C9231" s="3" t="str">
        <f>IFERROR(__xludf.DUMMYFUNCTION("GOOGLETRANSLATE(B9231,""id"",""en"")"),"['Telkomsel', 'complement', 'package', 'internet', 'missing', 'download', 'watch', 'video', 'youtube', 'please', 'Telkomsel', 'stress',' Because ',' Package ',' Internet ',' Taken ']")</f>
        <v>['Telkomsel', 'complement', 'package', 'internet', 'missing', 'download', 'watch', 'video', 'youtube', 'please', 'Telkomsel', 'stress',' Because ',' Package ',' Internet ',' Taken ']</v>
      </c>
      <c r="D9231" s="3">
        <v>1.0</v>
      </c>
    </row>
    <row r="9232" ht="15.75" customHeight="1">
      <c r="A9232" s="1">
        <v>9714.0</v>
      </c>
      <c r="B9232" s="3" t="s">
        <v>8886</v>
      </c>
      <c r="C9232" s="3" t="str">
        <f>IFERROR(__xludf.DUMMYFUNCTION("GOOGLETRANSLATE(B9232,""id"",""en"")"),"['Not bad', 'CMN', 'Network', 'Good']")</f>
        <v>['Not bad', 'CMN', 'Network', 'Good']</v>
      </c>
      <c r="D9232" s="3">
        <v>4.0</v>
      </c>
    </row>
    <row r="9233" ht="15.75" customHeight="1">
      <c r="A9233" s="1">
        <v>9715.0</v>
      </c>
      <c r="B9233" s="3" t="s">
        <v>8887</v>
      </c>
      <c r="C9233" s="3" t="str">
        <f>IFERROR(__xludf.DUMMYFUNCTION("GOOGLETRANSLATE(B9233,""id"",""en"")"),"['Help', 'package', 'cheap', 'hope', 'in the future', 'promo', 'additional', 'thank you']")</f>
        <v>['Help', 'package', 'cheap', 'hope', 'in the future', 'promo', 'additional', 'thank you']</v>
      </c>
      <c r="D9233" s="3">
        <v>5.0</v>
      </c>
    </row>
    <row r="9234" ht="15.75" customHeight="1">
      <c r="A9234" s="1">
        <v>9716.0</v>
      </c>
      <c r="B9234" s="3" t="s">
        <v>8888</v>
      </c>
      <c r="C9234" s="3" t="str">
        <f>IFERROR(__xludf.DUMMYFUNCTION("GOOGLETRANSLATE(B9234,""id"",""en"")"),"['What', 'buy', 'package', 'internet', 'pulse', 'TPI', 'right', 'buy', 'package', 'internet', 'change', 'pulse', ' Kouta ',' Hadehh ']")</f>
        <v>['What', 'buy', 'package', 'internet', 'pulse', 'TPI', 'right', 'buy', 'package', 'internet', 'change', 'pulse', ' Kouta ',' Hadehh ']</v>
      </c>
      <c r="D9234" s="3">
        <v>1.0</v>
      </c>
    </row>
    <row r="9235" ht="15.75" customHeight="1">
      <c r="A9235" s="1">
        <v>9717.0</v>
      </c>
      <c r="B9235" s="3" t="s">
        <v>8889</v>
      </c>
      <c r="C9235" s="3" t="str">
        <f>IFERROR(__xludf.DUMMYFUNCTION("GOOGLETRANSLATE(B9235,""id"",""en"")"),"['Sousiny', 'ugly', 'really', 'right', 'rain', 'sometimes',' signal ',' emotion ',' udh ',' buy ',' package ',' expensive ',' Browsing it ',' Kyk ',' Keong ',' Ripipuhh ',' sitiiii ', ""]")</f>
        <v>['Sousiny', 'ugly', 'really', 'right', 'rain', 'sometimes',' signal ',' emotion ',' udh ',' buy ',' package ',' expensive ',' Browsing it ',' Kyk ',' Keong ',' Ripipuhh ',' sitiiii ', "]</v>
      </c>
      <c r="D9235" s="3">
        <v>5.0</v>
      </c>
    </row>
    <row r="9236" ht="15.75" customHeight="1">
      <c r="A9236" s="1">
        <v>9718.0</v>
      </c>
      <c r="B9236" s="3" t="s">
        <v>8890</v>
      </c>
      <c r="C9236" s="3" t="str">
        <f>IFERROR(__xludf.DUMMYFUNCTION("GOOGLETRANSLATE(B9236,""id"",""en"")"),"['Telkomsel', 'Leading', 'Hopefully', 'Helpful', 'Nation', 'State', 'Innovation', 'Leading', ""]")</f>
        <v>['Telkomsel', 'Leading', 'Hopefully', 'Helpful', 'Nation', 'State', 'Innovation', 'Leading', "]</v>
      </c>
      <c r="D9236" s="3">
        <v>5.0</v>
      </c>
    </row>
    <row r="9237" ht="15.75" customHeight="1">
      <c r="A9237" s="1">
        <v>9719.0</v>
      </c>
      <c r="B9237" s="3" t="s">
        <v>8891</v>
      </c>
      <c r="C9237" s="3" t="str">
        <f>IFERROR(__xludf.DUMMYFUNCTION("GOOGLETRANSLATE(B9237,""id"",""en"")"),"['Out', 'update', 'buy', 'pulse', 'nominal', 'application', 'add', 'reduced', 'please', 'repair', ""]")</f>
        <v>['Out', 'update', 'buy', 'pulse', 'nominal', 'application', 'add', 'reduced', 'please', 'repair', "]</v>
      </c>
      <c r="D9237" s="3">
        <v>1.0</v>
      </c>
    </row>
    <row r="9238" ht="15.75" customHeight="1">
      <c r="A9238" s="1">
        <v>9720.0</v>
      </c>
      <c r="B9238" s="3" t="s">
        <v>8892</v>
      </c>
      <c r="C9238" s="3" t="str">
        <f>IFERROR(__xludf.DUMMYFUNCTION("GOOGLETRANSLATE(B9238,""id"",""en"")"),"['DRIALIN', 'package', 'network', 'ilang', 'error', 'family', 'replace']")</f>
        <v>['DRIALIN', 'package', 'network', 'ilang', 'error', 'family', 'replace']</v>
      </c>
      <c r="D9238"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2022-02-26T07:28:54Z</dcterms:created>
  <dc:creator>openpyxl</dc:creator>
</cp:coreProperties>
</file>